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YT06510\Desktop\PROJELER\5-) AYATIRIM - Günlük Paylaşım\"/>
    </mc:Choice>
  </mc:AlternateContent>
  <bookViews>
    <workbookView xWindow="0" yWindow="0" windowWidth="28800" windowHeight="12450"/>
  </bookViews>
  <sheets>
    <sheet name="DESTEK DİRENÇ " sheetId="1" r:id="rId1"/>
    <sheet name="HİSSE GETİRİ" sheetId="7" r:id="rId2"/>
    <sheet name="TEKNİK GÖSTERGELER" sheetId="4" r:id="rId3"/>
    <sheet name="DEĞERLEME " sheetId="5" r:id="rId4"/>
    <sheet name="FAVÖK ÇARPANI " sheetId="8" r:id="rId5"/>
    <sheet name="YABANCI TAKASI " sheetId="9" r:id="rId6"/>
    <sheet name="Sheet1" sheetId="10" r:id="rId7"/>
  </sheets>
  <externalReferences>
    <externalReference r:id="rId8"/>
  </externalReferences>
  <definedNames>
    <definedName name="_xlnm.Print_Area" localSheetId="3">'DEĞERLEME '!$A$1:$J$115</definedName>
    <definedName name="_xlnm.Print_Area" localSheetId="0">'DESTEK DİRENÇ '!$A$1:$M$129</definedName>
    <definedName name="_xlnm.Print_Area" localSheetId="1">'HİSSE GETİRİ'!$A$1:$I$129</definedName>
  </definedName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6" i="9" l="1"/>
  <c r="J6" i="9"/>
  <c r="I6" i="9"/>
  <c r="H6" i="9"/>
  <c r="G6" i="9"/>
  <c r="F6" i="9"/>
  <c r="E6" i="9"/>
  <c r="D6" i="9"/>
  <c r="K20" i="9"/>
  <c r="J20" i="9"/>
  <c r="I20" i="9"/>
  <c r="H20" i="9"/>
  <c r="G20" i="9"/>
  <c r="F20" i="9"/>
  <c r="E20" i="9"/>
  <c r="D20" i="9"/>
  <c r="K35" i="9"/>
  <c r="J35" i="9"/>
  <c r="I35" i="9"/>
  <c r="H35" i="9"/>
  <c r="G35" i="9"/>
  <c r="F35" i="9"/>
  <c r="E35" i="9"/>
  <c r="D35" i="9"/>
  <c r="K83" i="9"/>
  <c r="J83" i="9"/>
  <c r="I83" i="9"/>
  <c r="H83" i="9"/>
  <c r="G83" i="9"/>
  <c r="F83" i="9"/>
  <c r="E83" i="9"/>
  <c r="D83" i="9"/>
  <c r="K103" i="9"/>
  <c r="J103" i="9"/>
  <c r="I103" i="9"/>
  <c r="H103" i="9"/>
  <c r="G103" i="9"/>
  <c r="F103" i="9"/>
  <c r="E103" i="9"/>
  <c r="D103" i="9"/>
  <c r="K11" i="9"/>
  <c r="J11" i="9"/>
  <c r="I11" i="9"/>
  <c r="H11" i="9"/>
  <c r="G11" i="9"/>
  <c r="F11" i="9"/>
  <c r="E11" i="9"/>
  <c r="D11" i="9"/>
  <c r="K32" i="9"/>
  <c r="J32" i="9"/>
  <c r="I32" i="9"/>
  <c r="H32" i="9"/>
  <c r="G32" i="9"/>
  <c r="F32" i="9"/>
  <c r="E32" i="9"/>
  <c r="D32" i="9"/>
  <c r="K89" i="9"/>
  <c r="J89" i="9"/>
  <c r="I89" i="9"/>
  <c r="H89" i="9"/>
  <c r="G89" i="9"/>
  <c r="F89" i="9"/>
  <c r="E89" i="9"/>
  <c r="D89" i="9"/>
  <c r="K102" i="9"/>
  <c r="J102" i="9"/>
  <c r="I102" i="9"/>
  <c r="H102" i="9"/>
  <c r="G102" i="9"/>
  <c r="F102" i="9"/>
  <c r="E102" i="9"/>
  <c r="D102" i="9"/>
  <c r="K29" i="9"/>
  <c r="J29" i="9"/>
  <c r="I29" i="9"/>
  <c r="H29" i="9"/>
  <c r="G29" i="9"/>
  <c r="F29" i="9"/>
  <c r="E29" i="9"/>
  <c r="D29" i="9"/>
  <c r="K97" i="9"/>
  <c r="J97" i="9"/>
  <c r="I97" i="9"/>
  <c r="H97" i="9"/>
  <c r="G97" i="9"/>
  <c r="F97" i="9"/>
  <c r="E97" i="9"/>
  <c r="D97" i="9"/>
  <c r="K96" i="9"/>
  <c r="J96" i="9"/>
  <c r="I96" i="9"/>
  <c r="H96" i="9"/>
  <c r="G96" i="9"/>
  <c r="F96" i="9"/>
  <c r="E96" i="9"/>
  <c r="D96" i="9"/>
  <c r="K63" i="9"/>
  <c r="J63" i="9"/>
  <c r="I63" i="9"/>
  <c r="H63" i="9"/>
  <c r="G63" i="9"/>
  <c r="F63" i="9"/>
  <c r="E63" i="9"/>
  <c r="D63" i="9"/>
  <c r="K84" i="9"/>
  <c r="J84" i="9"/>
  <c r="I84" i="9"/>
  <c r="H84" i="9"/>
  <c r="G84" i="9"/>
  <c r="F84" i="9"/>
  <c r="E84" i="9"/>
  <c r="D84" i="9"/>
  <c r="K13" i="9"/>
  <c r="J13" i="9"/>
  <c r="I13" i="9"/>
  <c r="H13" i="9"/>
  <c r="G13" i="9"/>
  <c r="F13" i="9"/>
  <c r="E13" i="9"/>
  <c r="D13" i="9"/>
  <c r="K80" i="9"/>
  <c r="J80" i="9"/>
  <c r="I80" i="9"/>
  <c r="H80" i="9"/>
  <c r="G80" i="9"/>
  <c r="F80" i="9"/>
  <c r="E80" i="9"/>
  <c r="D80" i="9"/>
  <c r="K14" i="9"/>
  <c r="J14" i="9"/>
  <c r="I14" i="9"/>
  <c r="H14" i="9"/>
  <c r="G14" i="9"/>
  <c r="F14" i="9"/>
  <c r="E14" i="9"/>
  <c r="D14" i="9"/>
  <c r="K55" i="9"/>
  <c r="J55" i="9"/>
  <c r="I55" i="9"/>
  <c r="H55" i="9"/>
  <c r="G55" i="9"/>
  <c r="F55" i="9"/>
  <c r="E55" i="9"/>
  <c r="D55" i="9"/>
  <c r="K30" i="9"/>
  <c r="J30" i="9"/>
  <c r="I30" i="9"/>
  <c r="H30" i="9"/>
  <c r="G30" i="9"/>
  <c r="F30" i="9"/>
  <c r="E30" i="9"/>
  <c r="D30" i="9"/>
  <c r="K66" i="9"/>
  <c r="J66" i="9"/>
  <c r="I66" i="9"/>
  <c r="H66" i="9"/>
  <c r="G66" i="9"/>
  <c r="F66" i="9"/>
  <c r="E66" i="9"/>
  <c r="D66" i="9"/>
  <c r="K61" i="9"/>
  <c r="J61" i="9"/>
  <c r="I61" i="9"/>
  <c r="H61" i="9"/>
  <c r="G61" i="9"/>
  <c r="F61" i="9"/>
  <c r="E61" i="9"/>
  <c r="D61" i="9"/>
  <c r="K68" i="9"/>
  <c r="J68" i="9"/>
  <c r="I68" i="9"/>
  <c r="H68" i="9"/>
  <c r="G68" i="9"/>
  <c r="F68" i="9"/>
  <c r="E68" i="9"/>
  <c r="D68" i="9"/>
  <c r="K7" i="9"/>
  <c r="J7" i="9"/>
  <c r="I7" i="9"/>
  <c r="H7" i="9"/>
  <c r="G7" i="9"/>
  <c r="F7" i="9"/>
  <c r="E7" i="9"/>
  <c r="D7" i="9"/>
  <c r="K38" i="9"/>
  <c r="J38" i="9"/>
  <c r="I38" i="9"/>
  <c r="H38" i="9"/>
  <c r="G38" i="9"/>
  <c r="F38" i="9"/>
  <c r="E38" i="9"/>
  <c r="D38" i="9"/>
  <c r="K90" i="9"/>
  <c r="J90" i="9"/>
  <c r="I90" i="9"/>
  <c r="H90" i="9"/>
  <c r="G90" i="9"/>
  <c r="F90" i="9"/>
  <c r="E90" i="9"/>
  <c r="D90" i="9"/>
  <c r="K53" i="9"/>
  <c r="J53" i="9"/>
  <c r="I53" i="9"/>
  <c r="H53" i="9"/>
  <c r="G53" i="9"/>
  <c r="F53" i="9"/>
  <c r="E53" i="9"/>
  <c r="D53" i="9"/>
  <c r="K37" i="9"/>
  <c r="J37" i="9"/>
  <c r="I37" i="9"/>
  <c r="H37" i="9"/>
  <c r="G37" i="9"/>
  <c r="F37" i="9"/>
  <c r="E37" i="9"/>
  <c r="D37" i="9"/>
  <c r="K76" i="9"/>
  <c r="J76" i="9"/>
  <c r="I76" i="9"/>
  <c r="H76" i="9"/>
  <c r="G76" i="9"/>
  <c r="F76" i="9"/>
  <c r="E76" i="9"/>
  <c r="D76" i="9"/>
  <c r="K22" i="9"/>
  <c r="J22" i="9"/>
  <c r="I22" i="9"/>
  <c r="H22" i="9"/>
  <c r="G22" i="9"/>
  <c r="F22" i="9"/>
  <c r="E22" i="9"/>
  <c r="D22" i="9"/>
  <c r="K57" i="9"/>
  <c r="J57" i="9"/>
  <c r="I57" i="9"/>
  <c r="H57" i="9"/>
  <c r="G57" i="9"/>
  <c r="F57" i="9"/>
  <c r="E57" i="9"/>
  <c r="D57" i="9"/>
  <c r="K44" i="9"/>
  <c r="J44" i="9"/>
  <c r="I44" i="9"/>
  <c r="H44" i="9"/>
  <c r="G44" i="9"/>
  <c r="F44" i="9"/>
  <c r="E44" i="9"/>
  <c r="D44" i="9"/>
  <c r="K92" i="9"/>
  <c r="J92" i="9"/>
  <c r="I92" i="9"/>
  <c r="H92" i="9"/>
  <c r="G92" i="9"/>
  <c r="F92" i="9"/>
  <c r="E92" i="9"/>
  <c r="D92" i="9"/>
  <c r="K12" i="9"/>
  <c r="J12" i="9"/>
  <c r="I12" i="9"/>
  <c r="H12" i="9"/>
  <c r="G12" i="9"/>
  <c r="F12" i="9"/>
  <c r="E12" i="9"/>
  <c r="D12" i="9"/>
  <c r="K28" i="9"/>
  <c r="J28" i="9"/>
  <c r="I28" i="9"/>
  <c r="H28" i="9"/>
  <c r="G28" i="9"/>
  <c r="F28" i="9"/>
  <c r="E28" i="9"/>
  <c r="D28" i="9"/>
  <c r="K64" i="9"/>
  <c r="J64" i="9"/>
  <c r="I64" i="9"/>
  <c r="H64" i="9"/>
  <c r="G64" i="9"/>
  <c r="F64" i="9"/>
  <c r="E64" i="9"/>
  <c r="D64" i="9"/>
  <c r="K17" i="9"/>
  <c r="J17" i="9"/>
  <c r="I17" i="9"/>
  <c r="H17" i="9"/>
  <c r="G17" i="9"/>
  <c r="F17" i="9"/>
  <c r="E17" i="9"/>
  <c r="D17" i="9"/>
  <c r="K40" i="9"/>
  <c r="J40" i="9"/>
  <c r="I40" i="9"/>
  <c r="H40" i="9"/>
  <c r="G40" i="9"/>
  <c r="F40" i="9"/>
  <c r="E40" i="9"/>
  <c r="D40" i="9"/>
  <c r="K47" i="9"/>
  <c r="J47" i="9"/>
  <c r="I47" i="9"/>
  <c r="H47" i="9"/>
  <c r="G47" i="9"/>
  <c r="F47" i="9"/>
  <c r="E47" i="9"/>
  <c r="D47" i="9"/>
  <c r="K59" i="9"/>
  <c r="J59" i="9"/>
  <c r="I59" i="9"/>
  <c r="H59" i="9"/>
  <c r="G59" i="9"/>
  <c r="F59" i="9"/>
  <c r="E59" i="9"/>
  <c r="D59" i="9"/>
  <c r="K31" i="9"/>
  <c r="J31" i="9"/>
  <c r="I31" i="9"/>
  <c r="H31" i="9"/>
  <c r="G31" i="9"/>
  <c r="F31" i="9"/>
  <c r="E31" i="9"/>
  <c r="D31" i="9"/>
  <c r="K87" i="9"/>
  <c r="J87" i="9"/>
  <c r="I87" i="9"/>
  <c r="H87" i="9"/>
  <c r="G87" i="9"/>
  <c r="F87" i="9"/>
  <c r="E87" i="9"/>
  <c r="D87" i="9"/>
  <c r="K95" i="9"/>
  <c r="J95" i="9"/>
  <c r="I95" i="9"/>
  <c r="H95" i="9"/>
  <c r="G95" i="9"/>
  <c r="F95" i="9"/>
  <c r="E95" i="9"/>
  <c r="D95" i="9"/>
  <c r="K81" i="9"/>
  <c r="J81" i="9"/>
  <c r="I81" i="9"/>
  <c r="H81" i="9"/>
  <c r="G81" i="9"/>
  <c r="F81" i="9"/>
  <c r="E81" i="9"/>
  <c r="D81" i="9"/>
  <c r="K52" i="9"/>
  <c r="J52" i="9"/>
  <c r="I52" i="9"/>
  <c r="H52" i="9"/>
  <c r="G52" i="9"/>
  <c r="F52" i="9"/>
  <c r="E52" i="9"/>
  <c r="D52" i="9"/>
  <c r="K71" i="9"/>
  <c r="J71" i="9"/>
  <c r="I71" i="9"/>
  <c r="H71" i="9"/>
  <c r="G71" i="9"/>
  <c r="F71" i="9"/>
  <c r="E71" i="9"/>
  <c r="D71" i="9"/>
  <c r="K8" i="9"/>
  <c r="J8" i="9"/>
  <c r="I8" i="9"/>
  <c r="H8" i="9"/>
  <c r="G8" i="9"/>
  <c r="F8" i="9"/>
  <c r="E8" i="9"/>
  <c r="D8" i="9"/>
  <c r="K69" i="9"/>
  <c r="J69" i="9"/>
  <c r="I69" i="9"/>
  <c r="H69" i="9"/>
  <c r="G69" i="9"/>
  <c r="F69" i="9"/>
  <c r="E69" i="9"/>
  <c r="D69" i="9"/>
  <c r="K15" i="9"/>
  <c r="J15" i="9"/>
  <c r="I15" i="9"/>
  <c r="H15" i="9"/>
  <c r="G15" i="9"/>
  <c r="F15" i="9"/>
  <c r="E15" i="9"/>
  <c r="D15" i="9"/>
  <c r="K67" i="9"/>
  <c r="J67" i="9"/>
  <c r="I67" i="9"/>
  <c r="H67" i="9"/>
  <c r="G67" i="9"/>
  <c r="F67" i="9"/>
  <c r="E67" i="9"/>
  <c r="D67" i="9"/>
  <c r="K49" i="9"/>
  <c r="J49" i="9"/>
  <c r="I49" i="9"/>
  <c r="H49" i="9"/>
  <c r="G49" i="9"/>
  <c r="F49" i="9"/>
  <c r="E49" i="9"/>
  <c r="D49" i="9"/>
  <c r="K73" i="9"/>
  <c r="J73" i="9"/>
  <c r="I73" i="9"/>
  <c r="H73" i="9"/>
  <c r="G73" i="9"/>
  <c r="F73" i="9"/>
  <c r="E73" i="9"/>
  <c r="D73" i="9"/>
  <c r="K10" i="9"/>
  <c r="J10" i="9"/>
  <c r="I10" i="9"/>
  <c r="H10" i="9"/>
  <c r="G10" i="9"/>
  <c r="F10" i="9"/>
  <c r="E10" i="9"/>
  <c r="D10" i="9"/>
  <c r="K85" i="9"/>
  <c r="J85" i="9"/>
  <c r="I85" i="9"/>
  <c r="H85" i="9"/>
  <c r="G85" i="9"/>
  <c r="F85" i="9"/>
  <c r="E85" i="9"/>
  <c r="D85" i="9"/>
  <c r="K21" i="9"/>
  <c r="J21" i="9"/>
  <c r="I21" i="9"/>
  <c r="H21" i="9"/>
  <c r="G21" i="9"/>
  <c r="F21" i="9"/>
  <c r="E21" i="9"/>
  <c r="D21" i="9"/>
  <c r="K25" i="9"/>
  <c r="J25" i="9"/>
  <c r="I25" i="9"/>
  <c r="H25" i="9"/>
  <c r="G25" i="9"/>
  <c r="F25" i="9"/>
  <c r="E25" i="9"/>
  <c r="D25" i="9"/>
  <c r="K56" i="9"/>
  <c r="J56" i="9"/>
  <c r="I56" i="9"/>
  <c r="H56" i="9"/>
  <c r="G56" i="9"/>
  <c r="F56" i="9"/>
  <c r="E56" i="9"/>
  <c r="D56" i="9"/>
  <c r="K91" i="9"/>
  <c r="J91" i="9"/>
  <c r="I91" i="9"/>
  <c r="H91" i="9"/>
  <c r="G91" i="9"/>
  <c r="F91" i="9"/>
  <c r="E91" i="9"/>
  <c r="D91" i="9"/>
  <c r="K33" i="9"/>
  <c r="J33" i="9"/>
  <c r="I33" i="9"/>
  <c r="H33" i="9"/>
  <c r="G33" i="9"/>
  <c r="F33" i="9"/>
  <c r="E33" i="9"/>
  <c r="D33" i="9"/>
  <c r="K75" i="9"/>
  <c r="J75" i="9"/>
  <c r="I75" i="9"/>
  <c r="H75" i="9"/>
  <c r="G75" i="9"/>
  <c r="F75" i="9"/>
  <c r="E75" i="9"/>
  <c r="D75" i="9"/>
  <c r="K72" i="9"/>
  <c r="J72" i="9"/>
  <c r="I72" i="9"/>
  <c r="H72" i="9"/>
  <c r="G72" i="9"/>
  <c r="F72" i="9"/>
  <c r="E72" i="9"/>
  <c r="D72" i="9"/>
  <c r="K51" i="9"/>
  <c r="J51" i="9"/>
  <c r="I51" i="9"/>
  <c r="H51" i="9"/>
  <c r="G51" i="9"/>
  <c r="F51" i="9"/>
  <c r="E51" i="9"/>
  <c r="D51" i="9"/>
  <c r="K104" i="9"/>
  <c r="J104" i="9"/>
  <c r="I104" i="9"/>
  <c r="H104" i="9"/>
  <c r="G104" i="9"/>
  <c r="F104" i="9"/>
  <c r="E104" i="9"/>
  <c r="D104" i="9"/>
  <c r="K70" i="9"/>
  <c r="J70" i="9"/>
  <c r="I70" i="9"/>
  <c r="H70" i="9"/>
  <c r="G70" i="9"/>
  <c r="F70" i="9"/>
  <c r="E70" i="9"/>
  <c r="D70" i="9"/>
  <c r="K46" i="9"/>
  <c r="J46" i="9"/>
  <c r="I46" i="9"/>
  <c r="H46" i="9"/>
  <c r="G46" i="9"/>
  <c r="F46" i="9"/>
  <c r="E46" i="9"/>
  <c r="D46" i="9"/>
  <c r="K23" i="9"/>
  <c r="J23" i="9"/>
  <c r="I23" i="9"/>
  <c r="H23" i="9"/>
  <c r="G23" i="9"/>
  <c r="F23" i="9"/>
  <c r="E23" i="9"/>
  <c r="D23" i="9"/>
  <c r="K105" i="9"/>
  <c r="J105" i="9"/>
  <c r="I105" i="9"/>
  <c r="H105" i="9"/>
  <c r="G105" i="9"/>
  <c r="F105" i="9"/>
  <c r="E105" i="9"/>
  <c r="D105" i="9"/>
  <c r="K86" i="9"/>
  <c r="J86" i="9"/>
  <c r="I86" i="9"/>
  <c r="H86" i="9"/>
  <c r="G86" i="9"/>
  <c r="F86" i="9"/>
  <c r="E86" i="9"/>
  <c r="D86" i="9"/>
  <c r="K94" i="9"/>
  <c r="J94" i="9"/>
  <c r="I94" i="9"/>
  <c r="H94" i="9"/>
  <c r="G94" i="9"/>
  <c r="F94" i="9"/>
  <c r="E94" i="9"/>
  <c r="D94" i="9"/>
  <c r="K34" i="9"/>
  <c r="J34" i="9"/>
  <c r="I34" i="9"/>
  <c r="H34" i="9"/>
  <c r="G34" i="9"/>
  <c r="F34" i="9"/>
  <c r="E34" i="9"/>
  <c r="D34" i="9"/>
  <c r="K54" i="9"/>
  <c r="J54" i="9"/>
  <c r="I54" i="9"/>
  <c r="H54" i="9"/>
  <c r="G54" i="9"/>
  <c r="F54" i="9"/>
  <c r="E54" i="9"/>
  <c r="D54" i="9"/>
  <c r="K62" i="9"/>
  <c r="J62" i="9"/>
  <c r="I62" i="9"/>
  <c r="H62" i="9"/>
  <c r="G62" i="9"/>
  <c r="F62" i="9"/>
  <c r="E62" i="9"/>
  <c r="D62" i="9"/>
  <c r="K48" i="9"/>
  <c r="J48" i="9"/>
  <c r="I48" i="9"/>
  <c r="H48" i="9"/>
  <c r="G48" i="9"/>
  <c r="F48" i="9"/>
  <c r="E48" i="9"/>
  <c r="D48" i="9"/>
  <c r="K45" i="9"/>
  <c r="J45" i="9"/>
  <c r="I45" i="9"/>
  <c r="H45" i="9"/>
  <c r="G45" i="9"/>
  <c r="F45" i="9"/>
  <c r="E45" i="9"/>
  <c r="D45" i="9"/>
  <c r="K60" i="9"/>
  <c r="J60" i="9"/>
  <c r="I60" i="9"/>
  <c r="H60" i="9"/>
  <c r="G60" i="9"/>
  <c r="F60" i="9"/>
  <c r="E60" i="9"/>
  <c r="D60" i="9"/>
  <c r="K65" i="9"/>
  <c r="J65" i="9"/>
  <c r="I65" i="9"/>
  <c r="H65" i="9"/>
  <c r="G65" i="9"/>
  <c r="F65" i="9"/>
  <c r="E65" i="9"/>
  <c r="D65" i="9"/>
  <c r="K36" i="9"/>
  <c r="J36" i="9"/>
  <c r="I36" i="9"/>
  <c r="H36" i="9"/>
  <c r="G36" i="9"/>
  <c r="F36" i="9"/>
  <c r="E36" i="9"/>
  <c r="D36" i="9"/>
  <c r="K78" i="9"/>
  <c r="J78" i="9"/>
  <c r="I78" i="9"/>
  <c r="H78" i="9"/>
  <c r="G78" i="9"/>
  <c r="F78" i="9"/>
  <c r="E78" i="9"/>
  <c r="D78" i="9"/>
  <c r="K77" i="9"/>
  <c r="J77" i="9"/>
  <c r="I77" i="9"/>
  <c r="H77" i="9"/>
  <c r="G77" i="9"/>
  <c r="F77" i="9"/>
  <c r="E77" i="9"/>
  <c r="D77" i="9"/>
  <c r="K93" i="9"/>
  <c r="J93" i="9"/>
  <c r="I93" i="9"/>
  <c r="H93" i="9"/>
  <c r="G93" i="9"/>
  <c r="F93" i="9"/>
  <c r="E93" i="9"/>
  <c r="D93" i="9"/>
  <c r="K50" i="9"/>
  <c r="J50" i="9"/>
  <c r="I50" i="9"/>
  <c r="H50" i="9"/>
  <c r="G50" i="9"/>
  <c r="F50" i="9"/>
  <c r="E50" i="9"/>
  <c r="D50" i="9"/>
  <c r="K18" i="9"/>
  <c r="J18" i="9"/>
  <c r="I18" i="9"/>
  <c r="H18" i="9"/>
  <c r="G18" i="9"/>
  <c r="F18" i="9"/>
  <c r="E18" i="9"/>
  <c r="D18" i="9"/>
  <c r="K19" i="9"/>
  <c r="J19" i="9"/>
  <c r="I19" i="9"/>
  <c r="H19" i="9"/>
  <c r="G19" i="9"/>
  <c r="F19" i="9"/>
  <c r="E19" i="9"/>
  <c r="D19" i="9"/>
  <c r="K74" i="9"/>
  <c r="J74" i="9"/>
  <c r="I74" i="9"/>
  <c r="H74" i="9"/>
  <c r="G74" i="9"/>
  <c r="F74" i="9"/>
  <c r="E74" i="9"/>
  <c r="D74" i="9"/>
  <c r="K79" i="9"/>
  <c r="J79" i="9"/>
  <c r="I79" i="9"/>
  <c r="H79" i="9"/>
  <c r="G79" i="9"/>
  <c r="F79" i="9"/>
  <c r="E79" i="9"/>
  <c r="D79" i="9"/>
  <c r="K9" i="9"/>
  <c r="J9" i="9"/>
  <c r="I9" i="9"/>
  <c r="H9" i="9"/>
  <c r="G9" i="9"/>
  <c r="F9" i="9"/>
  <c r="E9" i="9"/>
  <c r="D9" i="9"/>
  <c r="K39" i="9"/>
  <c r="J39" i="9"/>
  <c r="I39" i="9"/>
  <c r="H39" i="9"/>
  <c r="G39" i="9"/>
  <c r="F39" i="9"/>
  <c r="E39" i="9"/>
  <c r="D39" i="9"/>
  <c r="K43" i="9"/>
  <c r="J43" i="9"/>
  <c r="I43" i="9"/>
  <c r="H43" i="9"/>
  <c r="G43" i="9"/>
  <c r="F43" i="9"/>
  <c r="E43" i="9"/>
  <c r="D43" i="9"/>
  <c r="K88" i="9"/>
  <c r="J88" i="9"/>
  <c r="I88" i="9"/>
  <c r="H88" i="9"/>
  <c r="G88" i="9"/>
  <c r="F88" i="9"/>
  <c r="E88" i="9"/>
  <c r="D88" i="9"/>
  <c r="K101" i="9"/>
  <c r="J101" i="9"/>
  <c r="I101" i="9"/>
  <c r="H101" i="9"/>
  <c r="G101" i="9"/>
  <c r="F101" i="9"/>
  <c r="E101" i="9"/>
  <c r="D101" i="9"/>
  <c r="K100" i="9"/>
  <c r="J100" i="9"/>
  <c r="I100" i="9"/>
  <c r="H100" i="9"/>
  <c r="G100" i="9"/>
  <c r="F100" i="9"/>
  <c r="E100" i="9"/>
  <c r="D100" i="9"/>
  <c r="K42" i="9"/>
  <c r="J42" i="9"/>
  <c r="I42" i="9"/>
  <c r="H42" i="9"/>
  <c r="G42" i="9"/>
  <c r="F42" i="9"/>
  <c r="E42" i="9"/>
  <c r="D42" i="9"/>
  <c r="K24" i="9"/>
  <c r="J24" i="9"/>
  <c r="I24" i="9"/>
  <c r="H24" i="9"/>
  <c r="G24" i="9"/>
  <c r="F24" i="9"/>
  <c r="E24" i="9"/>
  <c r="D24" i="9"/>
  <c r="K16" i="9"/>
  <c r="J16" i="9"/>
  <c r="I16" i="9"/>
  <c r="H16" i="9"/>
  <c r="G16" i="9"/>
  <c r="F16" i="9"/>
  <c r="E16" i="9"/>
  <c r="D16" i="9"/>
  <c r="K26" i="9"/>
  <c r="J26" i="9"/>
  <c r="I26" i="9"/>
  <c r="H26" i="9"/>
  <c r="G26" i="9"/>
  <c r="F26" i="9"/>
  <c r="E26" i="9"/>
  <c r="D26" i="9"/>
  <c r="K27" i="9"/>
  <c r="J27" i="9"/>
  <c r="I27" i="9"/>
  <c r="H27" i="9"/>
  <c r="G27" i="9"/>
  <c r="F27" i="9"/>
  <c r="E27" i="9"/>
  <c r="D27" i="9"/>
  <c r="K98" i="9"/>
  <c r="J98" i="9"/>
  <c r="I98" i="9"/>
  <c r="H98" i="9"/>
  <c r="G98" i="9"/>
  <c r="F98" i="9"/>
  <c r="E98" i="9"/>
  <c r="D98" i="9"/>
  <c r="K99" i="9"/>
  <c r="J99" i="9"/>
  <c r="I99" i="9"/>
  <c r="H99" i="9"/>
  <c r="G99" i="9"/>
  <c r="F99" i="9"/>
  <c r="E99" i="9"/>
  <c r="D99" i="9"/>
  <c r="K58" i="9"/>
  <c r="J58" i="9"/>
  <c r="I58" i="9"/>
  <c r="H58" i="9"/>
  <c r="G58" i="9"/>
  <c r="F58" i="9"/>
  <c r="E58" i="9"/>
  <c r="D58" i="9"/>
  <c r="K41" i="9"/>
  <c r="J41" i="9"/>
  <c r="I41" i="9"/>
  <c r="H41" i="9"/>
  <c r="G41" i="9"/>
  <c r="F41" i="9"/>
  <c r="E41" i="9"/>
  <c r="D41" i="9"/>
  <c r="K82" i="9"/>
  <c r="J82" i="9"/>
  <c r="I82" i="9"/>
  <c r="H82" i="9"/>
  <c r="G82" i="9"/>
  <c r="F82" i="9"/>
  <c r="E82" i="9"/>
  <c r="D82" i="9"/>
  <c r="B82" i="9"/>
  <c r="B41" i="9"/>
  <c r="B58" i="9"/>
  <c r="B99" i="9"/>
  <c r="B98" i="9"/>
  <c r="B27" i="9"/>
  <c r="B26" i="9"/>
  <c r="B16" i="9"/>
  <c r="B24" i="9"/>
  <c r="B42" i="9"/>
  <c r="B100" i="9"/>
  <c r="B101" i="9"/>
  <c r="B88" i="9"/>
  <c r="B43" i="9"/>
  <c r="B39" i="9"/>
  <c r="B9" i="9"/>
  <c r="B79" i="9"/>
  <c r="B74" i="9"/>
  <c r="B19" i="9"/>
  <c r="B18" i="9"/>
  <c r="B50" i="9"/>
  <c r="B93" i="9"/>
  <c r="B77" i="9"/>
  <c r="B78" i="9"/>
  <c r="B36" i="9"/>
  <c r="B65" i="9"/>
  <c r="B60" i="9"/>
  <c r="B45" i="9"/>
  <c r="B48" i="9"/>
  <c r="B62" i="9"/>
  <c r="B54" i="9"/>
  <c r="B34" i="9"/>
  <c r="B94" i="9"/>
  <c r="B86" i="9"/>
  <c r="B105" i="9"/>
  <c r="B23" i="9"/>
  <c r="B46" i="9"/>
  <c r="B70" i="9"/>
  <c r="B104" i="9"/>
  <c r="B51" i="9"/>
  <c r="B72" i="9"/>
  <c r="B75" i="9"/>
  <c r="B33" i="9"/>
  <c r="B91" i="9"/>
  <c r="B56" i="9"/>
  <c r="B25" i="9"/>
  <c r="B21" i="9"/>
  <c r="B85" i="9"/>
  <c r="B10" i="9"/>
  <c r="B73" i="9"/>
  <c r="B49" i="9"/>
  <c r="B67" i="9"/>
  <c r="B15" i="9"/>
  <c r="B69" i="9"/>
  <c r="B8" i="9"/>
  <c r="B71" i="9"/>
  <c r="B52" i="9"/>
  <c r="B81" i="9"/>
  <c r="B95" i="9"/>
  <c r="B87" i="9"/>
  <c r="B31" i="9"/>
  <c r="B59" i="9"/>
  <c r="B47" i="9"/>
  <c r="B40" i="9"/>
  <c r="B17" i="9"/>
  <c r="B64" i="9"/>
  <c r="B28" i="9"/>
  <c r="B12" i="9"/>
  <c r="B92" i="9"/>
  <c r="B44" i="9"/>
  <c r="B57" i="9"/>
  <c r="B22" i="9"/>
  <c r="B76" i="9"/>
  <c r="B37" i="9"/>
  <c r="B53" i="9"/>
  <c r="B90" i="9"/>
  <c r="B38" i="9"/>
  <c r="B7" i="9"/>
  <c r="B68" i="9"/>
  <c r="B61" i="9"/>
  <c r="B66" i="9"/>
  <c r="B30" i="9"/>
  <c r="B55" i="9"/>
  <c r="B14" i="9"/>
  <c r="B80" i="9"/>
  <c r="B13" i="9"/>
  <c r="B84" i="9"/>
  <c r="B63" i="9"/>
  <c r="B96" i="9"/>
  <c r="B97" i="9"/>
  <c r="B29" i="9"/>
  <c r="B102" i="9"/>
  <c r="B89" i="9"/>
  <c r="B32" i="9"/>
  <c r="B11" i="9"/>
  <c r="B103" i="9"/>
  <c r="B83" i="9"/>
  <c r="B35" i="9"/>
  <c r="B20" i="9"/>
  <c r="B6" i="9"/>
  <c r="C82" i="9"/>
  <c r="C41" i="9"/>
  <c r="C58" i="9"/>
  <c r="C99" i="9"/>
  <c r="C98" i="9"/>
  <c r="C27" i="9"/>
  <c r="C26" i="9"/>
  <c r="C16" i="9"/>
  <c r="C24" i="9"/>
  <c r="C42" i="9"/>
  <c r="C100" i="9"/>
  <c r="C101" i="9"/>
  <c r="C88" i="9"/>
  <c r="C43" i="9"/>
  <c r="C39" i="9"/>
  <c r="C9" i="9"/>
  <c r="C79" i="9"/>
  <c r="C74" i="9"/>
  <c r="C19" i="9"/>
  <c r="C18" i="9"/>
  <c r="C50" i="9"/>
  <c r="C93" i="9"/>
  <c r="C77" i="9"/>
  <c r="C78" i="9"/>
  <c r="C36" i="9"/>
  <c r="C65" i="9"/>
  <c r="C60" i="9"/>
  <c r="C45" i="9"/>
  <c r="C48" i="9"/>
  <c r="C62" i="9"/>
  <c r="C54" i="9"/>
  <c r="C34" i="9"/>
  <c r="C94" i="9"/>
  <c r="C86" i="9"/>
  <c r="C105" i="9"/>
  <c r="C23" i="9"/>
  <c r="C46" i="9"/>
  <c r="C70" i="9"/>
  <c r="C104" i="9"/>
  <c r="C51" i="9"/>
  <c r="C72" i="9"/>
  <c r="C75" i="9"/>
  <c r="C33" i="9"/>
  <c r="C91" i="9"/>
  <c r="C56" i="9"/>
  <c r="C25" i="9"/>
  <c r="C21" i="9"/>
  <c r="C85" i="9"/>
  <c r="C10" i="9"/>
  <c r="C73" i="9"/>
  <c r="C49" i="9"/>
  <c r="C67" i="9"/>
  <c r="C15" i="9"/>
  <c r="C69" i="9"/>
  <c r="C8" i="9"/>
  <c r="C71" i="9"/>
  <c r="C52" i="9"/>
  <c r="C81" i="9"/>
  <c r="C95" i="9"/>
  <c r="C87" i="9"/>
  <c r="C31" i="9"/>
  <c r="C59" i="9"/>
  <c r="C47" i="9"/>
  <c r="C40" i="9"/>
  <c r="C17" i="9"/>
  <c r="C64" i="9"/>
  <c r="C28" i="9"/>
  <c r="C12" i="9"/>
  <c r="C92" i="9"/>
  <c r="C44" i="9"/>
  <c r="C57" i="9"/>
  <c r="C22" i="9"/>
  <c r="C76" i="9"/>
  <c r="C37" i="9"/>
  <c r="C53" i="9"/>
  <c r="C90" i="9"/>
  <c r="C38" i="9"/>
  <c r="C7" i="9"/>
  <c r="C68" i="9"/>
  <c r="C61" i="9"/>
  <c r="C66" i="9"/>
  <c r="C30" i="9"/>
  <c r="C55" i="9"/>
  <c r="C14" i="9"/>
  <c r="C80" i="9"/>
  <c r="C13" i="9"/>
  <c r="C84" i="9"/>
  <c r="C63" i="9"/>
  <c r="C96" i="9"/>
  <c r="C97" i="9"/>
  <c r="C29" i="9"/>
  <c r="C102" i="9"/>
  <c r="C89" i="9"/>
  <c r="C32" i="9"/>
  <c r="C11" i="9"/>
  <c r="C103" i="9"/>
  <c r="C83" i="9"/>
  <c r="C35" i="9"/>
  <c r="C20" i="9"/>
  <c r="C6" i="9"/>
  <c r="K2" i="9"/>
  <c r="E88" i="5"/>
  <c r="I6" i="1"/>
  <c r="F6" i="4"/>
  <c r="F67" i="5"/>
  <c r="F63" i="5"/>
  <c r="F28" i="5"/>
  <c r="D10" i="1"/>
  <c r="E29" i="5"/>
  <c r="E18" i="5"/>
  <c r="E87" i="5"/>
  <c r="B76" i="4"/>
  <c r="H6" i="1"/>
  <c r="B18" i="4"/>
  <c r="G8" i="4"/>
  <c r="E70" i="5"/>
  <c r="E20" i="5"/>
  <c r="B51" i="4"/>
  <c r="G12" i="4"/>
  <c r="G9" i="4"/>
  <c r="E11" i="1"/>
  <c r="L11" i="1"/>
  <c r="H7" i="1"/>
  <c r="E40" i="5"/>
  <c r="D8" i="1"/>
  <c r="E10" i="5"/>
  <c r="F60" i="5"/>
  <c r="F7" i="1"/>
  <c r="B54" i="4"/>
  <c r="B40" i="4"/>
  <c r="B31" i="4"/>
  <c r="B109" i="4"/>
  <c r="D7" i="4"/>
  <c r="J12" i="4"/>
  <c r="L8" i="1"/>
  <c r="B37" i="4"/>
  <c r="G10" i="1"/>
  <c r="C6" i="1"/>
  <c r="E50" i="5"/>
  <c r="G8" i="1"/>
  <c r="F8" i="4"/>
  <c r="F37" i="5"/>
  <c r="G6" i="1"/>
  <c r="F16" i="5"/>
  <c r="B25" i="4"/>
  <c r="F74" i="5"/>
  <c r="F98" i="5"/>
  <c r="F7" i="5"/>
  <c r="E51" i="5"/>
  <c r="B89" i="4"/>
  <c r="B10" i="7"/>
  <c r="E12" i="5"/>
  <c r="E26" i="5"/>
  <c r="H10" i="4"/>
  <c r="D10" i="4"/>
  <c r="D12" i="1"/>
  <c r="F80" i="5"/>
  <c r="E37" i="5"/>
  <c r="E10" i="1"/>
  <c r="B57" i="4"/>
  <c r="F5" i="5"/>
  <c r="I8" i="4"/>
  <c r="E7" i="4"/>
  <c r="F27" i="5"/>
  <c r="F62" i="5"/>
  <c r="B92" i="4"/>
  <c r="I9" i="4"/>
  <c r="C12" i="1"/>
  <c r="E63" i="5"/>
  <c r="E11" i="5"/>
  <c r="E57" i="5"/>
  <c r="E68" i="5"/>
  <c r="E76" i="5"/>
  <c r="F102" i="5"/>
  <c r="F8" i="1"/>
  <c r="F94" i="5"/>
  <c r="F42" i="5"/>
  <c r="B82" i="4"/>
  <c r="B103" i="4"/>
  <c r="H7" i="4"/>
  <c r="E85" i="5"/>
  <c r="E7" i="1"/>
  <c r="B49" i="4"/>
  <c r="E16" i="5"/>
  <c r="B50" i="4"/>
  <c r="B113" i="4"/>
  <c r="F70" i="5"/>
  <c r="F43" i="5"/>
  <c r="L10" i="1"/>
  <c r="F11" i="4"/>
  <c r="L6" i="1"/>
  <c r="B94" i="4"/>
  <c r="E75" i="5"/>
  <c r="E22" i="5"/>
  <c r="F23" i="5"/>
  <c r="F41" i="5"/>
  <c r="E67" i="5"/>
  <c r="J6" i="4"/>
  <c r="E41" i="5"/>
  <c r="F24" i="5"/>
  <c r="B90" i="4"/>
  <c r="F34" i="5"/>
  <c r="E58" i="5"/>
  <c r="M7" i="1"/>
  <c r="B11" i="4"/>
  <c r="E43" i="5"/>
  <c r="B8" i="1"/>
  <c r="F83" i="5"/>
  <c r="B34" i="4"/>
  <c r="B106" i="4"/>
  <c r="E84" i="5"/>
  <c r="E14" i="5"/>
  <c r="F17" i="5"/>
  <c r="B9" i="4"/>
  <c r="E7" i="5"/>
  <c r="E47" i="5"/>
  <c r="G7" i="4"/>
  <c r="E34" i="5"/>
  <c r="H11" i="4"/>
  <c r="E25" i="5"/>
  <c r="B68" i="4"/>
  <c r="E9" i="1"/>
  <c r="E104" i="5"/>
  <c r="F10" i="1"/>
  <c r="E31" i="5"/>
  <c r="E96" i="5"/>
  <c r="B65" i="4"/>
  <c r="B8" i="4"/>
  <c r="B85" i="4"/>
  <c r="B7" i="1"/>
  <c r="B53" i="4"/>
  <c r="F26" i="5"/>
  <c r="B12" i="4"/>
  <c r="E30" i="5"/>
  <c r="E53" i="5"/>
  <c r="I9" i="1"/>
  <c r="F35" i="5"/>
  <c r="E33" i="5"/>
  <c r="E66" i="5"/>
  <c r="B55" i="4"/>
  <c r="B83" i="4"/>
  <c r="G10" i="7"/>
  <c r="B11" i="1"/>
  <c r="B20" i="4"/>
  <c r="B22" i="4"/>
  <c r="E56" i="5"/>
  <c r="E6" i="4"/>
  <c r="F65" i="5"/>
  <c r="E77" i="5"/>
  <c r="E62" i="5"/>
  <c r="H8" i="1"/>
  <c r="E71" i="5"/>
  <c r="E103" i="5"/>
  <c r="F100" i="5"/>
  <c r="B112" i="4"/>
  <c r="B111" i="4"/>
  <c r="B46" i="4"/>
  <c r="F68" i="5"/>
  <c r="H12" i="1"/>
  <c r="B36" i="4"/>
  <c r="B97" i="4"/>
  <c r="E6" i="1"/>
  <c r="B30" i="4"/>
  <c r="F7" i="4"/>
  <c r="G7" i="1"/>
  <c r="D11" i="1"/>
  <c r="B101" i="4"/>
  <c r="H9" i="1"/>
  <c r="F12" i="1"/>
  <c r="B47" i="4"/>
  <c r="C6" i="4"/>
  <c r="D10" i="7"/>
  <c r="F79" i="5"/>
  <c r="E82" i="5"/>
  <c r="F13" i="5"/>
  <c r="H12" i="4"/>
  <c r="F12" i="5"/>
  <c r="F82" i="5"/>
  <c r="E95" i="5"/>
  <c r="M11" i="1"/>
  <c r="B78" i="4"/>
  <c r="B28" i="4"/>
  <c r="H8" i="4"/>
  <c r="B6" i="4"/>
  <c r="B66" i="4"/>
  <c r="J10" i="4"/>
  <c r="E90" i="5"/>
  <c r="E94" i="5"/>
  <c r="C11" i="1"/>
  <c r="B96" i="4"/>
  <c r="E93" i="5"/>
  <c r="E12" i="1"/>
  <c r="E8" i="5"/>
  <c r="B26" i="4"/>
  <c r="F58" i="5"/>
  <c r="B7" i="4"/>
  <c r="B72" i="4"/>
  <c r="E97" i="5"/>
  <c r="F59" i="5"/>
  <c r="C9" i="1"/>
  <c r="L7" i="1"/>
  <c r="E86" i="5"/>
  <c r="B45" i="4"/>
  <c r="B77" i="4"/>
  <c r="F71" i="5"/>
  <c r="F96" i="5"/>
  <c r="E102" i="5"/>
  <c r="E28" i="5"/>
  <c r="E91" i="5"/>
  <c r="F53" i="5"/>
  <c r="E55" i="5"/>
  <c r="D7" i="1"/>
  <c r="F78" i="5"/>
  <c r="B69" i="4"/>
  <c r="F88" i="5"/>
  <c r="C10" i="7"/>
  <c r="F10" i="7"/>
  <c r="B99" i="4"/>
  <c r="M8" i="1"/>
  <c r="J11" i="4"/>
  <c r="E45" i="5"/>
  <c r="E79" i="5"/>
  <c r="E60" i="5"/>
  <c r="B9" i="1"/>
  <c r="B108" i="4"/>
  <c r="F57" i="5"/>
  <c r="F73" i="5"/>
  <c r="G11" i="4"/>
  <c r="E83" i="5"/>
  <c r="F93" i="5"/>
  <c r="B71" i="4"/>
  <c r="F12" i="4"/>
  <c r="B64" i="4"/>
  <c r="B41" i="4"/>
  <c r="F51" i="5"/>
  <c r="F9" i="4"/>
  <c r="F99" i="5"/>
  <c r="B16" i="4"/>
  <c r="G9" i="1"/>
  <c r="B59" i="4"/>
  <c r="D6" i="4"/>
  <c r="F15" i="5"/>
  <c r="F97" i="5"/>
  <c r="F86" i="5"/>
  <c r="E73" i="5"/>
  <c r="E10" i="4"/>
  <c r="F30" i="5"/>
  <c r="G11" i="1"/>
  <c r="E19" i="5"/>
  <c r="E13" i="5"/>
  <c r="F48" i="5"/>
  <c r="F52" i="5"/>
  <c r="E80" i="5"/>
  <c r="E38" i="5"/>
  <c r="I10" i="4"/>
  <c r="B73" i="4"/>
  <c r="F84" i="5"/>
  <c r="B33" i="4"/>
  <c r="I12" i="1"/>
  <c r="F32" i="5"/>
  <c r="B110" i="4"/>
  <c r="B107" i="4"/>
  <c r="B39" i="4"/>
  <c r="E72" i="5"/>
  <c r="E10" i="7"/>
  <c r="F89" i="5"/>
  <c r="B32" i="4"/>
  <c r="F81" i="5"/>
  <c r="E81" i="5"/>
  <c r="C8" i="1"/>
  <c r="B86" i="4"/>
  <c r="F44" i="5"/>
  <c r="B63" i="4"/>
  <c r="E64" i="5"/>
  <c r="B104" i="4"/>
  <c r="B75" i="4"/>
  <c r="B23" i="4"/>
  <c r="E5" i="5"/>
  <c r="B105" i="4"/>
  <c r="F8" i="5"/>
  <c r="D8" i="4"/>
  <c r="I6" i="4"/>
  <c r="F11" i="1"/>
  <c r="B19" i="4"/>
  <c r="C8" i="4"/>
  <c r="B87" i="4"/>
  <c r="G6" i="4"/>
  <c r="B42" i="4"/>
  <c r="F61" i="5"/>
  <c r="E98" i="5"/>
  <c r="F9" i="5"/>
  <c r="G12" i="1"/>
  <c r="B84" i="4"/>
  <c r="F29" i="5"/>
  <c r="B81" i="4"/>
  <c r="M12" i="1"/>
  <c r="B91" i="4"/>
  <c r="L12" i="1"/>
  <c r="F6" i="1"/>
  <c r="E61" i="5"/>
  <c r="E17" i="5"/>
  <c r="F40" i="5"/>
  <c r="F104" i="5"/>
  <c r="F46" i="5"/>
  <c r="B10" i="1"/>
  <c r="D12" i="4"/>
  <c r="F72" i="5"/>
  <c r="E101" i="5"/>
  <c r="H11" i="1"/>
  <c r="C10" i="1"/>
  <c r="F69" i="5"/>
  <c r="E78" i="5"/>
  <c r="B102" i="4"/>
  <c r="E100" i="5"/>
  <c r="E92" i="5"/>
  <c r="E15" i="5"/>
  <c r="E48" i="5"/>
  <c r="E39" i="5"/>
  <c r="I10" i="1"/>
  <c r="F10" i="5"/>
  <c r="F25" i="5"/>
  <c r="B38" i="4"/>
  <c r="L9" i="1"/>
  <c r="F75" i="5"/>
  <c r="F66" i="5"/>
  <c r="E21" i="5"/>
  <c r="M9" i="1"/>
  <c r="D9" i="4"/>
  <c r="E35" i="5"/>
  <c r="M10" i="1"/>
  <c r="F50" i="5"/>
  <c r="E46" i="5"/>
  <c r="F77" i="5"/>
  <c r="C9" i="4"/>
  <c r="B88" i="4"/>
  <c r="I11" i="4"/>
  <c r="I7" i="4"/>
  <c r="J7" i="4"/>
  <c r="B98" i="4"/>
  <c r="C11" i="4"/>
  <c r="M6" i="1"/>
  <c r="F38" i="5"/>
  <c r="B60" i="4"/>
  <c r="E23" i="5"/>
  <c r="E49" i="5"/>
  <c r="F10" i="4"/>
  <c r="B56" i="4"/>
  <c r="F85" i="5"/>
  <c r="B62" i="4"/>
  <c r="F22" i="5"/>
  <c r="F49" i="5"/>
  <c r="B15" i="4"/>
  <c r="B14" i="4"/>
  <c r="D9" i="1"/>
  <c r="B80" i="4"/>
  <c r="F6" i="5"/>
  <c r="F90" i="5"/>
  <c r="C7" i="1"/>
  <c r="C12" i="4"/>
  <c r="G10" i="4"/>
  <c r="E42" i="5"/>
  <c r="I10" i="7"/>
  <c r="B27" i="4"/>
  <c r="F64" i="5"/>
  <c r="H10" i="7"/>
  <c r="C10" i="4"/>
  <c r="H6" i="4"/>
  <c r="F11" i="5"/>
  <c r="D6" i="1"/>
  <c r="F21" i="5"/>
  <c r="E74" i="5"/>
  <c r="F9" i="1"/>
  <c r="F54" i="5"/>
  <c r="B67" i="4"/>
  <c r="E9" i="4"/>
  <c r="B100" i="4"/>
  <c r="B24" i="4"/>
  <c r="E54" i="5"/>
  <c r="I11" i="1"/>
  <c r="B70" i="4"/>
  <c r="F47" i="5"/>
  <c r="E8" i="4"/>
  <c r="F95" i="5"/>
  <c r="I8" i="1"/>
  <c r="B93" i="4"/>
  <c r="E24" i="5"/>
  <c r="E27" i="5"/>
  <c r="I7" i="1"/>
  <c r="B21" i="4"/>
  <c r="E99" i="5"/>
  <c r="E11" i="4"/>
  <c r="F101" i="5"/>
  <c r="B58" i="4"/>
  <c r="F91" i="5"/>
  <c r="E6" i="5"/>
  <c r="B6" i="1"/>
  <c r="B17" i="4"/>
  <c r="I12" i="4"/>
  <c r="F18" i="5"/>
  <c r="F56" i="5"/>
  <c r="B52" i="4"/>
  <c r="B74" i="4"/>
  <c r="F76" i="5"/>
  <c r="E12" i="4"/>
  <c r="F45" i="5"/>
  <c r="E89" i="5"/>
  <c r="B29" i="4"/>
  <c r="F39" i="5"/>
  <c r="F103" i="5"/>
  <c r="H9" i="4"/>
  <c r="E65" i="5"/>
  <c r="B61" i="4"/>
  <c r="J8" i="4"/>
  <c r="F87" i="5"/>
  <c r="E32" i="5"/>
  <c r="E9" i="5"/>
  <c r="D11" i="4"/>
  <c r="E52" i="5"/>
  <c r="E59" i="5"/>
  <c r="J9" i="4"/>
  <c r="E44" i="5"/>
  <c r="F14" i="5"/>
  <c r="F33" i="5"/>
  <c r="B12" i="1"/>
  <c r="B44" i="4"/>
  <c r="E8" i="1"/>
  <c r="F36" i="5"/>
  <c r="F55" i="5"/>
  <c r="F31" i="5"/>
  <c r="E36" i="5"/>
  <c r="H10" i="1"/>
  <c r="F19" i="5"/>
  <c r="B48" i="4"/>
  <c r="C7" i="4"/>
  <c r="B79" i="4"/>
  <c r="B10" i="4"/>
  <c r="F92" i="5"/>
  <c r="B43" i="4"/>
  <c r="B35" i="4"/>
  <c r="F20" i="5"/>
  <c r="E69" i="5"/>
  <c r="B95" i="4"/>
  <c r="J7" i="1" l="1"/>
  <c r="K9" i="1"/>
  <c r="K12" i="1"/>
  <c r="J8" i="1"/>
  <c r="K11" i="1"/>
  <c r="K8" i="1"/>
  <c r="J11" i="1"/>
  <c r="J12" i="1"/>
  <c r="J10" i="1"/>
  <c r="K10" i="1"/>
  <c r="J9" i="1"/>
  <c r="K7" i="1"/>
  <c r="K6" i="1"/>
  <c r="J6" i="1"/>
  <c r="J1" i="5"/>
  <c r="B103" i="7"/>
  <c r="D100" i="8"/>
  <c r="G23" i="7"/>
  <c r="C91" i="8"/>
  <c r="F18" i="7"/>
  <c r="B24" i="7"/>
  <c r="G40" i="7"/>
  <c r="G70" i="7"/>
  <c r="D85" i="7"/>
  <c r="G38" i="7"/>
  <c r="H110" i="7"/>
  <c r="I39" i="7"/>
  <c r="C104" i="8"/>
  <c r="F39" i="7"/>
  <c r="B67" i="7"/>
  <c r="H56" i="7"/>
  <c r="H60" i="7"/>
  <c r="E41" i="7"/>
  <c r="G69" i="7"/>
  <c r="C69" i="8"/>
  <c r="B60" i="7"/>
  <c r="B91" i="7"/>
  <c r="D82" i="8"/>
  <c r="I23" i="7"/>
  <c r="E69" i="7"/>
  <c r="D87" i="7"/>
  <c r="F58" i="7"/>
  <c r="C19" i="8"/>
  <c r="F111" i="7"/>
  <c r="C54" i="8"/>
  <c r="E49" i="7"/>
  <c r="C86" i="7"/>
  <c r="C42" i="7"/>
  <c r="C28" i="7"/>
  <c r="G87" i="7"/>
  <c r="B38" i="7"/>
  <c r="F84" i="7"/>
  <c r="G51" i="7"/>
  <c r="E70" i="7"/>
  <c r="C61" i="7"/>
  <c r="I77" i="7"/>
  <c r="D8" i="8"/>
  <c r="D44" i="7"/>
  <c r="E83" i="7"/>
  <c r="E46" i="7"/>
  <c r="I96" i="7"/>
  <c r="E101" i="7"/>
  <c r="F22" i="1"/>
  <c r="D39" i="8"/>
  <c r="D19" i="8"/>
  <c r="I62" i="7"/>
  <c r="D110" i="7"/>
  <c r="I30" i="7"/>
  <c r="F35" i="7"/>
  <c r="D106" i="8"/>
  <c r="E22" i="7"/>
  <c r="E76" i="7"/>
  <c r="G104" i="7"/>
  <c r="E17" i="7"/>
  <c r="C58" i="8"/>
  <c r="I34" i="7"/>
  <c r="D96" i="7"/>
  <c r="I24" i="7"/>
  <c r="D105" i="8"/>
  <c r="G43" i="7"/>
  <c r="D55" i="8"/>
  <c r="C98" i="8"/>
  <c r="D92" i="7"/>
  <c r="F14" i="7"/>
  <c r="D54" i="8"/>
  <c r="H15" i="7"/>
  <c r="B22" i="7"/>
  <c r="H36" i="7"/>
  <c r="D79" i="7"/>
  <c r="D49" i="7"/>
  <c r="C29" i="8"/>
  <c r="C57" i="8"/>
  <c r="D48" i="8"/>
  <c r="D37" i="8"/>
  <c r="F88" i="7"/>
  <c r="I64" i="7"/>
  <c r="C48" i="7"/>
  <c r="B42" i="7"/>
  <c r="B53" i="7"/>
  <c r="B35" i="7"/>
  <c r="H95" i="7"/>
  <c r="F106" i="7"/>
  <c r="C84" i="8"/>
  <c r="B41" i="7"/>
  <c r="H48" i="7"/>
  <c r="G82" i="7"/>
  <c r="G59" i="7"/>
  <c r="C14" i="8"/>
  <c r="C30" i="8"/>
  <c r="D29" i="8"/>
  <c r="C96" i="7"/>
  <c r="I16" i="7"/>
  <c r="F97" i="7"/>
  <c r="F32" i="7"/>
  <c r="G88" i="7"/>
  <c r="D60" i="7"/>
  <c r="G22" i="7"/>
  <c r="I26" i="7"/>
  <c r="I82" i="7"/>
  <c r="C75" i="8"/>
  <c r="E111" i="7"/>
  <c r="E36" i="7"/>
  <c r="E26" i="7"/>
  <c r="F16" i="7"/>
  <c r="I58" i="7"/>
  <c r="H24" i="7"/>
  <c r="D25" i="8"/>
  <c r="D88" i="8"/>
  <c r="G56" i="7"/>
  <c r="D72" i="8"/>
  <c r="E15" i="7"/>
  <c r="D55" i="7"/>
  <c r="F43" i="7"/>
  <c r="D54" i="7"/>
  <c r="C31" i="7"/>
  <c r="I61" i="7"/>
  <c r="G100" i="7"/>
  <c r="C30" i="7"/>
  <c r="I105" i="7"/>
  <c r="G44" i="7"/>
  <c r="I68" i="7"/>
  <c r="E86" i="7"/>
  <c r="B45" i="7"/>
  <c r="B13" i="7"/>
  <c r="C78" i="7"/>
  <c r="I106" i="7"/>
  <c r="C19" i="7"/>
  <c r="I107" i="7"/>
  <c r="G71" i="7"/>
  <c r="E60" i="7"/>
  <c r="C49" i="7"/>
  <c r="E109" i="7"/>
  <c r="D42" i="7"/>
  <c r="E96" i="7"/>
  <c r="F80" i="7"/>
  <c r="D94" i="8"/>
  <c r="F22" i="7"/>
  <c r="G86" i="7"/>
  <c r="G28" i="7"/>
  <c r="B52" i="7"/>
  <c r="F74" i="7"/>
  <c r="C55" i="8"/>
  <c r="D52" i="7"/>
  <c r="C16" i="4"/>
  <c r="D81" i="8"/>
  <c r="G94" i="7"/>
  <c r="D60" i="8"/>
  <c r="D83" i="7"/>
  <c r="E50" i="7"/>
  <c r="E88" i="7"/>
  <c r="F15" i="7"/>
  <c r="F82" i="7"/>
  <c r="C21" i="7"/>
  <c r="F57" i="7"/>
  <c r="I76" i="7"/>
  <c r="G49" i="7"/>
  <c r="I31" i="7"/>
  <c r="C62" i="8"/>
  <c r="C86" i="8"/>
  <c r="C102" i="8"/>
  <c r="D26" i="7"/>
  <c r="D80" i="8"/>
  <c r="D37" i="7"/>
  <c r="D21" i="7"/>
  <c r="E58" i="7"/>
  <c r="I53" i="7"/>
  <c r="D10" i="8"/>
  <c r="B101" i="7"/>
  <c r="B99" i="7"/>
  <c r="D93" i="8"/>
  <c r="G50" i="7"/>
  <c r="B78" i="7"/>
  <c r="C24" i="7"/>
  <c r="C66" i="8"/>
  <c r="D49" i="8"/>
  <c r="C101" i="8"/>
  <c r="I98" i="7"/>
  <c r="B95" i="7"/>
  <c r="I32" i="7"/>
  <c r="B98" i="7"/>
  <c r="C74" i="8"/>
  <c r="G48" i="7"/>
  <c r="C105" i="7"/>
  <c r="I110" i="7"/>
  <c r="C48" i="8"/>
  <c r="C81" i="8"/>
  <c r="F78" i="7"/>
  <c r="D58" i="7"/>
  <c r="C12" i="8"/>
  <c r="C23" i="7"/>
  <c r="G32" i="7"/>
  <c r="I25" i="7"/>
  <c r="C101" i="7"/>
  <c r="H63" i="7"/>
  <c r="B66" i="7"/>
  <c r="I79" i="7"/>
  <c r="I83" i="7"/>
  <c r="E91" i="7"/>
  <c r="E44" i="7"/>
  <c r="H68" i="7"/>
  <c r="C26" i="8"/>
  <c r="E73" i="7"/>
  <c r="D39" i="7"/>
  <c r="I69" i="7"/>
  <c r="F53" i="7"/>
  <c r="D40" i="7"/>
  <c r="H92" i="7"/>
  <c r="H97" i="7"/>
  <c r="C106" i="7"/>
  <c r="C111" i="7"/>
  <c r="E47" i="7"/>
  <c r="H16" i="7"/>
  <c r="D56" i="8"/>
  <c r="H90" i="7"/>
  <c r="B18" i="7"/>
  <c r="B17" i="7"/>
  <c r="B90" i="7"/>
  <c r="H64" i="7"/>
  <c r="C26" i="7"/>
  <c r="H16" i="4"/>
  <c r="D34" i="7"/>
  <c r="D12" i="8"/>
  <c r="F13" i="7"/>
  <c r="F64" i="7"/>
  <c r="I85" i="7"/>
  <c r="C33" i="7"/>
  <c r="G63" i="7"/>
  <c r="D97" i="7"/>
  <c r="C22" i="7"/>
  <c r="B34" i="7"/>
  <c r="H107" i="7"/>
  <c r="E108" i="7"/>
  <c r="E61" i="7"/>
  <c r="F101" i="7"/>
  <c r="C17" i="7"/>
  <c r="I86" i="7"/>
  <c r="B77" i="7"/>
  <c r="C95" i="7"/>
  <c r="B109" i="7"/>
  <c r="D28" i="7"/>
  <c r="B49" i="7"/>
  <c r="C73" i="8"/>
  <c r="C40" i="8"/>
  <c r="C109" i="7"/>
  <c r="I92" i="7"/>
  <c r="C99" i="8"/>
  <c r="I44" i="7"/>
  <c r="B64" i="7"/>
  <c r="G33" i="7"/>
  <c r="E80" i="7"/>
  <c r="F47" i="7"/>
  <c r="C87" i="7"/>
  <c r="F44" i="7"/>
  <c r="D35" i="7"/>
  <c r="H72" i="7"/>
  <c r="B29" i="7"/>
  <c r="F69" i="7"/>
  <c r="C103" i="8"/>
  <c r="B19" i="7"/>
  <c r="G102" i="7"/>
  <c r="D58" i="8"/>
  <c r="E93" i="7"/>
  <c r="C85" i="7"/>
  <c r="D112" i="7"/>
  <c r="C27" i="8"/>
  <c r="E100" i="7"/>
  <c r="H99" i="7"/>
  <c r="G97" i="7"/>
  <c r="D61" i="7"/>
  <c r="D66" i="7"/>
  <c r="G35" i="7"/>
  <c r="B47" i="7"/>
  <c r="E74" i="7"/>
  <c r="C96" i="8"/>
  <c r="H38" i="7"/>
  <c r="H30" i="7"/>
  <c r="D57" i="8"/>
  <c r="B81" i="7"/>
  <c r="C21" i="8"/>
  <c r="F20" i="1"/>
  <c r="C28" i="8"/>
  <c r="F100" i="7"/>
  <c r="E23" i="7"/>
  <c r="D24" i="7"/>
  <c r="I35" i="7"/>
  <c r="B50" i="7"/>
  <c r="B61" i="7"/>
  <c r="H37" i="7"/>
  <c r="G15" i="7"/>
  <c r="C89" i="8"/>
  <c r="D38" i="8"/>
  <c r="F54" i="7"/>
  <c r="D15" i="7"/>
  <c r="C94" i="8"/>
  <c r="F16" i="4"/>
  <c r="I21" i="7"/>
  <c r="G64" i="7"/>
  <c r="I20" i="7"/>
  <c r="C38" i="8"/>
  <c r="D69" i="8"/>
  <c r="D65" i="7"/>
  <c r="E18" i="7"/>
  <c r="I71" i="7"/>
  <c r="H81" i="7"/>
  <c r="I66" i="7"/>
  <c r="C53" i="7"/>
  <c r="B31" i="7"/>
  <c r="B26" i="7"/>
  <c r="B93" i="7"/>
  <c r="E52" i="7"/>
  <c r="F33" i="7"/>
  <c r="I18" i="7"/>
  <c r="H112" i="7"/>
  <c r="E67" i="7"/>
  <c r="G108" i="7"/>
  <c r="C17" i="8"/>
  <c r="E84" i="7"/>
  <c r="C50" i="7"/>
  <c r="F41" i="7"/>
  <c r="D93" i="7"/>
  <c r="B112" i="7"/>
  <c r="C68" i="8"/>
  <c r="G31" i="7"/>
  <c r="D77" i="8"/>
  <c r="G53" i="7"/>
  <c r="H14" i="7"/>
  <c r="H49" i="7"/>
  <c r="G17" i="7"/>
  <c r="B30" i="7"/>
  <c r="D24" i="8"/>
  <c r="D45" i="8"/>
  <c r="H39" i="7"/>
  <c r="F103" i="7"/>
  <c r="E40" i="7"/>
  <c r="F19" i="1"/>
  <c r="H59" i="7"/>
  <c r="H35" i="7"/>
  <c r="C47" i="7"/>
  <c r="D59" i="8"/>
  <c r="H101" i="7"/>
  <c r="C70" i="8"/>
  <c r="C73" i="7"/>
  <c r="I19" i="7"/>
  <c r="I78" i="7"/>
  <c r="C97" i="8"/>
  <c r="C43" i="7"/>
  <c r="E90" i="7"/>
  <c r="C52" i="8"/>
  <c r="F90" i="7"/>
  <c r="H52" i="7"/>
  <c r="B111" i="7"/>
  <c r="D47" i="7"/>
  <c r="C14" i="7"/>
  <c r="B97" i="7"/>
  <c r="C25" i="7"/>
  <c r="D78" i="7"/>
  <c r="D38" i="7"/>
  <c r="C38" i="7"/>
  <c r="G73" i="7"/>
  <c r="C64" i="7"/>
  <c r="D71" i="7"/>
  <c r="F79" i="7"/>
  <c r="D33" i="7"/>
  <c r="C87" i="8"/>
  <c r="C9" i="8"/>
  <c r="I74" i="7"/>
  <c r="B56" i="7"/>
  <c r="C64" i="8"/>
  <c r="H32" i="7"/>
  <c r="I56" i="7"/>
  <c r="B46" i="7"/>
  <c r="H28" i="7"/>
  <c r="G14" i="7"/>
  <c r="F77" i="7"/>
  <c r="H80" i="7"/>
  <c r="E45" i="7"/>
  <c r="D18" i="8"/>
  <c r="E39" i="7"/>
  <c r="C72" i="7"/>
  <c r="E30" i="7"/>
  <c r="H40" i="7"/>
  <c r="D30" i="8"/>
  <c r="C13" i="8"/>
  <c r="I22" i="7"/>
  <c r="B100" i="7"/>
  <c r="H51" i="7"/>
  <c r="I109" i="7"/>
  <c r="E20" i="7"/>
  <c r="F29" i="7"/>
  <c r="B39" i="7"/>
  <c r="D22" i="8"/>
  <c r="G95" i="7"/>
  <c r="G106" i="7"/>
  <c r="B110" i="7"/>
  <c r="B54" i="7"/>
  <c r="E94" i="7"/>
  <c r="E107" i="7"/>
  <c r="C92" i="8"/>
  <c r="G26" i="7"/>
  <c r="I40" i="7"/>
  <c r="H25" i="7"/>
  <c r="H77" i="7"/>
  <c r="B102" i="7"/>
  <c r="G85" i="7"/>
  <c r="G42" i="7"/>
  <c r="D104" i="7"/>
  <c r="G47" i="7"/>
  <c r="D89" i="7"/>
  <c r="F89" i="7"/>
  <c r="D31" i="7"/>
  <c r="I49" i="7"/>
  <c r="I16" i="4"/>
  <c r="B108" i="7"/>
  <c r="D36" i="7"/>
  <c r="D13" i="8"/>
  <c r="B68" i="7"/>
  <c r="C46" i="8"/>
  <c r="I63" i="7"/>
  <c r="C92" i="7"/>
  <c r="H50" i="7"/>
  <c r="H109" i="7"/>
  <c r="E33" i="7"/>
  <c r="G19" i="7"/>
  <c r="H71" i="7"/>
  <c r="I13" i="7"/>
  <c r="E97" i="7"/>
  <c r="D75" i="7"/>
  <c r="C76" i="7"/>
  <c r="H96" i="7"/>
  <c r="D102" i="7"/>
  <c r="E13" i="7"/>
  <c r="C110" i="7"/>
  <c r="I29" i="7"/>
  <c r="H26" i="7"/>
  <c r="D31" i="8"/>
  <c r="E104" i="7"/>
  <c r="D72" i="7"/>
  <c r="C32" i="8"/>
  <c r="G110" i="7"/>
  <c r="H76" i="7"/>
  <c r="D30" i="7"/>
  <c r="E102" i="7"/>
  <c r="C22" i="8"/>
  <c r="C81" i="7"/>
  <c r="C39" i="8"/>
  <c r="B82" i="7"/>
  <c r="D83" i="8"/>
  <c r="E24" i="7"/>
  <c r="I15" i="7"/>
  <c r="D67" i="8"/>
  <c r="F73" i="7"/>
  <c r="B65" i="7"/>
  <c r="I100" i="7"/>
  <c r="F48" i="7"/>
  <c r="D96" i="8"/>
  <c r="D67" i="7"/>
  <c r="D19" i="7"/>
  <c r="C33" i="8"/>
  <c r="C75" i="7"/>
  <c r="C45" i="8"/>
  <c r="H111" i="7"/>
  <c r="F70" i="7"/>
  <c r="D50" i="8"/>
  <c r="C93" i="7"/>
  <c r="H93" i="7"/>
  <c r="F18" i="1"/>
  <c r="G77" i="7"/>
  <c r="C66" i="7"/>
  <c r="H75" i="7"/>
  <c r="D84" i="7"/>
  <c r="H20" i="7"/>
  <c r="C11" i="8"/>
  <c r="D95" i="8"/>
  <c r="C88" i="7"/>
  <c r="D52" i="8"/>
  <c r="D71" i="8"/>
  <c r="C78" i="8"/>
  <c r="C52" i="7"/>
  <c r="F108" i="7"/>
  <c r="H102" i="7"/>
  <c r="B83" i="7"/>
  <c r="E38" i="7"/>
  <c r="D41" i="8"/>
  <c r="F25" i="7"/>
  <c r="F45" i="7"/>
  <c r="D20" i="8"/>
  <c r="C91" i="7"/>
  <c r="I87" i="7"/>
  <c r="F23" i="7"/>
  <c r="I101" i="7"/>
  <c r="C98" i="7"/>
  <c r="E98" i="7"/>
  <c r="D64" i="7"/>
  <c r="B27" i="7"/>
  <c r="B40" i="7"/>
  <c r="C53" i="8"/>
  <c r="D107" i="7"/>
  <c r="F14" i="1"/>
  <c r="I28" i="7"/>
  <c r="C42" i="8"/>
  <c r="F85" i="7"/>
  <c r="C63" i="7"/>
  <c r="H57" i="7"/>
  <c r="F71" i="7"/>
  <c r="F81" i="7"/>
  <c r="I54" i="7"/>
  <c r="F112" i="7"/>
  <c r="G84" i="7"/>
  <c r="G109" i="7"/>
  <c r="D35" i="8"/>
  <c r="F59" i="7"/>
  <c r="D15" i="8"/>
  <c r="D43" i="8"/>
  <c r="D65" i="8"/>
  <c r="C57" i="7"/>
  <c r="C77" i="7"/>
  <c r="D59" i="7"/>
  <c r="E31" i="7"/>
  <c r="F86" i="7"/>
  <c r="D57" i="7"/>
  <c r="C16" i="7"/>
  <c r="F40" i="7"/>
  <c r="C23" i="8"/>
  <c r="H47" i="7"/>
  <c r="F24" i="7"/>
  <c r="C44" i="8"/>
  <c r="I103" i="7"/>
  <c r="B106" i="7"/>
  <c r="D63" i="7"/>
  <c r="I73" i="7"/>
  <c r="D102" i="8"/>
  <c r="D109" i="7"/>
  <c r="C108" i="7"/>
  <c r="E16" i="4"/>
  <c r="D53" i="7"/>
  <c r="C37" i="8"/>
  <c r="C97" i="7"/>
  <c r="D33" i="8"/>
  <c r="I51" i="7"/>
  <c r="H55" i="7"/>
  <c r="F96" i="7"/>
  <c r="D90" i="7"/>
  <c r="G21" i="7"/>
  <c r="H100" i="7"/>
  <c r="G112" i="7"/>
  <c r="H87" i="7"/>
  <c r="D74" i="7"/>
  <c r="C43" i="8"/>
  <c r="C55" i="7"/>
  <c r="F28" i="7"/>
  <c r="C107" i="7"/>
  <c r="G52" i="7"/>
  <c r="H65" i="7"/>
  <c r="H67" i="7"/>
  <c r="B55" i="7"/>
  <c r="C74" i="7"/>
  <c r="C77" i="8"/>
  <c r="C60" i="8"/>
  <c r="D28" i="8"/>
  <c r="D106" i="7"/>
  <c r="D22" i="7"/>
  <c r="I91" i="7"/>
  <c r="B92" i="7"/>
  <c r="H106" i="7"/>
  <c r="C67" i="7"/>
  <c r="E110" i="7"/>
  <c r="E42" i="7"/>
  <c r="E34" i="7"/>
  <c r="B85" i="7"/>
  <c r="C36" i="7"/>
  <c r="D104" i="8"/>
  <c r="D69" i="7"/>
  <c r="G66" i="7"/>
  <c r="D108" i="7"/>
  <c r="H18" i="7"/>
  <c r="D70" i="7"/>
  <c r="D53" i="8"/>
  <c r="F94" i="7"/>
  <c r="D27" i="7"/>
  <c r="C45" i="7"/>
  <c r="F98" i="7"/>
  <c r="D34" i="8"/>
  <c r="G37" i="7"/>
  <c r="F36" i="7"/>
  <c r="G24" i="7"/>
  <c r="H29" i="7"/>
  <c r="C61" i="8"/>
  <c r="G78" i="7"/>
  <c r="F17" i="1"/>
  <c r="E71" i="7"/>
  <c r="D56" i="7"/>
  <c r="B16" i="7"/>
  <c r="D45" i="7"/>
  <c r="E57" i="7"/>
  <c r="F49" i="7"/>
  <c r="I94" i="7"/>
  <c r="D40" i="8"/>
  <c r="H21" i="7"/>
  <c r="C94" i="7"/>
  <c r="C15" i="7"/>
  <c r="G57" i="7"/>
  <c r="C44" i="7"/>
  <c r="D75" i="8"/>
  <c r="D44" i="8"/>
  <c r="H78" i="7"/>
  <c r="D51" i="7"/>
  <c r="G111" i="7"/>
  <c r="E106" i="7"/>
  <c r="E68" i="7"/>
  <c r="C59" i="8"/>
  <c r="D68" i="8"/>
  <c r="B72" i="7"/>
  <c r="F27" i="7"/>
  <c r="B73" i="7"/>
  <c r="C90" i="8"/>
  <c r="D103" i="7"/>
  <c r="D62" i="7"/>
  <c r="I80" i="7"/>
  <c r="F107" i="7"/>
  <c r="F42" i="7"/>
  <c r="C69" i="7"/>
  <c r="G54" i="7"/>
  <c r="F63" i="7"/>
  <c r="E95" i="7"/>
  <c r="H23" i="7"/>
  <c r="G61" i="7"/>
  <c r="I81" i="7"/>
  <c r="H108" i="7"/>
  <c r="H83" i="7"/>
  <c r="F91" i="7"/>
  <c r="E82" i="7"/>
  <c r="F65" i="7"/>
  <c r="C85" i="8"/>
  <c r="D84" i="8"/>
  <c r="C49" i="8"/>
  <c r="D73" i="7"/>
  <c r="B25" i="7"/>
  <c r="C56" i="7"/>
  <c r="C80" i="8"/>
  <c r="G92" i="7"/>
  <c r="B89" i="7"/>
  <c r="B59" i="7"/>
  <c r="F20" i="7"/>
  <c r="F34" i="7"/>
  <c r="D17" i="8"/>
  <c r="C32" i="7"/>
  <c r="H70" i="7"/>
  <c r="I45" i="7"/>
  <c r="D74" i="8"/>
  <c r="E27" i="7"/>
  <c r="G29" i="7"/>
  <c r="D87" i="8"/>
  <c r="I112" i="7"/>
  <c r="E25" i="7"/>
  <c r="G81" i="7"/>
  <c r="E35" i="7"/>
  <c r="C70" i="7"/>
  <c r="C89" i="7"/>
  <c r="F105" i="7"/>
  <c r="D95" i="7"/>
  <c r="H82" i="7"/>
  <c r="D16" i="4"/>
  <c r="C18" i="7"/>
  <c r="B84" i="7"/>
  <c r="I59" i="7"/>
  <c r="G16" i="7"/>
  <c r="E103" i="7"/>
  <c r="G55" i="7"/>
  <c r="D61" i="8"/>
  <c r="E105" i="7"/>
  <c r="D63" i="8"/>
  <c r="D80" i="7"/>
  <c r="B28" i="7"/>
  <c r="I70" i="7"/>
  <c r="D99" i="8"/>
  <c r="D64" i="8"/>
  <c r="C67" i="8"/>
  <c r="E37" i="7"/>
  <c r="C41" i="8"/>
  <c r="B96" i="7"/>
  <c r="G18" i="7"/>
  <c r="C65" i="7"/>
  <c r="H86" i="7"/>
  <c r="D18" i="7"/>
  <c r="E79" i="7"/>
  <c r="I99" i="7"/>
  <c r="I93" i="7"/>
  <c r="D77" i="7"/>
  <c r="C68" i="7"/>
  <c r="D94" i="7"/>
  <c r="B94" i="7"/>
  <c r="D99" i="7"/>
  <c r="H69" i="7"/>
  <c r="C104" i="7"/>
  <c r="D43" i="7"/>
  <c r="F92" i="7"/>
  <c r="F51" i="7"/>
  <c r="E55" i="7"/>
  <c r="G98" i="7"/>
  <c r="G89" i="7"/>
  <c r="F50" i="7"/>
  <c r="D91" i="8"/>
  <c r="H17" i="7"/>
  <c r="G93" i="7"/>
  <c r="H13" i="7"/>
  <c r="D91" i="7"/>
  <c r="D50" i="7"/>
  <c r="G67" i="7"/>
  <c r="B51" i="7"/>
  <c r="G45" i="7"/>
  <c r="D88" i="7"/>
  <c r="C56" i="8"/>
  <c r="D86" i="7"/>
  <c r="D105" i="7"/>
  <c r="F109" i="7"/>
  <c r="D14" i="7"/>
  <c r="D16" i="7"/>
  <c r="D90" i="8"/>
  <c r="D11" i="8"/>
  <c r="E53" i="7"/>
  <c r="F99" i="7"/>
  <c r="I60" i="7"/>
  <c r="F76" i="7"/>
  <c r="C41" i="7"/>
  <c r="C27" i="7"/>
  <c r="H84" i="7"/>
  <c r="D111" i="7"/>
  <c r="D70" i="8"/>
  <c r="D29" i="7"/>
  <c r="H89" i="7"/>
  <c r="E16" i="7"/>
  <c r="H43" i="7"/>
  <c r="I88" i="7"/>
  <c r="H45" i="7"/>
  <c r="I89" i="7"/>
  <c r="G41" i="7"/>
  <c r="H103" i="7"/>
  <c r="F67" i="7"/>
  <c r="F46" i="7"/>
  <c r="C72" i="8"/>
  <c r="H41" i="7"/>
  <c r="E78" i="7"/>
  <c r="C10" i="8"/>
  <c r="I33" i="7"/>
  <c r="C79" i="8"/>
  <c r="H34" i="7"/>
  <c r="C59" i="7"/>
  <c r="D79" i="8"/>
  <c r="J16" i="4"/>
  <c r="I108" i="7"/>
  <c r="E64" i="7"/>
  <c r="D78" i="8"/>
  <c r="F62" i="7"/>
  <c r="B14" i="7"/>
  <c r="G101" i="7"/>
  <c r="C29" i="7"/>
  <c r="I72" i="7"/>
  <c r="F83" i="7"/>
  <c r="C79" i="7"/>
  <c r="B62" i="7"/>
  <c r="C13" i="7"/>
  <c r="D16" i="8"/>
  <c r="B86" i="7"/>
  <c r="F93" i="7"/>
  <c r="H27" i="7"/>
  <c r="C54" i="7"/>
  <c r="G34" i="7"/>
  <c r="D13" i="7"/>
  <c r="D92" i="8"/>
  <c r="B79" i="7"/>
  <c r="D68" i="7"/>
  <c r="C82" i="7"/>
  <c r="F75" i="7"/>
  <c r="E51" i="7"/>
  <c r="G103" i="7"/>
  <c r="E112" i="7"/>
  <c r="D103" i="8"/>
  <c r="H88" i="7"/>
  <c r="E54" i="7"/>
  <c r="D36" i="8"/>
  <c r="D81" i="7"/>
  <c r="E66" i="7"/>
  <c r="C35" i="7"/>
  <c r="I37" i="7"/>
  <c r="E87" i="7"/>
  <c r="B58" i="7"/>
  <c r="E48" i="7"/>
  <c r="G58" i="7"/>
  <c r="D23" i="8"/>
  <c r="F56" i="7"/>
  <c r="B71" i="7"/>
  <c r="G96" i="7"/>
  <c r="C15" i="8"/>
  <c r="G91" i="7"/>
  <c r="G79" i="7"/>
  <c r="F66" i="7"/>
  <c r="G105" i="7"/>
  <c r="E85" i="7"/>
  <c r="B63" i="7"/>
  <c r="B69" i="7"/>
  <c r="F55" i="7"/>
  <c r="F26" i="7"/>
  <c r="D25" i="7"/>
  <c r="E81" i="7"/>
  <c r="F38" i="7"/>
  <c r="D21" i="8"/>
  <c r="C71" i="7"/>
  <c r="D14" i="8"/>
  <c r="G62" i="7"/>
  <c r="I104" i="7"/>
  <c r="C88" i="8"/>
  <c r="I36" i="7"/>
  <c r="F104" i="7"/>
  <c r="G16" i="4"/>
  <c r="G39" i="7"/>
  <c r="C82" i="8"/>
  <c r="C100" i="7"/>
  <c r="E56" i="7"/>
  <c r="D47" i="8"/>
  <c r="B87" i="7"/>
  <c r="C63" i="8"/>
  <c r="D101" i="7"/>
  <c r="C39" i="7"/>
  <c r="H19" i="7"/>
  <c r="D23" i="7"/>
  <c r="B21" i="7"/>
  <c r="H22" i="7"/>
  <c r="I43" i="7"/>
  <c r="C84" i="7"/>
  <c r="F17" i="7"/>
  <c r="E65" i="7"/>
  <c r="C83" i="7"/>
  <c r="B105" i="7"/>
  <c r="D46" i="8"/>
  <c r="C102" i="7"/>
  <c r="D26" i="8"/>
  <c r="F102" i="7"/>
  <c r="C8" i="8"/>
  <c r="C65" i="8"/>
  <c r="G76" i="7"/>
  <c r="C51" i="7"/>
  <c r="F30" i="7"/>
  <c r="H54" i="7"/>
  <c r="C51" i="8"/>
  <c r="H61" i="7"/>
  <c r="C100" i="8"/>
  <c r="C40" i="7"/>
  <c r="B20" i="7"/>
  <c r="D89" i="8"/>
  <c r="E32" i="7"/>
  <c r="G83" i="7"/>
  <c r="D41" i="7"/>
  <c r="B37" i="7"/>
  <c r="I57" i="7"/>
  <c r="C76" i="8"/>
  <c r="F52" i="7"/>
  <c r="C20" i="7"/>
  <c r="G65" i="7"/>
  <c r="I102" i="7"/>
  <c r="I90" i="7"/>
  <c r="D98" i="7"/>
  <c r="E89" i="7"/>
  <c r="B104" i="7"/>
  <c r="D48" i="7"/>
  <c r="G13" i="7"/>
  <c r="E72" i="7"/>
  <c r="G60" i="7"/>
  <c r="C60" i="7"/>
  <c r="G46" i="7"/>
  <c r="F95" i="7"/>
  <c r="B44" i="7"/>
  <c r="E62" i="7"/>
  <c r="B76" i="7"/>
  <c r="E14" i="7"/>
  <c r="D86" i="8"/>
  <c r="F72" i="7"/>
  <c r="I95" i="7"/>
  <c r="I97" i="7"/>
  <c r="I27" i="7"/>
  <c r="E21" i="7"/>
  <c r="D73" i="8"/>
  <c r="I67" i="7"/>
  <c r="H74" i="7"/>
  <c r="H53" i="7"/>
  <c r="D100" i="7"/>
  <c r="C24" i="8"/>
  <c r="C18" i="8"/>
  <c r="C16" i="8"/>
  <c r="D9" i="8"/>
  <c r="G75" i="7"/>
  <c r="I42" i="7"/>
  <c r="F87" i="7"/>
  <c r="H98" i="7"/>
  <c r="G30" i="7"/>
  <c r="C47" i="8"/>
  <c r="C80" i="7"/>
  <c r="C83" i="8"/>
  <c r="I65" i="7"/>
  <c r="I38" i="7"/>
  <c r="D42" i="8"/>
  <c r="D27" i="8"/>
  <c r="G80" i="7"/>
  <c r="H79" i="7"/>
  <c r="I41" i="7"/>
  <c r="E75" i="7"/>
  <c r="G68" i="7"/>
  <c r="D85" i="8"/>
  <c r="I50" i="7"/>
  <c r="F61" i="7"/>
  <c r="G36" i="7"/>
  <c r="E63" i="7"/>
  <c r="F19" i="7"/>
  <c r="I75" i="7"/>
  <c r="D98" i="8"/>
  <c r="B57" i="7"/>
  <c r="C99" i="7"/>
  <c r="B32" i="7"/>
  <c r="E19" i="7"/>
  <c r="H42" i="7"/>
  <c r="D7" i="8"/>
  <c r="D32" i="7"/>
  <c r="C35" i="8"/>
  <c r="I14" i="7"/>
  <c r="D76" i="7"/>
  <c r="F21" i="7"/>
  <c r="C7" i="8"/>
  <c r="I46" i="7"/>
  <c r="C106" i="8"/>
  <c r="B36" i="7"/>
  <c r="C34" i="7"/>
  <c r="I52" i="7"/>
  <c r="B48" i="7"/>
  <c r="E43" i="7"/>
  <c r="H62" i="7"/>
  <c r="F110" i="7"/>
  <c r="G20" i="7"/>
  <c r="D97" i="8"/>
  <c r="H66" i="7"/>
  <c r="I55" i="7"/>
  <c r="H58" i="7"/>
  <c r="F68" i="7"/>
  <c r="C58" i="7"/>
  <c r="B70" i="7"/>
  <c r="C90" i="7"/>
  <c r="C20" i="8"/>
  <c r="C46" i="7"/>
  <c r="C50" i="8"/>
  <c r="I17" i="7"/>
  <c r="F60" i="7"/>
  <c r="D101" i="8"/>
  <c r="D66" i="8"/>
  <c r="I47" i="7"/>
  <c r="C62" i="7"/>
  <c r="I84" i="7"/>
  <c r="C31" i="8"/>
  <c r="E99" i="7"/>
  <c r="G25" i="7"/>
  <c r="C34" i="8"/>
  <c r="B15" i="7"/>
  <c r="B74" i="7"/>
  <c r="D20" i="7"/>
  <c r="E77" i="7"/>
  <c r="C93" i="8"/>
  <c r="C25" i="8"/>
  <c r="F37" i="7"/>
  <c r="I111" i="7"/>
  <c r="C95" i="8"/>
  <c r="I48" i="7"/>
  <c r="C105" i="8"/>
  <c r="E29" i="7"/>
  <c r="B107" i="7"/>
  <c r="B23" i="7"/>
  <c r="D76" i="8"/>
  <c r="H44" i="7"/>
  <c r="H94" i="7"/>
  <c r="H31" i="7"/>
  <c r="B33" i="7"/>
  <c r="B43" i="7"/>
  <c r="H85" i="7"/>
  <c r="H104" i="7"/>
  <c r="C71" i="8"/>
  <c r="G27" i="7"/>
  <c r="D17" i="7"/>
  <c r="D46" i="7"/>
  <c r="C112" i="7"/>
  <c r="G99" i="7"/>
  <c r="H73" i="7"/>
  <c r="H33" i="7"/>
  <c r="G90" i="7"/>
  <c r="C37" i="7"/>
  <c r="D32" i="8"/>
  <c r="H91" i="7"/>
  <c r="H46" i="7"/>
  <c r="E28" i="7"/>
  <c r="G72" i="7"/>
  <c r="C103" i="7"/>
  <c r="B88" i="7"/>
  <c r="D51" i="8"/>
  <c r="E92" i="7"/>
  <c r="E59" i="7"/>
  <c r="D82" i="7"/>
  <c r="F31" i="7"/>
  <c r="G107" i="7"/>
  <c r="H105" i="7"/>
  <c r="B80" i="7"/>
  <c r="G74" i="7"/>
  <c r="B75" i="7"/>
  <c r="D62" i="8"/>
  <c r="C36" i="8"/>
  <c r="E7" i="8" l="1"/>
  <c r="E25" i="8"/>
  <c r="E45" i="8"/>
  <c r="E76" i="8"/>
  <c r="E16" i="8"/>
  <c r="E8" i="8"/>
  <c r="E11" i="8"/>
  <c r="E103" i="8"/>
  <c r="E12" i="8"/>
  <c r="E71" i="8"/>
  <c r="E77" i="8"/>
  <c r="E89" i="8"/>
  <c r="E27" i="8"/>
  <c r="E102" i="8"/>
  <c r="E86" i="8"/>
  <c r="E14" i="8"/>
  <c r="E61" i="8"/>
  <c r="E54" i="8"/>
  <c r="E22" i="8"/>
  <c r="E20" i="8"/>
  <c r="E29" i="8"/>
  <c r="E38" i="8"/>
  <c r="E23" i="8"/>
  <c r="E105" i="8"/>
  <c r="E87" i="8"/>
  <c r="E85" i="8"/>
  <c r="E53" i="8"/>
  <c r="E93" i="8"/>
  <c r="E100" i="8"/>
  <c r="E10" i="8"/>
  <c r="E35" i="8"/>
  <c r="E75" i="8"/>
  <c r="E48" i="8"/>
  <c r="E67" i="8"/>
  <c r="E51" i="8"/>
  <c r="E47" i="8"/>
  <c r="E19" i="8"/>
  <c r="E57" i="8"/>
  <c r="E92" i="8"/>
  <c r="E15" i="8"/>
  <c r="E59" i="8"/>
  <c r="E101" i="8"/>
  <c r="E46" i="8"/>
  <c r="E62" i="8"/>
  <c r="E84" i="8"/>
  <c r="E52" i="8"/>
  <c r="E36" i="8"/>
  <c r="E98" i="8"/>
  <c r="E82" i="8"/>
  <c r="E66" i="8"/>
  <c r="E50" i="8"/>
  <c r="E68" i="8"/>
  <c r="E18" i="8"/>
  <c r="E13" i="8"/>
  <c r="E97" i="8"/>
  <c r="E81" i="8"/>
  <c r="E106" i="8"/>
  <c r="E9" i="8"/>
  <c r="E33" i="8"/>
  <c r="E17" i="8"/>
  <c r="E96" i="8"/>
  <c r="E80" i="8"/>
  <c r="E64" i="8"/>
  <c r="E28" i="8"/>
  <c r="E69" i="8"/>
  <c r="E78" i="8"/>
  <c r="E95" i="8"/>
  <c r="E39" i="8"/>
  <c r="E63" i="8"/>
  <c r="E49" i="8"/>
  <c r="E31" i="8"/>
  <c r="E70" i="8"/>
  <c r="E43" i="8"/>
  <c r="E32" i="8"/>
  <c r="E73" i="8"/>
  <c r="E72" i="8"/>
  <c r="E30" i="8"/>
  <c r="E34" i="8"/>
  <c r="E90" i="8"/>
  <c r="E99" i="8"/>
  <c r="E94" i="8"/>
  <c r="E74" i="8"/>
  <c r="E58" i="8"/>
  <c r="E42" i="8"/>
  <c r="E21" i="8"/>
  <c r="E55" i="8"/>
  <c r="E37" i="8"/>
  <c r="E83" i="8"/>
  <c r="E91" i="8"/>
  <c r="E60" i="8"/>
  <c r="E40" i="8"/>
  <c r="E26" i="8"/>
  <c r="E41" i="8"/>
  <c r="E104" i="8"/>
  <c r="E88" i="8"/>
  <c r="E65" i="8"/>
  <c r="E56" i="8"/>
  <c r="E79" i="8"/>
  <c r="E24" i="8"/>
  <c r="E44" i="8"/>
  <c r="J1" i="4"/>
  <c r="I1" i="7"/>
  <c r="M1" i="1"/>
  <c r="D74" i="5"/>
  <c r="D103" i="5"/>
  <c r="E18" i="1"/>
  <c r="C74" i="1"/>
  <c r="C32" i="5"/>
  <c r="H98" i="4"/>
  <c r="G79" i="1"/>
  <c r="D93" i="5"/>
  <c r="H83" i="1"/>
  <c r="L24" i="1"/>
  <c r="J101" i="5"/>
  <c r="C59" i="5"/>
  <c r="G24" i="4"/>
  <c r="F33" i="4"/>
  <c r="E35" i="4"/>
  <c r="D18" i="1"/>
  <c r="D68" i="5"/>
  <c r="G8" i="7"/>
  <c r="F14" i="4"/>
  <c r="H48" i="1"/>
  <c r="C81" i="5"/>
  <c r="D60" i="5"/>
  <c r="J90" i="4"/>
  <c r="G81" i="4"/>
  <c r="B14" i="5"/>
  <c r="J87" i="5"/>
  <c r="G14" i="1"/>
  <c r="D76" i="1"/>
  <c r="H9" i="7"/>
  <c r="D95" i="4"/>
  <c r="I98" i="5"/>
  <c r="I96" i="5"/>
  <c r="G29" i="1"/>
  <c r="E85" i="1"/>
  <c r="H90" i="4"/>
  <c r="D91" i="5"/>
  <c r="C104" i="4"/>
  <c r="D41" i="5"/>
  <c r="E104" i="1"/>
  <c r="B21" i="5"/>
  <c r="H53" i="5"/>
  <c r="I21" i="1"/>
  <c r="F46" i="4"/>
  <c r="H101" i="4"/>
  <c r="L59" i="1"/>
  <c r="G39" i="1"/>
  <c r="B97" i="1"/>
  <c r="J91" i="5"/>
  <c r="E38" i="1"/>
  <c r="H95" i="4"/>
  <c r="D65" i="5"/>
  <c r="B29" i="1"/>
  <c r="B75" i="1"/>
  <c r="H12" i="5"/>
  <c r="G64" i="1"/>
  <c r="D27" i="5"/>
  <c r="C95" i="5"/>
  <c r="E67" i="4"/>
  <c r="D70" i="4"/>
  <c r="F28" i="1"/>
  <c r="C68" i="1"/>
  <c r="D64" i="4"/>
  <c r="C97" i="1"/>
  <c r="F86" i="4"/>
  <c r="J108" i="4"/>
  <c r="I59" i="4"/>
  <c r="J40" i="5"/>
  <c r="G95" i="5"/>
  <c r="G7" i="7"/>
  <c r="H27" i="5"/>
  <c r="H15" i="5"/>
  <c r="C58" i="1"/>
  <c r="E113" i="1"/>
  <c r="G15" i="1"/>
  <c r="H30" i="5"/>
  <c r="G38" i="1"/>
  <c r="I74" i="1"/>
  <c r="D48" i="5"/>
  <c r="F40" i="1"/>
  <c r="M101" i="1"/>
  <c r="J97" i="5"/>
  <c r="C40" i="4"/>
  <c r="D98" i="5"/>
  <c r="I51" i="4"/>
  <c r="C16" i="5"/>
  <c r="F57" i="4"/>
  <c r="F7" i="7"/>
  <c r="I55" i="4"/>
  <c r="I27" i="4"/>
  <c r="L57" i="1"/>
  <c r="E54" i="4"/>
  <c r="B11" i="7"/>
  <c r="F51" i="4"/>
  <c r="C70" i="1"/>
  <c r="E27" i="4"/>
  <c r="I8" i="7"/>
  <c r="G99" i="5"/>
  <c r="G86" i="1"/>
  <c r="L63" i="1"/>
  <c r="C85" i="5"/>
  <c r="F47" i="4"/>
  <c r="D31" i="1"/>
  <c r="C26" i="1"/>
  <c r="J27" i="5"/>
  <c r="H102" i="5"/>
  <c r="I35" i="5"/>
  <c r="H29" i="4"/>
  <c r="C67" i="4"/>
  <c r="J5" i="5"/>
  <c r="D9" i="7"/>
  <c r="J26" i="4"/>
  <c r="B19" i="5"/>
  <c r="D36" i="1"/>
  <c r="F107" i="4"/>
  <c r="B98" i="5"/>
  <c r="H113" i="4"/>
  <c r="G69" i="1"/>
  <c r="G22" i="4"/>
  <c r="G26" i="4"/>
  <c r="J91" i="4"/>
  <c r="D96" i="1"/>
  <c r="B7" i="5"/>
  <c r="F58" i="4"/>
  <c r="E6" i="7"/>
  <c r="B35" i="5"/>
  <c r="I113" i="1"/>
  <c r="D74" i="4"/>
  <c r="H69" i="4"/>
  <c r="D66" i="5"/>
  <c r="I44" i="5"/>
  <c r="C90" i="4"/>
  <c r="G41" i="1"/>
  <c r="J103" i="4"/>
  <c r="C37" i="1"/>
  <c r="C51" i="5"/>
  <c r="I77" i="1"/>
  <c r="H91" i="1"/>
  <c r="D56" i="1"/>
  <c r="E24" i="1"/>
  <c r="J104" i="5"/>
  <c r="G75" i="4"/>
  <c r="E23" i="4"/>
  <c r="J58" i="5"/>
  <c r="J75" i="4"/>
  <c r="G93" i="5"/>
  <c r="I70" i="4"/>
  <c r="D88" i="4"/>
  <c r="C67" i="1"/>
  <c r="G49" i="5"/>
  <c r="C38" i="5"/>
  <c r="L100" i="1"/>
  <c r="F82" i="4"/>
  <c r="B69" i="1"/>
  <c r="H31" i="1"/>
  <c r="G54" i="4"/>
  <c r="J65" i="4"/>
  <c r="C36" i="5"/>
  <c r="L64" i="1"/>
  <c r="C5" i="5"/>
  <c r="D88" i="1"/>
  <c r="G106" i="4"/>
  <c r="C80" i="4"/>
  <c r="D39" i="1"/>
  <c r="F113" i="4"/>
  <c r="C93" i="5"/>
  <c r="M31" i="1"/>
  <c r="D94" i="5"/>
  <c r="D36" i="5"/>
  <c r="H81" i="1"/>
  <c r="G30" i="5"/>
  <c r="C76" i="5"/>
  <c r="H89" i="1"/>
  <c r="L97" i="1"/>
  <c r="D61" i="5"/>
  <c r="I95" i="4"/>
  <c r="D20" i="4"/>
  <c r="I32" i="5"/>
  <c r="C101" i="5"/>
  <c r="C25" i="5"/>
  <c r="B38" i="5"/>
  <c r="C104" i="5"/>
  <c r="H102" i="4"/>
  <c r="L18" i="1"/>
  <c r="C87" i="1"/>
  <c r="I43" i="5"/>
  <c r="J69" i="5"/>
  <c r="H78" i="4"/>
  <c r="J28" i="4"/>
  <c r="E94" i="4"/>
  <c r="D42" i="5"/>
  <c r="G20" i="5"/>
  <c r="B77" i="1"/>
  <c r="H13" i="5"/>
  <c r="M21" i="1"/>
  <c r="H59" i="1"/>
  <c r="I32" i="1"/>
  <c r="F72" i="4"/>
  <c r="H106" i="4"/>
  <c r="I5" i="5"/>
  <c r="E78" i="1"/>
  <c r="C20" i="4"/>
  <c r="F57" i="1"/>
  <c r="H20" i="1"/>
  <c r="H47" i="5"/>
  <c r="E96" i="1"/>
  <c r="G76" i="1"/>
  <c r="F15" i="1"/>
  <c r="H79" i="5"/>
  <c r="J100" i="4"/>
  <c r="C18" i="5"/>
  <c r="E17" i="1"/>
  <c r="F30" i="1"/>
  <c r="C72" i="1"/>
  <c r="J16" i="5"/>
  <c r="L14" i="1"/>
  <c r="I82" i="4"/>
  <c r="H108" i="1"/>
  <c r="D107" i="1"/>
  <c r="B42" i="5"/>
  <c r="E15" i="4"/>
  <c r="B79" i="5"/>
  <c r="G100" i="4"/>
  <c r="F42" i="4"/>
  <c r="F60" i="1"/>
  <c r="F21" i="4"/>
  <c r="C20" i="1"/>
  <c r="G82" i="4"/>
  <c r="J76" i="5"/>
  <c r="G96" i="5"/>
  <c r="C89" i="4"/>
  <c r="M88" i="1"/>
  <c r="I67" i="1"/>
  <c r="G69" i="5"/>
  <c r="J39" i="5"/>
  <c r="G80" i="4"/>
  <c r="F52" i="4"/>
  <c r="G64" i="4"/>
  <c r="E93" i="4"/>
  <c r="C72" i="5"/>
  <c r="H46" i="4"/>
  <c r="C93" i="4"/>
  <c r="M81" i="1"/>
  <c r="D63" i="1"/>
  <c r="G78" i="1"/>
  <c r="D95" i="5"/>
  <c r="I42" i="1"/>
  <c r="L91" i="1"/>
  <c r="D25" i="5"/>
  <c r="H107" i="1"/>
  <c r="J53" i="4"/>
  <c r="F58" i="1"/>
  <c r="G50" i="4"/>
  <c r="D61" i="4"/>
  <c r="G93" i="1"/>
  <c r="C83" i="1"/>
  <c r="E22" i="1"/>
  <c r="J22" i="4"/>
  <c r="F78" i="4"/>
  <c r="D91" i="4"/>
  <c r="D87" i="5"/>
  <c r="G65" i="5"/>
  <c r="M14" i="1"/>
  <c r="E29" i="4"/>
  <c r="H61" i="4"/>
  <c r="H15" i="1"/>
  <c r="F53" i="4"/>
  <c r="J79" i="4"/>
  <c r="E86" i="1"/>
  <c r="E31" i="4"/>
  <c r="D112" i="1"/>
  <c r="M20" i="1"/>
  <c r="I75" i="4"/>
  <c r="L19" i="1"/>
  <c r="B56" i="1"/>
  <c r="C92" i="4"/>
  <c r="M18" i="1"/>
  <c r="D103" i="4"/>
  <c r="F62" i="4"/>
  <c r="E49" i="1"/>
  <c r="B67" i="5"/>
  <c r="H41" i="4"/>
  <c r="H97" i="5"/>
  <c r="J18" i="5"/>
  <c r="G33" i="5"/>
  <c r="H8" i="7"/>
  <c r="J82" i="4"/>
  <c r="D77" i="5"/>
  <c r="G94" i="5"/>
  <c r="H39" i="5"/>
  <c r="G94" i="4"/>
  <c r="C62" i="5"/>
  <c r="H48" i="4"/>
  <c r="B51" i="5"/>
  <c r="J76" i="4"/>
  <c r="L86" i="1"/>
  <c r="B88" i="5"/>
  <c r="B33" i="1"/>
  <c r="C33" i="5"/>
  <c r="B92" i="1"/>
  <c r="D35" i="1"/>
  <c r="G37" i="5"/>
  <c r="J38" i="4"/>
  <c r="E32" i="4"/>
  <c r="H57" i="4"/>
  <c r="C48" i="4"/>
  <c r="D93" i="1"/>
  <c r="G19" i="4"/>
  <c r="J63" i="4"/>
  <c r="D58" i="1"/>
  <c r="E79" i="4"/>
  <c r="G85" i="5"/>
  <c r="I98" i="1"/>
  <c r="B69" i="5"/>
  <c r="G58" i="4"/>
  <c r="I37" i="4"/>
  <c r="E90" i="1"/>
  <c r="M39" i="1"/>
  <c r="H16" i="5"/>
  <c r="I72" i="5"/>
  <c r="F102" i="4"/>
  <c r="H94" i="5"/>
  <c r="C113" i="1"/>
  <c r="L77" i="1"/>
  <c r="C92" i="5"/>
  <c r="M45" i="1"/>
  <c r="F92" i="4"/>
  <c r="I86" i="1"/>
  <c r="J93" i="5"/>
  <c r="H43" i="5"/>
  <c r="G44" i="1"/>
  <c r="D62" i="1"/>
  <c r="H74" i="4"/>
  <c r="F46" i="1"/>
  <c r="F100" i="4"/>
  <c r="H47" i="1"/>
  <c r="C29" i="5"/>
  <c r="M22" i="1"/>
  <c r="D47" i="5"/>
  <c r="G63" i="4"/>
  <c r="F29" i="1"/>
  <c r="E28" i="1"/>
  <c r="I7" i="5"/>
  <c r="G40" i="1"/>
  <c r="H111" i="1"/>
  <c r="H31" i="5"/>
  <c r="J78" i="4"/>
  <c r="E16" i="1"/>
  <c r="C22" i="5"/>
  <c r="E75" i="4"/>
  <c r="D100" i="4"/>
  <c r="G47" i="1"/>
  <c r="L90" i="1"/>
  <c r="I41" i="4"/>
  <c r="G50" i="5"/>
  <c r="H6" i="5"/>
  <c r="J13" i="5"/>
  <c r="I108" i="4"/>
  <c r="D11" i="5"/>
  <c r="I84" i="1"/>
  <c r="D105" i="1"/>
  <c r="J54" i="4"/>
  <c r="I100" i="5"/>
  <c r="C18" i="4"/>
  <c r="J45" i="4"/>
  <c r="E105" i="1"/>
  <c r="C55" i="1"/>
  <c r="D30" i="1"/>
  <c r="J43" i="4"/>
  <c r="H25" i="5"/>
  <c r="D46" i="5"/>
  <c r="B64" i="1"/>
  <c r="E43" i="1"/>
  <c r="C107" i="4"/>
  <c r="G76" i="5"/>
  <c r="D9" i="5"/>
  <c r="L52" i="1"/>
  <c r="L70" i="1"/>
  <c r="B78" i="5"/>
  <c r="C89" i="5"/>
  <c r="E97" i="1"/>
  <c r="I41" i="5"/>
  <c r="I96" i="4"/>
  <c r="H73" i="4"/>
  <c r="C26" i="5"/>
  <c r="G68" i="5"/>
  <c r="G96" i="4"/>
  <c r="B105" i="1"/>
  <c r="E66" i="4"/>
  <c r="G50" i="1"/>
  <c r="G24" i="1"/>
  <c r="M51" i="1"/>
  <c r="E97" i="4"/>
  <c r="H58" i="1"/>
  <c r="I18" i="5"/>
  <c r="G91" i="1"/>
  <c r="I92" i="1"/>
  <c r="H43" i="1"/>
  <c r="G25" i="1"/>
  <c r="L82" i="1"/>
  <c r="C16" i="1"/>
  <c r="I57" i="5"/>
  <c r="I28" i="1"/>
  <c r="C85" i="4"/>
  <c r="C84" i="4"/>
  <c r="I15" i="4"/>
  <c r="C14" i="5"/>
  <c r="I107" i="4"/>
  <c r="H76" i="1"/>
  <c r="B40" i="1"/>
  <c r="B39" i="1"/>
  <c r="C90" i="5"/>
  <c r="I85" i="5"/>
  <c r="H61" i="1"/>
  <c r="H57" i="5"/>
  <c r="J35" i="4"/>
  <c r="I38" i="4"/>
  <c r="F36" i="1"/>
  <c r="I59" i="1"/>
  <c r="E111" i="1"/>
  <c r="F91" i="4"/>
  <c r="J58" i="4"/>
  <c r="M37" i="1"/>
  <c r="I54" i="1"/>
  <c r="G37" i="1"/>
  <c r="D93" i="4"/>
  <c r="D83" i="4"/>
  <c r="L107" i="1"/>
  <c r="J14" i="4"/>
  <c r="G71" i="5"/>
  <c r="C44" i="5"/>
  <c r="L22" i="1"/>
  <c r="G95" i="4"/>
  <c r="G19" i="5"/>
  <c r="C56" i="4"/>
  <c r="F69" i="4"/>
  <c r="M30" i="1"/>
  <c r="F110" i="4"/>
  <c r="D39" i="4"/>
  <c r="I95" i="5"/>
  <c r="E20" i="1"/>
  <c r="H25" i="4"/>
  <c r="E26" i="1"/>
  <c r="H98" i="1"/>
  <c r="L102" i="1"/>
  <c r="H65" i="4"/>
  <c r="L67" i="1"/>
  <c r="E50" i="4"/>
  <c r="H105" i="4"/>
  <c r="C55" i="4"/>
  <c r="C49" i="1"/>
  <c r="B30" i="1"/>
  <c r="G48" i="4"/>
  <c r="H95" i="5"/>
  <c r="H108" i="4"/>
  <c r="G97" i="1"/>
  <c r="L113" i="1"/>
  <c r="G101" i="4"/>
  <c r="J30" i="5"/>
  <c r="J89" i="4"/>
  <c r="G60" i="1"/>
  <c r="H84" i="1"/>
  <c r="M79" i="1"/>
  <c r="B24" i="1"/>
  <c r="G52" i="5"/>
  <c r="H102" i="1"/>
  <c r="B60" i="1"/>
  <c r="C42" i="4"/>
  <c r="J28" i="5"/>
  <c r="I19" i="4"/>
  <c r="D105" i="4"/>
  <c r="G94" i="1"/>
  <c r="D99" i="5"/>
  <c r="D25" i="4"/>
  <c r="I73" i="1"/>
  <c r="E96" i="4"/>
  <c r="I41" i="1"/>
  <c r="C8" i="5"/>
  <c r="F105" i="4"/>
  <c r="D106" i="1"/>
  <c r="E62" i="4"/>
  <c r="B110" i="1"/>
  <c r="I26" i="4"/>
  <c r="C78" i="5"/>
  <c r="C35" i="5"/>
  <c r="C96" i="1"/>
  <c r="B46" i="5"/>
  <c r="J87" i="4"/>
  <c r="I92" i="5"/>
  <c r="H66" i="1"/>
  <c r="L85" i="1"/>
  <c r="H103" i="1"/>
  <c r="F104" i="4"/>
  <c r="G45" i="4"/>
  <c r="I75" i="1"/>
  <c r="B30" i="5"/>
  <c r="G65" i="1"/>
  <c r="F56" i="1"/>
  <c r="J41" i="4"/>
  <c r="J78" i="5"/>
  <c r="B12" i="5"/>
  <c r="C86" i="5"/>
  <c r="E80" i="4"/>
  <c r="B65" i="1"/>
  <c r="E56" i="4"/>
  <c r="G41" i="4"/>
  <c r="L74" i="1"/>
  <c r="C40" i="1"/>
  <c r="C106" i="1"/>
  <c r="C35" i="4"/>
  <c r="J33" i="5"/>
  <c r="B8" i="7"/>
  <c r="J56" i="4"/>
  <c r="I56" i="4"/>
  <c r="I17" i="4"/>
  <c r="B79" i="1"/>
  <c r="J84" i="4"/>
  <c r="G35" i="4"/>
  <c r="D38" i="5"/>
  <c r="J84" i="5"/>
  <c r="E101" i="1"/>
  <c r="I80" i="4"/>
  <c r="M29" i="1"/>
  <c r="G37" i="4"/>
  <c r="J62" i="4"/>
  <c r="F94" i="4"/>
  <c r="H27" i="1"/>
  <c r="C47" i="4"/>
  <c r="E25" i="1"/>
  <c r="F22" i="4"/>
  <c r="C17" i="5"/>
  <c r="B95" i="1"/>
  <c r="D56" i="4"/>
  <c r="H55" i="1"/>
  <c r="I93" i="4"/>
  <c r="I58" i="1"/>
  <c r="E110" i="1"/>
  <c r="B17" i="5"/>
  <c r="I9" i="5"/>
  <c r="C68" i="4"/>
  <c r="I39" i="1"/>
  <c r="D83" i="1"/>
  <c r="E39" i="4"/>
  <c r="G62" i="1"/>
  <c r="E18" i="4"/>
  <c r="E90" i="4"/>
  <c r="L61" i="1"/>
  <c r="G13" i="5"/>
  <c r="D8" i="5"/>
  <c r="B27" i="1"/>
  <c r="E22" i="4"/>
  <c r="F65" i="4"/>
  <c r="B73" i="5"/>
  <c r="H11" i="5"/>
  <c r="D53" i="1"/>
  <c r="F89" i="1"/>
  <c r="H36" i="5"/>
  <c r="J96" i="5"/>
  <c r="C39" i="5"/>
  <c r="E48" i="1"/>
  <c r="M62" i="1"/>
  <c r="F98" i="1"/>
  <c r="I52" i="5"/>
  <c r="D73" i="5"/>
  <c r="C7" i="7"/>
  <c r="G7" i="5"/>
  <c r="L110" i="1"/>
  <c r="E83" i="4"/>
  <c r="C49" i="5"/>
  <c r="L17" i="1"/>
  <c r="G57" i="4"/>
  <c r="H88" i="1"/>
  <c r="I29" i="5"/>
  <c r="I103" i="5"/>
  <c r="H74" i="5"/>
  <c r="G33" i="4"/>
  <c r="M27" i="1"/>
  <c r="H42" i="5"/>
  <c r="B57" i="5"/>
  <c r="M36" i="1"/>
  <c r="E94" i="1"/>
  <c r="H73" i="5"/>
  <c r="I67" i="4"/>
  <c r="D59" i="1"/>
  <c r="H78" i="1"/>
  <c r="B78" i="1"/>
  <c r="I24" i="4"/>
  <c r="M65" i="1"/>
  <c r="H87" i="5"/>
  <c r="D59" i="4"/>
  <c r="G102" i="4"/>
  <c r="I90" i="1"/>
  <c r="J35" i="5"/>
  <c r="J42" i="5"/>
  <c r="H63" i="5"/>
  <c r="I71" i="4"/>
  <c r="F31" i="1"/>
  <c r="H67" i="5"/>
  <c r="G77" i="5"/>
  <c r="L89" i="1"/>
  <c r="G86" i="5"/>
  <c r="E42" i="4"/>
  <c r="C8" i="7"/>
  <c r="J99" i="4"/>
  <c r="E113" i="4"/>
  <c r="F43" i="4"/>
  <c r="E20" i="4"/>
  <c r="I20" i="4"/>
  <c r="F9" i="7"/>
  <c r="J19" i="5"/>
  <c r="C94" i="4"/>
  <c r="I22" i="4"/>
  <c r="G98" i="5"/>
  <c r="M111" i="1"/>
  <c r="E34" i="4"/>
  <c r="G113" i="4"/>
  <c r="D90" i="4"/>
  <c r="I104" i="5"/>
  <c r="D22" i="5"/>
  <c r="J109" i="4"/>
  <c r="G86" i="4"/>
  <c r="G105" i="4"/>
  <c r="J8" i="5"/>
  <c r="H106" i="1"/>
  <c r="E47" i="1"/>
  <c r="I106" i="1"/>
  <c r="G41" i="5"/>
  <c r="B61" i="5"/>
  <c r="E76" i="1"/>
  <c r="C101" i="4"/>
  <c r="F32" i="1"/>
  <c r="I11" i="5"/>
  <c r="J81" i="4"/>
  <c r="D53" i="4"/>
  <c r="D104" i="1"/>
  <c r="E89" i="1"/>
  <c r="H35" i="4"/>
  <c r="C65" i="4"/>
  <c r="C54" i="4"/>
  <c r="G103" i="1"/>
  <c r="I33" i="1"/>
  <c r="E95" i="4"/>
  <c r="G26" i="5"/>
  <c r="J96" i="4"/>
  <c r="H77" i="5"/>
  <c r="F41" i="4"/>
  <c r="B98" i="1"/>
  <c r="I40" i="4"/>
  <c r="I26" i="5"/>
  <c r="I78" i="4"/>
  <c r="D52" i="5"/>
  <c r="E69" i="4"/>
  <c r="D55" i="5"/>
  <c r="G84" i="4"/>
  <c r="F35" i="1"/>
  <c r="I48" i="4"/>
  <c r="I113" i="4"/>
  <c r="J88" i="5"/>
  <c r="B10" i="5"/>
  <c r="J86" i="5"/>
  <c r="C32" i="1"/>
  <c r="C15" i="5"/>
  <c r="B97" i="5"/>
  <c r="I76" i="1"/>
  <c r="D85" i="1"/>
  <c r="B47" i="1"/>
  <c r="I62" i="4"/>
  <c r="J86" i="4"/>
  <c r="B35" i="1"/>
  <c r="G112" i="1"/>
  <c r="F74" i="1"/>
  <c r="G32" i="5"/>
  <c r="M69" i="1"/>
  <c r="H75" i="1"/>
  <c r="G46" i="1"/>
  <c r="G43" i="1"/>
  <c r="H21" i="4"/>
  <c r="F101" i="4"/>
  <c r="D113" i="4"/>
  <c r="E75" i="1"/>
  <c r="B8" i="5"/>
  <c r="D100" i="5"/>
  <c r="B43" i="1"/>
  <c r="B91" i="1"/>
  <c r="D47" i="1"/>
  <c r="B83" i="1"/>
  <c r="C53" i="5"/>
  <c r="I61" i="5"/>
  <c r="M85" i="1"/>
  <c r="D28" i="5"/>
  <c r="H70" i="5"/>
  <c r="L88" i="1"/>
  <c r="F63" i="4"/>
  <c r="F108" i="1"/>
  <c r="F73" i="4"/>
  <c r="B63" i="1"/>
  <c r="C99" i="5"/>
  <c r="F48" i="4"/>
  <c r="I35" i="4"/>
  <c r="M71" i="1"/>
  <c r="J32" i="4"/>
  <c r="G14" i="5"/>
  <c r="E61" i="4"/>
  <c r="B48" i="1"/>
  <c r="C75" i="4"/>
  <c r="H66" i="4"/>
  <c r="C90" i="1"/>
  <c r="C87" i="5"/>
  <c r="M98" i="1"/>
  <c r="H52" i="1"/>
  <c r="H38" i="5"/>
  <c r="D77" i="1"/>
  <c r="F66" i="1"/>
  <c r="H21" i="5"/>
  <c r="L60" i="1"/>
  <c r="C84" i="1"/>
  <c r="D72" i="1"/>
  <c r="D98" i="4"/>
  <c r="C53" i="1"/>
  <c r="H91" i="5"/>
  <c r="C54" i="1"/>
  <c r="C31" i="4"/>
  <c r="C35" i="1"/>
  <c r="D54" i="5"/>
  <c r="G56" i="1"/>
  <c r="D15" i="4"/>
  <c r="D80" i="1"/>
  <c r="B89" i="1"/>
  <c r="J106" i="4"/>
  <c r="I29" i="4"/>
  <c r="C66" i="1"/>
  <c r="E19" i="4"/>
  <c r="M110" i="1"/>
  <c r="I74" i="5"/>
  <c r="B72" i="5"/>
  <c r="D54" i="4"/>
  <c r="D104" i="4"/>
  <c r="G58" i="1"/>
  <c r="I14" i="5"/>
  <c r="M57" i="1"/>
  <c r="G68" i="4"/>
  <c r="E62" i="1"/>
  <c r="C34" i="4"/>
  <c r="J57" i="5"/>
  <c r="I47" i="5"/>
  <c r="E33" i="4"/>
  <c r="D21" i="5"/>
  <c r="B92" i="5"/>
  <c r="C84" i="5"/>
  <c r="J36" i="4"/>
  <c r="F111" i="1"/>
  <c r="M64" i="1"/>
  <c r="M49" i="1"/>
  <c r="E88" i="1"/>
  <c r="H103" i="5"/>
  <c r="B31" i="1"/>
  <c r="H44" i="1"/>
  <c r="G73" i="1"/>
  <c r="J12" i="5"/>
  <c r="I51" i="5"/>
  <c r="I33" i="5"/>
  <c r="G77" i="1"/>
  <c r="F37" i="1"/>
  <c r="G109" i="4"/>
  <c r="D6" i="5"/>
  <c r="D77" i="4"/>
  <c r="G91" i="4"/>
  <c r="B68" i="5"/>
  <c r="I17" i="1"/>
  <c r="C25" i="1"/>
  <c r="B28" i="1"/>
  <c r="C80" i="5"/>
  <c r="H29" i="5"/>
  <c r="I104" i="4"/>
  <c r="C19" i="4"/>
  <c r="D92" i="1"/>
  <c r="G79" i="4"/>
  <c r="G64" i="5"/>
  <c r="H99" i="1"/>
  <c r="C61" i="1"/>
  <c r="C112" i="1"/>
  <c r="E46" i="1"/>
  <c r="H89" i="4"/>
  <c r="D14" i="4"/>
  <c r="E29" i="1"/>
  <c r="D74" i="1"/>
  <c r="C93" i="1"/>
  <c r="F26" i="4"/>
  <c r="G108" i="4"/>
  <c r="M66" i="1"/>
  <c r="C53" i="4"/>
  <c r="E102" i="1"/>
  <c r="I68" i="4"/>
  <c r="F86" i="1"/>
  <c r="H72" i="5"/>
  <c r="J77" i="5"/>
  <c r="I42" i="4"/>
  <c r="E24" i="4"/>
  <c r="E106" i="1"/>
  <c r="L39" i="1"/>
  <c r="E102" i="4"/>
  <c r="E106" i="4"/>
  <c r="H40" i="4"/>
  <c r="H51" i="1"/>
  <c r="C10" i="5"/>
  <c r="D61" i="1"/>
  <c r="I31" i="5"/>
  <c r="M42" i="1"/>
  <c r="D71" i="1"/>
  <c r="L84" i="1"/>
  <c r="J32" i="5"/>
  <c r="F40" i="4"/>
  <c r="E100" i="1"/>
  <c r="L25" i="1"/>
  <c r="D34" i="4"/>
  <c r="G71" i="4"/>
  <c r="J50" i="4"/>
  <c r="G112" i="4"/>
  <c r="H35" i="5"/>
  <c r="C75" i="1"/>
  <c r="G31" i="1"/>
  <c r="D55" i="4"/>
  <c r="G11" i="5"/>
  <c r="H56" i="4"/>
  <c r="I83" i="1"/>
  <c r="E65" i="1"/>
  <c r="D40" i="1"/>
  <c r="D79" i="4"/>
  <c r="M86" i="1"/>
  <c r="I54" i="4"/>
  <c r="H93" i="4"/>
  <c r="F28" i="4"/>
  <c r="D50" i="1"/>
  <c r="I73" i="4"/>
  <c r="I63" i="5"/>
  <c r="F99" i="4"/>
  <c r="G45" i="5"/>
  <c r="J25" i="4"/>
  <c r="B55" i="1"/>
  <c r="E37" i="1"/>
  <c r="I93" i="5"/>
  <c r="E64" i="4"/>
  <c r="F67" i="4"/>
  <c r="G67" i="4"/>
  <c r="H92" i="5"/>
  <c r="D22" i="4"/>
  <c r="D89" i="5"/>
  <c r="E21" i="1"/>
  <c r="H23" i="1"/>
  <c r="E8" i="7"/>
  <c r="J24" i="4"/>
  <c r="M67" i="1"/>
  <c r="H61" i="5"/>
  <c r="F79" i="4"/>
  <c r="J31" i="4"/>
  <c r="L73" i="1"/>
  <c r="G24" i="5"/>
  <c r="D59" i="5"/>
  <c r="C108" i="1"/>
  <c r="H79" i="1"/>
  <c r="I55" i="1"/>
  <c r="F66" i="4"/>
  <c r="F95" i="4"/>
  <c r="I50" i="5"/>
  <c r="G60" i="5"/>
  <c r="C15" i="1"/>
  <c r="D63" i="5"/>
  <c r="I22" i="1"/>
  <c r="G56" i="4"/>
  <c r="C88" i="4"/>
  <c r="F21" i="1"/>
  <c r="G39" i="4"/>
  <c r="I83" i="4"/>
  <c r="I61" i="4"/>
  <c r="C100" i="4"/>
  <c r="C79" i="1"/>
  <c r="G65" i="4"/>
  <c r="B83" i="5"/>
  <c r="G63" i="1"/>
  <c r="F85" i="1"/>
  <c r="F103" i="1"/>
  <c r="I53" i="5"/>
  <c r="D76" i="5"/>
  <c r="D44" i="5"/>
  <c r="B107" i="1"/>
  <c r="H22" i="5"/>
  <c r="H93" i="5"/>
  <c r="G104" i="4"/>
  <c r="H94" i="4"/>
  <c r="B52" i="1"/>
  <c r="M100" i="1"/>
  <c r="H9" i="5"/>
  <c r="J112" i="4"/>
  <c r="C56" i="1"/>
  <c r="H87" i="1"/>
  <c r="H22" i="1"/>
  <c r="C26" i="4"/>
  <c r="C75" i="5"/>
  <c r="I69" i="5"/>
  <c r="J72" i="5"/>
  <c r="D103" i="1"/>
  <c r="H6" i="7"/>
  <c r="D42" i="4"/>
  <c r="D84" i="5"/>
  <c r="H50" i="5"/>
  <c r="F110" i="1"/>
  <c r="G39" i="5"/>
  <c r="G32" i="4"/>
  <c r="I44" i="4"/>
  <c r="E60" i="1"/>
  <c r="D35" i="5"/>
  <c r="I85" i="1"/>
  <c r="E95" i="1"/>
  <c r="D28" i="4"/>
  <c r="B84" i="5"/>
  <c r="G21" i="1"/>
  <c r="E41" i="1"/>
  <c r="J15" i="5"/>
  <c r="G59" i="5"/>
  <c r="B93" i="5"/>
  <c r="D41" i="4"/>
  <c r="H76" i="4"/>
  <c r="B104" i="5"/>
  <c r="J33" i="4"/>
  <c r="J83" i="4"/>
  <c r="I96" i="1"/>
  <c r="D71" i="4"/>
  <c r="B47" i="5"/>
  <c r="B50" i="5"/>
  <c r="E88" i="4"/>
  <c r="C19" i="1"/>
  <c r="C29" i="4"/>
  <c r="I106" i="4"/>
  <c r="G26" i="1"/>
  <c r="J71" i="5"/>
  <c r="F41" i="1"/>
  <c r="B36" i="5"/>
  <c r="M105" i="1"/>
  <c r="B63" i="5"/>
  <c r="C14" i="4"/>
  <c r="D29" i="5"/>
  <c r="G21" i="4"/>
  <c r="C95" i="4"/>
  <c r="B25" i="5"/>
  <c r="G38" i="4"/>
  <c r="B26" i="5"/>
  <c r="I107" i="1"/>
  <c r="D21" i="4"/>
  <c r="H82" i="5"/>
  <c r="L80" i="1"/>
  <c r="F65" i="1"/>
  <c r="J23" i="4"/>
  <c r="I62" i="5"/>
  <c r="C36" i="1"/>
  <c r="B112" i="1"/>
  <c r="C104" i="1"/>
  <c r="I72" i="1"/>
  <c r="G68" i="1"/>
  <c r="M56" i="1"/>
  <c r="M80" i="1"/>
  <c r="D37" i="1"/>
  <c r="G75" i="5"/>
  <c r="F25" i="1"/>
  <c r="G55" i="1"/>
  <c r="F74" i="4"/>
  <c r="H41" i="1"/>
  <c r="H47" i="4"/>
  <c r="D30" i="5"/>
  <c r="E98" i="4"/>
  <c r="F87" i="4"/>
  <c r="D98" i="1"/>
  <c r="H15" i="4"/>
  <c r="B86" i="5"/>
  <c r="C42" i="5"/>
  <c r="I23" i="4"/>
  <c r="G47" i="4"/>
  <c r="F89" i="4"/>
  <c r="I49" i="4"/>
  <c r="E77" i="4"/>
  <c r="G109" i="1"/>
  <c r="I60" i="4"/>
  <c r="M17" i="1"/>
  <c r="L58" i="1"/>
  <c r="B81" i="5"/>
  <c r="D43" i="5"/>
  <c r="H90" i="1"/>
  <c r="E39" i="1"/>
  <c r="J17" i="4"/>
  <c r="I70" i="5"/>
  <c r="C92" i="1"/>
  <c r="G17" i="4"/>
  <c r="G102" i="5"/>
  <c r="G35" i="5"/>
  <c r="C43" i="4"/>
  <c r="C91" i="1"/>
  <c r="D106" i="4"/>
  <c r="E86" i="4"/>
  <c r="H71" i="5"/>
  <c r="G62" i="5"/>
  <c r="D41" i="1"/>
  <c r="M25" i="1"/>
  <c r="G29" i="4"/>
  <c r="F111" i="4"/>
  <c r="C81" i="1"/>
  <c r="J38" i="5"/>
  <c r="E80" i="1"/>
  <c r="I90" i="4"/>
  <c r="E65" i="4"/>
  <c r="L83" i="1"/>
  <c r="D17" i="5"/>
  <c r="F84" i="4"/>
  <c r="L68" i="1"/>
  <c r="J36" i="5"/>
  <c r="C27" i="4"/>
  <c r="G29" i="5"/>
  <c r="H28" i="4"/>
  <c r="C49" i="4"/>
  <c r="F53" i="1"/>
  <c r="D60" i="4"/>
  <c r="L48" i="1"/>
  <c r="B33" i="5"/>
  <c r="D92" i="4"/>
  <c r="B53" i="5"/>
  <c r="D56" i="5"/>
  <c r="G45" i="1"/>
  <c r="I87" i="5"/>
  <c r="E52" i="1"/>
  <c r="D83" i="5"/>
  <c r="D12" i="5"/>
  <c r="D20" i="1"/>
  <c r="H17" i="4"/>
  <c r="F80" i="1"/>
  <c r="F91" i="1"/>
  <c r="G106" i="1"/>
  <c r="D65" i="1"/>
  <c r="H55" i="4"/>
  <c r="C13" i="5"/>
  <c r="M47" i="1"/>
  <c r="E45" i="4"/>
  <c r="F72" i="1"/>
  <c r="G71" i="1"/>
  <c r="H24" i="4"/>
  <c r="D29" i="4"/>
  <c r="D24" i="1"/>
  <c r="C48" i="1"/>
  <c r="E81" i="1"/>
  <c r="I56" i="5"/>
  <c r="M35" i="1"/>
  <c r="D111" i="4"/>
  <c r="E67" i="1"/>
  <c r="D24" i="5"/>
  <c r="C85" i="1"/>
  <c r="D85" i="5"/>
  <c r="I30" i="1"/>
  <c r="M24" i="1"/>
  <c r="E57" i="4"/>
  <c r="E45" i="1"/>
  <c r="I80" i="1"/>
  <c r="G98" i="4"/>
  <c r="D67" i="4"/>
  <c r="H39" i="4"/>
  <c r="G101" i="5"/>
  <c r="D86" i="4"/>
  <c r="D82" i="1"/>
  <c r="I89" i="1"/>
  <c r="G22" i="5"/>
  <c r="D32" i="5"/>
  <c r="G72" i="5"/>
  <c r="I108" i="1"/>
  <c r="C60" i="1"/>
  <c r="B62" i="1"/>
  <c r="G70" i="1"/>
  <c r="G110" i="4"/>
  <c r="G84" i="1"/>
  <c r="C34" i="5"/>
  <c r="I22" i="5"/>
  <c r="D38" i="1"/>
  <c r="G84" i="5"/>
  <c r="F16" i="1"/>
  <c r="H34" i="4"/>
  <c r="J26" i="5"/>
  <c r="H82" i="4"/>
  <c r="M84" i="1"/>
  <c r="F81" i="1"/>
  <c r="F43" i="1"/>
  <c r="F6" i="7"/>
  <c r="C12" i="5"/>
  <c r="E74" i="4"/>
  <c r="D49" i="5"/>
  <c r="B67" i="1"/>
  <c r="D26" i="5"/>
  <c r="D19" i="1"/>
  <c r="C109" i="1"/>
  <c r="M50" i="1"/>
  <c r="E91" i="1"/>
  <c r="H45" i="5"/>
  <c r="I40" i="1"/>
  <c r="F49" i="4"/>
  <c r="M53" i="1"/>
  <c r="D18" i="5"/>
  <c r="I68" i="1"/>
  <c r="G52" i="4"/>
  <c r="G25" i="5"/>
  <c r="C51" i="4"/>
  <c r="C98" i="5"/>
  <c r="L95" i="1"/>
  <c r="L78" i="1"/>
  <c r="J103" i="5"/>
  <c r="J21" i="5"/>
  <c r="J54" i="5"/>
  <c r="J51" i="5"/>
  <c r="C69" i="4"/>
  <c r="H100" i="5"/>
  <c r="L65" i="1"/>
  <c r="F47" i="1"/>
  <c r="L45" i="1"/>
  <c r="G27" i="1"/>
  <c r="E49" i="4"/>
  <c r="D86" i="5"/>
  <c r="C109" i="4"/>
  <c r="G111" i="1"/>
  <c r="G69" i="4"/>
  <c r="I100" i="1"/>
  <c r="D79" i="5"/>
  <c r="C71" i="1"/>
  <c r="L50" i="1"/>
  <c r="J95" i="5"/>
  <c r="H24" i="5"/>
  <c r="J29" i="5"/>
  <c r="B50" i="1"/>
  <c r="J49" i="4"/>
  <c r="C82" i="1"/>
  <c r="L21" i="1"/>
  <c r="F112" i="1"/>
  <c r="B76" i="5"/>
  <c r="B41" i="1"/>
  <c r="F100" i="1"/>
  <c r="D31" i="4"/>
  <c r="B21" i="1"/>
  <c r="J80" i="4"/>
  <c r="L66" i="1"/>
  <c r="H112" i="4"/>
  <c r="G27" i="5"/>
  <c r="D40" i="5"/>
  <c r="F38" i="4"/>
  <c r="H60" i="4"/>
  <c r="L49" i="1"/>
  <c r="I42" i="5"/>
  <c r="G9" i="5"/>
  <c r="E9" i="7"/>
  <c r="J73" i="4"/>
  <c r="G34" i="1"/>
  <c r="H46" i="5"/>
  <c r="J70" i="4"/>
  <c r="G63" i="5"/>
  <c r="H90" i="5"/>
  <c r="D36" i="4"/>
  <c r="E14" i="4"/>
  <c r="I16" i="1"/>
  <c r="C40" i="5"/>
  <c r="J17" i="5"/>
  <c r="G11" i="7"/>
  <c r="M103" i="1"/>
  <c r="J73" i="5"/>
  <c r="B81" i="1"/>
  <c r="D66" i="4"/>
  <c r="G87" i="5"/>
  <c r="L75" i="1"/>
  <c r="J60" i="4"/>
  <c r="H49" i="1"/>
  <c r="I18" i="4"/>
  <c r="I94" i="1"/>
  <c r="C100" i="5"/>
  <c r="J68" i="5"/>
  <c r="F64" i="4"/>
  <c r="L44" i="1"/>
  <c r="D80" i="5"/>
  <c r="H29" i="1"/>
  <c r="C50" i="5"/>
  <c r="D85" i="4"/>
  <c r="D17" i="1"/>
  <c r="C34" i="1"/>
  <c r="G98" i="1"/>
  <c r="E48" i="4"/>
  <c r="J99" i="5"/>
  <c r="C21" i="5"/>
  <c r="I12" i="5"/>
  <c r="H54" i="4"/>
  <c r="B49" i="5"/>
  <c r="J56" i="5"/>
  <c r="C80" i="1"/>
  <c r="I45" i="5"/>
  <c r="E28" i="4"/>
  <c r="L103" i="1"/>
  <c r="F37" i="4"/>
  <c r="I93" i="1"/>
  <c r="E84" i="1"/>
  <c r="J29" i="4"/>
  <c r="G6" i="7"/>
  <c r="H99" i="4"/>
  <c r="G95" i="1"/>
  <c r="B15" i="1"/>
  <c r="I101" i="5"/>
  <c r="E108" i="1"/>
  <c r="C21" i="1"/>
  <c r="I45" i="4"/>
  <c r="B77" i="5"/>
  <c r="G61" i="5"/>
  <c r="I34" i="4"/>
  <c r="J46" i="5"/>
  <c r="H104" i="1"/>
  <c r="C68" i="5"/>
  <c r="G62" i="4"/>
  <c r="D27" i="4"/>
  <c r="B62" i="5"/>
  <c r="I88" i="4"/>
  <c r="H17" i="1"/>
  <c r="E110" i="4"/>
  <c r="D102" i="1"/>
  <c r="L106" i="1"/>
  <c r="E109" i="1"/>
  <c r="B109" i="1"/>
  <c r="F62" i="1"/>
  <c r="F70" i="1"/>
  <c r="C37" i="5"/>
  <c r="C96" i="5"/>
  <c r="J98" i="4"/>
  <c r="D47" i="4"/>
  <c r="E21" i="4"/>
  <c r="H20" i="5"/>
  <c r="B20" i="5"/>
  <c r="G23" i="1"/>
  <c r="E43" i="4"/>
  <c r="B27" i="5"/>
  <c r="D67" i="1"/>
  <c r="L101" i="1"/>
  <c r="C86" i="1"/>
  <c r="D107" i="4"/>
  <c r="E52" i="4"/>
  <c r="G67" i="5"/>
  <c r="H107" i="4"/>
  <c r="H25" i="1"/>
  <c r="M23" i="1"/>
  <c r="H80" i="5"/>
  <c r="F97" i="4"/>
  <c r="M96" i="1"/>
  <c r="J34" i="5"/>
  <c r="J45" i="5"/>
  <c r="H54" i="5"/>
  <c r="F97" i="1"/>
  <c r="H73" i="1"/>
  <c r="G89" i="4"/>
  <c r="D68" i="1"/>
  <c r="J18" i="4"/>
  <c r="C59" i="4"/>
  <c r="D46" i="1"/>
  <c r="C24" i="4"/>
  <c r="D43" i="4"/>
  <c r="C70" i="4"/>
  <c r="G10" i="5"/>
  <c r="B111" i="1"/>
  <c r="G22" i="1"/>
  <c r="D73" i="1"/>
  <c r="H68" i="5"/>
  <c r="B75" i="5"/>
  <c r="C70" i="5"/>
  <c r="H83" i="4"/>
  <c r="F80" i="4"/>
  <c r="H18" i="4"/>
  <c r="M16" i="1"/>
  <c r="C113" i="4"/>
  <c r="I112" i="1"/>
  <c r="G53" i="5"/>
  <c r="B34" i="5"/>
  <c r="D26" i="4"/>
  <c r="G113" i="1"/>
  <c r="M82" i="1"/>
  <c r="C44" i="1"/>
  <c r="C21" i="4"/>
  <c r="G46" i="4"/>
  <c r="H84" i="5"/>
  <c r="C33" i="4"/>
  <c r="F50" i="1"/>
  <c r="H33" i="5"/>
  <c r="F34" i="4"/>
  <c r="M89" i="1"/>
  <c r="F11" i="7"/>
  <c r="G105" i="1"/>
  <c r="E91" i="4"/>
  <c r="H10" i="5"/>
  <c r="J47" i="5"/>
  <c r="F75" i="1"/>
  <c r="I50" i="4"/>
  <c r="J89" i="5"/>
  <c r="H67" i="1"/>
  <c r="H26" i="4"/>
  <c r="I64" i="4"/>
  <c r="E11" i="7"/>
  <c r="D90" i="5"/>
  <c r="D37" i="5"/>
  <c r="I55" i="5"/>
  <c r="G20" i="1"/>
  <c r="D113" i="1"/>
  <c r="C97" i="4"/>
  <c r="M63" i="1"/>
  <c r="H67" i="4"/>
  <c r="J107" i="4"/>
  <c r="B68" i="1"/>
  <c r="C20" i="5"/>
  <c r="D45" i="1"/>
  <c r="C45" i="4"/>
  <c r="C46" i="1"/>
  <c r="D81" i="5"/>
  <c r="H36" i="4"/>
  <c r="L37" i="1"/>
  <c r="I68" i="5"/>
  <c r="G97" i="4"/>
  <c r="L53" i="1"/>
  <c r="H56" i="5"/>
  <c r="C60" i="4"/>
  <c r="E17" i="4"/>
  <c r="C28" i="5"/>
  <c r="G66" i="4"/>
  <c r="G40" i="5"/>
  <c r="H96" i="4"/>
  <c r="E58" i="4"/>
  <c r="D82" i="5"/>
  <c r="I34" i="5"/>
  <c r="D101" i="4"/>
  <c r="H104" i="5"/>
  <c r="H88" i="5"/>
  <c r="D34" i="1"/>
  <c r="I29" i="1"/>
  <c r="B70" i="5"/>
  <c r="H68" i="4"/>
  <c r="F33" i="1"/>
  <c r="M68" i="1"/>
  <c r="H63" i="4"/>
  <c r="J71" i="4"/>
  <c r="H42" i="4"/>
  <c r="G30" i="4"/>
  <c r="F63" i="1"/>
  <c r="D6" i="7"/>
  <c r="E14" i="1"/>
  <c r="I32" i="4"/>
  <c r="D31" i="5"/>
  <c r="M73" i="1"/>
  <c r="G89" i="5"/>
  <c r="E108" i="4"/>
  <c r="E34" i="1"/>
  <c r="H24" i="1"/>
  <c r="B71" i="5"/>
  <c r="C89" i="1"/>
  <c r="I43" i="4"/>
  <c r="D15" i="1"/>
  <c r="F88" i="1"/>
  <c r="F27" i="1"/>
  <c r="I17" i="5"/>
  <c r="B108" i="1"/>
  <c r="H111" i="4"/>
  <c r="J22" i="5"/>
  <c r="G34" i="5"/>
  <c r="C74" i="4"/>
  <c r="G74" i="1"/>
  <c r="H69" i="5"/>
  <c r="I51" i="1"/>
  <c r="D81" i="4"/>
  <c r="L29" i="1"/>
  <c r="M43" i="1"/>
  <c r="F30" i="4"/>
  <c r="C100" i="1"/>
  <c r="H7" i="5"/>
  <c r="I20" i="1"/>
  <c r="F71" i="4"/>
  <c r="F34" i="1"/>
  <c r="D96" i="5"/>
  <c r="G83" i="5"/>
  <c r="B101" i="5"/>
  <c r="G14" i="4"/>
  <c r="H71" i="1"/>
  <c r="G61" i="4"/>
  <c r="J44" i="5"/>
  <c r="D87" i="4"/>
  <c r="B61" i="1"/>
  <c r="C79" i="4"/>
  <c r="H14" i="5"/>
  <c r="G5" i="5"/>
  <c r="B23" i="1"/>
  <c r="B82" i="5"/>
  <c r="I34" i="1"/>
  <c r="J20" i="4"/>
  <c r="I67" i="5"/>
  <c r="B23" i="5"/>
  <c r="C46" i="5"/>
  <c r="H77" i="1"/>
  <c r="G70" i="4"/>
  <c r="G73" i="4"/>
  <c r="C73" i="1"/>
  <c r="C81" i="4"/>
  <c r="C45" i="5"/>
  <c r="H51" i="4"/>
  <c r="H14" i="1"/>
  <c r="I77" i="5"/>
  <c r="F88" i="4"/>
  <c r="H41" i="5"/>
  <c r="D30" i="4"/>
  <c r="G79" i="5"/>
  <c r="I71" i="1"/>
  <c r="E78" i="4"/>
  <c r="G28" i="1"/>
  <c r="B26" i="1"/>
  <c r="E57" i="1"/>
  <c r="I66" i="4"/>
  <c r="G18" i="4"/>
  <c r="H56" i="1"/>
  <c r="H81" i="5"/>
  <c r="E31" i="1"/>
  <c r="B20" i="1"/>
  <c r="I71" i="5"/>
  <c r="J61" i="5"/>
  <c r="L38" i="1"/>
  <c r="H40" i="5"/>
  <c r="C30" i="5"/>
  <c r="J14" i="5"/>
  <c r="E101" i="4"/>
  <c r="F85" i="4"/>
  <c r="I74" i="4"/>
  <c r="E54" i="1"/>
  <c r="H60" i="5"/>
  <c r="C72" i="4"/>
  <c r="H59" i="5"/>
  <c r="G99" i="1"/>
  <c r="D33" i="1"/>
  <c r="F15" i="4"/>
  <c r="J25" i="5"/>
  <c r="F79" i="1"/>
  <c r="B18" i="1"/>
  <c r="G72" i="1"/>
  <c r="E23" i="1"/>
  <c r="H26" i="1"/>
  <c r="D89" i="1"/>
  <c r="C63" i="5"/>
  <c r="H7" i="7"/>
  <c r="I84" i="5"/>
  <c r="J48" i="5"/>
  <c r="H93" i="1"/>
  <c r="B100" i="5"/>
  <c r="E99" i="4"/>
  <c r="I97" i="1"/>
  <c r="C32" i="4"/>
  <c r="H79" i="4"/>
  <c r="E35" i="1"/>
  <c r="F18" i="4"/>
  <c r="H34" i="5"/>
  <c r="C99" i="1"/>
  <c r="I27" i="1"/>
  <c r="I39" i="4"/>
  <c r="G87" i="4"/>
  <c r="L42" i="1"/>
  <c r="B93" i="1"/>
  <c r="I53" i="4"/>
  <c r="J88" i="4"/>
  <c r="C43" i="5"/>
  <c r="C82" i="5"/>
  <c r="H32" i="5"/>
  <c r="H42" i="1"/>
  <c r="G92" i="1"/>
  <c r="H43" i="4"/>
  <c r="B16" i="5"/>
  <c r="D75" i="4"/>
  <c r="D13" i="5"/>
  <c r="G73" i="5"/>
  <c r="B102" i="5"/>
  <c r="H37" i="5"/>
  <c r="I36" i="4"/>
  <c r="I99" i="5"/>
  <c r="I38" i="5"/>
  <c r="I19" i="5"/>
  <c r="F20" i="4"/>
  <c r="M75" i="1"/>
  <c r="J68" i="4"/>
  <c r="E7" i="7"/>
  <c r="F39" i="1"/>
  <c r="D110" i="4"/>
  <c r="M92" i="1"/>
  <c r="G23" i="4"/>
  <c r="D88" i="5"/>
  <c r="G23" i="5"/>
  <c r="J110" i="4"/>
  <c r="G51" i="1"/>
  <c r="C97" i="5"/>
  <c r="C96" i="4"/>
  <c r="B14" i="1"/>
  <c r="E66" i="1"/>
  <c r="D7" i="7"/>
  <c r="D111" i="1"/>
  <c r="C102" i="4"/>
  <c r="H97" i="4"/>
  <c r="L108" i="1"/>
  <c r="C11" i="5"/>
  <c r="C106" i="4"/>
  <c r="D23" i="4"/>
  <c r="D97" i="5"/>
  <c r="E98" i="1"/>
  <c r="F54" i="4"/>
  <c r="D54" i="1"/>
  <c r="C64" i="1"/>
  <c r="D104" i="5"/>
  <c r="E87" i="1"/>
  <c r="L20" i="1"/>
  <c r="G67" i="1"/>
  <c r="B29" i="5"/>
  <c r="E63" i="4"/>
  <c r="L26" i="1"/>
  <c r="H64" i="1"/>
  <c r="M78" i="1"/>
  <c r="B22" i="5"/>
  <c r="B86" i="1"/>
  <c r="C66" i="5"/>
  <c r="F68" i="4"/>
  <c r="D50" i="4"/>
  <c r="D25" i="1"/>
  <c r="M112" i="1"/>
  <c r="H75" i="4"/>
  <c r="E61" i="1"/>
  <c r="F112" i="4"/>
  <c r="D58" i="4"/>
  <c r="L96" i="1"/>
  <c r="B95" i="5"/>
  <c r="M34" i="1"/>
  <c r="I28" i="4"/>
  <c r="B32" i="1"/>
  <c r="D57" i="4"/>
  <c r="J102" i="4"/>
  <c r="I14" i="1"/>
  <c r="E71" i="4"/>
  <c r="F73" i="1"/>
  <c r="C19" i="5"/>
  <c r="H69" i="1"/>
  <c r="I14" i="4"/>
  <c r="B38" i="1"/>
  <c r="H50" i="4"/>
  <c r="J111" i="4"/>
  <c r="G90" i="1"/>
  <c r="C24" i="1"/>
  <c r="L41" i="1"/>
  <c r="I98" i="4"/>
  <c r="D109" i="1"/>
  <c r="E27" i="1"/>
  <c r="C64" i="5"/>
  <c r="G85" i="4"/>
  <c r="B103" i="1"/>
  <c r="G66" i="1"/>
  <c r="C38" i="4"/>
  <c r="L34" i="1"/>
  <c r="H8" i="5"/>
  <c r="G34" i="4"/>
  <c r="I36" i="5"/>
  <c r="J55" i="5"/>
  <c r="F76" i="4"/>
  <c r="L105" i="1"/>
  <c r="G97" i="5"/>
  <c r="C102" i="1"/>
  <c r="F75" i="4"/>
  <c r="G48" i="1"/>
  <c r="D14" i="1"/>
  <c r="J61" i="4"/>
  <c r="G53" i="4"/>
  <c r="B60" i="5"/>
  <c r="B18" i="5"/>
  <c r="D76" i="4"/>
  <c r="G43" i="5"/>
  <c r="C98" i="1"/>
  <c r="I24" i="5"/>
  <c r="E107" i="1"/>
  <c r="D82" i="4"/>
  <c r="B87" i="5"/>
  <c r="J94" i="4"/>
  <c r="F44" i="4"/>
  <c r="J82" i="5"/>
  <c r="H70" i="4"/>
  <c r="H52" i="5"/>
  <c r="I46" i="5"/>
  <c r="L23" i="1"/>
  <c r="I7" i="7"/>
  <c r="E51" i="4"/>
  <c r="I83" i="5"/>
  <c r="B52" i="5"/>
  <c r="G77" i="4"/>
  <c r="B41" i="5"/>
  <c r="F17" i="4"/>
  <c r="B57" i="1"/>
  <c r="J51" i="4"/>
  <c r="E36" i="4"/>
  <c r="C25" i="4"/>
  <c r="I45" i="1"/>
  <c r="F96" i="4"/>
  <c r="J67" i="4"/>
  <c r="G31" i="5"/>
  <c r="I9" i="7"/>
  <c r="H30" i="1"/>
  <c r="D99" i="4"/>
  <c r="E68" i="4"/>
  <c r="G90" i="5"/>
  <c r="D72" i="4"/>
  <c r="J41" i="5"/>
  <c r="I75" i="5"/>
  <c r="C62" i="1"/>
  <c r="J47" i="4"/>
  <c r="I103" i="4"/>
  <c r="C86" i="4"/>
  <c r="E72" i="4"/>
  <c r="H75" i="5"/>
  <c r="H28" i="1"/>
  <c r="D90" i="1"/>
  <c r="C42" i="1"/>
  <c r="J21" i="4"/>
  <c r="E44" i="4"/>
  <c r="B91" i="5"/>
  <c r="F103" i="4"/>
  <c r="D66" i="1"/>
  <c r="F49" i="1"/>
  <c r="M109" i="1"/>
  <c r="J74" i="4"/>
  <c r="G36" i="4"/>
  <c r="D84" i="4"/>
  <c r="C28" i="4"/>
  <c r="I57" i="1"/>
  <c r="H32" i="4"/>
  <c r="E70" i="1"/>
  <c r="I25" i="1"/>
  <c r="L33" i="1"/>
  <c r="L46" i="1"/>
  <c r="J39" i="4"/>
  <c r="H92" i="4"/>
  <c r="C31" i="1"/>
  <c r="B99" i="5"/>
  <c r="I24" i="1"/>
  <c r="D23" i="1"/>
  <c r="C9" i="7"/>
  <c r="F87" i="1"/>
  <c r="D38" i="4"/>
  <c r="H36" i="1"/>
  <c r="C23" i="4"/>
  <c r="E84" i="4"/>
  <c r="C41" i="1"/>
  <c r="J27" i="4"/>
  <c r="F109" i="4"/>
  <c r="J6" i="5"/>
  <c r="B74" i="5"/>
  <c r="D102" i="5"/>
  <c r="G51" i="4"/>
  <c r="B70" i="1"/>
  <c r="J102" i="5"/>
  <c r="C63" i="4"/>
  <c r="H103" i="4"/>
  <c r="J85" i="4"/>
  <c r="F98" i="4"/>
  <c r="M70" i="1"/>
  <c r="D108" i="4"/>
  <c r="H72" i="1"/>
  <c r="H51" i="5"/>
  <c r="G99" i="4"/>
  <c r="G46" i="5"/>
  <c r="I48" i="1"/>
  <c r="L56" i="1"/>
  <c r="B48" i="5"/>
  <c r="B66" i="5"/>
  <c r="G88" i="4"/>
  <c r="M93" i="1"/>
  <c r="E44" i="1"/>
  <c r="L69" i="1"/>
  <c r="E30" i="4"/>
  <c r="D69" i="1"/>
  <c r="E73" i="1"/>
  <c r="H101" i="5"/>
  <c r="D35" i="4"/>
  <c r="H82" i="1"/>
  <c r="B56" i="5"/>
  <c r="D39" i="5"/>
  <c r="B13" i="5"/>
  <c r="G82" i="5"/>
  <c r="G47" i="5"/>
  <c r="C66" i="4"/>
  <c r="G36" i="1"/>
  <c r="G107" i="1"/>
  <c r="M55" i="1"/>
  <c r="D58" i="5"/>
  <c r="I15" i="1"/>
  <c r="H85" i="1"/>
  <c r="G35" i="1"/>
  <c r="L40" i="1"/>
  <c r="J7" i="5"/>
  <c r="G82" i="1"/>
  <c r="D94" i="4"/>
  <c r="H97" i="1"/>
  <c r="J59" i="4"/>
  <c r="E36" i="1"/>
  <c r="L104" i="1"/>
  <c r="C77" i="5"/>
  <c r="I31" i="1"/>
  <c r="C52" i="4"/>
  <c r="H50" i="1"/>
  <c r="M33" i="1"/>
  <c r="H64" i="5"/>
  <c r="L98" i="1"/>
  <c r="M19" i="1"/>
  <c r="G59" i="1"/>
  <c r="G60" i="4"/>
  <c r="E87" i="4"/>
  <c r="E25" i="4"/>
  <c r="C95" i="1"/>
  <c r="G96" i="1"/>
  <c r="C65" i="1"/>
  <c r="G18" i="1"/>
  <c r="J37" i="4"/>
  <c r="D78" i="4"/>
  <c r="I28" i="5"/>
  <c r="E41" i="4"/>
  <c r="E51" i="1"/>
  <c r="G44" i="4"/>
  <c r="G28" i="5"/>
  <c r="I103" i="1"/>
  <c r="C107" i="1"/>
  <c r="B90" i="5"/>
  <c r="C6" i="7"/>
  <c r="G33" i="1"/>
  <c r="J19" i="4"/>
  <c r="C9" i="5"/>
  <c r="M106" i="1"/>
  <c r="B64" i="5"/>
  <c r="I48" i="5"/>
  <c r="L99" i="1"/>
  <c r="M95" i="1"/>
  <c r="B65" i="5"/>
  <c r="D16" i="5"/>
  <c r="I66" i="1"/>
  <c r="D51" i="4"/>
  <c r="I78" i="1"/>
  <c r="D72" i="5"/>
  <c r="I65" i="5"/>
  <c r="C62" i="4"/>
  <c r="I50" i="1"/>
  <c r="G100" i="1"/>
  <c r="H18" i="1"/>
  <c r="I82" i="5"/>
  <c r="H105" i="1"/>
  <c r="C99" i="4"/>
  <c r="F68" i="1"/>
  <c r="C59" i="1"/>
  <c r="C41" i="5"/>
  <c r="H45" i="4"/>
  <c r="I57" i="4"/>
  <c r="I110" i="4"/>
  <c r="E73" i="4"/>
  <c r="L112" i="1"/>
  <c r="D78" i="5"/>
  <c r="J48" i="4"/>
  <c r="M54" i="1"/>
  <c r="C76" i="4"/>
  <c r="D97" i="4"/>
  <c r="I104" i="1"/>
  <c r="I88" i="5"/>
  <c r="H59" i="4"/>
  <c r="H109" i="4"/>
  <c r="I47" i="4"/>
  <c r="B39" i="5"/>
  <c r="C57" i="1"/>
  <c r="G111" i="4"/>
  <c r="H23" i="5"/>
  <c r="C91" i="5"/>
  <c r="C105" i="4"/>
  <c r="J11" i="5"/>
  <c r="B85" i="5"/>
  <c r="G38" i="5"/>
  <c r="G15" i="5"/>
  <c r="C71" i="4"/>
  <c r="F51" i="1"/>
  <c r="C43" i="1"/>
  <c r="D49" i="1"/>
  <c r="G78" i="4"/>
  <c r="F61" i="4"/>
  <c r="M44" i="1"/>
  <c r="H65" i="1"/>
  <c r="C112" i="4"/>
  <c r="C63" i="1"/>
  <c r="B96" i="5"/>
  <c r="B71" i="1"/>
  <c r="H99" i="5"/>
  <c r="E58" i="1"/>
  <c r="E37" i="4"/>
  <c r="M107" i="1"/>
  <c r="G19" i="1"/>
  <c r="H44" i="4"/>
  <c r="H101" i="1"/>
  <c r="L15" i="1"/>
  <c r="J15" i="4"/>
  <c r="L32" i="1"/>
  <c r="D84" i="1"/>
  <c r="D60" i="1"/>
  <c r="H62" i="1"/>
  <c r="C65" i="5"/>
  <c r="H60" i="1"/>
  <c r="B82" i="1"/>
  <c r="F77" i="4"/>
  <c r="H48" i="5"/>
  <c r="C57" i="4"/>
  <c r="I25" i="5"/>
  <c r="B24" i="5"/>
  <c r="E82" i="1"/>
  <c r="B99" i="1"/>
  <c r="G88" i="5"/>
  <c r="I87" i="4"/>
  <c r="D62" i="4"/>
  <c r="H53" i="1"/>
  <c r="D99" i="1"/>
  <c r="D46" i="4"/>
  <c r="G44" i="5"/>
  <c r="C36" i="4"/>
  <c r="F76" i="1"/>
  <c r="H21" i="1"/>
  <c r="B88" i="1"/>
  <c r="G27" i="4"/>
  <c r="I23" i="1"/>
  <c r="J23" i="5"/>
  <c r="I59" i="5"/>
  <c r="E79" i="1"/>
  <c r="I15" i="5"/>
  <c r="I79" i="1"/>
  <c r="B102" i="1"/>
  <c r="E46" i="4"/>
  <c r="E70" i="4"/>
  <c r="B106" i="1"/>
  <c r="J95" i="4"/>
  <c r="G59" i="4"/>
  <c r="C67" i="5"/>
  <c r="C47" i="5"/>
  <c r="J94" i="5"/>
  <c r="I97" i="4"/>
  <c r="B15" i="5"/>
  <c r="D67" i="5"/>
  <c r="M77" i="1"/>
  <c r="D28" i="1"/>
  <c r="M108" i="1"/>
  <c r="J74" i="5"/>
  <c r="G88" i="1"/>
  <c r="G90" i="4"/>
  <c r="C78" i="4"/>
  <c r="D17" i="4"/>
  <c r="G8" i="5"/>
  <c r="H98" i="5"/>
  <c r="G36" i="5"/>
  <c r="B37" i="5"/>
  <c r="I21" i="4"/>
  <c r="E40" i="4"/>
  <c r="B5" i="5"/>
  <c r="E99" i="1"/>
  <c r="B72" i="1"/>
  <c r="J62" i="5"/>
  <c r="J31" i="5"/>
  <c r="H58" i="5"/>
  <c r="I101" i="1"/>
  <c r="I69" i="4"/>
  <c r="I40" i="5"/>
  <c r="J9" i="5"/>
  <c r="C41" i="4"/>
  <c r="I58" i="5"/>
  <c r="B45" i="1"/>
  <c r="M72" i="1"/>
  <c r="D52" i="4"/>
  <c r="E81" i="4"/>
  <c r="F29" i="4"/>
  <c r="I49" i="5"/>
  <c r="C48" i="5"/>
  <c r="J52" i="5"/>
  <c r="D71" i="5"/>
  <c r="M87" i="1"/>
  <c r="D62" i="5"/>
  <c r="H91" i="4"/>
  <c r="D112" i="4"/>
  <c r="L36" i="1"/>
  <c r="F25" i="4"/>
  <c r="G28" i="4"/>
  <c r="M61" i="1"/>
  <c r="B55" i="5"/>
  <c r="H71" i="4"/>
  <c r="H104" i="4"/>
  <c r="I89" i="4"/>
  <c r="H112" i="1"/>
  <c r="I90" i="5"/>
  <c r="I76" i="4"/>
  <c r="I8" i="5"/>
  <c r="D29" i="1"/>
  <c r="D19" i="5"/>
  <c r="F24" i="4"/>
  <c r="L76" i="1"/>
  <c r="L72" i="1"/>
  <c r="B96" i="1"/>
  <c r="G43" i="4"/>
  <c r="F95" i="1"/>
  <c r="D75" i="5"/>
  <c r="D80" i="4"/>
  <c r="E64" i="1"/>
  <c r="I43" i="1"/>
  <c r="G30" i="1"/>
  <c r="C88" i="5"/>
  <c r="I100" i="4"/>
  <c r="H74" i="1"/>
  <c r="H68" i="1"/>
  <c r="H100" i="4"/>
  <c r="G6" i="5"/>
  <c r="M52" i="1"/>
  <c r="J46" i="4"/>
  <c r="G81" i="5"/>
  <c r="H85" i="5"/>
  <c r="E59" i="4"/>
  <c r="D18" i="4"/>
  <c r="B90" i="1"/>
  <c r="J69" i="4"/>
  <c r="J98" i="5"/>
  <c r="F44" i="1"/>
  <c r="I109" i="1"/>
  <c r="B58" i="5"/>
  <c r="J24" i="5"/>
  <c r="D20" i="5"/>
  <c r="L92" i="1"/>
  <c r="C17" i="1"/>
  <c r="F55" i="4"/>
  <c r="G103" i="4"/>
  <c r="I79" i="5"/>
  <c r="B49" i="1"/>
  <c r="F19" i="4"/>
  <c r="G101" i="1"/>
  <c r="D10" i="5"/>
  <c r="J64" i="5"/>
  <c r="C71" i="5"/>
  <c r="I54" i="5"/>
  <c r="F39" i="4"/>
  <c r="C91" i="4"/>
  <c r="I23" i="5"/>
  <c r="H27" i="4"/>
  <c r="G57" i="1"/>
  <c r="M15" i="1"/>
  <c r="J30" i="4"/>
  <c r="E82" i="4"/>
  <c r="C44" i="4"/>
  <c r="B31" i="5"/>
  <c r="B44" i="1"/>
  <c r="D79" i="1"/>
  <c r="H83" i="5"/>
  <c r="E103" i="1"/>
  <c r="C37" i="4"/>
  <c r="D19" i="4"/>
  <c r="C39" i="4"/>
  <c r="I6" i="7"/>
  <c r="H109" i="1"/>
  <c r="G80" i="5"/>
  <c r="G83" i="4"/>
  <c r="F38" i="1"/>
  <c r="I94" i="4"/>
  <c r="C83" i="4"/>
  <c r="I47" i="1"/>
  <c r="I39" i="5"/>
  <c r="I81" i="1"/>
  <c r="C24" i="5"/>
  <c r="E83" i="1"/>
  <c r="L28" i="1"/>
  <c r="C30" i="1"/>
  <c r="B16" i="1"/>
  <c r="E53" i="1"/>
  <c r="J50" i="5"/>
  <c r="H28" i="5"/>
  <c r="I101" i="4"/>
  <c r="I16" i="5"/>
  <c r="I91" i="5"/>
  <c r="C27" i="1"/>
  <c r="B32" i="5"/>
  <c r="D16" i="1"/>
  <c r="H80" i="4"/>
  <c r="D73" i="4"/>
  <c r="G92" i="5"/>
  <c r="H31" i="4"/>
  <c r="I92" i="4"/>
  <c r="D70" i="1"/>
  <c r="J92" i="5"/>
  <c r="H88" i="4"/>
  <c r="D15" i="5"/>
  <c r="H33" i="1"/>
  <c r="I46" i="1"/>
  <c r="G17" i="5"/>
  <c r="I6" i="5"/>
  <c r="F106" i="4"/>
  <c r="I111" i="4"/>
  <c r="D23" i="5"/>
  <c r="G87" i="1"/>
  <c r="I111" i="1"/>
  <c r="E30" i="1"/>
  <c r="C55" i="5"/>
  <c r="H96" i="1"/>
  <c r="H80" i="1"/>
  <c r="I21" i="5"/>
  <c r="G108" i="1"/>
  <c r="I37" i="1"/>
  <c r="E111" i="4"/>
  <c r="C23" i="5"/>
  <c r="D92" i="5"/>
  <c r="H94" i="1"/>
  <c r="H52" i="4"/>
  <c r="F24" i="1"/>
  <c r="I77" i="4"/>
  <c r="C110" i="4"/>
  <c r="I53" i="1"/>
  <c r="D5" i="5"/>
  <c r="H39" i="1"/>
  <c r="B40" i="5"/>
  <c r="D45" i="5"/>
  <c r="F108" i="4"/>
  <c r="C61" i="4"/>
  <c r="G58" i="5"/>
  <c r="F52" i="1"/>
  <c r="C57" i="5"/>
  <c r="D55" i="1"/>
  <c r="B87" i="1"/>
  <c r="B80" i="5"/>
  <c r="I11" i="7"/>
  <c r="I86" i="5"/>
  <c r="H18" i="5"/>
  <c r="J85" i="5"/>
  <c r="D96" i="4"/>
  <c r="C103" i="1"/>
  <c r="J20" i="5"/>
  <c r="M58" i="1"/>
  <c r="I63" i="1"/>
  <c r="E107" i="4"/>
  <c r="B9" i="5"/>
  <c r="H37" i="1"/>
  <c r="F84" i="1"/>
  <c r="B101" i="1"/>
  <c r="D64" i="1"/>
  <c r="B84" i="1"/>
  <c r="G12" i="5"/>
  <c r="F107" i="1"/>
  <c r="F60" i="4"/>
  <c r="H87" i="4"/>
  <c r="E92" i="1"/>
  <c r="F93" i="4"/>
  <c r="G20" i="4"/>
  <c r="C22" i="4"/>
  <c r="B51" i="1"/>
  <c r="I66" i="5"/>
  <c r="I82" i="1"/>
  <c r="I60" i="1"/>
  <c r="E33" i="1"/>
  <c r="H5" i="5"/>
  <c r="D86" i="1"/>
  <c r="I91" i="4"/>
  <c r="H86" i="1"/>
  <c r="D40" i="4"/>
  <c r="C103" i="5"/>
  <c r="J63" i="5"/>
  <c r="I49" i="1"/>
  <c r="E15" i="1"/>
  <c r="I70" i="1"/>
  <c r="H86" i="4"/>
  <c r="F27" i="4"/>
  <c r="G54" i="5"/>
  <c r="I69" i="1"/>
  <c r="D109" i="4"/>
  <c r="F93" i="1"/>
  <c r="L79" i="1"/>
  <c r="M32" i="1"/>
  <c r="F109" i="1"/>
  <c r="M104" i="1"/>
  <c r="D42" i="1"/>
  <c r="E77" i="1"/>
  <c r="H20" i="4"/>
  <c r="B46" i="1"/>
  <c r="D24" i="4"/>
  <c r="D51" i="1"/>
  <c r="C79" i="5"/>
  <c r="C64" i="4"/>
  <c r="D75" i="1"/>
  <c r="L43" i="1"/>
  <c r="H77" i="4"/>
  <c r="L55" i="1"/>
  <c r="F64" i="1"/>
  <c r="F99" i="1"/>
  <c r="B58" i="1"/>
  <c r="B22" i="1"/>
  <c r="B17" i="1"/>
  <c r="F82" i="1"/>
  <c r="E100" i="4"/>
  <c r="D63" i="4"/>
  <c r="F96" i="1"/>
  <c r="C82" i="4"/>
  <c r="I95" i="1"/>
  <c r="I26" i="1"/>
  <c r="J42" i="4"/>
  <c r="B100" i="1"/>
  <c r="G110" i="1"/>
  <c r="H19" i="4"/>
  <c r="B44" i="5"/>
  <c r="H49" i="4"/>
  <c r="I91" i="1"/>
  <c r="E109" i="4"/>
  <c r="H40" i="1"/>
  <c r="H16" i="1"/>
  <c r="M60" i="1"/>
  <c r="H89" i="5"/>
  <c r="H58" i="4"/>
  <c r="D48" i="4"/>
  <c r="H38" i="4"/>
  <c r="F50" i="4"/>
  <c r="C83" i="5"/>
  <c r="F59" i="4"/>
  <c r="G74" i="4"/>
  <c r="F35" i="4"/>
  <c r="G66" i="5"/>
  <c r="J52" i="4"/>
  <c r="I102" i="4"/>
  <c r="D52" i="1"/>
  <c r="I84" i="4"/>
  <c r="C54" i="5"/>
  <c r="M40" i="1"/>
  <c r="F54" i="1"/>
  <c r="C50" i="1"/>
  <c r="L54" i="1"/>
  <c r="J67" i="5"/>
  <c r="I44" i="1"/>
  <c r="C111" i="4"/>
  <c r="I37" i="5"/>
  <c r="I35" i="1"/>
  <c r="D49" i="4"/>
  <c r="G92" i="4"/>
  <c r="G61" i="1"/>
  <c r="F31" i="4"/>
  <c r="B54" i="1"/>
  <c r="B9" i="7"/>
  <c r="J70" i="5"/>
  <c r="G32" i="1"/>
  <c r="F105" i="1"/>
  <c r="B34" i="1"/>
  <c r="C108" i="4"/>
  <c r="H53" i="4"/>
  <c r="E92" i="4"/>
  <c r="G100" i="5"/>
  <c r="G91" i="5"/>
  <c r="B36" i="1"/>
  <c r="F78" i="1"/>
  <c r="D7" i="5"/>
  <c r="B74" i="1"/>
  <c r="L51" i="1"/>
  <c r="L87" i="1"/>
  <c r="G9" i="7"/>
  <c r="M76" i="1"/>
  <c r="I65" i="4"/>
  <c r="M74" i="1"/>
  <c r="C46" i="4"/>
  <c r="I18" i="1"/>
  <c r="J90" i="5"/>
  <c r="J97" i="4"/>
  <c r="J101" i="4"/>
  <c r="E105" i="4"/>
  <c r="D50" i="5"/>
  <c r="H64" i="4"/>
  <c r="L71" i="1"/>
  <c r="F23" i="4"/>
  <c r="C45" i="1"/>
  <c r="B104" i="1"/>
  <c r="B73" i="1"/>
  <c r="D51" i="5"/>
  <c r="H92" i="1"/>
  <c r="M26" i="1"/>
  <c r="C11" i="7"/>
  <c r="J59" i="5"/>
  <c r="J34" i="4"/>
  <c r="F83" i="4"/>
  <c r="L35" i="1"/>
  <c r="F45" i="1"/>
  <c r="H19" i="1"/>
  <c r="H78" i="5"/>
  <c r="L30" i="1"/>
  <c r="D44" i="1"/>
  <c r="F113" i="1"/>
  <c r="C69" i="5"/>
  <c r="J100" i="5"/>
  <c r="B94" i="5"/>
  <c r="G107" i="4"/>
  <c r="L62" i="1"/>
  <c r="B25" i="1"/>
  <c r="C61" i="5"/>
  <c r="H30" i="4"/>
  <c r="C94" i="1"/>
  <c r="G42" i="5"/>
  <c r="H70" i="1"/>
  <c r="E42" i="1"/>
  <c r="E112" i="4"/>
  <c r="E59" i="1"/>
  <c r="I102" i="5"/>
  <c r="M46" i="1"/>
  <c r="L27" i="1"/>
  <c r="F70" i="4"/>
  <c r="C87" i="4"/>
  <c r="C102" i="5"/>
  <c r="I58" i="4"/>
  <c r="C39" i="1"/>
  <c r="I60" i="5"/>
  <c r="M48" i="1"/>
  <c r="B66" i="1"/>
  <c r="B7" i="7"/>
  <c r="E72" i="1"/>
  <c r="E74" i="1"/>
  <c r="I105" i="4"/>
  <c r="J93" i="4"/>
  <c r="B11" i="5"/>
  <c r="G40" i="4"/>
  <c r="I86" i="4"/>
  <c r="I63" i="4"/>
  <c r="F67" i="1"/>
  <c r="B53" i="1"/>
  <c r="D101" i="5"/>
  <c r="H110" i="1"/>
  <c r="M59" i="1"/>
  <c r="C22" i="1"/>
  <c r="C50" i="4"/>
  <c r="G51" i="5"/>
  <c r="F55" i="1"/>
  <c r="C27" i="5"/>
  <c r="D94" i="1"/>
  <c r="D44" i="4"/>
  <c r="F32" i="4"/>
  <c r="M90" i="1"/>
  <c r="B42" i="1"/>
  <c r="B80" i="1"/>
  <c r="I94" i="5"/>
  <c r="G42" i="1"/>
  <c r="E32" i="1"/>
  <c r="G25" i="4"/>
  <c r="H62" i="5"/>
  <c r="J40" i="4"/>
  <c r="I62" i="1"/>
  <c r="L111" i="1"/>
  <c r="I33" i="4"/>
  <c r="E53" i="4"/>
  <c r="H22" i="4"/>
  <c r="I65" i="1"/>
  <c r="M83" i="1"/>
  <c r="M94" i="1"/>
  <c r="J57" i="4"/>
  <c r="H63" i="1"/>
  <c r="F106" i="1"/>
  <c r="E76" i="4"/>
  <c r="D32" i="1"/>
  <c r="F59" i="1"/>
  <c r="J80" i="5"/>
  <c r="H34" i="1"/>
  <c r="C31" i="5"/>
  <c r="G49" i="1"/>
  <c r="C58" i="4"/>
  <c r="C88" i="1"/>
  <c r="H19" i="5"/>
  <c r="C28" i="1"/>
  <c r="I64" i="1"/>
  <c r="D70" i="5"/>
  <c r="J43" i="5"/>
  <c r="H32" i="1"/>
  <c r="I87" i="1"/>
  <c r="D102" i="4"/>
  <c r="B19" i="1"/>
  <c r="C77" i="4"/>
  <c r="B94" i="1"/>
  <c r="J37" i="5"/>
  <c r="H38" i="1"/>
  <c r="C18" i="1"/>
  <c r="I76" i="5"/>
  <c r="J92" i="4"/>
  <c r="M28" i="1"/>
  <c r="D8" i="7"/>
  <c r="M113" i="1"/>
  <c r="J83" i="5"/>
  <c r="H37" i="4"/>
  <c r="D87" i="1"/>
  <c r="G42" i="4"/>
  <c r="C111" i="1"/>
  <c r="C74" i="5"/>
  <c r="M41" i="1"/>
  <c r="G15" i="4"/>
  <c r="G52" i="1"/>
  <c r="M97" i="1"/>
  <c r="G83" i="1"/>
  <c r="G57" i="5"/>
  <c r="D68" i="4"/>
  <c r="I46" i="4"/>
  <c r="E55" i="1"/>
  <c r="B76" i="1"/>
  <c r="D91" i="1"/>
  <c r="H26" i="5"/>
  <c r="G54" i="1"/>
  <c r="G74" i="5"/>
  <c r="I20" i="5"/>
  <c r="D57" i="1"/>
  <c r="B113" i="1"/>
  <c r="G17" i="1"/>
  <c r="D95" i="1"/>
  <c r="E47" i="4"/>
  <c r="I38" i="1"/>
  <c r="B6" i="7"/>
  <c r="D57" i="5"/>
  <c r="F36" i="4"/>
  <c r="J49" i="5"/>
  <c r="F102" i="1"/>
  <c r="J66" i="4"/>
  <c r="H72" i="4"/>
  <c r="L31" i="1"/>
  <c r="C98" i="4"/>
  <c r="D64" i="5"/>
  <c r="H100" i="1"/>
  <c r="D89" i="4"/>
  <c r="H86" i="5"/>
  <c r="H66" i="5"/>
  <c r="G103" i="5"/>
  <c r="H84" i="4"/>
  <c r="D78" i="1"/>
  <c r="L81" i="1"/>
  <c r="C101" i="1"/>
  <c r="H57" i="1"/>
  <c r="H113" i="1"/>
  <c r="E69" i="1"/>
  <c r="D69" i="5"/>
  <c r="E112" i="1"/>
  <c r="G53" i="1"/>
  <c r="I27" i="5"/>
  <c r="C6" i="5"/>
  <c r="D21" i="1"/>
  <c r="C58" i="5"/>
  <c r="H11" i="7"/>
  <c r="H35" i="1"/>
  <c r="H46" i="1"/>
  <c r="I99" i="1"/>
  <c r="I56" i="1"/>
  <c r="D97" i="1"/>
  <c r="I85" i="4"/>
  <c r="F94" i="1"/>
  <c r="G89" i="1"/>
  <c r="C47" i="1"/>
  <c r="J64" i="4"/>
  <c r="J53" i="5"/>
  <c r="I52" i="1"/>
  <c r="H49" i="5"/>
  <c r="F42" i="1"/>
  <c r="H110" i="4"/>
  <c r="E38" i="4"/>
  <c r="F90" i="1"/>
  <c r="C105" i="1"/>
  <c r="C30" i="4"/>
  <c r="D14" i="5"/>
  <c r="E63" i="1"/>
  <c r="C103" i="4"/>
  <c r="H45" i="1"/>
  <c r="I31" i="4"/>
  <c r="D34" i="5"/>
  <c r="D32" i="4"/>
  <c r="H65" i="5"/>
  <c r="I109" i="4"/>
  <c r="C14" i="1"/>
  <c r="H17" i="5"/>
  <c r="H95" i="1"/>
  <c r="F26" i="1"/>
  <c r="D26" i="1"/>
  <c r="F92" i="1"/>
  <c r="E89" i="4"/>
  <c r="H33" i="4"/>
  <c r="G102" i="1"/>
  <c r="L16" i="1"/>
  <c r="G72" i="4"/>
  <c r="H81" i="4"/>
  <c r="F8" i="7"/>
  <c r="D108" i="1"/>
  <c r="G56" i="5"/>
  <c r="E85" i="4"/>
  <c r="I89" i="5"/>
  <c r="L47" i="1"/>
  <c r="I79" i="4"/>
  <c r="C78" i="1"/>
  <c r="I97" i="5"/>
  <c r="G104" i="1"/>
  <c r="J72" i="4"/>
  <c r="C51" i="1"/>
  <c r="M99" i="1"/>
  <c r="C94" i="5"/>
  <c r="M38" i="1"/>
  <c r="I88" i="1"/>
  <c r="C110" i="1"/>
  <c r="B85" i="1"/>
  <c r="I25" i="4"/>
  <c r="G21" i="5"/>
  <c r="F77" i="1"/>
  <c r="F48" i="1"/>
  <c r="F101" i="1"/>
  <c r="D48" i="1"/>
  <c r="J81" i="5"/>
  <c r="I30" i="4"/>
  <c r="J77" i="4"/>
  <c r="B103" i="5"/>
  <c r="G48" i="5"/>
  <c r="I13" i="5"/>
  <c r="J113" i="4"/>
  <c r="M91" i="1"/>
  <c r="E40" i="1"/>
  <c r="D27" i="1"/>
  <c r="I81" i="5"/>
  <c r="B59" i="5"/>
  <c r="E55" i="4"/>
  <c r="B37" i="1"/>
  <c r="E60" i="4"/>
  <c r="D22" i="1"/>
  <c r="D45" i="4"/>
  <c r="D110" i="1"/>
  <c r="C77" i="1"/>
  <c r="I78" i="5"/>
  <c r="I72" i="4"/>
  <c r="H14" i="4"/>
  <c r="D65" i="4"/>
  <c r="I64" i="5"/>
  <c r="C56" i="5"/>
  <c r="I110" i="1"/>
  <c r="H54" i="1"/>
  <c r="D69" i="4"/>
  <c r="G49" i="4"/>
  <c r="E56" i="1"/>
  <c r="E71" i="1"/>
  <c r="G16" i="5"/>
  <c r="F71" i="1"/>
  <c r="B43" i="5"/>
  <c r="C69" i="1"/>
  <c r="B89" i="5"/>
  <c r="C76" i="1"/>
  <c r="F90" i="4"/>
  <c r="G104" i="5"/>
  <c r="J75" i="5"/>
  <c r="C73" i="5"/>
  <c r="C23" i="1"/>
  <c r="H62" i="4"/>
  <c r="F61" i="1"/>
  <c r="J79" i="5"/>
  <c r="F81" i="4"/>
  <c r="D33" i="4"/>
  <c r="B45" i="5"/>
  <c r="D53" i="5"/>
  <c r="C15" i="4"/>
  <c r="B28" i="5"/>
  <c r="B6" i="5"/>
  <c r="E19" i="1"/>
  <c r="H85" i="4"/>
  <c r="L94" i="1"/>
  <c r="I36" i="1"/>
  <c r="I112" i="4"/>
  <c r="D100" i="1"/>
  <c r="L109" i="1"/>
  <c r="C38" i="1"/>
  <c r="F23" i="1"/>
  <c r="E93" i="1"/>
  <c r="G55" i="5"/>
  <c r="G80" i="1"/>
  <c r="I80" i="5"/>
  <c r="C33" i="1"/>
  <c r="H76" i="5"/>
  <c r="B59" i="1"/>
  <c r="I30" i="5"/>
  <c r="D101" i="1"/>
  <c r="J60" i="5"/>
  <c r="C52" i="1"/>
  <c r="C17" i="4"/>
  <c r="F45" i="4"/>
  <c r="G16" i="1"/>
  <c r="J66" i="5"/>
  <c r="G93" i="4"/>
  <c r="H23" i="4"/>
  <c r="G70" i="5"/>
  <c r="I19" i="1"/>
  <c r="I73" i="5"/>
  <c r="D81" i="1"/>
  <c r="C73" i="4"/>
  <c r="E50" i="1"/>
  <c r="I102" i="1"/>
  <c r="L93" i="1"/>
  <c r="G85" i="1"/>
  <c r="F83" i="1"/>
  <c r="D33" i="5"/>
  <c r="I61" i="1"/>
  <c r="I105" i="1"/>
  <c r="J105" i="4"/>
  <c r="C52" i="5"/>
  <c r="G31" i="4"/>
  <c r="D43" i="1"/>
  <c r="F56" i="4"/>
  <c r="I99" i="4"/>
  <c r="C7" i="5"/>
  <c r="D37" i="4"/>
  <c r="B54" i="5"/>
  <c r="C60" i="5"/>
  <c r="J44" i="4"/>
  <c r="E26" i="4"/>
  <c r="F104" i="1"/>
  <c r="J55" i="4"/>
  <c r="D11" i="7"/>
  <c r="H44" i="5"/>
  <c r="C29" i="1"/>
  <c r="G18" i="5"/>
  <c r="G81" i="1"/>
  <c r="I10" i="5"/>
  <c r="G78" i="5"/>
  <c r="F69" i="1"/>
  <c r="I52" i="4"/>
  <c r="J10" i="5"/>
  <c r="M102" i="1"/>
  <c r="G75" i="1"/>
  <c r="I81" i="4"/>
  <c r="J104" i="4"/>
  <c r="H96" i="5"/>
  <c r="G76" i="4"/>
  <c r="G55" i="4"/>
  <c r="J65" i="5"/>
  <c r="E68" i="1"/>
  <c r="E103" i="4"/>
  <c r="H55" i="5"/>
  <c r="E104" i="4"/>
  <c r="J29" i="1" l="1"/>
  <c r="J52" i="1"/>
  <c r="J33" i="1"/>
  <c r="J38" i="1"/>
  <c r="J23" i="1"/>
  <c r="J76" i="1"/>
  <c r="J69" i="1"/>
  <c r="K54" i="1"/>
  <c r="J77" i="1"/>
  <c r="J110" i="1"/>
  <c r="J51" i="1"/>
  <c r="J78" i="1"/>
  <c r="K95" i="1"/>
  <c r="J14" i="1"/>
  <c r="K45" i="1"/>
  <c r="J105" i="1"/>
  <c r="J47" i="1"/>
  <c r="K46" i="1"/>
  <c r="K35" i="1"/>
  <c r="K113" i="1"/>
  <c r="K57" i="1"/>
  <c r="J101" i="1"/>
  <c r="K100" i="1"/>
  <c r="J111" i="1"/>
  <c r="J18" i="1"/>
  <c r="K38" i="1"/>
  <c r="K32" i="1"/>
  <c r="J28" i="1"/>
  <c r="J88" i="1"/>
  <c r="K34" i="1"/>
  <c r="K63" i="1"/>
  <c r="J22" i="1"/>
  <c r="K110" i="1"/>
  <c r="J39" i="1"/>
  <c r="K70" i="1"/>
  <c r="J94" i="1"/>
  <c r="K19" i="1"/>
  <c r="K92" i="1"/>
  <c r="J45" i="1"/>
  <c r="J50" i="1"/>
  <c r="K16" i="1"/>
  <c r="K40" i="1"/>
  <c r="K86" i="1"/>
  <c r="K37" i="1"/>
  <c r="J103" i="1"/>
  <c r="K39" i="1"/>
  <c r="K94" i="1"/>
  <c r="K80" i="1"/>
  <c r="K96" i="1"/>
  <c r="K33" i="1"/>
  <c r="J27" i="1"/>
  <c r="J30" i="1"/>
  <c r="K109" i="1"/>
  <c r="J17" i="1"/>
  <c r="K68" i="1"/>
  <c r="K74" i="1"/>
  <c r="K112" i="1"/>
  <c r="K21" i="1"/>
  <c r="K53" i="1"/>
  <c r="K60" i="1"/>
  <c r="K62" i="1"/>
  <c r="K101" i="1"/>
  <c r="J63" i="1"/>
  <c r="K65" i="1"/>
  <c r="J43" i="1"/>
  <c r="J57" i="1"/>
  <c r="J59" i="1"/>
  <c r="K105" i="1"/>
  <c r="K18" i="1"/>
  <c r="J107" i="1"/>
  <c r="J65" i="1"/>
  <c r="J95" i="1"/>
  <c r="K50" i="1"/>
  <c r="K97" i="1"/>
  <c r="K85" i="1"/>
  <c r="K82" i="1"/>
  <c r="K72" i="1"/>
  <c r="J41" i="1"/>
  <c r="K36" i="1"/>
  <c r="J31" i="1"/>
  <c r="J42" i="1"/>
  <c r="K28" i="1"/>
  <c r="J62" i="1"/>
  <c r="K30" i="1"/>
  <c r="J98" i="1"/>
  <c r="J102" i="1"/>
  <c r="J24" i="1"/>
  <c r="K69" i="1"/>
  <c r="K64" i="1"/>
  <c r="J64" i="1"/>
  <c r="K42" i="1"/>
  <c r="J99" i="1"/>
  <c r="K93" i="1"/>
  <c r="K26" i="1"/>
  <c r="K56" i="1"/>
  <c r="K14" i="1"/>
  <c r="J73" i="1"/>
  <c r="K77" i="1"/>
  <c r="K71" i="1"/>
  <c r="J100" i="1"/>
  <c r="J89" i="1"/>
  <c r="K24" i="1"/>
  <c r="J46" i="1"/>
  <c r="K67" i="1"/>
  <c r="J44" i="1"/>
  <c r="K73" i="1"/>
  <c r="K25" i="1"/>
  <c r="J86" i="1"/>
  <c r="K17" i="1"/>
  <c r="K104" i="1"/>
  <c r="J21" i="1"/>
  <c r="J80" i="1"/>
  <c r="J34" i="1"/>
  <c r="K29" i="1"/>
  <c r="K49" i="1"/>
  <c r="J82" i="1"/>
  <c r="J71" i="1"/>
  <c r="J109" i="1"/>
  <c r="J60" i="1"/>
  <c r="J85" i="1"/>
  <c r="J48" i="1"/>
  <c r="J81" i="1"/>
  <c r="J91" i="1"/>
  <c r="J92" i="1"/>
  <c r="K90" i="1"/>
  <c r="K41" i="1"/>
  <c r="J104" i="1"/>
  <c r="J36" i="1"/>
  <c r="J19" i="1"/>
  <c r="K22" i="1"/>
  <c r="K87" i="1"/>
  <c r="J56" i="1"/>
  <c r="J79" i="1"/>
  <c r="J15" i="1"/>
  <c r="K79" i="1"/>
  <c r="J108" i="1"/>
  <c r="K23" i="1"/>
  <c r="J75" i="1"/>
  <c r="K51" i="1"/>
  <c r="J93" i="1"/>
  <c r="J112" i="1"/>
  <c r="J61" i="1"/>
  <c r="K99" i="1"/>
  <c r="J25" i="1"/>
  <c r="K44" i="1"/>
  <c r="J66" i="1"/>
  <c r="J35" i="1"/>
  <c r="J54" i="1"/>
  <c r="J53" i="1"/>
  <c r="J84" i="1"/>
  <c r="K52" i="1"/>
  <c r="J90" i="1"/>
  <c r="K75" i="1"/>
  <c r="J32" i="1"/>
  <c r="K106" i="1"/>
  <c r="K78" i="1"/>
  <c r="K88" i="1"/>
  <c r="K55" i="1"/>
  <c r="K27" i="1"/>
  <c r="J106" i="1"/>
  <c r="J40" i="1"/>
  <c r="K103" i="1"/>
  <c r="K66" i="1"/>
  <c r="J96" i="1"/>
  <c r="K102" i="1"/>
  <c r="K84" i="1"/>
  <c r="J49" i="1"/>
  <c r="K98" i="1"/>
  <c r="K61" i="1"/>
  <c r="K76" i="1"/>
  <c r="J16" i="1"/>
  <c r="K43" i="1"/>
  <c r="K58" i="1"/>
  <c r="J55" i="1"/>
  <c r="K111" i="1"/>
  <c r="K47" i="1"/>
  <c r="J113" i="1"/>
  <c r="K15" i="1"/>
  <c r="J83" i="1"/>
  <c r="K107" i="1"/>
  <c r="J20" i="1"/>
  <c r="K108" i="1"/>
  <c r="J72" i="1"/>
  <c r="K20" i="1"/>
  <c r="K59" i="1"/>
  <c r="J87" i="1"/>
  <c r="K89" i="1"/>
  <c r="K81" i="1"/>
  <c r="K31" i="1"/>
  <c r="J67" i="1"/>
  <c r="K91" i="1"/>
  <c r="J37" i="1"/>
  <c r="J26" i="1"/>
  <c r="J70" i="1"/>
  <c r="J58" i="1"/>
  <c r="J97" i="1"/>
  <c r="J68" i="1"/>
  <c r="K48" i="1"/>
  <c r="K83" i="1"/>
  <c r="J74" i="1"/>
</calcChain>
</file>

<file path=xl/sharedStrings.xml><?xml version="1.0" encoding="utf-8"?>
<sst xmlns="http://schemas.openxmlformats.org/spreadsheetml/2006/main" count="620" uniqueCount="171">
  <si>
    <t xml:space="preserve">HİSSELER </t>
  </si>
  <si>
    <t>AKBNK</t>
  </si>
  <si>
    <t>AKFGY</t>
  </si>
  <si>
    <t>AKSA</t>
  </si>
  <si>
    <t>AKSEN</t>
  </si>
  <si>
    <t>ALGYO</t>
  </si>
  <si>
    <t>ALARK</t>
  </si>
  <si>
    <t>ALBRK</t>
  </si>
  <si>
    <t>ALKIM</t>
  </si>
  <si>
    <t>AEFES</t>
  </si>
  <si>
    <t>AGHOL</t>
  </si>
  <si>
    <t>ARCLK</t>
  </si>
  <si>
    <t>ARDYZ</t>
  </si>
  <si>
    <t>ASELS</t>
  </si>
  <si>
    <t>AYDEM</t>
  </si>
  <si>
    <t>BAGFS</t>
  </si>
  <si>
    <t>BASGZ</t>
  </si>
  <si>
    <t>BERA</t>
  </si>
  <si>
    <t>BIMAS</t>
  </si>
  <si>
    <t>BRYAT</t>
  </si>
  <si>
    <t>BUCIM</t>
  </si>
  <si>
    <t>CCOLA</t>
  </si>
  <si>
    <t>CEMTS</t>
  </si>
  <si>
    <t>CIMSA</t>
  </si>
  <si>
    <t>DEVA</t>
  </si>
  <si>
    <t>DOHOL</t>
  </si>
  <si>
    <t>DOAS</t>
  </si>
  <si>
    <t>ECILC</t>
  </si>
  <si>
    <t>EGEEN</t>
  </si>
  <si>
    <t>EKGYO</t>
  </si>
  <si>
    <t>ENJSA</t>
  </si>
  <si>
    <t>ENKAI</t>
  </si>
  <si>
    <t>ERBOS</t>
  </si>
  <si>
    <t>EREGL</t>
  </si>
  <si>
    <t>FROTO</t>
  </si>
  <si>
    <t>GWIND</t>
  </si>
  <si>
    <t>GARAN</t>
  </si>
  <si>
    <t>GENIL</t>
  </si>
  <si>
    <t>GLYHO</t>
  </si>
  <si>
    <t>GOZDE</t>
  </si>
  <si>
    <t>GSDHO</t>
  </si>
  <si>
    <t>GUBRF</t>
  </si>
  <si>
    <t>HEKTS</t>
  </si>
  <si>
    <t>INVES</t>
  </si>
  <si>
    <t>INDES</t>
  </si>
  <si>
    <t>IPEKE</t>
  </si>
  <si>
    <t>ISDMR</t>
  </si>
  <si>
    <t>ISCTR</t>
  </si>
  <si>
    <t>ISFIN</t>
  </si>
  <si>
    <t>ISGYO</t>
  </si>
  <si>
    <t>ISMEN</t>
  </si>
  <si>
    <t>JANTS</t>
  </si>
  <si>
    <t>KRDMD</t>
  </si>
  <si>
    <t>KARSN</t>
  </si>
  <si>
    <t>KCHOL</t>
  </si>
  <si>
    <t>KONTR</t>
  </si>
  <si>
    <t>KORDS</t>
  </si>
  <si>
    <t>KOZAL</t>
  </si>
  <si>
    <t>KOZAA</t>
  </si>
  <si>
    <t>LOGO</t>
  </si>
  <si>
    <t>MAVI</t>
  </si>
  <si>
    <t>MGROS</t>
  </si>
  <si>
    <t>NTHOL</t>
  </si>
  <si>
    <t>NUGYO</t>
  </si>
  <si>
    <t>ODAS</t>
  </si>
  <si>
    <t>OTKAR</t>
  </si>
  <si>
    <t>OYAKC</t>
  </si>
  <si>
    <t>PARSN</t>
  </si>
  <si>
    <t>PSGYO</t>
  </si>
  <si>
    <t>PGSUS</t>
  </si>
  <si>
    <t>PETKM</t>
  </si>
  <si>
    <t>QUAGR</t>
  </si>
  <si>
    <t>SAHOL</t>
  </si>
  <si>
    <t>SASA</t>
  </si>
  <si>
    <t>SELEC</t>
  </si>
  <si>
    <t>SNGYO</t>
  </si>
  <si>
    <t>SKBNK</t>
  </si>
  <si>
    <t>SISE</t>
  </si>
  <si>
    <t>SOKM</t>
  </si>
  <si>
    <t>HALKB</t>
  </si>
  <si>
    <t>TSKB</t>
  </si>
  <si>
    <t>TAVHL</t>
  </si>
  <si>
    <t>TKFEN</t>
  </si>
  <si>
    <t>TKNSA</t>
  </si>
  <si>
    <t>TOASO</t>
  </si>
  <si>
    <t>TRGYO</t>
  </si>
  <si>
    <t>TCELL</t>
  </si>
  <si>
    <t>TUPRS</t>
  </si>
  <si>
    <t>THYAO</t>
  </si>
  <si>
    <t>TRILC</t>
  </si>
  <si>
    <t>TTKOM</t>
  </si>
  <si>
    <t>TTRAK</t>
  </si>
  <si>
    <t>TURSG</t>
  </si>
  <si>
    <t>ULKER</t>
  </si>
  <si>
    <t>VAKBN</t>
  </si>
  <si>
    <t>VESTL</t>
  </si>
  <si>
    <t>VESBE</t>
  </si>
  <si>
    <t>YKBNK</t>
  </si>
  <si>
    <t>YATAS</t>
  </si>
  <si>
    <t>ZRGYO</t>
  </si>
  <si>
    <t>ZOREN</t>
  </si>
  <si>
    <t>Destek 3</t>
  </si>
  <si>
    <t xml:space="preserve">Destek 2 </t>
  </si>
  <si>
    <t xml:space="preserve">Destek 1 </t>
  </si>
  <si>
    <t xml:space="preserve">Kapanış </t>
  </si>
  <si>
    <t xml:space="preserve">Pivot </t>
  </si>
  <si>
    <t>Direnç 1</t>
  </si>
  <si>
    <t xml:space="preserve">Direnç 2 </t>
  </si>
  <si>
    <t>Direnç 3</t>
  </si>
  <si>
    <t xml:space="preserve">Orta Desteğe Uzaklık </t>
  </si>
  <si>
    <t>Orta Dirence Uzaklık</t>
  </si>
  <si>
    <t xml:space="preserve">Son Bir Haftanın En Düşüğü </t>
  </si>
  <si>
    <t>Son Bir Haftanın En yüksek</t>
  </si>
  <si>
    <t xml:space="preserve">RSI </t>
  </si>
  <si>
    <t>Basit Hareketli Ortalama</t>
  </si>
  <si>
    <t>Üssel Hareketli Ortalama</t>
  </si>
  <si>
    <t>Ağırlıklı Hareketli Ortalama</t>
  </si>
  <si>
    <t xml:space="preserve">ATR </t>
  </si>
  <si>
    <t xml:space="preserve">Bollinger Alt Bandı </t>
  </si>
  <si>
    <t xml:space="preserve">Bollinger Üst Bandı </t>
  </si>
  <si>
    <t xml:space="preserve">KAPANIŞ </t>
  </si>
  <si>
    <t xml:space="preserve">HAFTA BAŞI GETİRİ </t>
  </si>
  <si>
    <t xml:space="preserve">GÜNLÜK GETİRİ </t>
  </si>
  <si>
    <t xml:space="preserve">AYBAŞI GETİRİ </t>
  </si>
  <si>
    <t xml:space="preserve">HAFTALIK GETİRİ </t>
  </si>
  <si>
    <t xml:space="preserve">YILBAŞI GETİRİ </t>
  </si>
  <si>
    <t xml:space="preserve">AYLIK GETİRİ </t>
  </si>
  <si>
    <t>YILLIK GETİRİ</t>
  </si>
  <si>
    <t xml:space="preserve">HBK </t>
  </si>
  <si>
    <t>FAALİYET MARJI</t>
  </si>
  <si>
    <t>ENDEKS</t>
  </si>
  <si>
    <t>XU100</t>
  </si>
  <si>
    <t xml:space="preserve">XU030 </t>
  </si>
  <si>
    <t xml:space="preserve">XU050 </t>
  </si>
  <si>
    <t>Burada yer alan yatırım bilgi yorum ve tavsiyeler Alternatif Yatırım A.Ş. tarafından genel bilgilendirme amacı ile hazırlanmış olup, yatırım danışmanlığı kapsamında değildir. Yatırım danışmanlığı hizmeti, yetkili kuruluşlar tarafından, müşteri ile imzalanacak Yatırım Danışmanlığı sözleşmesi çerçevesinde, kişilerin risk ve getiri tercihi dikkate alınarak kişiye özel sunulmaktadır. Burada yer alan yorum ve tavsiyeler ise genel nitelikte olup, yorum ve tavsiyede bulunanların kişisel görüşlerine dayanmaktadır.  Bu tavsiyeler mali durumunuz ile risk ve getiri tercihlerinize uygun olmayabilir. Bu nedenle, sadece burada yer alan bilgilere dayanılarak yatırım kararı verilmesi beklentinize uygun sonuçlar doğurmayabilir. Alternatif Yatırım A.Ş. kurumsal internet adresinde diğer kurumlara ait internet adresi bağlantılarına (link) yer verebilir. Ancak, söz konusu internet bağlantıları üzerinden erişilen adres ve sayfalarda yer alan bilgi ve içeriğin doğruluğu ve hukuka uygunluğu hususunda garanti vermemektedir ve sorumluluk kabul etmemektedir. BIST piyasalarında oluşan tüm verilere ait telif hakları tamamen BIST’e ait olup, bu veriler tekrar yayınlanamaz. Pay Piyasası, Borçlanma Araçları Piyasası, Vadeli İşlem ve Opsiyon Piyasası verileri BIST kaynaklı en az 15 dakika gecikmeli verilerdir.Bu rapor ve yorumlardaki yazılar, bilgiler ve grafikler, ulaşılabilen ilk kaynaklardan iyi niyetle ve doğruluğu, geçerliliği, etkinliği velhasıl her ne şekil, suret ve nam altında olursa olsun herhangi bir karara dayanak oluşturması hususunda herhangi bir teminat, garanti oluşturmadan, yalnızca bilgi edinilmesi amacıyla derlenmiştir. İş bu rapordaki yorumlardan, eksik bilgi ve\veya güncellenme gibi konularda ortaya çıkabilecek zararlardan Alternatif Yatırım A.Ş. sorumlu değildir. Alternatif Yatırım A.Ş. her an, hiçbir şekil ve surette ön ihbara ve\veya ihtara gerek kalmaksızın söz konusu bilgileri, tavsiyeleri değiştirebilir ve\veya ortadan kaldırabilir. Genel anlamda bilgi vermek amacıyla hazırlanmış olan iş bu rapor ve yorumlar, kapsamı bilgiler, tavsiyeler hiçbir şekil ve surette Alternatif Yatırım A.Ş.’nin herhangi bir taahhüdünü tazammum etmediğinden, bu bilgilere istinaden her türlü özel ve\veya tüzel kişiler tarafından alınacak kararlar, varılacak sonuçlar, gerçekleştirilecek işlemler ve oluşabilecek her türlü riskler bizatihi bu kişilere ait ve raci olacaktır. Hiçbir şekil ve surette ve her ne nam altında olursa olsun, her türlü gerçek ve\veya tüzel kişinin, gerek doğrudan gerek dolayısı ile ve bu sebeplerle uğrayabileceği her türlü doğrudan ve\veya dolayısı ile oluşacak maddi manevi zarar, kar mahrumiyeti, velhasıl her ne nam altında olursa olsun uğrayabileceği zararlardan hiçbir şekil ve surette Alternatif Yatırım A.Ş. ve Alternatif Yatırım A.Ş. çalışanları sorumlu değildir.</t>
  </si>
  <si>
    <t>XUTUM</t>
  </si>
  <si>
    <t>XUSIN</t>
  </si>
  <si>
    <t>BIST 100 ŞİRKETLERİ DEĞERLEME TABLOSU</t>
  </si>
  <si>
    <t>Hisseler</t>
  </si>
  <si>
    <t>2021/06 FAVÖK</t>
  </si>
  <si>
    <t xml:space="preserve">2022/06 FAVÖK </t>
  </si>
  <si>
    <t>DEĞİŞİM (%)</t>
  </si>
  <si>
    <t xml:space="preserve">BIST 100 ŞİRKETLERİ %150 ÜZERİ FAVÖK YÜZDE DEĞİŞİMLERİ </t>
  </si>
  <si>
    <t>F/K</t>
  </si>
  <si>
    <t>PİYASA DEĞERİ</t>
  </si>
  <si>
    <t>TEMETTÜ VERİMİ</t>
  </si>
  <si>
    <t>BRÜT MARJ</t>
  </si>
  <si>
    <t xml:space="preserve">BIST 100 ŞİRKETLERİ TEKNİK GÖSTERGE DEĞERLERİ </t>
  </si>
  <si>
    <t xml:space="preserve">BIST ENDEKS VE HİSSE PERFORMANS TABLOSU </t>
  </si>
  <si>
    <t xml:space="preserve">BIST100 HİSSELERİ DESTEK DİRENÇ TABLOSU </t>
  </si>
  <si>
    <t xml:space="preserve">TKS. YAB. YIL. PAY </t>
  </si>
  <si>
    <t xml:space="preserve">KOD </t>
  </si>
  <si>
    <t xml:space="preserve">SON FİYAT </t>
  </si>
  <si>
    <t xml:space="preserve">GÜNLÜK F% </t>
  </si>
  <si>
    <t xml:space="preserve">30 GÜNLÜK F% </t>
  </si>
  <si>
    <t>BU YIL FARK%</t>
  </si>
  <si>
    <t>52 HAFTALIK F%</t>
  </si>
  <si>
    <t xml:space="preserve">TKS. YAB. PAYY </t>
  </si>
  <si>
    <t>TKS. YAB. HAF. PAYY</t>
  </si>
  <si>
    <t>TKS. YAB. AY.PAYY</t>
  </si>
  <si>
    <t xml:space="preserve">BIST 100 HİSSELERİ YABANCI TAKAS BİLGİSİ </t>
  </si>
  <si>
    <t>XBANK</t>
  </si>
  <si>
    <t>PD/DD</t>
  </si>
  <si>
    <t>FAVÖK</t>
  </si>
  <si>
    <t>Endeks</t>
  </si>
  <si>
    <t xml:space="preserve">XU100 </t>
  </si>
  <si>
    <t xml:space="preserve">XUSIN </t>
  </si>
  <si>
    <t>XBLSM</t>
  </si>
  <si>
    <t>XGIDA</t>
  </si>
  <si>
    <t>XU030</t>
  </si>
  <si>
    <t>Momentum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</si>
</sst>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charset val="162"/>
      <scheme val="minor"/>
    </font>
    <font>
      <sz val="11"/>
      <color theme="1"/>
      <name val="Calibri"/>
      <family val="2"/>
      <charset val="162"/>
      <scheme val="minor"/>
    </font>
    <font>
      <b/>
      <sz val="11"/>
      <color theme="0"/>
      <name val="Calibri"/>
      <family val="2"/>
      <charset val="162"/>
      <scheme val="minor"/>
    </font>
    <font>
      <b/>
      <sz val="12"/>
      <color theme="0"/>
      <name val="Calibri"/>
      <family val="2"/>
      <charset val="162"/>
      <scheme val="minor"/>
    </font>
    <font>
      <b/>
      <sz val="14"/>
      <color theme="0"/>
      <name val="Calibri"/>
      <family val="2"/>
      <charset val="162"/>
      <scheme val="minor"/>
    </font>
    <font>
      <sz val="7"/>
      <color rgb="FF000000"/>
      <name val="Calibri"/>
      <family val="2"/>
      <charset val="162"/>
      <scheme val="minor"/>
    </font>
    <font>
      <sz val="10"/>
      <color theme="1"/>
      <name val="Calibri"/>
      <family val="2"/>
      <charset val="162"/>
      <scheme val="minor"/>
    </font>
    <font>
      <b/>
      <sz val="16"/>
      <color theme="0"/>
      <name val="Calibri"/>
      <family val="2"/>
      <charset val="162"/>
      <scheme val="minor"/>
    </font>
    <font>
      <sz val="16"/>
      <color theme="0"/>
      <name val="Calibri"/>
      <family val="2"/>
      <charset val="162"/>
      <scheme val="minor"/>
    </font>
    <font>
      <b/>
      <sz val="10"/>
      <color theme="0"/>
      <name val="Calibri"/>
      <family val="2"/>
      <charset val="162"/>
      <scheme val="minor"/>
    </font>
    <font>
      <b/>
      <sz val="18"/>
      <color theme="0"/>
      <name val="Calibri"/>
      <family val="2"/>
      <charset val="162"/>
      <scheme val="minor"/>
    </font>
    <font>
      <sz val="9"/>
      <color rgb="FF000000"/>
      <name val="Calibri"/>
      <family val="2"/>
      <charset val="162"/>
      <scheme val="minor"/>
    </font>
    <font>
      <sz val="10"/>
      <color rgb="FF000000"/>
      <name val="Calibri"/>
      <family val="2"/>
      <charset val="162"/>
      <scheme val="minor"/>
    </font>
    <font>
      <b/>
      <sz val="11"/>
      <color theme="0"/>
      <name val="Calibri"/>
      <family val="2"/>
      <charset val="162"/>
      <scheme val="minor"/>
    </font>
    <font>
      <sz val="12"/>
      <name val="Calibri"/>
      <family val="2"/>
      <charset val="162"/>
      <scheme val="minor"/>
    </font>
  </fonts>
  <fills count="5">
    <fill>
      <patternFill patternType="none"/>
    </fill>
    <fill>
      <patternFill patternType="gray125"/>
    </fill>
    <fill>
      <patternFill patternType="solid">
        <fgColor theme="0" tint="-0.14999847407452621"/>
        <bgColor indexed="64"/>
      </patternFill>
    </fill>
    <fill>
      <patternFill patternType="solid">
        <fgColor rgb="FFA00047"/>
        <bgColor indexed="64"/>
      </patternFill>
    </fill>
    <fill>
      <patternFill patternType="solid">
        <fgColor theme="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theme="1"/>
      </bottom>
      <diagonal/>
    </border>
    <border>
      <left style="medium">
        <color indexed="64"/>
      </left>
      <right/>
      <top/>
      <bottom style="thin">
        <color theme="1"/>
      </bottom>
      <diagonal/>
    </border>
    <border>
      <left/>
      <right style="medium">
        <color indexed="64"/>
      </right>
      <top/>
      <bottom style="thin">
        <color theme="1"/>
      </bottom>
      <diagonal/>
    </border>
  </borders>
  <cellStyleXfs count="2">
    <xf numFmtId="0" fontId="0" fillId="0" borderId="0"/>
    <xf numFmtId="9" fontId="1" fillId="0" borderId="0" applyFont="0" applyFill="0" applyBorder="0" applyAlignment="0" applyProtection="0"/>
  </cellStyleXfs>
  <cellXfs count="212">
    <xf numFmtId="0" fontId="0" fillId="0" borderId="0" xfId="0"/>
    <xf numFmtId="0" fontId="0" fillId="0" borderId="0" xfId="0" applyAlignment="1">
      <alignment horizontal="center" vertical="center"/>
    </xf>
    <xf numFmtId="4" fontId="6" fillId="0" borderId="0" xfId="0" applyNumberFormat="1" applyFont="1" applyBorder="1" applyAlignment="1">
      <alignment horizontal="center" vertical="center"/>
    </xf>
    <xf numFmtId="0" fontId="6" fillId="0" borderId="7" xfId="0" applyNumberFormat="1" applyFont="1" applyBorder="1" applyAlignment="1">
      <alignment horizontal="center" vertical="center"/>
    </xf>
    <xf numFmtId="4" fontId="6" fillId="0" borderId="8" xfId="0" applyNumberFormat="1" applyFont="1" applyFill="1" applyBorder="1" applyAlignment="1">
      <alignment horizontal="center" vertical="center"/>
    </xf>
    <xf numFmtId="4" fontId="6" fillId="0" borderId="0" xfId="0" applyNumberFormat="1" applyFont="1" applyFill="1" applyBorder="1" applyAlignment="1">
      <alignment horizontal="center" vertical="center"/>
    </xf>
    <xf numFmtId="4" fontId="0" fillId="0" borderId="0" xfId="0" applyNumberFormat="1" applyBorder="1" applyAlignment="1">
      <alignment horizontal="center" vertical="center"/>
    </xf>
    <xf numFmtId="3" fontId="0" fillId="0" borderId="0" xfId="0" applyNumberFormat="1" applyBorder="1" applyAlignment="1">
      <alignment horizontal="center" vertical="center"/>
    </xf>
    <xf numFmtId="4" fontId="6" fillId="2" borderId="0" xfId="0" applyNumberFormat="1" applyFont="1" applyFill="1" applyBorder="1" applyAlignment="1">
      <alignment horizontal="center" vertical="center"/>
    </xf>
    <xf numFmtId="0" fontId="6" fillId="2" borderId="7" xfId="0" applyNumberFormat="1" applyFont="1" applyFill="1" applyBorder="1" applyAlignment="1">
      <alignment horizontal="center" vertical="center"/>
    </xf>
    <xf numFmtId="4" fontId="6" fillId="2" borderId="8" xfId="0" applyNumberFormat="1" applyFont="1" applyFill="1" applyBorder="1" applyAlignment="1">
      <alignment horizontal="center" vertical="center"/>
    </xf>
    <xf numFmtId="0" fontId="0" fillId="0" borderId="0" xfId="0" applyBorder="1"/>
    <xf numFmtId="0" fontId="0" fillId="3" borderId="1" xfId="0" applyFill="1" applyBorder="1"/>
    <xf numFmtId="0" fontId="0" fillId="3" borderId="2" xfId="0" applyFill="1" applyBorder="1"/>
    <xf numFmtId="0" fontId="0" fillId="3" borderId="3" xfId="0" applyFill="1" applyBorder="1"/>
    <xf numFmtId="0" fontId="0" fillId="3" borderId="7" xfId="0" applyFill="1" applyBorder="1"/>
    <xf numFmtId="0" fontId="0" fillId="3" borderId="0" xfId="0" applyFill="1" applyBorder="1"/>
    <xf numFmtId="0" fontId="0" fillId="3" borderId="8" xfId="0" applyFill="1" applyBorder="1"/>
    <xf numFmtId="0" fontId="0" fillId="3" borderId="4" xfId="0" applyFill="1" applyBorder="1"/>
    <xf numFmtId="0" fontId="0" fillId="3" borderId="5" xfId="0" applyFill="1" applyBorder="1"/>
    <xf numFmtId="0" fontId="0" fillId="3" borderId="0" xfId="0" applyFill="1" applyBorder="1" applyAlignment="1">
      <alignment horizontal="center" vertical="center"/>
    </xf>
    <xf numFmtId="0" fontId="7" fillId="3" borderId="8" xfId="0" applyFont="1" applyFill="1" applyBorder="1" applyAlignment="1">
      <alignment vertical="center"/>
    </xf>
    <xf numFmtId="0" fontId="5" fillId="0" borderId="0" xfId="0" applyFont="1" applyFill="1" applyBorder="1" applyAlignment="1">
      <alignment vertical="center" wrapText="1" readingOrder="1"/>
    </xf>
    <xf numFmtId="0" fontId="6" fillId="3" borderId="1" xfId="0" applyNumberFormat="1" applyFont="1" applyFill="1" applyBorder="1" applyAlignment="1">
      <alignment vertical="center"/>
    </xf>
    <xf numFmtId="0" fontId="6" fillId="3" borderId="2" xfId="0" applyNumberFormat="1" applyFont="1" applyFill="1" applyBorder="1" applyAlignment="1">
      <alignment vertical="center"/>
    </xf>
    <xf numFmtId="0" fontId="6" fillId="3" borderId="3" xfId="0" applyNumberFormat="1" applyFont="1" applyFill="1" applyBorder="1" applyAlignment="1">
      <alignment vertical="center"/>
    </xf>
    <xf numFmtId="0" fontId="6" fillId="3" borderId="7" xfId="0" applyNumberFormat="1" applyFont="1" applyFill="1" applyBorder="1" applyAlignment="1">
      <alignment vertical="center"/>
    </xf>
    <xf numFmtId="0" fontId="6" fillId="3" borderId="0" xfId="0" applyNumberFormat="1" applyFont="1" applyFill="1" applyBorder="1" applyAlignment="1">
      <alignment vertical="center"/>
    </xf>
    <xf numFmtId="0" fontId="6" fillId="3" borderId="8" xfId="0" applyNumberFormat="1" applyFont="1" applyFill="1" applyBorder="1" applyAlignment="1">
      <alignment vertical="center"/>
    </xf>
    <xf numFmtId="0" fontId="6" fillId="3" borderId="4" xfId="0" applyNumberFormat="1" applyFont="1" applyFill="1" applyBorder="1" applyAlignment="1">
      <alignment vertical="center"/>
    </xf>
    <xf numFmtId="0" fontId="6" fillId="3" borderId="5" xfId="0" applyNumberFormat="1" applyFont="1" applyFill="1" applyBorder="1" applyAlignment="1">
      <alignment vertical="center"/>
    </xf>
    <xf numFmtId="0" fontId="6" fillId="3" borderId="6" xfId="0" applyNumberFormat="1" applyFont="1" applyFill="1" applyBorder="1" applyAlignment="1">
      <alignment vertical="center"/>
    </xf>
    <xf numFmtId="0" fontId="6" fillId="0" borderId="0" xfId="0" applyNumberFormat="1" applyFont="1" applyFill="1" applyBorder="1" applyAlignment="1">
      <alignment vertical="center"/>
    </xf>
    <xf numFmtId="4" fontId="0" fillId="0" borderId="0" xfId="0" applyNumberFormat="1" applyFill="1" applyBorder="1" applyAlignment="1">
      <alignment horizontal="center" vertical="center"/>
    </xf>
    <xf numFmtId="0" fontId="9" fillId="3" borderId="5" xfId="0" applyNumberFormat="1"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NumberFormat="1" applyFont="1" applyFill="1" applyBorder="1" applyAlignment="1">
      <alignment horizontal="center" vertical="center"/>
    </xf>
    <xf numFmtId="0" fontId="9" fillId="3" borderId="5" xfId="0" applyFont="1" applyFill="1" applyBorder="1" applyAlignment="1">
      <alignment horizontal="center" vertical="center"/>
    </xf>
    <xf numFmtId="4" fontId="9" fillId="3" borderId="6" xfId="0" applyNumberFormat="1" applyFont="1" applyFill="1" applyBorder="1" applyAlignment="1">
      <alignment horizontal="center" vertical="center"/>
    </xf>
    <xf numFmtId="0" fontId="0" fillId="3" borderId="2" xfId="0" applyFill="1" applyBorder="1" applyAlignment="1">
      <alignment horizontal="center" vertical="center"/>
    </xf>
    <xf numFmtId="0" fontId="0" fillId="3" borderId="5" xfId="0" applyFill="1" applyBorder="1" applyAlignment="1">
      <alignment horizontal="center" vertical="center"/>
    </xf>
    <xf numFmtId="0" fontId="3" fillId="3" borderId="0" xfId="0" applyFont="1" applyFill="1" applyBorder="1" applyAlignment="1">
      <alignment horizontal="center" vertical="center"/>
    </xf>
    <xf numFmtId="0" fontId="0" fillId="0" borderId="0" xfId="0" applyFill="1" applyBorder="1" applyAlignment="1">
      <alignment horizontal="center" vertical="center"/>
    </xf>
    <xf numFmtId="0" fontId="11" fillId="0" borderId="0" xfId="0" applyFont="1" applyFill="1" applyBorder="1" applyAlignment="1">
      <alignment vertical="center" wrapText="1" readingOrder="1"/>
    </xf>
    <xf numFmtId="0" fontId="0" fillId="0" borderId="1" xfId="0" applyNumberFormat="1" applyBorder="1"/>
    <xf numFmtId="0" fontId="0" fillId="0" borderId="7" xfId="0" applyNumberFormat="1" applyBorder="1"/>
    <xf numFmtId="0" fontId="0" fillId="0" borderId="4" xfId="0" applyNumberFormat="1" applyBorder="1"/>
    <xf numFmtId="4" fontId="9" fillId="3" borderId="5" xfId="0" applyNumberFormat="1" applyFont="1" applyFill="1" applyBorder="1" applyAlignment="1">
      <alignment horizontal="center" vertical="center" wrapText="1"/>
    </xf>
    <xf numFmtId="4" fontId="0" fillId="0" borderId="0" xfId="0" applyNumberFormat="1" applyBorder="1"/>
    <xf numFmtId="9" fontId="0" fillId="0" borderId="8" xfId="1" applyFont="1" applyBorder="1"/>
    <xf numFmtId="4" fontId="0" fillId="0" borderId="5" xfId="0" applyNumberFormat="1" applyBorder="1"/>
    <xf numFmtId="0" fontId="3" fillId="3" borderId="12" xfId="0" applyFont="1" applyFill="1" applyBorder="1"/>
    <xf numFmtId="4" fontId="0" fillId="0" borderId="2" xfId="0" applyNumberFormat="1" applyBorder="1"/>
    <xf numFmtId="0" fontId="0" fillId="0" borderId="9" xfId="0" applyNumberFormat="1" applyBorder="1"/>
    <xf numFmtId="4" fontId="0" fillId="0" borderId="10" xfId="0" applyNumberFormat="1" applyBorder="1"/>
    <xf numFmtId="0" fontId="0" fillId="0" borderId="0" xfId="0" applyAlignment="1">
      <alignment horizontal="right"/>
    </xf>
    <xf numFmtId="0" fontId="0" fillId="3" borderId="2" xfId="0" applyFill="1" applyBorder="1" applyAlignment="1">
      <alignment horizontal="right"/>
    </xf>
    <xf numFmtId="0" fontId="0" fillId="3" borderId="0" xfId="0" applyFill="1" applyBorder="1" applyAlignment="1">
      <alignment horizontal="right"/>
    </xf>
    <xf numFmtId="0" fontId="3" fillId="3" borderId="12" xfId="0" applyFont="1" applyFill="1" applyBorder="1" applyAlignment="1">
      <alignment horizontal="right"/>
    </xf>
    <xf numFmtId="4" fontId="0" fillId="0" borderId="0" xfId="0" applyNumberFormat="1" applyBorder="1" applyAlignment="1">
      <alignment horizontal="right"/>
    </xf>
    <xf numFmtId="4" fontId="0" fillId="0" borderId="2" xfId="0" applyNumberFormat="1" applyBorder="1" applyAlignment="1">
      <alignment horizontal="right"/>
    </xf>
    <xf numFmtId="4" fontId="0" fillId="0" borderId="5" xfId="0" applyNumberFormat="1" applyBorder="1" applyAlignment="1">
      <alignment horizontal="right"/>
    </xf>
    <xf numFmtId="4" fontId="0" fillId="0" borderId="10" xfId="0" applyNumberFormat="1" applyBorder="1" applyAlignment="1">
      <alignment horizontal="right"/>
    </xf>
    <xf numFmtId="9" fontId="0" fillId="0" borderId="3" xfId="1" applyFont="1" applyFill="1" applyBorder="1"/>
    <xf numFmtId="9" fontId="0" fillId="0" borderId="8" xfId="1" applyFont="1" applyFill="1" applyBorder="1"/>
    <xf numFmtId="9" fontId="0" fillId="0" borderId="6" xfId="1" applyFont="1" applyFill="1" applyBorder="1"/>
    <xf numFmtId="9" fontId="0" fillId="0" borderId="11" xfId="1" applyFont="1" applyFill="1" applyBorder="1"/>
    <xf numFmtId="0" fontId="3" fillId="3" borderId="13" xfId="0" applyFont="1" applyFill="1" applyBorder="1"/>
    <xf numFmtId="0" fontId="3" fillId="3" borderId="14" xfId="0" applyFont="1" applyFill="1"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10" fontId="0" fillId="0" borderId="2" xfId="1" applyNumberFormat="1" applyFont="1" applyBorder="1" applyAlignment="1">
      <alignment horizontal="center"/>
    </xf>
    <xf numFmtId="10" fontId="0" fillId="0" borderId="3" xfId="1" applyNumberFormat="1" applyFont="1" applyBorder="1" applyAlignment="1">
      <alignment horizontal="center"/>
    </xf>
    <xf numFmtId="10" fontId="0" fillId="0" borderId="0" xfId="1" applyNumberFormat="1" applyFont="1" applyBorder="1" applyAlignment="1">
      <alignment horizontal="center"/>
    </xf>
    <xf numFmtId="10" fontId="0" fillId="0" borderId="8" xfId="1" applyNumberFormat="1" applyFont="1" applyBorder="1" applyAlignment="1">
      <alignment horizontal="center"/>
    </xf>
    <xf numFmtId="10" fontId="0" fillId="0" borderId="5" xfId="1" applyNumberFormat="1" applyFont="1" applyBorder="1" applyAlignment="1">
      <alignment horizontal="center"/>
    </xf>
    <xf numFmtId="10" fontId="0" fillId="0" borderId="6" xfId="1" applyNumberFormat="1" applyFont="1" applyBorder="1" applyAlignment="1">
      <alignment horizontal="center"/>
    </xf>
    <xf numFmtId="0" fontId="6" fillId="0" borderId="4" xfId="0" applyNumberFormat="1" applyFont="1" applyFill="1" applyBorder="1" applyAlignment="1">
      <alignment horizontal="center" vertical="center"/>
    </xf>
    <xf numFmtId="4" fontId="6" fillId="0" borderId="5" xfId="0" applyNumberFormat="1" applyFont="1" applyFill="1" applyBorder="1" applyAlignment="1">
      <alignment horizontal="center" vertical="center"/>
    </xf>
    <xf numFmtId="4" fontId="6" fillId="0" borderId="6" xfId="0" applyNumberFormat="1" applyFont="1" applyFill="1" applyBorder="1" applyAlignment="1">
      <alignment horizontal="center" vertical="center"/>
    </xf>
    <xf numFmtId="3" fontId="14" fillId="0" borderId="0" xfId="0" applyNumberFormat="1" applyFont="1" applyFill="1" applyBorder="1" applyAlignment="1">
      <alignment horizontal="center" vertical="center"/>
    </xf>
    <xf numFmtId="0" fontId="0" fillId="4" borderId="1" xfId="0" applyNumberFormat="1" applyFont="1" applyFill="1" applyBorder="1" applyAlignment="1">
      <alignment horizontal="center" vertical="center"/>
    </xf>
    <xf numFmtId="4" fontId="0" fillId="4" borderId="2" xfId="0" applyNumberFormat="1" applyFont="1" applyFill="1" applyBorder="1" applyAlignment="1">
      <alignment horizontal="center" vertical="center"/>
    </xf>
    <xf numFmtId="10" fontId="1" fillId="4" borderId="2" xfId="1" applyNumberFormat="1" applyFont="1" applyFill="1" applyBorder="1" applyAlignment="1">
      <alignment horizontal="center" vertical="center"/>
    </xf>
    <xf numFmtId="0" fontId="0" fillId="4" borderId="3" xfId="0" applyFont="1" applyFill="1" applyBorder="1" applyAlignment="1">
      <alignment horizontal="center" vertical="center"/>
    </xf>
    <xf numFmtId="0" fontId="0" fillId="4" borderId="7" xfId="0" applyNumberFormat="1" applyFont="1" applyFill="1" applyBorder="1" applyAlignment="1">
      <alignment horizontal="center" vertical="center"/>
    </xf>
    <xf numFmtId="4" fontId="0" fillId="4" borderId="0" xfId="0" applyNumberFormat="1" applyFont="1" applyFill="1" applyBorder="1" applyAlignment="1">
      <alignment horizontal="center" vertical="center"/>
    </xf>
    <xf numFmtId="10" fontId="1" fillId="4" borderId="0" xfId="1" applyNumberFormat="1" applyFont="1" applyFill="1" applyBorder="1" applyAlignment="1">
      <alignment horizontal="center" vertical="center"/>
    </xf>
    <xf numFmtId="0" fontId="0" fillId="4" borderId="8" xfId="0" applyFont="1" applyFill="1" applyBorder="1" applyAlignment="1">
      <alignment horizontal="center" vertical="center"/>
    </xf>
    <xf numFmtId="2" fontId="0" fillId="4" borderId="8" xfId="0" applyNumberFormat="1" applyFont="1" applyFill="1" applyBorder="1" applyAlignment="1">
      <alignment horizontal="center" vertical="center"/>
    </xf>
    <xf numFmtId="0" fontId="0" fillId="0" borderId="2" xfId="0" applyNumberFormat="1" applyFont="1" applyFill="1" applyBorder="1" applyAlignment="1">
      <alignment horizontal="center" vertical="center"/>
    </xf>
    <xf numFmtId="4" fontId="0" fillId="0" borderId="2" xfId="0" applyNumberFormat="1" applyFont="1" applyFill="1" applyBorder="1" applyAlignment="1">
      <alignment horizontal="center" vertical="center"/>
    </xf>
    <xf numFmtId="4" fontId="0" fillId="0" borderId="0" xfId="0" applyNumberFormat="1" applyFont="1" applyFill="1" applyBorder="1" applyAlignment="1">
      <alignment horizontal="center" vertical="center"/>
    </xf>
    <xf numFmtId="0" fontId="6" fillId="3" borderId="1" xfId="0" applyNumberFormat="1" applyFont="1" applyFill="1" applyBorder="1" applyAlignment="1">
      <alignment horizontal="center" vertical="center"/>
    </xf>
    <xf numFmtId="0" fontId="6" fillId="3" borderId="2" xfId="0" applyNumberFormat="1" applyFont="1" applyFill="1" applyBorder="1" applyAlignment="1">
      <alignment horizontal="center" vertical="center"/>
    </xf>
    <xf numFmtId="0" fontId="6" fillId="3" borderId="7" xfId="0" applyNumberFormat="1" applyFont="1" applyFill="1" applyBorder="1" applyAlignment="1">
      <alignment horizontal="center" vertical="center"/>
    </xf>
    <xf numFmtId="0" fontId="6" fillId="3" borderId="0" xfId="0" applyNumberFormat="1" applyFont="1" applyFill="1" applyBorder="1" applyAlignment="1">
      <alignment horizontal="center" vertical="center"/>
    </xf>
    <xf numFmtId="0" fontId="6" fillId="3" borderId="8" xfId="0" applyNumberFormat="1" applyFont="1" applyFill="1" applyBorder="1" applyAlignment="1">
      <alignment horizontal="center" vertical="center"/>
    </xf>
    <xf numFmtId="0" fontId="6" fillId="3" borderId="4" xfId="0" applyNumberFormat="1" applyFont="1" applyFill="1" applyBorder="1" applyAlignment="1">
      <alignment horizontal="center" vertical="center"/>
    </xf>
    <xf numFmtId="0" fontId="6" fillId="3" borderId="5" xfId="0" applyNumberFormat="1" applyFont="1" applyFill="1" applyBorder="1" applyAlignment="1">
      <alignment horizontal="center" vertical="center"/>
    </xf>
    <xf numFmtId="0" fontId="6" fillId="3" borderId="6" xfId="0" applyNumberFormat="1" applyFont="1" applyFill="1" applyBorder="1" applyAlignment="1">
      <alignment horizontal="center" vertical="center"/>
    </xf>
    <xf numFmtId="0" fontId="7" fillId="3" borderId="0" xfId="0" applyFont="1"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7" xfId="0" applyFill="1" applyBorder="1" applyAlignment="1">
      <alignment horizontal="center"/>
    </xf>
    <xf numFmtId="0" fontId="0" fillId="3" borderId="0" xfId="0" applyFill="1" applyBorder="1" applyAlignment="1">
      <alignment horizontal="center"/>
    </xf>
    <xf numFmtId="14" fontId="3" fillId="3" borderId="0" xfId="0" applyNumberFormat="1" applyFont="1" applyFill="1" applyBorder="1" applyAlignment="1">
      <alignment horizontal="center" vertical="center"/>
    </xf>
    <xf numFmtId="0" fontId="0" fillId="3" borderId="4" xfId="0" applyFill="1" applyBorder="1" applyAlignment="1">
      <alignment horizontal="center"/>
    </xf>
    <xf numFmtId="0" fontId="0" fillId="3" borderId="5" xfId="0" applyFill="1"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0" borderId="7" xfId="0" applyFill="1" applyBorder="1" applyAlignment="1">
      <alignment horizontal="center"/>
    </xf>
    <xf numFmtId="0" fontId="0" fillId="0" borderId="0" xfId="0" applyBorder="1" applyAlignment="1">
      <alignment horizontal="center"/>
    </xf>
    <xf numFmtId="0" fontId="8" fillId="3" borderId="9" xfId="0" applyFont="1" applyFill="1" applyBorder="1" applyAlignment="1">
      <alignment horizontal="center" vertical="center" wrapText="1"/>
    </xf>
    <xf numFmtId="0" fontId="8" fillId="3" borderId="10" xfId="0" applyNumberFormat="1"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0" fillId="0" borderId="2" xfId="0" applyBorder="1" applyAlignment="1">
      <alignment horizontal="center"/>
    </xf>
    <xf numFmtId="0" fontId="0" fillId="0" borderId="7" xfId="0" applyNumberFormat="1" applyBorder="1" applyAlignment="1">
      <alignment horizontal="center"/>
    </xf>
    <xf numFmtId="0" fontId="0" fillId="0" borderId="1" xfId="0" applyNumberFormat="1" applyBorder="1" applyAlignment="1">
      <alignment horizontal="center" vertical="center"/>
    </xf>
    <xf numFmtId="4" fontId="0" fillId="0" borderId="2" xfId="0" applyNumberFormat="1" applyFill="1" applyBorder="1" applyAlignment="1">
      <alignment horizontal="center" vertical="center"/>
    </xf>
    <xf numFmtId="4" fontId="0" fillId="0" borderId="2" xfId="0" applyNumberFormat="1" applyBorder="1" applyAlignment="1">
      <alignment horizontal="center" vertical="center"/>
    </xf>
    <xf numFmtId="4" fontId="0" fillId="0" borderId="3" xfId="0" applyNumberFormat="1" applyFill="1" applyBorder="1" applyAlignment="1">
      <alignment horizontal="center" vertical="center"/>
    </xf>
    <xf numFmtId="0" fontId="0" fillId="0" borderId="7" xfId="0" applyNumberFormat="1" applyBorder="1" applyAlignment="1">
      <alignment horizontal="center" vertical="center"/>
    </xf>
    <xf numFmtId="4" fontId="0" fillId="0" borderId="8" xfId="0" applyNumberFormat="1" applyFill="1" applyBorder="1" applyAlignment="1">
      <alignment horizontal="center" vertical="center"/>
    </xf>
    <xf numFmtId="0" fontId="0" fillId="0" borderId="4" xfId="0" applyNumberFormat="1" applyBorder="1" applyAlignment="1">
      <alignment horizontal="center" vertical="center"/>
    </xf>
    <xf numFmtId="4" fontId="0" fillId="0" borderId="5" xfId="0" applyNumberFormat="1" applyFill="1" applyBorder="1" applyAlignment="1">
      <alignment horizontal="center" vertical="center"/>
    </xf>
    <xf numFmtId="4" fontId="0" fillId="0" borderId="5" xfId="0" applyNumberFormat="1" applyBorder="1" applyAlignment="1">
      <alignment horizontal="center" vertical="center"/>
    </xf>
    <xf numFmtId="4" fontId="0" fillId="0" borderId="6" xfId="0" applyNumberFormat="1" applyFill="1" applyBorder="1" applyAlignment="1">
      <alignment horizontal="center" vertical="center"/>
    </xf>
    <xf numFmtId="0" fontId="2" fillId="3" borderId="9" xfId="0" applyFont="1" applyFill="1" applyBorder="1" applyAlignment="1">
      <alignment horizontal="center" vertical="center" wrapText="1"/>
    </xf>
    <xf numFmtId="0" fontId="2" fillId="3" borderId="10" xfId="0" applyNumberFormat="1" applyFont="1" applyFill="1" applyBorder="1" applyAlignment="1">
      <alignment horizontal="center" vertical="center" wrapText="1"/>
    </xf>
    <xf numFmtId="0" fontId="3" fillId="3" borderId="10" xfId="0" applyFont="1" applyFill="1" applyBorder="1" applyAlignment="1">
      <alignment horizontal="center" vertical="center"/>
    </xf>
    <xf numFmtId="0" fontId="13" fillId="3" borderId="10" xfId="0" applyFont="1" applyFill="1" applyBorder="1" applyAlignment="1">
      <alignment horizontal="center" vertical="center" wrapText="1"/>
    </xf>
    <xf numFmtId="0" fontId="2" fillId="3" borderId="10" xfId="0" applyFont="1" applyFill="1" applyBorder="1" applyAlignment="1">
      <alignment horizontal="center" vertical="center" wrapText="1"/>
    </xf>
    <xf numFmtId="4" fontId="2" fillId="3" borderId="11" xfId="0" applyNumberFormat="1" applyFont="1" applyFill="1" applyBorder="1" applyAlignment="1">
      <alignment horizontal="center" vertical="center" wrapText="1"/>
    </xf>
    <xf numFmtId="3" fontId="0" fillId="0" borderId="2" xfId="0" applyNumberFormat="1" applyBorder="1" applyAlignment="1">
      <alignment horizontal="center" vertical="center"/>
    </xf>
    <xf numFmtId="3" fontId="14" fillId="0" borderId="2" xfId="0" applyNumberFormat="1" applyFont="1" applyFill="1" applyBorder="1" applyAlignment="1">
      <alignment horizontal="center" vertical="center"/>
    </xf>
    <xf numFmtId="3" fontId="0" fillId="0" borderId="5" xfId="0" applyNumberFormat="1" applyBorder="1" applyAlignment="1">
      <alignment horizontal="center" vertical="center"/>
    </xf>
    <xf numFmtId="3" fontId="14" fillId="0" borderId="5" xfId="0" applyNumberFormat="1" applyFont="1" applyFill="1" applyBorder="1" applyAlignment="1">
      <alignment horizontal="center" vertical="center"/>
    </xf>
    <xf numFmtId="0" fontId="6" fillId="3" borderId="1" xfId="0" applyNumberFormat="1" applyFont="1" applyFill="1" applyBorder="1" applyAlignment="1">
      <alignment horizontal="center" vertical="center"/>
    </xf>
    <xf numFmtId="0" fontId="6" fillId="3" borderId="2"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6" fillId="3" borderId="7" xfId="0" applyNumberFormat="1" applyFont="1" applyFill="1" applyBorder="1" applyAlignment="1">
      <alignment horizontal="center" vertical="center"/>
    </xf>
    <xf numFmtId="0" fontId="6" fillId="3" borderId="0" xfId="0" applyNumberFormat="1" applyFont="1" applyFill="1" applyBorder="1" applyAlignment="1">
      <alignment horizontal="center" vertical="center"/>
    </xf>
    <xf numFmtId="0" fontId="6" fillId="3" borderId="8" xfId="0" applyNumberFormat="1" applyFont="1" applyFill="1" applyBorder="1" applyAlignment="1">
      <alignment horizontal="center" vertical="center"/>
    </xf>
    <xf numFmtId="0" fontId="6" fillId="3" borderId="4" xfId="0" applyNumberFormat="1" applyFont="1" applyFill="1" applyBorder="1" applyAlignment="1">
      <alignment horizontal="center" vertical="center"/>
    </xf>
    <xf numFmtId="0" fontId="6" fillId="3" borderId="5" xfId="0" applyNumberFormat="1" applyFont="1" applyFill="1" applyBorder="1" applyAlignment="1">
      <alignment horizontal="center" vertical="center"/>
    </xf>
    <xf numFmtId="0" fontId="6" fillId="3" borderId="6" xfId="0" applyNumberFormat="1" applyFont="1" applyFill="1" applyBorder="1" applyAlignment="1">
      <alignment horizontal="center" vertical="center"/>
    </xf>
    <xf numFmtId="0" fontId="12" fillId="0" borderId="1" xfId="0" applyFont="1" applyFill="1" applyBorder="1" applyAlignment="1">
      <alignment horizontal="left" vertical="justify" wrapText="1" indent="1"/>
    </xf>
    <xf numFmtId="0" fontId="12" fillId="0" borderId="2" xfId="0" applyFont="1" applyFill="1" applyBorder="1" applyAlignment="1">
      <alignment horizontal="left" vertical="justify" wrapText="1" indent="1"/>
    </xf>
    <xf numFmtId="0" fontId="12" fillId="0" borderId="3" xfId="0" applyFont="1" applyFill="1" applyBorder="1" applyAlignment="1">
      <alignment horizontal="left" vertical="justify" wrapText="1" indent="1"/>
    </xf>
    <xf numFmtId="0" fontId="12" fillId="0" borderId="7" xfId="0" applyFont="1" applyFill="1" applyBorder="1" applyAlignment="1">
      <alignment horizontal="left" vertical="justify" wrapText="1" indent="1"/>
    </xf>
    <xf numFmtId="0" fontId="12" fillId="0" borderId="0" xfId="0" applyFont="1" applyFill="1" applyBorder="1" applyAlignment="1">
      <alignment horizontal="left" vertical="justify" wrapText="1" indent="1"/>
    </xf>
    <xf numFmtId="0" fontId="12" fillId="0" borderId="8" xfId="0" applyFont="1" applyFill="1" applyBorder="1" applyAlignment="1">
      <alignment horizontal="left" vertical="justify" wrapText="1" indent="1"/>
    </xf>
    <xf numFmtId="0" fontId="12" fillId="0" borderId="4" xfId="0" applyFont="1" applyFill="1" applyBorder="1" applyAlignment="1">
      <alignment horizontal="left" vertical="justify" wrapText="1" indent="1"/>
    </xf>
    <xf numFmtId="0" fontId="12" fillId="0" borderId="5" xfId="0" applyFont="1" applyFill="1" applyBorder="1" applyAlignment="1">
      <alignment horizontal="left" vertical="justify" wrapText="1" indent="1"/>
    </xf>
    <xf numFmtId="0" fontId="12" fillId="0" borderId="6" xfId="0" applyFont="1" applyFill="1" applyBorder="1" applyAlignment="1">
      <alignment horizontal="left" vertical="justify" wrapText="1" indent="1"/>
    </xf>
    <xf numFmtId="0" fontId="7" fillId="3" borderId="2"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5" xfId="0" applyFont="1" applyFill="1" applyBorder="1" applyAlignment="1">
      <alignment horizontal="center" vertical="center"/>
    </xf>
    <xf numFmtId="14" fontId="10" fillId="3" borderId="3" xfId="0" applyNumberFormat="1" applyFont="1" applyFill="1" applyBorder="1" applyAlignment="1">
      <alignment horizontal="center" vertical="center"/>
    </xf>
    <xf numFmtId="14" fontId="10" fillId="3" borderId="8" xfId="0" applyNumberFormat="1" applyFont="1" applyFill="1" applyBorder="1" applyAlignment="1">
      <alignment horizontal="center" vertical="center"/>
    </xf>
    <xf numFmtId="14" fontId="10" fillId="3" borderId="6" xfId="0" applyNumberFormat="1" applyFont="1" applyFill="1" applyBorder="1" applyAlignment="1">
      <alignment horizontal="center" vertical="center"/>
    </xf>
    <xf numFmtId="0" fontId="11" fillId="0" borderId="1" xfId="0" applyFont="1" applyFill="1" applyBorder="1" applyAlignment="1">
      <alignment horizontal="justify" vertical="center"/>
    </xf>
    <xf numFmtId="0" fontId="11" fillId="0" borderId="2" xfId="0" applyFont="1" applyFill="1" applyBorder="1" applyAlignment="1">
      <alignment horizontal="justify" vertical="center"/>
    </xf>
    <xf numFmtId="0" fontId="11" fillId="0" borderId="3" xfId="0" applyFont="1" applyFill="1" applyBorder="1" applyAlignment="1">
      <alignment horizontal="justify" vertical="center"/>
    </xf>
    <xf numFmtId="0" fontId="11" fillId="0" borderId="7" xfId="0" applyFont="1" applyFill="1" applyBorder="1" applyAlignment="1">
      <alignment horizontal="justify" vertical="center"/>
    </xf>
    <xf numFmtId="0" fontId="11" fillId="0" borderId="0" xfId="0" applyFont="1" applyFill="1" applyBorder="1" applyAlignment="1">
      <alignment horizontal="justify" vertical="center"/>
    </xf>
    <xf numFmtId="0" fontId="11" fillId="0" borderId="8" xfId="0" applyFont="1" applyFill="1" applyBorder="1" applyAlignment="1">
      <alignment horizontal="justify" vertical="center"/>
    </xf>
    <xf numFmtId="0" fontId="11" fillId="0" borderId="4" xfId="0" applyFont="1" applyFill="1" applyBorder="1" applyAlignment="1">
      <alignment horizontal="justify" vertical="center"/>
    </xf>
    <xf numFmtId="0" fontId="11" fillId="0" borderId="5" xfId="0" applyFont="1" applyFill="1" applyBorder="1" applyAlignment="1">
      <alignment horizontal="justify" vertical="center"/>
    </xf>
    <xf numFmtId="0" fontId="11" fillId="0" borderId="6" xfId="0" applyFont="1" applyFill="1" applyBorder="1" applyAlignment="1">
      <alignment horizontal="justify" vertical="center"/>
    </xf>
    <xf numFmtId="0" fontId="12" fillId="0" borderId="1" xfId="0" applyFont="1" applyFill="1" applyBorder="1" applyAlignment="1">
      <alignment horizontal="justify" vertical="justify" wrapText="1" readingOrder="1"/>
    </xf>
    <xf numFmtId="0" fontId="12" fillId="0" borderId="2" xfId="0" applyFont="1" applyFill="1" applyBorder="1" applyAlignment="1">
      <alignment horizontal="justify" vertical="justify" wrapText="1" readingOrder="1"/>
    </xf>
    <xf numFmtId="0" fontId="12" fillId="0" borderId="3" xfId="0" applyFont="1" applyFill="1" applyBorder="1" applyAlignment="1">
      <alignment horizontal="justify" vertical="justify" wrapText="1" readingOrder="1"/>
    </xf>
    <xf numFmtId="0" fontId="12" fillId="0" borderId="7" xfId="0" applyFont="1" applyFill="1" applyBorder="1" applyAlignment="1">
      <alignment horizontal="justify" vertical="justify" wrapText="1" readingOrder="1"/>
    </xf>
    <xf numFmtId="0" fontId="12" fillId="0" borderId="0" xfId="0" applyFont="1" applyFill="1" applyBorder="1" applyAlignment="1">
      <alignment horizontal="justify" vertical="justify" wrapText="1" readingOrder="1"/>
    </xf>
    <xf numFmtId="0" fontId="12" fillId="0" borderId="8" xfId="0" applyFont="1" applyFill="1" applyBorder="1" applyAlignment="1">
      <alignment horizontal="justify" vertical="justify" wrapText="1" readingOrder="1"/>
    </xf>
    <xf numFmtId="0" fontId="12" fillId="0" borderId="4" xfId="0" applyFont="1" applyFill="1" applyBorder="1" applyAlignment="1">
      <alignment horizontal="justify" vertical="justify" wrapText="1" readingOrder="1"/>
    </xf>
    <xf numFmtId="0" fontId="12" fillId="0" borderId="5" xfId="0" applyFont="1" applyFill="1" applyBorder="1" applyAlignment="1">
      <alignment horizontal="justify" vertical="justify" wrapText="1" readingOrder="1"/>
    </xf>
    <xf numFmtId="0" fontId="12" fillId="0" borderId="6" xfId="0" applyFont="1" applyFill="1" applyBorder="1" applyAlignment="1">
      <alignment horizontal="justify" vertical="justify" wrapText="1" readingOrder="1"/>
    </xf>
    <xf numFmtId="0" fontId="4" fillId="3" borderId="2"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0" fontId="5" fillId="0" borderId="1" xfId="0" applyFont="1" applyFill="1" applyBorder="1" applyAlignment="1">
      <alignment horizontal="justify" vertical="center" wrapText="1" readingOrder="1"/>
    </xf>
    <xf numFmtId="0" fontId="5" fillId="0" borderId="2" xfId="0" applyFont="1" applyFill="1" applyBorder="1" applyAlignment="1">
      <alignment horizontal="justify" vertical="center" wrapText="1" readingOrder="1"/>
    </xf>
    <xf numFmtId="0" fontId="5" fillId="0" borderId="3" xfId="0" applyFont="1" applyFill="1" applyBorder="1" applyAlignment="1">
      <alignment horizontal="justify" vertical="center" wrapText="1" readingOrder="1"/>
    </xf>
    <xf numFmtId="0" fontId="5" fillId="0" borderId="7" xfId="0" applyFont="1" applyFill="1" applyBorder="1" applyAlignment="1">
      <alignment horizontal="justify" vertical="center" wrapText="1" readingOrder="1"/>
    </xf>
    <xf numFmtId="0" fontId="5" fillId="0" borderId="0" xfId="0" applyFont="1" applyFill="1" applyBorder="1" applyAlignment="1">
      <alignment horizontal="justify" vertical="center" wrapText="1" readingOrder="1"/>
    </xf>
    <xf numFmtId="0" fontId="5" fillId="0" borderId="8" xfId="0" applyFont="1" applyFill="1" applyBorder="1" applyAlignment="1">
      <alignment horizontal="justify" vertical="center" wrapText="1" readingOrder="1"/>
    </xf>
    <xf numFmtId="0" fontId="5" fillId="0" borderId="4" xfId="0" applyFont="1" applyFill="1" applyBorder="1" applyAlignment="1">
      <alignment horizontal="justify" vertical="center" wrapText="1" readingOrder="1"/>
    </xf>
    <xf numFmtId="0" fontId="5" fillId="0" borderId="5" xfId="0" applyFont="1" applyFill="1" applyBorder="1" applyAlignment="1">
      <alignment horizontal="justify" vertical="center" wrapText="1" readingOrder="1"/>
    </xf>
    <xf numFmtId="0" fontId="5" fillId="0" borderId="6" xfId="0" applyFont="1" applyFill="1" applyBorder="1" applyAlignment="1">
      <alignment horizontal="justify" vertical="center" wrapText="1" readingOrder="1"/>
    </xf>
    <xf numFmtId="0" fontId="11" fillId="0" borderId="1" xfId="0" applyFont="1" applyFill="1" applyBorder="1" applyAlignment="1">
      <alignment horizontal="justify" vertical="center" wrapText="1" readingOrder="1"/>
    </xf>
    <xf numFmtId="0" fontId="11" fillId="0" borderId="2" xfId="0" applyFont="1" applyFill="1" applyBorder="1" applyAlignment="1">
      <alignment horizontal="justify" vertical="center" wrapText="1" readingOrder="1"/>
    </xf>
    <xf numFmtId="0" fontId="11" fillId="0" borderId="3" xfId="0" applyFont="1" applyFill="1" applyBorder="1" applyAlignment="1">
      <alignment horizontal="justify" vertical="center" wrapText="1" readingOrder="1"/>
    </xf>
    <xf numFmtId="0" fontId="11" fillId="0" borderId="7" xfId="0" applyFont="1" applyFill="1" applyBorder="1" applyAlignment="1">
      <alignment horizontal="justify" vertical="center" wrapText="1" readingOrder="1"/>
    </xf>
    <xf numFmtId="0" fontId="11" fillId="0" borderId="0" xfId="0" applyFont="1" applyFill="1" applyBorder="1" applyAlignment="1">
      <alignment horizontal="justify" vertical="center" wrapText="1" readingOrder="1"/>
    </xf>
    <xf numFmtId="0" fontId="11" fillId="0" borderId="8" xfId="0" applyFont="1" applyFill="1" applyBorder="1" applyAlignment="1">
      <alignment horizontal="justify" vertical="center" wrapText="1" readingOrder="1"/>
    </xf>
    <xf numFmtId="0" fontId="7" fillId="3" borderId="0" xfId="0" applyFont="1" applyFill="1" applyBorder="1" applyAlignment="1">
      <alignment horizontal="right" vertical="center"/>
    </xf>
    <xf numFmtId="0" fontId="12" fillId="0" borderId="7" xfId="0" applyFont="1" applyFill="1" applyBorder="1" applyAlignment="1">
      <alignment horizontal="justify" vertical="center" wrapText="1" readingOrder="1"/>
    </xf>
    <xf numFmtId="0" fontId="12" fillId="0" borderId="0" xfId="0" applyFont="1" applyFill="1" applyBorder="1" applyAlignment="1">
      <alignment horizontal="justify" vertical="center" wrapText="1" readingOrder="1"/>
    </xf>
    <xf numFmtId="0" fontId="12" fillId="0" borderId="8" xfId="0" applyFont="1" applyFill="1" applyBorder="1" applyAlignment="1">
      <alignment horizontal="justify" vertical="center" wrapText="1" readingOrder="1"/>
    </xf>
  </cellXfs>
  <cellStyles count="2">
    <cellStyle name="Normal" xfId="0" builtinId="0"/>
    <cellStyle name="Percent" xfId="1" builtinId="5"/>
  </cellStyles>
  <dxfs count="73">
    <dxf>
      <font>
        <b val="0"/>
        <i val="0"/>
        <strike val="0"/>
        <condense val="0"/>
        <extend val="0"/>
        <outline val="0"/>
        <shadow val="0"/>
        <u val="none"/>
        <vertAlign val="baseline"/>
        <sz val="11"/>
        <color theme="1"/>
        <name val="Calibri"/>
        <scheme val="minor"/>
      </font>
      <numFmt numFmtId="14" formatCode="0.00%"/>
      <alignment horizontal="center" vertical="center"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1"/>
        <color theme="1"/>
        <name val="Calibri"/>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bottom style="medium">
          <color indexed="64"/>
        </bottom>
      </border>
    </dxf>
    <dxf>
      <font>
        <b/>
        <i val="0"/>
        <strike val="0"/>
        <condense val="0"/>
        <extend val="0"/>
        <outline val="0"/>
        <shadow val="0"/>
        <u val="none"/>
        <vertAlign val="baseline"/>
        <sz val="12"/>
        <color theme="0"/>
        <name val="Calibri"/>
        <scheme val="minor"/>
      </font>
      <fill>
        <patternFill patternType="solid">
          <fgColor indexed="64"/>
          <bgColor rgb="FFA00047"/>
        </patternFill>
      </fill>
      <alignment horizontal="center" vertical="center" textRotation="0" wrapText="0" indent="0" justifyLastLine="0" shrinkToFit="0" readingOrder="0"/>
      <border diagonalUp="0" diagonalDown="0">
        <left/>
        <right/>
        <top/>
        <bottom/>
        <vertical/>
        <horizontal/>
      </border>
    </dxf>
    <dxf>
      <font>
        <b val="0"/>
        <i val="0"/>
        <strike val="0"/>
        <condense val="0"/>
        <extend val="0"/>
        <outline val="0"/>
        <shadow val="0"/>
        <u val="none"/>
        <vertAlign val="baseline"/>
        <sz val="11"/>
        <color theme="1"/>
        <name val="Calibri"/>
        <scheme val="minor"/>
      </font>
    </dxf>
    <dxf>
      <numFmt numFmtId="4" formatCode="#,##0.00"/>
      <alignment horizontal="right" textRotation="0" wrapText="0" indent="0" justifyLastLine="0" shrinkToFit="0" readingOrder="0"/>
    </dxf>
    <dxf>
      <numFmt numFmtId="4" formatCode="#,##0.00"/>
    </dxf>
    <dxf>
      <numFmt numFmtId="0" formatCode="General"/>
    </dxf>
    <dxf>
      <border outline="0">
        <left style="medium">
          <color indexed="64"/>
        </left>
        <right style="medium">
          <color indexed="64"/>
        </right>
        <top style="medium">
          <color indexed="64"/>
        </top>
        <bottom style="medium">
          <color indexed="64"/>
        </bottom>
      </border>
    </dxf>
    <dxf>
      <border outline="0">
        <bottom style="thin">
          <color theme="1"/>
        </bottom>
      </border>
    </dxf>
    <dxf>
      <font>
        <b/>
        <i val="0"/>
        <strike val="0"/>
        <condense val="0"/>
        <extend val="0"/>
        <outline val="0"/>
        <shadow val="0"/>
        <u val="none"/>
        <vertAlign val="baseline"/>
        <sz val="12"/>
        <color theme="0"/>
        <name val="Calibri"/>
        <scheme val="minor"/>
      </font>
      <fill>
        <patternFill patternType="solid">
          <fgColor indexed="64"/>
          <bgColor rgb="FFA00047"/>
        </patternFill>
      </fill>
    </dxf>
    <dxf>
      <numFmt numFmtId="4" formatCode="#,##0.00"/>
      <fill>
        <patternFill patternType="none">
          <fgColor indexed="64"/>
          <bgColor indexed="65"/>
        </patternFill>
      </fill>
      <alignment horizontal="center" vertical="center" textRotation="0" wrapText="0" indent="0" justifyLastLine="0" shrinkToFit="0" readingOrder="0"/>
      <border diagonalUp="0" diagonalDown="0">
        <left/>
        <right style="medium">
          <color indexed="64"/>
        </right>
        <top/>
        <bottom/>
        <vertical/>
        <horizontal/>
      </border>
    </dxf>
    <dxf>
      <numFmt numFmtId="4" formatCode="#,##0.00"/>
      <alignment horizontal="center" vertical="center" textRotation="0" wrapText="0" indent="0" justifyLastLine="0" shrinkToFit="0" readingOrder="0"/>
    </dxf>
    <dxf>
      <numFmt numFmtId="4" formatCode="#,##0.00"/>
      <alignment horizontal="center" vertical="center" textRotation="0" wrapText="0" indent="0" justifyLastLine="0" shrinkToFit="0" readingOrder="0"/>
    </dxf>
    <dxf>
      <numFmt numFmtId="4" formatCode="#,##0.00"/>
      <alignment horizontal="center" vertical="center" textRotation="0" wrapText="0" indent="0" justifyLastLine="0" shrinkToFit="0" readingOrder="0"/>
    </dxf>
    <dxf>
      <numFmt numFmtId="4" formatCode="#,##0.00"/>
      <alignment horizontal="center" vertical="center" textRotation="0" wrapText="0" indent="0" justifyLastLine="0" shrinkToFit="0" readingOrder="0"/>
    </dxf>
    <dxf>
      <numFmt numFmtId="4" formatCode="#,##0.00"/>
      <alignment horizontal="center" vertical="center" textRotation="0" wrapText="0" indent="0" justifyLastLine="0" shrinkToFit="0" readingOrder="0"/>
    </dxf>
    <dxf>
      <numFmt numFmtId="4" formatCode="#,##0.0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numFmt numFmtId="4"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border diagonalUp="0" diagonalDown="0">
        <left style="medium">
          <color indexed="64"/>
        </left>
        <right/>
        <top/>
        <bottom/>
        <vertical/>
        <horizontal/>
      </border>
    </dxf>
    <dxf>
      <border outline="0">
        <left style="medium">
          <color indexed="64"/>
        </left>
        <right style="medium">
          <color indexed="64"/>
        </right>
        <top style="medium">
          <color indexed="64"/>
        </top>
      </border>
    </dxf>
    <dxf>
      <alignment horizontal="center" vertical="center" textRotation="0" wrapText="0" indent="0" justifyLastLine="0" shrinkToFit="0" readingOrder="0"/>
    </dxf>
    <dxf>
      <border>
        <bottom style="medium">
          <color indexed="64"/>
        </bottom>
      </border>
    </dxf>
    <dxf>
      <font>
        <b/>
        <i val="0"/>
        <strike val="0"/>
        <condense val="0"/>
        <extend val="0"/>
        <outline val="0"/>
        <shadow val="0"/>
        <u val="none"/>
        <vertAlign val="baseline"/>
        <sz val="11"/>
        <color theme="0"/>
        <name val="Calibri"/>
        <scheme val="minor"/>
      </font>
      <fill>
        <patternFill patternType="solid">
          <fgColor indexed="64"/>
          <bgColor rgb="FFA00047"/>
        </patternFill>
      </fill>
      <alignment horizontal="center" vertical="center"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1"/>
        <color theme="1"/>
        <name val="Calibri"/>
        <scheme val="minor"/>
      </font>
      <numFmt numFmtId="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A00047"/>
        </patternFill>
      </fill>
      <alignment horizontal="center" vertical="center" textRotation="0" wrapText="0" indent="0" justifyLastLine="0" shrinkToFit="0" readingOrder="0"/>
    </dxf>
    <dxf>
      <numFmt numFmtId="4" formatCode="#,##0.00"/>
      <fill>
        <patternFill patternType="none">
          <fgColor indexed="64"/>
          <bgColor indexed="65"/>
        </patternFill>
      </fill>
      <alignment horizontal="center" vertical="center" textRotation="0" wrapText="0" indent="0" justifyLastLine="0" shrinkToFit="0" readingOrder="0"/>
      <border diagonalUp="0" diagonalDown="0">
        <left/>
        <right style="medium">
          <color indexed="64"/>
        </right>
        <top/>
        <bottom/>
        <vertical/>
        <horizontal/>
      </border>
    </dxf>
    <dxf>
      <numFmt numFmtId="4" formatCode="#,##0.00"/>
      <alignment horizontal="center" vertical="center" textRotation="0" wrapText="0" indent="0" justifyLastLine="0" shrinkToFit="0" readingOrder="0"/>
    </dxf>
    <dxf>
      <numFmt numFmtId="4" formatCode="#,##0.00"/>
      <alignment horizontal="center" vertical="center" textRotation="0" wrapText="0" indent="0" justifyLastLine="0" shrinkToFit="0" readingOrder="0"/>
    </dxf>
    <dxf>
      <numFmt numFmtId="4" formatCode="#,##0.00"/>
      <alignment horizontal="center" vertical="center" textRotation="0" wrapText="0" indent="0" justifyLastLine="0" shrinkToFit="0" readingOrder="0"/>
    </dxf>
    <dxf>
      <numFmt numFmtId="4" formatCode="#,##0.00"/>
      <alignment horizontal="center" vertical="center" textRotation="0" wrapText="0" indent="0" justifyLastLine="0" shrinkToFit="0" readingOrder="0"/>
    </dxf>
    <dxf>
      <numFmt numFmtId="4" formatCode="#,##0.00"/>
      <fill>
        <patternFill patternType="none">
          <fgColor indexed="64"/>
          <bgColor indexed="65"/>
        </patternFill>
      </fill>
      <alignment horizontal="center" vertical="center" textRotation="0" wrapText="0" indent="0" justifyLastLine="0" shrinkToFit="0" readingOrder="0"/>
    </dxf>
    <dxf>
      <numFmt numFmtId="4" formatCode="#,##0.00"/>
      <fill>
        <patternFill patternType="none">
          <fgColor indexed="64"/>
          <bgColor indexed="65"/>
        </patternFill>
      </fill>
      <alignment horizontal="center" vertical="center" textRotation="0" wrapText="0" indent="0" justifyLastLine="0" shrinkToFit="0" readingOrder="0"/>
    </dxf>
    <dxf>
      <numFmt numFmtId="4" formatCode="#,##0.00"/>
      <fill>
        <patternFill patternType="none">
          <fgColor indexed="64"/>
          <bgColor indexed="65"/>
        </patternFill>
      </fill>
      <alignment horizontal="center" vertical="center" textRotation="0" wrapText="0" indent="0" justifyLastLine="0" shrinkToFit="0" readingOrder="0"/>
    </dxf>
    <dxf>
      <numFmt numFmtId="4" formatCode="#,##0.00"/>
      <fill>
        <patternFill patternType="none">
          <fgColor indexed="64"/>
          <bgColor indexed="65"/>
        </patternFill>
      </fil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border diagonalUp="0" diagonalDown="0">
        <left style="medium">
          <color indexed="64"/>
        </left>
        <right/>
        <top/>
        <bottom/>
        <vertical/>
        <horizontal/>
      </border>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A00047"/>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4"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4"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4"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4"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4"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4"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4"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4" formatCode="#,##0.00"/>
      <fill>
        <patternFill patternType="none">
          <fgColor indexed="64"/>
          <bgColor indexed="65"/>
        </patternFill>
      </fill>
      <alignment horizontal="center" vertical="center" textRotation="0" wrapText="0" indent="0" justifyLastLine="0" shrinkToFit="0" readingOrder="0"/>
    </dxf>
    <dxf>
      <numFmt numFmtId="0" formatCode="General"/>
      <alignment horizontal="center" textRotation="0" 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0"/>
        <color theme="0"/>
        <name val="Calibri"/>
        <scheme val="minor"/>
      </font>
      <fill>
        <patternFill patternType="solid">
          <fgColor indexed="64"/>
          <bgColor rgb="FFA00047"/>
        </patternFill>
      </fill>
      <alignment horizontal="center" vertical="center" textRotation="0" wrapText="1" indent="0" justifyLastLine="0" shrinkToFit="0" readingOrder="0"/>
    </dxf>
  </dxfs>
  <tableStyles count="1" defaultTableStyle="TableStyleMedium2" defaultPivotStyle="PivotStyleLight16">
    <tableStyle name="Table Style 1" pivot="0" count="0"/>
  </tableStyles>
  <colors>
    <mruColors>
      <color rgb="FFA000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alternatifyatirim.com.tr/"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https://www.alternatifyatirim.com.tr/"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hyperlink" Target="https://www.alternatifyatirim.com.tr/"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hyperlink" Target="https://www.alternatifyatirim.com.tr/"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3.png"/><Relationship Id="rId4" Type="http://schemas.openxmlformats.org/officeDocument/2006/relationships/hyperlink" Target="https://www.alternatifyatirim.com.tr/" TargetMode="External"/></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3.png"/><Relationship Id="rId4" Type="http://schemas.openxmlformats.org/officeDocument/2006/relationships/hyperlink" Target="https://www.alternatifyatirim.com.tr/"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125</xdr:row>
      <xdr:rowOff>133350</xdr:rowOff>
    </xdr:from>
    <xdr:to>
      <xdr:col>0</xdr:col>
      <xdr:colOff>531093</xdr:colOff>
      <xdr:row>126</xdr:row>
      <xdr:rowOff>132523</xdr:rowOff>
    </xdr:to>
    <xdr:pic>
      <xdr:nvPicPr>
        <xdr:cNvPr id="2" name="Picture 1">
          <a:extLst>
            <a:ext uri="{FF2B5EF4-FFF2-40B4-BE49-F238E27FC236}">
              <a16:creationId xmlns:a16="http://schemas.microsoft.com/office/drawing/2014/main" id="{F989CAA6-9A2C-8A4E-BA8D-97D8925FA1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516031" y="22365821"/>
          <a:ext cx="216768" cy="189672"/>
        </a:xfrm>
        <a:prstGeom prst="rect">
          <a:avLst/>
        </a:prstGeom>
      </xdr:spPr>
    </xdr:pic>
    <xdr:clientData/>
  </xdr:twoCellAnchor>
  <xdr:twoCellAnchor editAs="oneCell">
    <xdr:from>
      <xdr:col>0</xdr:col>
      <xdr:colOff>314739</xdr:colOff>
      <xdr:row>127</xdr:row>
      <xdr:rowOff>41413</xdr:rowOff>
    </xdr:from>
    <xdr:to>
      <xdr:col>0</xdr:col>
      <xdr:colOff>521804</xdr:colOff>
      <xdr:row>128</xdr:row>
      <xdr:rowOff>64483</xdr:rowOff>
    </xdr:to>
    <xdr:pic>
      <xdr:nvPicPr>
        <xdr:cNvPr id="3" name="Picture 2">
          <a:extLst>
            <a:ext uri="{FF2B5EF4-FFF2-40B4-BE49-F238E27FC236}">
              <a16:creationId xmlns:a16="http://schemas.microsoft.com/office/drawing/2014/main" id="{91631A68-9A48-0F48-BF0E-61C1A0EE6D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314739" y="9194938"/>
          <a:ext cx="207065" cy="213570"/>
        </a:xfrm>
        <a:prstGeom prst="rect">
          <a:avLst/>
        </a:prstGeom>
      </xdr:spPr>
    </xdr:pic>
    <xdr:clientData/>
  </xdr:twoCellAnchor>
  <xdr:twoCellAnchor>
    <xdr:from>
      <xdr:col>0</xdr:col>
      <xdr:colOff>581379</xdr:colOff>
      <xdr:row>125</xdr:row>
      <xdr:rowOff>115955</xdr:rowOff>
    </xdr:from>
    <xdr:to>
      <xdr:col>4</xdr:col>
      <xdr:colOff>56020</xdr:colOff>
      <xdr:row>126</xdr:row>
      <xdr:rowOff>110294</xdr:rowOff>
    </xdr:to>
    <xdr:sp macro="" textlink="">
      <xdr:nvSpPr>
        <xdr:cNvPr id="4" name="TextBox 3">
          <a:hlinkClick xmlns:r="http://schemas.openxmlformats.org/officeDocument/2006/relationships" r:id="rId3"/>
          <a:extLst>
            <a:ext uri="{FF2B5EF4-FFF2-40B4-BE49-F238E27FC236}">
              <a16:creationId xmlns:a16="http://schemas.microsoft.com/office/drawing/2014/main" id="{D12E6DDB-E4CE-B84F-A32C-7000CEE9EDCD}"/>
            </a:ext>
          </a:extLst>
        </xdr:cNvPr>
        <xdr:cNvSpPr txBox="1"/>
      </xdr:nvSpPr>
      <xdr:spPr>
        <a:xfrm>
          <a:off x="581379" y="8888480"/>
          <a:ext cx="1913041" cy="184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www.alternatifyatirim.com.tr</a:t>
          </a:r>
        </a:p>
      </xdr:txBody>
    </xdr:sp>
    <xdr:clientData/>
  </xdr:twoCellAnchor>
  <xdr:twoCellAnchor>
    <xdr:from>
      <xdr:col>0</xdr:col>
      <xdr:colOff>612746</xdr:colOff>
      <xdr:row>127</xdr:row>
      <xdr:rowOff>47544</xdr:rowOff>
    </xdr:from>
    <xdr:to>
      <xdr:col>2</xdr:col>
      <xdr:colOff>359248</xdr:colOff>
      <xdr:row>128</xdr:row>
      <xdr:rowOff>53272</xdr:rowOff>
    </xdr:to>
    <xdr:sp macro="" textlink="">
      <xdr:nvSpPr>
        <xdr:cNvPr id="5" name="TextBox 4">
          <a:extLst>
            <a:ext uri="{FF2B5EF4-FFF2-40B4-BE49-F238E27FC236}">
              <a16:creationId xmlns:a16="http://schemas.microsoft.com/office/drawing/2014/main" id="{876D38BC-066C-8244-863F-2806ED726ABE}"/>
            </a:ext>
          </a:extLst>
        </xdr:cNvPr>
        <xdr:cNvSpPr txBox="1"/>
      </xdr:nvSpPr>
      <xdr:spPr>
        <a:xfrm>
          <a:off x="612746" y="9201069"/>
          <a:ext cx="965702" cy="196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444 00 54</a:t>
          </a:r>
        </a:p>
      </xdr:txBody>
    </xdr:sp>
    <xdr:clientData/>
  </xdr:twoCellAnchor>
  <xdr:twoCellAnchor>
    <xdr:from>
      <xdr:col>12</xdr:col>
      <xdr:colOff>89648</xdr:colOff>
      <xdr:row>125</xdr:row>
      <xdr:rowOff>60901</xdr:rowOff>
    </xdr:from>
    <xdr:to>
      <xdr:col>13</xdr:col>
      <xdr:colOff>280147</xdr:colOff>
      <xdr:row>128</xdr:row>
      <xdr:rowOff>127162</xdr:rowOff>
    </xdr:to>
    <xdr:sp macro="" textlink="">
      <xdr:nvSpPr>
        <xdr:cNvPr id="6" name="TextBox 5">
          <a:extLst>
            <a:ext uri="{FF2B5EF4-FFF2-40B4-BE49-F238E27FC236}">
              <a16:creationId xmlns:a16="http://schemas.microsoft.com/office/drawing/2014/main" id="{B9D5A906-8273-1E4E-8C7E-EBC982780F9F}"/>
            </a:ext>
          </a:extLst>
        </xdr:cNvPr>
        <xdr:cNvSpPr txBox="1"/>
      </xdr:nvSpPr>
      <xdr:spPr>
        <a:xfrm>
          <a:off x="11867030" y="22293372"/>
          <a:ext cx="1949823" cy="637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bg1"/>
              </a:solidFill>
              <a:latin typeface="Calibri" panose="020F0502020204030204" pitchFamily="34" charset="0"/>
              <a:cs typeface="Calibri" panose="020F0502020204030204" pitchFamily="34" charset="0"/>
            </a:rPr>
            <a:t>The Commercial Bank (Katar) kuruluşudur.</a:t>
          </a:r>
        </a:p>
      </xdr:txBody>
    </xdr:sp>
    <xdr:clientData/>
  </xdr:twoCellAnchor>
  <xdr:twoCellAnchor editAs="oneCell">
    <xdr:from>
      <xdr:col>0</xdr:col>
      <xdr:colOff>155377</xdr:colOff>
      <xdr:row>0</xdr:row>
      <xdr:rowOff>66307</xdr:rowOff>
    </xdr:from>
    <xdr:to>
      <xdr:col>2</xdr:col>
      <xdr:colOff>13607</xdr:colOff>
      <xdr:row>3</xdr:row>
      <xdr:rowOff>151874</xdr:rowOff>
    </xdr:to>
    <xdr:pic>
      <xdr:nvPicPr>
        <xdr:cNvPr id="7" name="Picture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5377" y="66307"/>
          <a:ext cx="1450266" cy="6570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314325</xdr:colOff>
      <xdr:row>125</xdr:row>
      <xdr:rowOff>133350</xdr:rowOff>
    </xdr:from>
    <xdr:to>
      <xdr:col>0</xdr:col>
      <xdr:colOff>531093</xdr:colOff>
      <xdr:row>126</xdr:row>
      <xdr:rowOff>132523</xdr:rowOff>
    </xdr:to>
    <xdr:pic>
      <xdr:nvPicPr>
        <xdr:cNvPr id="5" name="Picture 4">
          <a:extLst>
            <a:ext uri="{FF2B5EF4-FFF2-40B4-BE49-F238E27FC236}">
              <a16:creationId xmlns:a16="http://schemas.microsoft.com/office/drawing/2014/main" id="{F989CAA6-9A2C-8A4E-BA8D-97D8925FA1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552450" y="21297900"/>
          <a:ext cx="216768" cy="189672"/>
        </a:xfrm>
        <a:prstGeom prst="rect">
          <a:avLst/>
        </a:prstGeom>
      </xdr:spPr>
    </xdr:pic>
    <xdr:clientData/>
  </xdr:twoCellAnchor>
  <xdr:twoCellAnchor editAs="oneCell">
    <xdr:from>
      <xdr:col>0</xdr:col>
      <xdr:colOff>314739</xdr:colOff>
      <xdr:row>127</xdr:row>
      <xdr:rowOff>41413</xdr:rowOff>
    </xdr:from>
    <xdr:to>
      <xdr:col>0</xdr:col>
      <xdr:colOff>521804</xdr:colOff>
      <xdr:row>128</xdr:row>
      <xdr:rowOff>64482</xdr:rowOff>
    </xdr:to>
    <xdr:pic>
      <xdr:nvPicPr>
        <xdr:cNvPr id="6" name="Picture 5">
          <a:extLst>
            <a:ext uri="{FF2B5EF4-FFF2-40B4-BE49-F238E27FC236}">
              <a16:creationId xmlns:a16="http://schemas.microsoft.com/office/drawing/2014/main" id="{91631A68-9A48-0F48-BF0E-61C1A0EE6D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52864" y="21586963"/>
          <a:ext cx="207065" cy="213570"/>
        </a:xfrm>
        <a:prstGeom prst="rect">
          <a:avLst/>
        </a:prstGeom>
      </xdr:spPr>
    </xdr:pic>
    <xdr:clientData/>
  </xdr:twoCellAnchor>
  <xdr:twoCellAnchor>
    <xdr:from>
      <xdr:col>0</xdr:col>
      <xdr:colOff>581379</xdr:colOff>
      <xdr:row>125</xdr:row>
      <xdr:rowOff>115955</xdr:rowOff>
    </xdr:from>
    <xdr:to>
      <xdr:col>4</xdr:col>
      <xdr:colOff>56020</xdr:colOff>
      <xdr:row>126</xdr:row>
      <xdr:rowOff>110294</xdr:rowOff>
    </xdr:to>
    <xdr:sp macro="" textlink="">
      <xdr:nvSpPr>
        <xdr:cNvPr id="7" name="TextBox 6">
          <a:hlinkClick xmlns:r="http://schemas.openxmlformats.org/officeDocument/2006/relationships" r:id="rId3"/>
          <a:extLst>
            <a:ext uri="{FF2B5EF4-FFF2-40B4-BE49-F238E27FC236}">
              <a16:creationId xmlns:a16="http://schemas.microsoft.com/office/drawing/2014/main" id="{D12E6DDB-E4CE-B84F-A32C-7000CEE9EDCD}"/>
            </a:ext>
          </a:extLst>
        </xdr:cNvPr>
        <xdr:cNvSpPr txBox="1"/>
      </xdr:nvSpPr>
      <xdr:spPr>
        <a:xfrm>
          <a:off x="819504" y="21280505"/>
          <a:ext cx="4275241" cy="184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www.alternatifyatirim.com.tr</a:t>
          </a:r>
        </a:p>
      </xdr:txBody>
    </xdr:sp>
    <xdr:clientData/>
  </xdr:twoCellAnchor>
  <xdr:twoCellAnchor>
    <xdr:from>
      <xdr:col>0</xdr:col>
      <xdr:colOff>612746</xdr:colOff>
      <xdr:row>127</xdr:row>
      <xdr:rowOff>47544</xdr:rowOff>
    </xdr:from>
    <xdr:to>
      <xdr:col>2</xdr:col>
      <xdr:colOff>359248</xdr:colOff>
      <xdr:row>128</xdr:row>
      <xdr:rowOff>53272</xdr:rowOff>
    </xdr:to>
    <xdr:sp macro="" textlink="">
      <xdr:nvSpPr>
        <xdr:cNvPr id="8" name="TextBox 7">
          <a:extLst>
            <a:ext uri="{FF2B5EF4-FFF2-40B4-BE49-F238E27FC236}">
              <a16:creationId xmlns:a16="http://schemas.microsoft.com/office/drawing/2014/main" id="{876D38BC-066C-8244-863F-2806ED726ABE}"/>
            </a:ext>
          </a:extLst>
        </xdr:cNvPr>
        <xdr:cNvSpPr txBox="1"/>
      </xdr:nvSpPr>
      <xdr:spPr>
        <a:xfrm>
          <a:off x="850871" y="21593094"/>
          <a:ext cx="1156202" cy="196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444 00 54</a:t>
          </a:r>
        </a:p>
      </xdr:txBody>
    </xdr:sp>
    <xdr:clientData/>
  </xdr:twoCellAnchor>
  <xdr:twoCellAnchor>
    <xdr:from>
      <xdr:col>6</xdr:col>
      <xdr:colOff>609600</xdr:colOff>
      <xdr:row>125</xdr:row>
      <xdr:rowOff>51376</xdr:rowOff>
    </xdr:from>
    <xdr:to>
      <xdr:col>9</xdr:col>
      <xdr:colOff>0</xdr:colOff>
      <xdr:row>128</xdr:row>
      <xdr:rowOff>117637</xdr:rowOff>
    </xdr:to>
    <xdr:sp macro="" textlink="">
      <xdr:nvSpPr>
        <xdr:cNvPr id="9" name="TextBox 8">
          <a:extLst>
            <a:ext uri="{FF2B5EF4-FFF2-40B4-BE49-F238E27FC236}">
              <a16:creationId xmlns:a16="http://schemas.microsoft.com/office/drawing/2014/main" id="{B9D5A906-8273-1E4E-8C7E-EBC982780F9F}"/>
            </a:ext>
          </a:extLst>
        </xdr:cNvPr>
        <xdr:cNvSpPr txBox="1"/>
      </xdr:nvSpPr>
      <xdr:spPr>
        <a:xfrm>
          <a:off x="5972175" y="24063901"/>
          <a:ext cx="1990726" cy="637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bg1"/>
              </a:solidFill>
              <a:latin typeface="Calibri" panose="020F0502020204030204" pitchFamily="34" charset="0"/>
              <a:cs typeface="Calibri" panose="020F0502020204030204" pitchFamily="34" charset="0"/>
            </a:rPr>
            <a:t>The Commercial Bank (Katar) kuruluşudur.</a:t>
          </a:r>
        </a:p>
      </xdr:txBody>
    </xdr:sp>
    <xdr:clientData/>
  </xdr:twoCellAnchor>
  <xdr:twoCellAnchor editAs="oneCell">
    <xdr:from>
      <xdr:col>0</xdr:col>
      <xdr:colOff>182591</xdr:colOff>
      <xdr:row>0</xdr:row>
      <xdr:rowOff>90800</xdr:rowOff>
    </xdr:from>
    <xdr:to>
      <xdr:col>2</xdr:col>
      <xdr:colOff>88446</xdr:colOff>
      <xdr:row>3</xdr:row>
      <xdr:rowOff>176367</xdr:rowOff>
    </xdr:to>
    <xdr:pic>
      <xdr:nvPicPr>
        <xdr:cNvPr id="11" name="Picture 1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3566" y="290825"/>
          <a:ext cx="1439380" cy="6570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314325</xdr:colOff>
      <xdr:row>126</xdr:row>
      <xdr:rowOff>133350</xdr:rowOff>
    </xdr:from>
    <xdr:to>
      <xdr:col>0</xdr:col>
      <xdr:colOff>531093</xdr:colOff>
      <xdr:row>127</xdr:row>
      <xdr:rowOff>132523</xdr:rowOff>
    </xdr:to>
    <xdr:pic>
      <xdr:nvPicPr>
        <xdr:cNvPr id="2" name="Picture 1">
          <a:extLst>
            <a:ext uri="{FF2B5EF4-FFF2-40B4-BE49-F238E27FC236}">
              <a16:creationId xmlns:a16="http://schemas.microsoft.com/office/drawing/2014/main" id="{F989CAA6-9A2C-8A4E-BA8D-97D8925FA1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514350" y="22002750"/>
          <a:ext cx="216768" cy="189672"/>
        </a:xfrm>
        <a:prstGeom prst="rect">
          <a:avLst/>
        </a:prstGeom>
      </xdr:spPr>
    </xdr:pic>
    <xdr:clientData/>
  </xdr:twoCellAnchor>
  <xdr:twoCellAnchor editAs="oneCell">
    <xdr:from>
      <xdr:col>0</xdr:col>
      <xdr:colOff>314739</xdr:colOff>
      <xdr:row>128</xdr:row>
      <xdr:rowOff>41413</xdr:rowOff>
    </xdr:from>
    <xdr:to>
      <xdr:col>0</xdr:col>
      <xdr:colOff>521804</xdr:colOff>
      <xdr:row>129</xdr:row>
      <xdr:rowOff>64483</xdr:rowOff>
    </xdr:to>
    <xdr:pic>
      <xdr:nvPicPr>
        <xdr:cNvPr id="3" name="Picture 2">
          <a:extLst>
            <a:ext uri="{FF2B5EF4-FFF2-40B4-BE49-F238E27FC236}">
              <a16:creationId xmlns:a16="http://schemas.microsoft.com/office/drawing/2014/main" id="{91631A68-9A48-0F48-BF0E-61C1A0EE6D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14764" y="22291813"/>
          <a:ext cx="207065" cy="213570"/>
        </a:xfrm>
        <a:prstGeom prst="rect">
          <a:avLst/>
        </a:prstGeom>
      </xdr:spPr>
    </xdr:pic>
    <xdr:clientData/>
  </xdr:twoCellAnchor>
  <xdr:twoCellAnchor>
    <xdr:from>
      <xdr:col>0</xdr:col>
      <xdr:colOff>581379</xdr:colOff>
      <xdr:row>126</xdr:row>
      <xdr:rowOff>115955</xdr:rowOff>
    </xdr:from>
    <xdr:to>
      <xdr:col>4</xdr:col>
      <xdr:colOff>56020</xdr:colOff>
      <xdr:row>127</xdr:row>
      <xdr:rowOff>110294</xdr:rowOff>
    </xdr:to>
    <xdr:sp macro="" textlink="">
      <xdr:nvSpPr>
        <xdr:cNvPr id="4" name="TextBox 3">
          <a:hlinkClick xmlns:r="http://schemas.openxmlformats.org/officeDocument/2006/relationships" r:id="rId3"/>
          <a:extLst>
            <a:ext uri="{FF2B5EF4-FFF2-40B4-BE49-F238E27FC236}">
              <a16:creationId xmlns:a16="http://schemas.microsoft.com/office/drawing/2014/main" id="{D12E6DDB-E4CE-B84F-A32C-7000CEE9EDCD}"/>
            </a:ext>
          </a:extLst>
        </xdr:cNvPr>
        <xdr:cNvSpPr txBox="1"/>
      </xdr:nvSpPr>
      <xdr:spPr>
        <a:xfrm>
          <a:off x="781404" y="21985355"/>
          <a:ext cx="2722666" cy="184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www.alternatifyatirim.com.tr</a:t>
          </a:r>
        </a:p>
      </xdr:txBody>
    </xdr:sp>
    <xdr:clientData/>
  </xdr:twoCellAnchor>
  <xdr:twoCellAnchor>
    <xdr:from>
      <xdr:col>0</xdr:col>
      <xdr:colOff>612746</xdr:colOff>
      <xdr:row>128</xdr:row>
      <xdr:rowOff>47544</xdr:rowOff>
    </xdr:from>
    <xdr:to>
      <xdr:col>2</xdr:col>
      <xdr:colOff>359248</xdr:colOff>
      <xdr:row>129</xdr:row>
      <xdr:rowOff>53272</xdr:rowOff>
    </xdr:to>
    <xdr:sp macro="" textlink="">
      <xdr:nvSpPr>
        <xdr:cNvPr id="5" name="TextBox 4">
          <a:extLst>
            <a:ext uri="{FF2B5EF4-FFF2-40B4-BE49-F238E27FC236}">
              <a16:creationId xmlns:a16="http://schemas.microsoft.com/office/drawing/2014/main" id="{876D38BC-066C-8244-863F-2806ED726ABE}"/>
            </a:ext>
          </a:extLst>
        </xdr:cNvPr>
        <xdr:cNvSpPr txBox="1"/>
      </xdr:nvSpPr>
      <xdr:spPr>
        <a:xfrm>
          <a:off x="812771" y="22297944"/>
          <a:ext cx="1318127" cy="196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444 00 54</a:t>
          </a:r>
        </a:p>
      </xdr:txBody>
    </xdr:sp>
    <xdr:clientData/>
  </xdr:twoCellAnchor>
  <xdr:twoCellAnchor>
    <xdr:from>
      <xdr:col>8</xdr:col>
      <xdr:colOff>619125</xdr:colOff>
      <xdr:row>126</xdr:row>
      <xdr:rowOff>79951</xdr:rowOff>
    </xdr:from>
    <xdr:to>
      <xdr:col>9</xdr:col>
      <xdr:colOff>842123</xdr:colOff>
      <xdr:row>129</xdr:row>
      <xdr:rowOff>146212</xdr:rowOff>
    </xdr:to>
    <xdr:sp macro="" textlink="">
      <xdr:nvSpPr>
        <xdr:cNvPr id="6" name="TextBox 5">
          <a:extLst>
            <a:ext uri="{FF2B5EF4-FFF2-40B4-BE49-F238E27FC236}">
              <a16:creationId xmlns:a16="http://schemas.microsoft.com/office/drawing/2014/main" id="{B9D5A906-8273-1E4E-8C7E-EBC982780F9F}"/>
            </a:ext>
          </a:extLst>
        </xdr:cNvPr>
        <xdr:cNvSpPr txBox="1"/>
      </xdr:nvSpPr>
      <xdr:spPr>
        <a:xfrm>
          <a:off x="9620250" y="21244501"/>
          <a:ext cx="1585073" cy="637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bg1"/>
              </a:solidFill>
              <a:latin typeface="Calibri" panose="020F0502020204030204" pitchFamily="34" charset="0"/>
              <a:cs typeface="Calibri" panose="020F0502020204030204" pitchFamily="34" charset="0"/>
            </a:rPr>
            <a:t>The Commercial Bank (Katar) kuruluşudur.</a:t>
          </a:r>
        </a:p>
      </xdr:txBody>
    </xdr:sp>
    <xdr:clientData/>
  </xdr:twoCellAnchor>
  <xdr:twoCellAnchor editAs="oneCell">
    <xdr:from>
      <xdr:col>0</xdr:col>
      <xdr:colOff>70532</xdr:colOff>
      <xdr:row>0</xdr:row>
      <xdr:rowOff>0</xdr:rowOff>
    </xdr:from>
    <xdr:to>
      <xdr:col>1</xdr:col>
      <xdr:colOff>649301</xdr:colOff>
      <xdr:row>4</xdr:row>
      <xdr:rowOff>56618</xdr:rowOff>
    </xdr:to>
    <xdr:pic>
      <xdr:nvPicPr>
        <xdr:cNvPr id="7" name="Picture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532" y="0"/>
          <a:ext cx="1443346" cy="8186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314325</xdr:colOff>
      <xdr:row>111</xdr:row>
      <xdr:rowOff>133350</xdr:rowOff>
    </xdr:from>
    <xdr:to>
      <xdr:col>0</xdr:col>
      <xdr:colOff>531093</xdr:colOff>
      <xdr:row>112</xdr:row>
      <xdr:rowOff>132522</xdr:rowOff>
    </xdr:to>
    <xdr:pic>
      <xdr:nvPicPr>
        <xdr:cNvPr id="2" name="Picture 1">
          <a:extLst>
            <a:ext uri="{FF2B5EF4-FFF2-40B4-BE49-F238E27FC236}">
              <a16:creationId xmlns:a16="http://schemas.microsoft.com/office/drawing/2014/main" id="{F989CAA6-9A2C-8A4E-BA8D-97D8925FA1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552450" y="21297900"/>
          <a:ext cx="216768" cy="189672"/>
        </a:xfrm>
        <a:prstGeom prst="rect">
          <a:avLst/>
        </a:prstGeom>
      </xdr:spPr>
    </xdr:pic>
    <xdr:clientData/>
  </xdr:twoCellAnchor>
  <xdr:twoCellAnchor editAs="oneCell">
    <xdr:from>
      <xdr:col>0</xdr:col>
      <xdr:colOff>314739</xdr:colOff>
      <xdr:row>113</xdr:row>
      <xdr:rowOff>41413</xdr:rowOff>
    </xdr:from>
    <xdr:to>
      <xdr:col>0</xdr:col>
      <xdr:colOff>521804</xdr:colOff>
      <xdr:row>114</xdr:row>
      <xdr:rowOff>64483</xdr:rowOff>
    </xdr:to>
    <xdr:pic>
      <xdr:nvPicPr>
        <xdr:cNvPr id="3" name="Picture 2">
          <a:extLst>
            <a:ext uri="{FF2B5EF4-FFF2-40B4-BE49-F238E27FC236}">
              <a16:creationId xmlns:a16="http://schemas.microsoft.com/office/drawing/2014/main" id="{91631A68-9A48-0F48-BF0E-61C1A0EE6D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52864" y="21586963"/>
          <a:ext cx="207065" cy="213570"/>
        </a:xfrm>
        <a:prstGeom prst="rect">
          <a:avLst/>
        </a:prstGeom>
      </xdr:spPr>
    </xdr:pic>
    <xdr:clientData/>
  </xdr:twoCellAnchor>
  <xdr:twoCellAnchor>
    <xdr:from>
      <xdr:col>0</xdr:col>
      <xdr:colOff>581379</xdr:colOff>
      <xdr:row>111</xdr:row>
      <xdr:rowOff>115955</xdr:rowOff>
    </xdr:from>
    <xdr:to>
      <xdr:col>6</xdr:col>
      <xdr:colOff>56020</xdr:colOff>
      <xdr:row>112</xdr:row>
      <xdr:rowOff>110294</xdr:rowOff>
    </xdr:to>
    <xdr:sp macro="" textlink="">
      <xdr:nvSpPr>
        <xdr:cNvPr id="4" name="TextBox 3">
          <a:hlinkClick xmlns:r="http://schemas.openxmlformats.org/officeDocument/2006/relationships" r:id="rId3"/>
          <a:extLst>
            <a:ext uri="{FF2B5EF4-FFF2-40B4-BE49-F238E27FC236}">
              <a16:creationId xmlns:a16="http://schemas.microsoft.com/office/drawing/2014/main" id="{D12E6DDB-E4CE-B84F-A32C-7000CEE9EDCD}"/>
            </a:ext>
          </a:extLst>
        </xdr:cNvPr>
        <xdr:cNvSpPr txBox="1"/>
      </xdr:nvSpPr>
      <xdr:spPr>
        <a:xfrm>
          <a:off x="819504" y="21280505"/>
          <a:ext cx="4275241" cy="184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www.alternatifyatirim.com.tr</a:t>
          </a:r>
        </a:p>
      </xdr:txBody>
    </xdr:sp>
    <xdr:clientData/>
  </xdr:twoCellAnchor>
  <xdr:twoCellAnchor>
    <xdr:from>
      <xdr:col>0</xdr:col>
      <xdr:colOff>612746</xdr:colOff>
      <xdr:row>113</xdr:row>
      <xdr:rowOff>47544</xdr:rowOff>
    </xdr:from>
    <xdr:to>
      <xdr:col>2</xdr:col>
      <xdr:colOff>359248</xdr:colOff>
      <xdr:row>114</xdr:row>
      <xdr:rowOff>53272</xdr:rowOff>
    </xdr:to>
    <xdr:sp macro="" textlink="">
      <xdr:nvSpPr>
        <xdr:cNvPr id="5" name="TextBox 4">
          <a:extLst>
            <a:ext uri="{FF2B5EF4-FFF2-40B4-BE49-F238E27FC236}">
              <a16:creationId xmlns:a16="http://schemas.microsoft.com/office/drawing/2014/main" id="{876D38BC-066C-8244-863F-2806ED726ABE}"/>
            </a:ext>
          </a:extLst>
        </xdr:cNvPr>
        <xdr:cNvSpPr txBox="1"/>
      </xdr:nvSpPr>
      <xdr:spPr>
        <a:xfrm>
          <a:off x="850871" y="21593094"/>
          <a:ext cx="1156202" cy="196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444 00 54</a:t>
          </a:r>
        </a:p>
      </xdr:txBody>
    </xdr:sp>
    <xdr:clientData/>
  </xdr:twoCellAnchor>
  <xdr:twoCellAnchor>
    <xdr:from>
      <xdr:col>7</xdr:col>
      <xdr:colOff>1419226</xdr:colOff>
      <xdr:row>111</xdr:row>
      <xdr:rowOff>127576</xdr:rowOff>
    </xdr:from>
    <xdr:to>
      <xdr:col>10</xdr:col>
      <xdr:colOff>200027</xdr:colOff>
      <xdr:row>114</xdr:row>
      <xdr:rowOff>193837</xdr:rowOff>
    </xdr:to>
    <xdr:sp macro="" textlink="">
      <xdr:nvSpPr>
        <xdr:cNvPr id="6" name="TextBox 5">
          <a:extLst>
            <a:ext uri="{FF2B5EF4-FFF2-40B4-BE49-F238E27FC236}">
              <a16:creationId xmlns:a16="http://schemas.microsoft.com/office/drawing/2014/main" id="{B9D5A906-8273-1E4E-8C7E-EBC982780F9F}"/>
            </a:ext>
          </a:extLst>
        </xdr:cNvPr>
        <xdr:cNvSpPr txBox="1"/>
      </xdr:nvSpPr>
      <xdr:spPr>
        <a:xfrm>
          <a:off x="6191251" y="22358926"/>
          <a:ext cx="2343151" cy="637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bg1"/>
              </a:solidFill>
              <a:latin typeface="Calibri" panose="020F0502020204030204" pitchFamily="34" charset="0"/>
              <a:cs typeface="Calibri" panose="020F0502020204030204" pitchFamily="34" charset="0"/>
            </a:rPr>
            <a:t>The Commercial Bank (Katar) kuruluşudur.</a:t>
          </a:r>
        </a:p>
      </xdr:txBody>
    </xdr:sp>
    <xdr:clientData/>
  </xdr:twoCellAnchor>
  <xdr:twoCellAnchor editAs="oneCell">
    <xdr:from>
      <xdr:col>0</xdr:col>
      <xdr:colOff>201641</xdr:colOff>
      <xdr:row>0</xdr:row>
      <xdr:rowOff>43175</xdr:rowOff>
    </xdr:from>
    <xdr:to>
      <xdr:col>1</xdr:col>
      <xdr:colOff>619125</xdr:colOff>
      <xdr:row>2</xdr:row>
      <xdr:rowOff>249284</xdr:rowOff>
    </xdr:to>
    <xdr:pic>
      <xdr:nvPicPr>
        <xdr:cNvPr id="7" name="Picture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766" y="243200"/>
          <a:ext cx="1179484" cy="66330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236379</xdr:colOff>
      <xdr:row>1</xdr:row>
      <xdr:rowOff>102263</xdr:rowOff>
    </xdr:from>
    <xdr:to>
      <xdr:col>2</xdr:col>
      <xdr:colOff>381000</xdr:colOff>
      <xdr:row>4</xdr:row>
      <xdr:rowOff>81117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3079" y="302288"/>
          <a:ext cx="982821" cy="550354"/>
        </a:xfrm>
        <a:prstGeom prst="rect">
          <a:avLst/>
        </a:prstGeom>
      </xdr:spPr>
    </xdr:pic>
    <xdr:clientData/>
  </xdr:twoCellAnchor>
  <xdr:twoCellAnchor editAs="oneCell">
    <xdr:from>
      <xdr:col>1</xdr:col>
      <xdr:colOff>314325</xdr:colOff>
      <xdr:row>120</xdr:row>
      <xdr:rowOff>133350</xdr:rowOff>
    </xdr:from>
    <xdr:to>
      <xdr:col>1</xdr:col>
      <xdr:colOff>531093</xdr:colOff>
      <xdr:row>121</xdr:row>
      <xdr:rowOff>132522</xdr:rowOff>
    </xdr:to>
    <xdr:pic>
      <xdr:nvPicPr>
        <xdr:cNvPr id="3" name="Picture 2">
          <a:extLst>
            <a:ext uri="{FF2B5EF4-FFF2-40B4-BE49-F238E27FC236}">
              <a16:creationId xmlns:a16="http://schemas.microsoft.com/office/drawing/2014/main" id="{F989CAA6-9A2C-8A4E-BA8D-97D8925FA1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495300" y="25593675"/>
          <a:ext cx="216768" cy="189672"/>
        </a:xfrm>
        <a:prstGeom prst="rect">
          <a:avLst/>
        </a:prstGeom>
      </xdr:spPr>
    </xdr:pic>
    <xdr:clientData/>
  </xdr:twoCellAnchor>
  <xdr:twoCellAnchor editAs="oneCell">
    <xdr:from>
      <xdr:col>1</xdr:col>
      <xdr:colOff>314739</xdr:colOff>
      <xdr:row>122</xdr:row>
      <xdr:rowOff>41413</xdr:rowOff>
    </xdr:from>
    <xdr:to>
      <xdr:col>1</xdr:col>
      <xdr:colOff>521804</xdr:colOff>
      <xdr:row>123</xdr:row>
      <xdr:rowOff>64483</xdr:rowOff>
    </xdr:to>
    <xdr:pic>
      <xdr:nvPicPr>
        <xdr:cNvPr id="4" name="Picture 3">
          <a:extLst>
            <a:ext uri="{FF2B5EF4-FFF2-40B4-BE49-F238E27FC236}">
              <a16:creationId xmlns:a16="http://schemas.microsoft.com/office/drawing/2014/main" id="{91631A68-9A48-0F48-BF0E-61C1A0EE6D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495714" y="25882738"/>
          <a:ext cx="207065" cy="213570"/>
        </a:xfrm>
        <a:prstGeom prst="rect">
          <a:avLst/>
        </a:prstGeom>
      </xdr:spPr>
    </xdr:pic>
    <xdr:clientData/>
  </xdr:twoCellAnchor>
  <xdr:twoCellAnchor>
    <xdr:from>
      <xdr:col>1</xdr:col>
      <xdr:colOff>581379</xdr:colOff>
      <xdr:row>120</xdr:row>
      <xdr:rowOff>115955</xdr:rowOff>
    </xdr:from>
    <xdr:to>
      <xdr:col>5</xdr:col>
      <xdr:colOff>56020</xdr:colOff>
      <xdr:row>121</xdr:row>
      <xdr:rowOff>110294</xdr:rowOff>
    </xdr:to>
    <xdr:sp macro="" textlink="">
      <xdr:nvSpPr>
        <xdr:cNvPr id="5" name="TextBox 4">
          <a:hlinkClick xmlns:r="http://schemas.openxmlformats.org/officeDocument/2006/relationships" r:id="rId4"/>
          <a:extLst>
            <a:ext uri="{FF2B5EF4-FFF2-40B4-BE49-F238E27FC236}">
              <a16:creationId xmlns:a16="http://schemas.microsoft.com/office/drawing/2014/main" id="{D12E6DDB-E4CE-B84F-A32C-7000CEE9EDCD}"/>
            </a:ext>
          </a:extLst>
        </xdr:cNvPr>
        <xdr:cNvSpPr txBox="1"/>
      </xdr:nvSpPr>
      <xdr:spPr>
        <a:xfrm>
          <a:off x="762354" y="25576280"/>
          <a:ext cx="3208441" cy="184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www.alternatifyatirim.com.tr</a:t>
          </a:r>
        </a:p>
      </xdr:txBody>
    </xdr:sp>
    <xdr:clientData/>
  </xdr:twoCellAnchor>
  <xdr:twoCellAnchor>
    <xdr:from>
      <xdr:col>1</xdr:col>
      <xdr:colOff>612746</xdr:colOff>
      <xdr:row>122</xdr:row>
      <xdr:rowOff>47544</xdr:rowOff>
    </xdr:from>
    <xdr:to>
      <xdr:col>3</xdr:col>
      <xdr:colOff>359248</xdr:colOff>
      <xdr:row>123</xdr:row>
      <xdr:rowOff>53272</xdr:rowOff>
    </xdr:to>
    <xdr:sp macro="" textlink="">
      <xdr:nvSpPr>
        <xdr:cNvPr id="6" name="TextBox 5">
          <a:extLst>
            <a:ext uri="{FF2B5EF4-FFF2-40B4-BE49-F238E27FC236}">
              <a16:creationId xmlns:a16="http://schemas.microsoft.com/office/drawing/2014/main" id="{876D38BC-066C-8244-863F-2806ED726ABE}"/>
            </a:ext>
          </a:extLst>
        </xdr:cNvPr>
        <xdr:cNvSpPr txBox="1"/>
      </xdr:nvSpPr>
      <xdr:spPr>
        <a:xfrm>
          <a:off x="793721" y="25888869"/>
          <a:ext cx="1280027" cy="196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444 00 54</a:t>
          </a:r>
        </a:p>
      </xdr:txBody>
    </xdr:sp>
    <xdr:clientData/>
  </xdr:twoCellAnchor>
  <xdr:twoCellAnchor>
    <xdr:from>
      <xdr:col>1</xdr:col>
      <xdr:colOff>495654</xdr:colOff>
      <xdr:row>172</xdr:row>
      <xdr:rowOff>115955</xdr:rowOff>
    </xdr:from>
    <xdr:to>
      <xdr:col>3</xdr:col>
      <xdr:colOff>543280</xdr:colOff>
      <xdr:row>175</xdr:row>
      <xdr:rowOff>182216</xdr:rowOff>
    </xdr:to>
    <xdr:sp macro="" textlink="">
      <xdr:nvSpPr>
        <xdr:cNvPr id="7" name="TextBox 6">
          <a:extLst>
            <a:ext uri="{FF2B5EF4-FFF2-40B4-BE49-F238E27FC236}">
              <a16:creationId xmlns:a16="http://schemas.microsoft.com/office/drawing/2014/main" id="{B9D5A906-8273-1E4E-8C7E-EBC982780F9F}"/>
            </a:ext>
          </a:extLst>
        </xdr:cNvPr>
        <xdr:cNvSpPr txBox="1"/>
      </xdr:nvSpPr>
      <xdr:spPr>
        <a:xfrm>
          <a:off x="762354" y="25576280"/>
          <a:ext cx="2095501" cy="637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bg1"/>
              </a:solidFill>
              <a:latin typeface="Calibri" panose="020F0502020204030204" pitchFamily="34" charset="0"/>
              <a:cs typeface="Calibri" panose="020F0502020204030204" pitchFamily="34" charset="0"/>
            </a:rPr>
            <a:t>The Commercial Bank (Katar) kuruluşudur.</a:t>
          </a:r>
        </a:p>
      </xdr:txBody>
    </xdr:sp>
    <xdr:clientData/>
  </xdr:twoCellAnchor>
  <xdr:twoCellAnchor>
    <xdr:from>
      <xdr:col>1</xdr:col>
      <xdr:colOff>648054</xdr:colOff>
      <xdr:row>173</xdr:row>
      <xdr:rowOff>77855</xdr:rowOff>
    </xdr:from>
    <xdr:to>
      <xdr:col>3</xdr:col>
      <xdr:colOff>695680</xdr:colOff>
      <xdr:row>176</xdr:row>
      <xdr:rowOff>144116</xdr:rowOff>
    </xdr:to>
    <xdr:sp macro="" textlink="">
      <xdr:nvSpPr>
        <xdr:cNvPr id="8" name="TextBox 7">
          <a:extLst>
            <a:ext uri="{FF2B5EF4-FFF2-40B4-BE49-F238E27FC236}">
              <a16:creationId xmlns:a16="http://schemas.microsoft.com/office/drawing/2014/main" id="{B9D5A906-8273-1E4E-8C7E-EBC982780F9F}"/>
            </a:ext>
          </a:extLst>
        </xdr:cNvPr>
        <xdr:cNvSpPr txBox="1"/>
      </xdr:nvSpPr>
      <xdr:spPr>
        <a:xfrm>
          <a:off x="914754" y="25728680"/>
          <a:ext cx="2095501" cy="637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bg1"/>
              </a:solidFill>
              <a:latin typeface="Calibri" panose="020F0502020204030204" pitchFamily="34" charset="0"/>
              <a:cs typeface="Calibri" panose="020F0502020204030204" pitchFamily="34" charset="0"/>
            </a:rPr>
            <a:t>The Commercial Bank (Katar) kuruluşudur.</a:t>
          </a:r>
        </a:p>
      </xdr:txBody>
    </xdr:sp>
    <xdr:clientData/>
  </xdr:twoCellAnchor>
  <xdr:twoCellAnchor>
    <xdr:from>
      <xdr:col>3</xdr:col>
      <xdr:colOff>4276725</xdr:colOff>
      <xdr:row>120</xdr:row>
      <xdr:rowOff>95250</xdr:rowOff>
    </xdr:from>
    <xdr:to>
      <xdr:col>4</xdr:col>
      <xdr:colOff>1000126</xdr:colOff>
      <xdr:row>123</xdr:row>
      <xdr:rowOff>161511</xdr:rowOff>
    </xdr:to>
    <xdr:sp macro="" textlink="">
      <xdr:nvSpPr>
        <xdr:cNvPr id="9" name="TextBox 8">
          <a:extLst>
            <a:ext uri="{FF2B5EF4-FFF2-40B4-BE49-F238E27FC236}">
              <a16:creationId xmlns:a16="http://schemas.microsoft.com/office/drawing/2014/main" id="{B9D5A906-8273-1E4E-8C7E-EBC982780F9F}"/>
            </a:ext>
          </a:extLst>
        </xdr:cNvPr>
        <xdr:cNvSpPr txBox="1"/>
      </xdr:nvSpPr>
      <xdr:spPr>
        <a:xfrm>
          <a:off x="6591300" y="15640050"/>
          <a:ext cx="2095501" cy="637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bg1"/>
              </a:solidFill>
              <a:latin typeface="Calibri" panose="020F0502020204030204" pitchFamily="34" charset="0"/>
              <a:cs typeface="Calibri" panose="020F0502020204030204" pitchFamily="34" charset="0"/>
            </a:rPr>
            <a:t>The Commercial Bank (Katar) kuruluşudur.</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49241</xdr:colOff>
      <xdr:row>1</xdr:row>
      <xdr:rowOff>24125</xdr:rowOff>
    </xdr:from>
    <xdr:to>
      <xdr:col>2</xdr:col>
      <xdr:colOff>695325</xdr:colOff>
      <xdr:row>4</xdr:row>
      <xdr:rowOff>11159</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791" y="1357625"/>
          <a:ext cx="1179484" cy="663309"/>
        </a:xfrm>
        <a:prstGeom prst="rect">
          <a:avLst/>
        </a:prstGeom>
      </xdr:spPr>
    </xdr:pic>
    <xdr:clientData/>
  </xdr:twoCellAnchor>
  <xdr:twoCellAnchor editAs="oneCell">
    <xdr:from>
      <xdr:col>1</xdr:col>
      <xdr:colOff>314325</xdr:colOff>
      <xdr:row>117</xdr:row>
      <xdr:rowOff>133350</xdr:rowOff>
    </xdr:from>
    <xdr:to>
      <xdr:col>1</xdr:col>
      <xdr:colOff>531093</xdr:colOff>
      <xdr:row>118</xdr:row>
      <xdr:rowOff>132522</xdr:rowOff>
    </xdr:to>
    <xdr:pic>
      <xdr:nvPicPr>
        <xdr:cNvPr id="10" name="Picture 9">
          <a:extLst>
            <a:ext uri="{FF2B5EF4-FFF2-40B4-BE49-F238E27FC236}">
              <a16:creationId xmlns:a16="http://schemas.microsoft.com/office/drawing/2014/main" id="{F989CAA6-9A2C-8A4E-BA8D-97D8925FA1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52450" y="22631400"/>
          <a:ext cx="216768" cy="189672"/>
        </a:xfrm>
        <a:prstGeom prst="rect">
          <a:avLst/>
        </a:prstGeom>
      </xdr:spPr>
    </xdr:pic>
    <xdr:clientData/>
  </xdr:twoCellAnchor>
  <xdr:twoCellAnchor editAs="oneCell">
    <xdr:from>
      <xdr:col>1</xdr:col>
      <xdr:colOff>314739</xdr:colOff>
      <xdr:row>119</xdr:row>
      <xdr:rowOff>41413</xdr:rowOff>
    </xdr:from>
    <xdr:to>
      <xdr:col>1</xdr:col>
      <xdr:colOff>521804</xdr:colOff>
      <xdr:row>120</xdr:row>
      <xdr:rowOff>64483</xdr:rowOff>
    </xdr:to>
    <xdr:pic>
      <xdr:nvPicPr>
        <xdr:cNvPr id="11" name="Picture 10">
          <a:extLst>
            <a:ext uri="{FF2B5EF4-FFF2-40B4-BE49-F238E27FC236}">
              <a16:creationId xmlns:a16="http://schemas.microsoft.com/office/drawing/2014/main" id="{91631A68-9A48-0F48-BF0E-61C1A0EE6D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552864" y="22920463"/>
          <a:ext cx="207065" cy="213570"/>
        </a:xfrm>
        <a:prstGeom prst="rect">
          <a:avLst/>
        </a:prstGeom>
      </xdr:spPr>
    </xdr:pic>
    <xdr:clientData/>
  </xdr:twoCellAnchor>
  <xdr:twoCellAnchor>
    <xdr:from>
      <xdr:col>1</xdr:col>
      <xdr:colOff>581379</xdr:colOff>
      <xdr:row>117</xdr:row>
      <xdr:rowOff>115955</xdr:rowOff>
    </xdr:from>
    <xdr:to>
      <xdr:col>5</xdr:col>
      <xdr:colOff>56020</xdr:colOff>
      <xdr:row>118</xdr:row>
      <xdr:rowOff>110294</xdr:rowOff>
    </xdr:to>
    <xdr:sp macro="" textlink="">
      <xdr:nvSpPr>
        <xdr:cNvPr id="12" name="TextBox 11">
          <a:hlinkClick xmlns:r="http://schemas.openxmlformats.org/officeDocument/2006/relationships" r:id="rId4"/>
          <a:extLst>
            <a:ext uri="{FF2B5EF4-FFF2-40B4-BE49-F238E27FC236}">
              <a16:creationId xmlns:a16="http://schemas.microsoft.com/office/drawing/2014/main" id="{D12E6DDB-E4CE-B84F-A32C-7000CEE9EDCD}"/>
            </a:ext>
          </a:extLst>
        </xdr:cNvPr>
        <xdr:cNvSpPr txBox="1"/>
      </xdr:nvSpPr>
      <xdr:spPr>
        <a:xfrm>
          <a:off x="819504" y="22614005"/>
          <a:ext cx="4741966" cy="184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www.alternatifyatirim.com.tr</a:t>
          </a:r>
        </a:p>
      </xdr:txBody>
    </xdr:sp>
    <xdr:clientData/>
  </xdr:twoCellAnchor>
  <xdr:twoCellAnchor>
    <xdr:from>
      <xdr:col>1</xdr:col>
      <xdr:colOff>612746</xdr:colOff>
      <xdr:row>119</xdr:row>
      <xdr:rowOff>47544</xdr:rowOff>
    </xdr:from>
    <xdr:to>
      <xdr:col>3</xdr:col>
      <xdr:colOff>359248</xdr:colOff>
      <xdr:row>120</xdr:row>
      <xdr:rowOff>53272</xdr:rowOff>
    </xdr:to>
    <xdr:sp macro="" textlink="">
      <xdr:nvSpPr>
        <xdr:cNvPr id="13" name="TextBox 12">
          <a:extLst>
            <a:ext uri="{FF2B5EF4-FFF2-40B4-BE49-F238E27FC236}">
              <a16:creationId xmlns:a16="http://schemas.microsoft.com/office/drawing/2014/main" id="{876D38BC-066C-8244-863F-2806ED726ABE}"/>
            </a:ext>
          </a:extLst>
        </xdr:cNvPr>
        <xdr:cNvSpPr txBox="1"/>
      </xdr:nvSpPr>
      <xdr:spPr>
        <a:xfrm>
          <a:off x="850871" y="22926594"/>
          <a:ext cx="1384802" cy="196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solidFill>
              <a:latin typeface="Calibri" panose="020F0502020204030204" pitchFamily="34" charset="0"/>
              <a:cs typeface="Calibri" panose="020F0502020204030204" pitchFamily="34" charset="0"/>
            </a:rPr>
            <a:t>444 00 54</a:t>
          </a:r>
        </a:p>
      </xdr:txBody>
    </xdr:sp>
    <xdr:clientData/>
  </xdr:twoCellAnchor>
  <xdr:twoCellAnchor>
    <xdr:from>
      <xdr:col>9</xdr:col>
      <xdr:colOff>1228725</xdr:colOff>
      <xdr:row>117</xdr:row>
      <xdr:rowOff>51376</xdr:rowOff>
    </xdr:from>
    <xdr:to>
      <xdr:col>10</xdr:col>
      <xdr:colOff>1451723</xdr:colOff>
      <xdr:row>120</xdr:row>
      <xdr:rowOff>117637</xdr:rowOff>
    </xdr:to>
    <xdr:sp macro="" textlink="">
      <xdr:nvSpPr>
        <xdr:cNvPr id="14" name="TextBox 13">
          <a:extLst>
            <a:ext uri="{FF2B5EF4-FFF2-40B4-BE49-F238E27FC236}">
              <a16:creationId xmlns:a16="http://schemas.microsoft.com/office/drawing/2014/main" id="{B9D5A906-8273-1E4E-8C7E-EBC982780F9F}"/>
            </a:ext>
          </a:extLst>
        </xdr:cNvPr>
        <xdr:cNvSpPr txBox="1"/>
      </xdr:nvSpPr>
      <xdr:spPr>
        <a:xfrm>
          <a:off x="10191750" y="22492276"/>
          <a:ext cx="1623173" cy="637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bg1"/>
              </a:solidFill>
              <a:latin typeface="Calibri" panose="020F0502020204030204" pitchFamily="34" charset="0"/>
              <a:cs typeface="Calibri" panose="020F0502020204030204" pitchFamily="34" charset="0"/>
            </a:rPr>
            <a:t>The Commercial Bank (Katar) kuruluşudur.</a:t>
          </a:r>
        </a:p>
      </xdr:txBody>
    </xdr:sp>
    <xdr:clientData/>
  </xdr:twoCellAnchor>
</xdr:wsDr>
</file>

<file path=xl/externalLinks/externalLink1.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MTX" ddeTopic="DATA">
    <ddeItems>
      <ddeItem name="AEFES.30GUNLUK.F%" advise="1">
        <values>
          <value>
            <val>21.64</val>
          </value>
        </values>
      </ddeItem>
      <ddeItem name="AEFES.52HAFTALIK.F%" advise="1">
        <values>
          <value>
            <val>154.41999999999999</val>
          </value>
        </values>
      </ddeItem>
      <ddeItem name="AEFES.BU.YIL.FARK%" advise="1">
        <values>
          <value>
            <val>111.3</val>
          </value>
        </values>
      </ddeItem>
      <ddeItem name="AEFES.GUN.F%" advise="1">
        <values>
          <value>
            <val>6.33</val>
          </value>
        </values>
      </ddeItem>
      <ddeItem name="AEFES.SEMBOL" advise="1">
        <values>
          <value t="str">
            <val>AEFES</val>
          </value>
        </values>
      </ddeItem>
      <ddeItem name="AEFES.SON" advise="1">
        <values>
          <value>
            <val>58.75</val>
          </value>
        </values>
      </ddeItem>
      <ddeItem name="AEFES.TKS.YAB.AY.PAYY" advise="1">
        <values>
          <value>
            <val>3.7638379999999998</val>
          </value>
        </values>
      </ddeItem>
      <ddeItem name="AEFES.TKS.YAB.HAF.PAYY" advise="1">
        <values>
          <value>
            <val>0.1272624</val>
          </value>
        </values>
      </ddeItem>
      <ddeItem name="AEFES.TKS.YAB.PAYY" advise="1">
        <values>
          <value>
            <val>53.644129999999997</val>
          </value>
        </values>
      </ddeItem>
      <ddeItem name="AEFES.TKS.YAB.YIL.PAYY" advise="1">
        <values>
          <value>
            <val>-16.676749999999998</val>
          </value>
        </values>
      </ddeItem>
      <ddeItem name="AGHOL.30GUNLUK.F%" advise="1">
        <values>
          <value>
            <val>4.0199999999999996</val>
          </value>
        </values>
      </ddeItem>
      <ddeItem name="AGHOL.52HAFTALIK.F%" advise="1">
        <values>
          <value>
            <val>169.63</val>
          </value>
        </values>
      </ddeItem>
      <ddeItem name="AGHOL.BU.YIL.FARK%" advise="1">
        <values>
          <value>
            <val>131.78</val>
          </value>
        </values>
      </ddeItem>
      <ddeItem name="AGHOL.GUN.F%" advise="1">
        <values>
          <value>
            <val>0.11</val>
          </value>
        </values>
      </ddeItem>
      <ddeItem name="AGHOL.SEMBOL" advise="1">
        <values>
          <value t="str">
            <val>AGHOL</val>
          </value>
        </values>
      </ddeItem>
      <ddeItem name="AGHOL.SON" advise="1">
        <values>
          <value>
            <val>90.5</val>
          </value>
        </values>
      </ddeItem>
      <ddeItem name="AGHOL.TKS.YAB.AY.PAYY" advise="1">
        <values>
          <value>
            <val>0.46228469999999999</val>
          </value>
        </values>
      </ddeItem>
      <ddeItem name="AGHOL.TKS.YAB.HAF.PAYY" advise="1">
        <values>
          <value>
            <val>-0.96455480000000005</val>
          </value>
        </values>
      </ddeItem>
      <ddeItem name="AGHOL.TKS.YAB.PAYY" advise="1">
        <values>
          <value>
            <val>23.056889999999999</val>
          </value>
        </values>
      </ddeItem>
      <ddeItem name="AGHOL.TKS.YAB.YIL.PAYY" advise="1">
        <values>
          <value>
            <val>30.750879999999999</val>
          </value>
        </values>
      </ddeItem>
      <ddeItem name="AKBNK.30GUNLUK.F%" advise="1">
        <values>
          <value>
            <val>6.3</val>
          </value>
        </values>
      </ddeItem>
      <ddeItem name="AKBNK.52HAFTALIK.F%" advise="1">
        <values>
          <value>
            <val>136.13</val>
          </value>
        </values>
      </ddeItem>
      <ddeItem name="AKBNK.BU.YIL.FARK%" advise="1">
        <values>
          <value>
            <val>137.11000000000001</val>
          </value>
        </values>
      </ddeItem>
      <ddeItem name="AKBNK.GUN.F%" advise="1">
        <values>
          <value>
            <val>1.72</val>
          </value>
        </values>
      </ddeItem>
      <ddeItem name="AKBNK.SEMBOL" advise="1">
        <values>
          <value t="str">
            <val>AKBNK</val>
          </value>
        </values>
      </ddeItem>
      <ddeItem name="AKBNK.SON" advise="1">
        <values>
          <value>
            <val>16.53</val>
          </value>
        </values>
      </ddeItem>
      <ddeItem name="AKBNK.TKS.YAB.AY.PAYY" advise="1">
        <values>
          <value>
            <val>3.4576380000000002</val>
          </value>
        </values>
      </ddeItem>
      <ddeItem name="AKBNK.TKS.YAB.HAF.PAYY" advise="1">
        <values>
          <value>
            <val>1.883545</val>
          </value>
        </values>
      </ddeItem>
      <ddeItem name="AKBNK.TKS.YAB.PAYY" advise="1">
        <values>
          <value>
            <val>49.539020000000001</val>
          </value>
        </values>
      </ddeItem>
      <ddeItem name="AKBNK.TKS.YAB.YIL.PAYY" advise="1">
        <values>
          <value>
            <val>-13.93322</val>
          </value>
        </values>
      </ddeItem>
      <ddeItem name="AKFGY.30GUNLUK.F%" advise="1">
        <values>
          <value>
            <val>0.46</val>
          </value>
        </values>
      </ddeItem>
      <ddeItem name="AKFGY.52HAFTALIK.F%" advise="1">
        <values>
          <value>
            <val>12.95</val>
          </value>
        </values>
      </ddeItem>
      <ddeItem name="AKFGY.BU.YIL.FARK%" advise="1">
        <values>
          <value>
            <val>-40.950000000000003</val>
          </value>
        </values>
      </ddeItem>
      <ddeItem name="AKFGY.GUN.F%" advise="1">
        <values>
          <value>
            <val>1.17</val>
          </value>
        </values>
      </ddeItem>
      <ddeItem name="AKFGY.SEMBOL" advise="1">
        <values>
          <value t="str">
            <val>AKFGY</val>
          </value>
        </values>
      </ddeItem>
      <ddeItem name="AKFGY.SON" advise="1">
        <values>
          <value>
            <val>4.34</val>
          </value>
        </values>
      </ddeItem>
      <ddeItem name="AKFGY.TKS.YAB.AY.PAYY" advise="1">
        <values>
          <value>
            <val>2.099745</val>
          </value>
        </values>
      </ddeItem>
      <ddeItem name="AKFGY.TKS.YAB.HAF.PAYY" advise="1">
        <values>
          <value>
            <val>-10.180949999999999</val>
          </value>
        </values>
      </ddeItem>
      <ddeItem name="AKFGY.TKS.YAB.PAYY" advise="1">
        <values>
          <value>
            <val>1.212521</val>
          </value>
        </values>
      </ddeItem>
      <ddeItem name="AKFGY.TKS.YAB.YIL.PAYY" advise="1">
        <values>
          <value>
            <val>-71.640640000000005</val>
          </value>
        </values>
      </ddeItem>
      <ddeItem name="AKSA.30GUNLUK.F%" advise="1">
        <values>
          <value>
            <val>12.75</val>
          </value>
        </values>
      </ddeItem>
      <ddeItem name="AKSA.52HAFTALIK.F%" advise="1">
        <values>
          <value>
            <val>235.51</val>
          </value>
        </values>
      </ddeItem>
      <ddeItem name="AKSA.BU.YIL.FARK%" advise="1">
        <values>
          <value>
            <val>138.62</val>
          </value>
        </values>
      </ddeItem>
      <ddeItem name="AKSA.GUN.F%" advise="1">
        <values>
          <value>
            <val>-0.13</val>
          </value>
        </values>
      </ddeItem>
      <ddeItem name="AKSA.SEMBOL" advise="1">
        <values>
          <value t="str">
            <val>AKSA</val>
          </value>
        </values>
      </ddeItem>
      <ddeItem name="AKSA.SON" advise="1">
        <values>
          <value>
            <val>78.7</val>
          </value>
        </values>
      </ddeItem>
      <ddeItem name="AKSA.TKS.YAB.AY.PAYY" advise="1">
        <values>
          <value>
            <val>6.2182170000000001</val>
          </value>
        </values>
      </ddeItem>
      <ddeItem name="AKSA.TKS.YAB.HAF.PAYY" advise="1">
        <values>
          <value>
            <val>2.8541180000000002</val>
          </value>
        </values>
      </ddeItem>
      <ddeItem name="AKSA.TKS.YAB.PAYY" advise="1">
        <values>
          <value>
            <val>23.77638</val>
          </value>
        </values>
      </ddeItem>
      <ddeItem name="AKSA.TKS.YAB.YIL.PAYY" advise="1">
        <values>
          <value>
            <val>-42.676090000000002</val>
          </value>
        </values>
      </ddeItem>
      <ddeItem name="AKSEN.30GUNLUK.F%" advise="1">
        <values>
          <value>
            <val>14.17</val>
          </value>
        </values>
      </ddeItem>
      <ddeItem name="AKSEN.52HAFTALIK.F%" advise="1">
        <values>
          <value>
            <val>514.98</val>
          </value>
        </values>
      </ddeItem>
      <ddeItem name="AKSEN.BU.YIL.FARK%" advise="1">
        <values>
          <value>
            <val>395.55</val>
          </value>
        </values>
      </ddeItem>
      <ddeItem name="AKSEN.GUN.F%" advise="1">
        <values>
          <value>
            <val>3.68</val>
          </value>
        </values>
      </ddeItem>
      <ddeItem name="AKSEN.SEMBOL" advise="1">
        <values>
          <value t="str">
            <val>AKSEN</val>
          </value>
        </values>
      </ddeItem>
      <ddeItem name="AKSEN.SON" advise="1">
        <values>
          <value>
            <val>48.5</val>
          </value>
        </values>
      </ddeItem>
      <ddeItem name="AKSEN.TKS.YAB.AY.PAYY" advise="1">
        <values>
          <value>
            <val>12.022130000000001</val>
          </value>
        </values>
      </ddeItem>
      <ddeItem name="AKSEN.TKS.YAB.HAF.PAYY" advise="1">
        <values>
          <value>
            <val>-0.26849450000000002</val>
          </value>
        </values>
      </ddeItem>
      <ddeItem name="AKSEN.TKS.YAB.PAYY" advise="1">
        <values>
          <value>
            <val>6.9811920000000001</val>
          </value>
        </values>
      </ddeItem>
      <ddeItem name="AKSEN.TKS.YAB.YIL.PAYY" advise="1">
        <values>
          <value>
            <val>3.171475</val>
          </value>
        </values>
      </ddeItem>
      <ddeItem name="ALARK.30GUNLUK.F%" advise="1">
        <values>
          <value>
            <val>24.12</val>
          </value>
        </values>
      </ddeItem>
      <ddeItem name="ALARK.52HAFTALIK.F%" advise="1">
        <values>
          <value>
            <val>617.29999999999995</val>
          </value>
        </values>
      </ddeItem>
      <ddeItem name="ALARK.BU.YIL.FARK%" advise="1">
        <values>
          <value>
            <val>534</val>
          </value>
        </values>
      </ddeItem>
      <ddeItem name="ALARK.GUN.F%" advise="1">
        <values>
          <value>
            <val>-0.45</val>
          </value>
        </values>
      </ddeItem>
      <ddeItem name="ALARK.SEMBOL" advise="1">
        <values>
          <value t="str">
            <val>ALARK</val>
          </value>
        </values>
      </ddeItem>
      <ddeItem name="ALARK.SON" advise="1">
        <values>
          <value>
            <val>77.95</val>
          </value>
        </values>
      </ddeItem>
      <ddeItem name="ALARK.TKS.YAB.AY.PAYY" advise="1">
        <values>
          <value>
            <val>-7.079885</val>
          </value>
        </values>
      </ddeItem>
      <ddeItem name="ALARK.TKS.YAB.HAF.PAYY" advise="1">
        <values>
          <value>
            <val>11.982849999999999</val>
          </value>
        </values>
      </ddeItem>
      <ddeItem name="ALARK.TKS.YAB.PAYY" advise="1">
        <values>
          <value>
            <val>9.8616109999999999</val>
          </value>
        </values>
      </ddeItem>
      <ddeItem name="ALARK.TKS.YAB.YIL.PAYY" advise="1">
        <values>
          <value>
            <val>5.2682380000000002</val>
          </value>
        </values>
      </ddeItem>
      <ddeItem name="ALBRK.30GUNLUK.F%" advise="1">
        <values>
          <value>
            <val>55.11</val>
          </value>
        </values>
      </ddeItem>
      <ddeItem name="ALBRK.52HAFTALIK.F%" advise="1">
        <values>
          <value>
            <val>113.39</val>
          </value>
        </values>
      </ddeItem>
      <ddeItem name="ALBRK.BU.YIL.FARK%" advise="1">
        <values>
          <value>
            <val>152.63999999999999</val>
          </value>
        </values>
      </ddeItem>
      <ddeItem name="ALBRK.GUN.F%" advise="1">
        <values>
          <value>
            <val>1.1599999999999999</val>
          </value>
        </values>
      </ddeItem>
      <ddeItem name="ALBRK.SEMBOL" advise="1">
        <values>
          <value t="str">
            <val>ALBRK</val>
          </value>
        </values>
      </ddeItem>
      <ddeItem name="ALBRK.SON" advise="1">
        <values>
          <value>
            <val>3.49</val>
          </value>
        </values>
      </ddeItem>
      <ddeItem name="ALBRK.TKS.YAB.AY.PAYY" advise="1">
        <values>
          <value>
            <val>33.026769999999999</val>
          </value>
        </values>
      </ddeItem>
      <ddeItem name="ALBRK.TKS.YAB.HAF.PAYY" advise="1">
        <values>
          <value>
            <val>1.726764</val>
          </value>
        </values>
      </ddeItem>
      <ddeItem name="ALBRK.TKS.YAB.PAYY" advise="1">
        <values>
          <value>
            <val>17.043420000000001</val>
          </value>
        </values>
      </ddeItem>
      <ddeItem name="ALBRK.TKS.YAB.YIL.PAYY" advise="1">
        <values>
          <value>
            <val>418.52969999999999</val>
          </value>
        </values>
      </ddeItem>
      <ddeItem name="ALGYO.30GUNLUK.F%" advise="1">
        <values>
          <value>
            <val>18.88</val>
          </value>
        </values>
      </ddeItem>
      <ddeItem name="ALGYO.52HAFTALIK.F%" advise="1">
        <values>
          <value>
            <val>175.33</val>
          </value>
        </values>
      </ddeItem>
      <ddeItem name="ALGYO.BU.YIL.FARK%" advise="1">
        <values>
          <value>
            <val>121.63</val>
          </value>
        </values>
      </ddeItem>
      <ddeItem name="ALGYO.GUN.F%" advise="1">
        <values>
          <value>
            <val>-0.71</val>
          </value>
        </values>
      </ddeItem>
      <ddeItem name="ALGYO.SEMBOL" advise="1">
        <values>
          <value t="str">
            <val>ALGYO</val>
          </value>
        </values>
      </ddeItem>
      <ddeItem name="ALGYO.SON" advise="1">
        <values>
          <value>
            <val>69.900000000000006</val>
          </value>
        </values>
      </ddeItem>
      <ddeItem name="ALGYO.TKS.YAB.AY.PAYY" advise="1">
        <values>
          <value>
            <val>10.79772</val>
          </value>
        </values>
      </ddeItem>
      <ddeItem name="ALGYO.TKS.YAB.HAF.PAYY" advise="1">
        <values>
          <value>
            <val>-9.9913550000000004</val>
          </value>
        </values>
      </ddeItem>
      <ddeItem name="ALGYO.TKS.YAB.PAYY" advise="1">
        <values>
          <value>
            <val>6.6664190000000003</val>
          </value>
        </values>
      </ddeItem>
      <ddeItem name="ALGYO.TKS.YAB.YIL.PAYY" advise="1">
        <values>
          <value>
            <val>81.019490000000005</val>
          </value>
        </values>
      </ddeItem>
      <ddeItem name="ALKIM.30GUNLUK.F%" advise="1">
        <values>
          <value>
            <val>-4.8</val>
          </value>
        </values>
      </ddeItem>
      <ddeItem name="ALKIM.52HAFTALIK.F%" advise="1">
        <values>
          <value>
            <val>118.63</val>
          </value>
        </values>
      </ddeItem>
      <ddeItem name="ALKIM.BU.YIL.FARK%" advise="1">
        <values>
          <value>
            <val>133.91999999999999</val>
          </value>
        </values>
      </ddeItem>
      <ddeItem name="ALKIM.GUN.F%" advise="1">
        <values>
          <value>
            <val>1.38</val>
          </value>
        </values>
      </ddeItem>
      <ddeItem name="ALKIM.SEMBOL" advise="1">
        <values>
          <value t="str">
            <val>ALKIM</val>
          </value>
        </values>
      </ddeItem>
      <ddeItem name="ALKIM.SON" advise="1">
        <values>
          <value>
            <val>38.119999999999997</val>
          </value>
        </values>
      </ddeItem>
      <ddeItem name="ALKIM.TKS.YAB.AY.PAYY" advise="1">
        <values>
          <value>
            <val>-11.007709999999999</val>
          </value>
        </values>
      </ddeItem>
      <ddeItem name="ALKIM.TKS.YAB.HAF.PAYY" advise="1">
        <values>
          <value>
            <val>-5.1654309999999999</val>
          </value>
        </values>
      </ddeItem>
      <ddeItem name="ALKIM.TKS.YAB.PAYY" advise="1">
        <values>
          <value>
            <val>16.464649999999999</val>
          </value>
        </values>
      </ddeItem>
      <ddeItem name="ALKIM.TKS.YAB.YIL.PAYY" advise="1">
        <values>
          <value>
            <val>14.9261</val>
          </value>
        </values>
      </ddeItem>
      <ddeItem name="ARCLK.30GUNLUK.F%" advise="1">
        <values>
          <value>
            <val>21.23</val>
          </value>
        </values>
      </ddeItem>
      <ddeItem name="ARCLK.52HAFTALIK.F%" advise="1">
        <values>
          <value>
            <val>124.91</val>
          </value>
        </values>
      </ddeItem>
      <ddeItem name="ARCLK.BU.YIL.FARK%" advise="1">
        <values>
          <value>
            <val>90.8</val>
          </value>
        </values>
      </ddeItem>
      <ddeItem name="ARCLK.GUN.F%" advise="1">
        <values>
          <value>
            <val>6.47</val>
          </value>
        </values>
      </ddeItem>
      <ddeItem name="ARCLK.SEMBOL" advise="1">
        <values>
          <value t="str">
            <val>ARCLK</val>
          </value>
        </values>
      </ddeItem>
      <ddeItem name="ARCLK.SON" advise="1">
        <values>
          <value>
            <val>88.8</val>
          </value>
        </values>
      </ddeItem>
      <ddeItem name="ARCLK.TKS.YAB.AY.PAYY" advise="1">
        <values>
          <value>
            <val>0.14653740000000001</val>
          </value>
        </values>
      </ddeItem>
      <ddeItem name="ARCLK.TKS.YAB.HAF.PAYY" advise="1">
        <values>
          <value>
            <val>5.5682650000000002</val>
          </value>
        </values>
      </ddeItem>
      <ddeItem name="arclk.TKS.YAB.PAYY" advise="1"/>
      <ddeItem name="ARCLK.TKS.YAB.YIL.PAYY" advise="1">
        <values>
          <value>
            <val>-48.905619999999999</val>
          </value>
        </values>
      </ddeItem>
      <ddeItem name="ARDYZ.30GUNLUK.F%" advise="1">
        <values>
          <value>
            <val>28.79</val>
          </value>
        </values>
      </ddeItem>
      <ddeItem name="ARDYZ.52HAFTALIK.F%" advise="1">
        <values>
          <value>
            <val>29.06</val>
          </value>
        </values>
      </ddeItem>
      <ddeItem name="ARDYZ.BU.YIL.FARK%" advise="1">
        <values>
          <value>
            <val>27.56</val>
          </value>
        </values>
      </ddeItem>
      <ddeItem name="ARDYZ.GUN.F%" advise="1">
        <values>
          <value>
            <val>10</val>
          </value>
        </values>
      </ddeItem>
      <ddeItem name="ARDYZ.SEMBOL" advise="1">
        <values>
          <value t="str">
            <val>ARDYZ</val>
          </value>
        </values>
      </ddeItem>
      <ddeItem name="ARDYZ.SON" advise="1">
        <values>
          <value>
            <val>9.35</val>
          </value>
        </values>
      </ddeItem>
      <ddeItem name="ARDYZ.TKS.YAB.AY.PAYY" advise="1">
        <values>
          <value>
            <val>-14.454549999999999</val>
          </value>
        </values>
      </ddeItem>
      <ddeItem name="ARDYZ.TKS.YAB.HAF.PAYY" advise="1">
        <values>
          <value>
            <val>173.5924</val>
          </value>
        </values>
      </ddeItem>
      <ddeItem name="ARDYZ.TKS.YAB.PAYY" advise="1">
        <values>
          <value>
            <val>2.8508300000000002</val>
          </value>
        </values>
      </ddeItem>
      <ddeItem name="ARDYZ.TKS.YAB.YIL.PAYY" advise="1">
        <values>
          <value>
            <val>81.824669999999998</val>
          </value>
        </values>
      </ddeItem>
      <ddeItem name="ASELS.30GUNLUK.F%" advise="1">
        <values>
          <value>
            <val>31.23</val>
          </value>
        </values>
      </ddeItem>
      <ddeItem name="ASELS.52HAFTALIK.F%" advise="1">
        <values>
          <value>
            <val>122.97</val>
          </value>
        </values>
      </ddeItem>
      <ddeItem name="ASELS.BU.YIL.FARK%" advise="1">
        <values>
          <value>
            <val>100.12</val>
          </value>
        </values>
      </ddeItem>
      <ddeItem name="ASELS.GUN.F%" advise="1">
        <values>
          <value>
            <val>4.68</val>
          </value>
        </values>
      </ddeItem>
      <ddeItem name="ASELS.SEMBOL" advise="1">
        <values>
          <value t="str">
            <val>ASELS</val>
          </value>
        </values>
      </ddeItem>
      <ddeItem name="ASELS.SON" advise="1">
        <values>
          <value>
            <val>41.58</val>
          </value>
        </values>
      </ddeItem>
      <ddeItem name="ASELS.TKS.YAB.AY.PAYY" advise="1">
        <values>
          <value>
            <val>20.10961</val>
          </value>
        </values>
      </ddeItem>
      <ddeItem name="ASELS.TKS.YAB.HAF.PAYY" advise="1">
        <values>
          <value>
            <val>4.5769039999999999</val>
          </value>
        </values>
      </ddeItem>
      <ddeItem name="ASELS.TKS.YAB.PAYY" advise="1">
        <values>
          <value>
            <val>26.042680000000001</val>
          </value>
        </values>
      </ddeItem>
      <ddeItem name="ASELS.TKS.YAB.YIL.PAYY" advise="1">
        <values>
          <value>
            <val>-20.076229999999999</val>
          </value>
        </values>
      </ddeItem>
      <ddeItem name="AYDEM.30GUNLUK.F%" advise="1">
        <values>
          <value>
            <val>3.63</val>
          </value>
        </values>
      </ddeItem>
      <ddeItem name="AYDEM.52HAFTALIK.F%" advise="1">
        <values>
          <value>
            <val>181.91</val>
          </value>
        </values>
      </ddeItem>
      <ddeItem name="AYDEM.BU.YIL.FARK%" advise="1">
        <values>
          <value>
            <val>211.76</val>
          </value>
        </values>
      </ddeItem>
      <ddeItem name="AYDEM.GUN.F%" advise="1">
        <values>
          <value>
            <val>6.36</val>
          </value>
        </values>
      </ddeItem>
      <ddeItem name="AYDEM.SEMBOL" advise="1">
        <values>
          <value t="str">
            <val>AYDEM</val>
          </value>
        </values>
      </ddeItem>
      <ddeItem name="AYDEM.SON" advise="1">
        <values>
          <value>
            <val>18.55</val>
          </value>
        </values>
      </ddeItem>
      <ddeItem name="AYDEM.TKS.YAB.AY.PAYY" advise="1">
        <values>
          <value>
            <val>-21.398209999999999</val>
          </value>
        </values>
      </ddeItem>
      <ddeItem name="AYDEM.TKS.YAB.HAF.PAYY" advise="1">
        <values>
          <value>
            <val>-6.8469639999999998</val>
          </value>
        </values>
      </ddeItem>
      <ddeItem name="AYDEM.TKS.YAB.PAYY" advise="1">
        <values>
          <value>
            <val>12.832610000000001</val>
          </value>
        </values>
      </ddeItem>
      <ddeItem name="AYDEM.TKS.YAB.YIL.PAYY" advise="1">
        <values>
          <value>
            <val>-0.47340660000000001</val>
          </value>
        </values>
      </ddeItem>
      <ddeItem name="BAGFS.30GUNLUK.F%" advise="1">
        <values>
          <value>
            <val>22.86</val>
          </value>
        </values>
      </ddeItem>
      <ddeItem name="BAGFS.52HAFTALIK.F%" advise="1">
        <values>
          <value>
            <val>345.24</val>
          </value>
        </values>
      </ddeItem>
      <ddeItem name="BAGFS.BU.YIL.FARK%" advise="1">
        <values>
          <value>
            <val>134.63</val>
          </value>
        </values>
      </ddeItem>
      <ddeItem name="BAGFS.GUN.F%" advise="1">
        <values>
          <value>
            <val>-0.34</val>
          </value>
        </values>
      </ddeItem>
      <ddeItem name="BAGFS.SEMBOL" advise="1">
        <values>
          <value t="str">
            <val>BAGFS</val>
          </value>
        </values>
      </ddeItem>
      <ddeItem name="BAGFS.SON" advise="1">
        <values>
          <value>
            <val>41.06</val>
          </value>
        </values>
      </ddeItem>
      <ddeItem name="BAGFS.TKS.YAB.AY.PAYY" advise="1">
        <values>
          <value>
            <val>27.778179999999999</val>
          </value>
        </values>
      </ddeItem>
      <ddeItem name="BAGFS.TKS.YAB.HAF.PAYY" advise="1">
        <values>
          <value>
            <val>27.553080000000001</val>
          </value>
        </values>
      </ddeItem>
      <ddeItem name="BAGFS.TKS.YAB.PAYY" advise="1">
        <values>
          <value>
            <val>0.44602389999999997</val>
          </value>
        </values>
      </ddeItem>
      <ddeItem name="BAGFS.TKS.YAB.YIL.PAYY" advise="1">
        <values>
          <value>
            <val>3.4668049999999999</val>
          </value>
        </values>
      </ddeItem>
      <ddeItem name="BASGZ.30GUNLUK.F%" advise="1">
        <values>
          <value>
            <val>-3.38</val>
          </value>
        </values>
      </ddeItem>
      <ddeItem name="BASGZ.52HAFTALIK.F%" advise="1">
        <values>
          <value>
            <val>37.01</val>
          </value>
        </values>
      </ddeItem>
      <ddeItem name="BASGZ.BU.YIL.FARK%" advise="1">
        <values>
          <value>
            <val>58.86</val>
          </value>
        </values>
      </ddeItem>
      <ddeItem name="BASGZ.GUN.F%" advise="1">
        <values>
          <value>
            <val>2.11</val>
          </value>
        </values>
      </ddeItem>
      <ddeItem name="BASGZ.SEMBOL" advise="1">
        <values>
          <value t="str">
            <val>BASGZ</val>
          </value>
        </values>
      </ddeItem>
      <ddeItem name="BASGZ.SON" advise="1">
        <values>
          <value>
            <val>17.420000000000002</val>
          </value>
        </values>
      </ddeItem>
      <ddeItem name="BASGZ.TKS.YAB.AY.PAYY" advise="1">
        <values>
          <value>
            <val>50.357709999999997</val>
          </value>
        </values>
      </ddeItem>
      <ddeItem name="BASGZ.TKS.YAB.HAF.PAYY" advise="1">
        <values>
          <value>
            <val>36.123019999999997</val>
          </value>
        </values>
      </ddeItem>
      <ddeItem name="BASGZ.TKS.YAB.PAYY" advise="1">
        <values>
          <value>
            <val>6.034592</val>
          </value>
        </values>
      </ddeItem>
      <ddeItem name="BASGZ.TKS.YAB.YIL.PAYY" advise="1">
        <values>
          <value>
            <val>1497.6610000000001</val>
          </value>
        </values>
      </ddeItem>
      <ddeItem name="BERA.30GUNLUK.F%" advise="1">
        <values>
          <value>
            <val>23.95</val>
          </value>
        </values>
      </ddeItem>
      <ddeItem name="BERA.52HAFTALIK.F%" advise="1">
        <values>
          <value>
            <val>156.63999999999999</val>
          </value>
        </values>
      </ddeItem>
      <ddeItem name="BERA.BU.YIL.FARK%" advise="1">
        <values>
          <value>
            <val>200.21</val>
          </value>
        </values>
      </ddeItem>
      <ddeItem name="BERA.GUN.F%" advise="1">
        <values>
          <value>
            <val>2.69</val>
          </value>
        </values>
      </ddeItem>
      <ddeItem name="BERA.SEMBOL" advise="1">
        <values>
          <value t="str">
            <val>BERA</val>
          </value>
        </values>
      </ddeItem>
      <ddeItem name="BERA.SON" advise="1">
        <values>
          <value>
            <val>28.98</val>
          </value>
        </values>
      </ddeItem>
      <ddeItem name="BERA.TKS.YAB.AY.PAYY" advise="1">
        <values>
          <value>
            <val>1.4671449999999999</val>
          </value>
        </values>
      </ddeItem>
      <ddeItem name="BERA.TKS.YAB.HAF.PAYY" advise="1">
        <values>
          <value>
            <val>1.892714</val>
          </value>
        </values>
      </ddeItem>
      <ddeItem name="BERA.TKS.YAB.PAYY" advise="1">
        <values>
          <value>
            <val>11.126799999999999</val>
          </value>
        </values>
      </ddeItem>
      <ddeItem name="BERA.TKS.YAB.YIL.PAYY" advise="1">
        <values>
          <value>
            <val>-30.315560000000001</val>
          </value>
        </values>
      </ddeItem>
      <ddeItem name="BIMAS.30GUNLUK.F%" advise="1">
        <values>
          <value>
            <val>-9.7200000000000006</val>
          </value>
        </values>
      </ddeItem>
      <ddeItem name="BIMAS.52HAFTALIK.F%" advise="1">
        <values>
          <value>
            <val>95.57</val>
          </value>
        </values>
      </ddeItem>
      <ddeItem name="BIMAS.BU.YIL.FARK%" advise="1">
        <values>
          <value>
            <val>112.95</val>
          </value>
        </values>
      </ddeItem>
      <ddeItem name="BIMAS.GUN.F%" advise="1">
        <values>
          <value>
            <val>-1.91</val>
          </value>
        </values>
      </ddeItem>
      <ddeItem name="BIMAS.SEMBOL" advise="1">
        <values>
          <value t="str">
            <val>BIMAS</val>
          </value>
        </values>
      </ddeItem>
      <ddeItem name="BIMAS.SON" advise="1">
        <values>
          <value>
            <val>128.19999999999999</val>
          </value>
        </values>
      </ddeItem>
      <ddeItem name="BIMAS.TKS.YAB.AY.PAYY" advise="1">
        <values>
          <value>
            <val>-2.9441549999999999</val>
          </value>
        </values>
      </ddeItem>
      <ddeItem name="BIMAS.TKS.YAB.HAF.PAYY" advise="1">
        <values>
          <value>
            <val>-0.73637059999999999</val>
          </value>
        </values>
      </ddeItem>
      <ddeItem name="BIMAS.TKS.YAB.PAYY" advise="1">
        <values>
          <value>
            <val>46.892440000000001</val>
          </value>
        </values>
      </ddeItem>
      <ddeItem name="BIMAS.TKS.YAB.YIL.PAYY" advise="1">
        <values>
          <value>
            <val>-15.483169999999999</val>
          </value>
        </values>
      </ddeItem>
      <ddeItem name="BRYAT.30GUNLUK.F%" advise="1">
        <values>
          <value>
            <val>27.18</val>
          </value>
        </values>
      </ddeItem>
      <ddeItem name="BRYAT.52HAFTALIK.F%" advise="1">
        <values>
          <value>
            <val>169.18</val>
          </value>
        </values>
      </ddeItem>
      <ddeItem name="BRYAT.BU.YIL.FARK%" advise="1">
        <values>
          <value>
            <val>155.15</val>
          </value>
        </values>
      </ddeItem>
      <ddeItem name="BRYAT.GUN.F%" advise="1">
        <values>
          <value>
            <val>-2.99</val>
          </value>
        </values>
      </ddeItem>
      <ddeItem name="BRYAT.SEMBOL" advise="1">
        <values>
          <value t="str">
            <val>BRYAT</val>
          </value>
        </values>
      </ddeItem>
      <ddeItem name="BRYAT.SON" advise="1">
        <values>
          <value>
            <val>956</val>
          </value>
        </values>
      </ddeItem>
      <ddeItem name="BRYAT.TKS.YAB.AY.PAYY" advise="1">
        <values>
          <value>
            <val>7.5249110000000003</val>
          </value>
        </values>
      </ddeItem>
      <ddeItem name="BRYAT.TKS.YAB.HAF.PAYY" advise="1">
        <values>
          <value>
            <val>4.5179039999999997</val>
          </value>
        </values>
      </ddeItem>
      <ddeItem name="BRYAT.TKS.YAB.PAYY" advise="1">
        <values>
          <value>
            <val>5.9908859999999997</val>
          </value>
        </values>
      </ddeItem>
      <ddeItem name="BRYAT.TKS.YAB.YIL.PAYY" advise="1">
        <values>
          <value>
            <val>59.825499999999998</val>
          </value>
        </values>
      </ddeItem>
      <ddeItem name="BUCIM.30GUNLUK.F%" advise="1">
        <values>
          <value>
            <val>18.04</val>
          </value>
        </values>
      </ddeItem>
      <ddeItem name="BUCIM.52HAFTALIK.F%" advise="1">
        <values>
          <value>
            <val>139.99</val>
          </value>
        </values>
      </ddeItem>
      <ddeItem name="BUCIM.BU.YIL.FARK%" advise="1">
        <values>
          <value>
            <val>159.58000000000001</val>
          </value>
        </values>
      </ddeItem>
      <ddeItem name="BUCIM.GUN.F%" advise="1">
        <values>
          <value>
            <val>2.4500000000000002</val>
          </value>
        </values>
      </ddeItem>
      <ddeItem name="BUCIM.SEMBOL" advise="1">
        <values>
          <value t="str">
            <val>BUCIM</val>
          </value>
        </values>
      </ddeItem>
      <ddeItem name="BUCIM.SON" advise="1">
        <values>
          <value>
            <val>5.43</val>
          </value>
        </values>
      </ddeItem>
      <ddeItem name="BUCIM.TKS.YAB.AY.PAYY" advise="1">
        <values>
          <value>
            <val>90.688000000000002</val>
          </value>
        </values>
      </ddeItem>
      <ddeItem name="BUCIM.TKS.YAB.HAF.PAYY" advise="1">
        <values>
          <value>
            <val>19.535229999999999</val>
          </value>
        </values>
      </ddeItem>
      <ddeItem name="BUCIM.TKS.YAB.PAYY" advise="1">
        <values>
          <value>
            <val>1.356487</val>
          </value>
        </values>
      </ddeItem>
      <ddeItem name="BUCIM.TKS.YAB.YIL.PAYY" advise="1">
        <values>
          <value>
            <val>938.46349999999995</val>
          </value>
        </values>
      </ddeItem>
      <ddeItem name="CCOLA.30GUNLUK.F%" advise="1">
        <values>
          <value>
            <val>4.1399999999999997</val>
          </value>
        </values>
      </ddeItem>
      <ddeItem name="CCOLA.52HAFTALIK.F%" advise="1">
        <values>
          <value>
            <val>88.09</val>
          </value>
        </values>
      </ddeItem>
      <ddeItem name="CCOLA.BU.YIL.FARK%" advise="1">
        <values>
          <value>
            <val>99.56</val>
          </value>
        </values>
      </ddeItem>
      <ddeItem name="CCOLA.GUN.F%" advise="1">
        <values>
          <value>
            <val>0.52</val>
          </value>
        </values>
      </ddeItem>
      <ddeItem name="CCOLA.SEMBOL" advise="1">
        <values>
          <value t="str">
            <val>CCOLA</val>
          </value>
        </values>
      </ddeItem>
      <ddeItem name="CCOLA.SON" advise="1">
        <values>
          <value>
            <val>173.4</val>
          </value>
        </values>
      </ddeItem>
      <ddeItem name="CCOLA.TKS.YAB.AY.PAYY" advise="1">
        <values>
          <value>
            <val>0.49660739999999998</val>
          </value>
        </values>
      </ddeItem>
      <ddeItem name="CCOLA.TKS.YAB.HAF.PAYY" advise="1">
        <values>
          <value>
            <val>0.393152</val>
          </value>
        </values>
      </ddeItem>
      <ddeItem name="CCOLA.TKS.YAB.PAYY" advise="1">
        <values>
          <value>
            <val>82.742609999999999</val>
          </value>
        </values>
      </ddeItem>
      <ddeItem name="CCOLA.TKS.YAB.YIL.PAYY" advise="1">
        <values>
          <value>
            <val>3.6795689999999999</val>
          </value>
        </values>
      </ddeItem>
      <ddeItem name="CEMTS.30GUNLUK.F%" advise="1">
        <values>
          <value>
            <val>16.73</val>
          </value>
        </values>
      </ddeItem>
      <ddeItem name="CEMTS.52HAFTALIK.F%" advise="1">
        <values>
          <value>
            <val>201.44</val>
          </value>
        </values>
      </ddeItem>
      <ddeItem name="CEMTS.BU.YIL.FARK%" advise="1">
        <values>
          <value>
            <val>158.54</val>
          </value>
        </values>
      </ddeItem>
      <ddeItem name="CEMTS.GUN.F%" advise="1">
        <values>
          <value>
            <val>3.46</val>
          </value>
        </values>
      </ddeItem>
      <ddeItem name="CEMTS.SEMBOL" advise="1">
        <values>
          <value t="str">
            <val>CEMTS</val>
          </value>
        </values>
      </ddeItem>
      <ddeItem name="CEMTS.SON" advise="1">
        <values>
          <value>
            <val>47.86</val>
          </value>
        </values>
      </ddeItem>
      <ddeItem name="CEMTS.TKS.YAB.AY.PAYY" advise="1">
        <values>
          <value>
            <val>-24.389420000000001</val>
          </value>
        </values>
      </ddeItem>
      <ddeItem name="CEMTS.TKS.YAB.HAF.PAYY" advise="1">
        <values>
          <value>
            <val>9.7698280000000004</val>
          </value>
        </values>
      </ddeItem>
      <ddeItem name="CEMTS.TKS.YAB.PAYY" advise="1">
        <values>
          <value>
            <val>2.0007830000000002</val>
          </value>
        </values>
      </ddeItem>
      <ddeItem name="CEMTS.TKS.YAB.YIL.PAYY" advise="1">
        <values>
          <value>
            <val>59.905940000000001</val>
          </value>
        </values>
      </ddeItem>
      <ddeItem name="CIMSA.30GUNLUK.F%" advise="1">
        <values>
          <value>
            <val>18.68</val>
          </value>
        </values>
      </ddeItem>
      <ddeItem name="CIMSA.52HAFTALIK.F%" advise="1">
        <values>
          <value>
            <val>180.89</val>
          </value>
        </values>
      </ddeItem>
      <ddeItem name="CIMSA.BU.YIL.FARK%" advise="1">
        <values>
          <value>
            <val>173.22</val>
          </value>
        </values>
      </ddeItem>
      <ddeItem name="CIMSA.GUN.F%" advise="1">
        <values>
          <value>
            <val>3.79</val>
          </value>
        </values>
      </ddeItem>
      <ddeItem name="CIMSA.SEMBOL" advise="1">
        <values>
          <value t="str">
            <val>CIMSA</val>
          </value>
        </values>
      </ddeItem>
      <ddeItem name="CIMSA.SON" advise="1">
        <values>
          <value>
            <val>80.7</val>
          </value>
        </values>
      </ddeItem>
      <ddeItem name="CIMSA.TKS.YAB.AY.PAYY" advise="1">
        <values>
          <value>
            <val>-16.07029</val>
          </value>
        </values>
      </ddeItem>
      <ddeItem name="CIMSA.TKS.YAB.HAF.PAYY" advise="1">
        <values>
          <value>
            <val>1.4320679999999999</val>
          </value>
        </values>
      </ddeItem>
      <ddeItem name="CIMSA.TKS.YAB.PAYY" advise="1">
        <values>
          <value>
            <val>6.8895850000000003</val>
          </value>
        </values>
      </ddeItem>
      <ddeItem name="CIMSA.TKS.YAB.YIL.PAYY" advise="1">
        <values>
          <value>
            <val>-47.996270000000003</val>
          </value>
        </values>
      </ddeItem>
      <ddeItem name="DEVA.30GUNLUK.F%" advise="1">
        <values>
          <value>
            <val>14.14</val>
          </value>
        </values>
      </ddeItem>
      <ddeItem name="DEVA.52HAFTALIK.F%" advise="1">
        <values>
          <value>
            <val>82.06</val>
          </value>
        </values>
      </ddeItem>
      <ddeItem name="DEVA.BU.YIL.FARK%" advise="1">
        <values>
          <value>
            <val>67.11</val>
          </value>
        </values>
      </ddeItem>
      <ddeItem name="DEVA.GUN.F%" advise="1">
        <values>
          <value>
            <val>1.88</val>
          </value>
        </values>
      </ddeItem>
      <ddeItem name="DEVA.SEMBOL" advise="1">
        <values>
          <value t="str">
            <val>DEVA</val>
          </value>
        </values>
      </ddeItem>
      <ddeItem name="DEVA.SON" advise="1">
        <values>
          <value>
            <val>47.8</val>
          </value>
        </values>
      </ddeItem>
      <ddeItem name="DEVA.TKS.YAB.AY.PAYY" advise="1">
        <values>
          <value>
            <val>10.599069999999999</val>
          </value>
        </values>
      </ddeItem>
      <ddeItem name="DEVA.TKS.YAB.HAF.PAYY" advise="1">
        <values>
          <value>
            <val>7.7812070000000002</val>
          </value>
        </values>
      </ddeItem>
      <ddeItem name="DEVA.TKS.YAB.PAYY" advise="1">
        <values>
          <value>
            <val>1.2493099999999999</val>
          </value>
        </values>
      </ddeItem>
      <ddeItem name="DEVA.TKS.YAB.YIL.PAYY" advise="1">
        <values>
          <value>
            <val>103.6212</val>
          </value>
        </values>
      </ddeItem>
      <ddeItem name="DOAS.30GUNLUK.F%" advise="1">
        <values>
          <value>
            <val>40.19</val>
          </value>
        </values>
      </ddeItem>
      <ddeItem name="DOAS.52HAFTALIK.F%" advise="1">
        <values>
          <value>
            <val>277.08999999999997</val>
          </value>
        </values>
      </ddeItem>
      <ddeItem name="DOAS.BU.YIL.FARK%" advise="1">
        <values>
          <value>
            <val>278.13</val>
          </value>
        </values>
      </ddeItem>
      <ddeItem name="DOAS.GUN.F%" advise="1">
        <values>
          <value>
            <val>4.59</val>
          </value>
        </values>
      </ddeItem>
      <ddeItem name="DOAS.SEMBOL" advise="1">
        <values>
          <value t="str">
            <val>DOAS</val>
          </value>
        </values>
      </ddeItem>
      <ddeItem name="DOAS.SON" advise="1">
        <values>
          <value>
            <val>148.1</val>
          </value>
        </values>
      </ddeItem>
      <ddeItem name="DOAS.TKS.YAB.AY.PAYY" advise="1">
        <values>
          <value>
            <val>-10.80817</val>
          </value>
        </values>
      </ddeItem>
      <ddeItem name="DOAS.TKS.YAB.HAF.PAYY" advise="1">
        <values>
          <value>
            <val>-3.1089699999999998</val>
          </value>
        </values>
      </ddeItem>
      <ddeItem name="DOAS.TKS.YAB.PAYY" advise="1">
        <values>
          <value>
            <val>21.19511</val>
          </value>
        </values>
      </ddeItem>
      <ddeItem name="DOAS.TKS.YAB.YIL.PAYY" advise="1">
        <values>
          <value>
            <val>-17.000039999999998</val>
          </value>
        </values>
      </ddeItem>
      <ddeItem name="DOHOL.30GUNLUK.F%" advise="1">
        <values>
          <value>
            <val>10.48</val>
          </value>
        </values>
      </ddeItem>
      <ddeItem name="DOHOL.52HAFTALIK.F%" advise="1">
        <values>
          <value>
            <val>129.63999999999999</val>
          </value>
        </values>
      </ddeItem>
      <ddeItem name="DOHOL.BU.YIL.FARK%" advise="1">
        <values>
          <value>
            <val>157.19999999999999</val>
          </value>
        </values>
      </ddeItem>
      <ddeItem name="DOHOL.GUN.F%" advise="1">
        <values>
          <value>
            <val>1.48</val>
          </value>
        </values>
      </ddeItem>
      <ddeItem name="DOHOL.SEMBOL" advise="1">
        <values>
          <value t="str">
            <val>DOHOL</val>
          </value>
        </values>
      </ddeItem>
      <ddeItem name="DOHOL.SON" advise="1">
        <values>
          <value>
            <val>6.85</val>
          </value>
        </values>
      </ddeItem>
      <ddeItem name="DOHOL.TKS.YAB.AY.PAYY" advise="1">
        <values>
          <value>
            <val>-22.394760000000002</val>
          </value>
        </values>
      </ddeItem>
      <ddeItem name="DOHOL.TKS.YAB.HAF.PAYY" advise="1">
        <values>
          <value>
            <val>1.109583</val>
          </value>
        </values>
      </ddeItem>
      <ddeItem name="DOHOL.TKS.YAB.PAYY" advise="1">
        <values>
          <value>
            <val>19.729150000000001</val>
          </value>
        </values>
      </ddeItem>
      <ddeItem name="DOHOL.TKS.YAB.YIL.PAYY" advise="1">
        <values>
          <value>
            <val>-21.940380000000001</val>
          </value>
        </values>
      </ddeItem>
      <ddeItem name="ECILC.30GUNLUK.F%" advise="1">
        <values>
          <value>
            <val>17.22</val>
          </value>
        </values>
      </ddeItem>
      <ddeItem name="ECILC.52HAFTALIK.F%" advise="1">
        <values>
          <value>
            <val>252.55</val>
          </value>
        </values>
      </ddeItem>
      <ddeItem name="ECILC.BU.YIL.FARK%" advise="1">
        <values>
          <value>
            <val>213.96</val>
          </value>
        </values>
      </ddeItem>
      <ddeItem name="ECILC.GUN.F%" advise="1">
        <values>
          <value>
            <val>0.44</val>
          </value>
        </values>
      </ddeItem>
      <ddeItem name="ECILC.SEMBOL" advise="1">
        <values>
          <value t="str">
            <val>ECILC</val>
          </value>
        </values>
      </ddeItem>
      <ddeItem name="ECILC.SON" advise="1">
        <values>
          <value>
            <val>22.8</val>
          </value>
        </values>
      </ddeItem>
      <ddeItem name="ECILC.TKS.YAB.AY.PAYY" advise="1">
        <values>
          <value>
            <val>11.89011</val>
          </value>
        </values>
      </ddeItem>
      <ddeItem name="ECILC.TKS.YAB.HAF.PAYY" advise="1">
        <values>
          <value>
            <val>2.4590299999999998</val>
          </value>
        </values>
      </ddeItem>
      <ddeItem name="ECILC.TKS.YAB.PAYY" advise="1">
        <values>
          <value>
            <val>5.2011370000000001</val>
          </value>
        </values>
      </ddeItem>
      <ddeItem name="ECILC.TKS.YAB.YIL.PAYY" advise="1">
        <values>
          <value>
            <val>29.998899999999999</val>
          </value>
        </values>
      </ddeItem>
      <ddeItem name="EGEEN.30GUNLUK.F%" advise="1">
        <values>
          <value>
            <val>16.670000000000002</val>
          </value>
        </values>
      </ddeItem>
      <ddeItem name="EGEEN.52HAFTALIK.F%" advise="1">
        <values>
          <value>
            <val>134.30000000000001</val>
          </value>
        </values>
      </ddeItem>
      <ddeItem name="EGEEN.BU.YIL.FARK%" advise="1">
        <values>
          <value>
            <val>105.94</val>
          </value>
        </values>
      </ddeItem>
      <ddeItem name="EGEEN.GUN.F%" advise="1">
        <values>
          <value>
            <val>1.5</val>
          </value>
        </values>
      </ddeItem>
      <ddeItem name="EGEEN.SEMBOL" advise="1">
        <values>
          <value t="str">
            <val>EGEEN</val>
          </value>
        </values>
      </ddeItem>
      <ddeItem name="EGEEN.SON" advise="1">
        <values>
          <value>
            <val>3476.3</val>
          </value>
        </values>
      </ddeItem>
      <ddeItem name="EGEEN.TKS.YAB.AY.PAYY" advise="1">
        <values>
          <value>
            <val>22.981950000000001</val>
          </value>
        </values>
      </ddeItem>
      <ddeItem name="EGEEN.TKS.YAB.HAF.PAYY" advise="1">
        <values>
          <value>
            <val>18.098289999999999</val>
          </value>
        </values>
      </ddeItem>
      <ddeItem name="EGEEN.TKS.YAB.PAYY" advise="1">
        <values>
          <value>
            <val>7.496766</val>
          </value>
        </values>
      </ddeItem>
      <ddeItem name="EGEEN.TKS.YAB.YIL.PAYY" advise="1">
        <values>
          <value>
            <val>11.510020000000001</val>
          </value>
        </values>
      </ddeItem>
      <ddeItem name="EKGYO.30GUNLUK.F%" advise="1">
        <values>
          <value>
            <val>24.57</val>
          </value>
        </values>
      </ddeItem>
      <ddeItem name="EKGYO.52HAFTALIK.F%" advise="1">
        <values>
          <value>
            <val>174.84</val>
          </value>
        </values>
      </ddeItem>
      <ddeItem name="EKGYO.BU.YIL.FARK%" advise="1">
        <values>
          <value>
            <val>179.97</val>
          </value>
        </values>
      </ddeItem>
      <ddeItem name="EKGYO.GUN.F%" advise="1">
        <values>
          <value>
            <val>5.28</val>
          </value>
        </values>
      </ddeItem>
      <ddeItem name="EKGYO.SEMBOL" advise="1">
        <values>
          <value t="str">
            <val>EKGYO</val>
          </value>
        </values>
      </ddeItem>
      <ddeItem name="EKGYO.SON" advise="1">
        <values>
          <value>
            <val>5.78</val>
          </value>
        </values>
      </ddeItem>
      <ddeItem name="EKGYO.TKS.YAB.AY.PAYY" advise="1">
        <values>
          <value>
            <val>-5.4285670000000001</val>
          </value>
        </values>
      </ddeItem>
      <ddeItem name="EKGYO.TKS.YAB.HAF.PAYY" advise="1">
        <values>
          <value>
            <val>-6.6145149999999999</val>
          </value>
        </values>
      </ddeItem>
      <ddeItem name="EKGYO.TKS.YAB.PAYY" advise="1">
        <values>
          <value>
            <val>23.680399999999999</val>
          </value>
        </values>
      </ddeItem>
      <ddeItem name="EKGYO.TKS.YAB.YIL.PAYY" advise="1">
        <values>
          <value>
            <val>-16.78323</val>
          </value>
        </values>
      </ddeItem>
      <ddeItem name="ENJSA.30GUNLUK.F%" advise="1">
        <values>
          <value>
            <val>35.75</val>
          </value>
        </values>
      </ddeItem>
      <ddeItem name="ENJSA.52HAFTALIK.F%" advise="1">
        <values>
          <value>
            <val>120.59</val>
          </value>
        </values>
      </ddeItem>
      <ddeItem name="ENJSA.BU.YIL.FARK%" advise="1">
        <values>
          <value>
            <val>119.22</val>
          </value>
        </values>
      </ddeItem>
      <ddeItem name="ENJSA.GUN.F%" advise="1">
        <values>
          <value>
            <val>4.88</val>
          </value>
        </values>
      </ddeItem>
      <ddeItem name="ENJSA.SEMBOL" advise="1">
        <values>
          <value t="str">
            <val>ENJSA</val>
          </value>
        </values>
      </ddeItem>
      <ddeItem name="ENJSA.SON" advise="1">
        <values>
          <value>
            <val>26.2</val>
          </value>
        </values>
      </ddeItem>
      <ddeItem name="ENJSA.TKS.YAB.AY.PAYY" advise="1">
        <values>
          <value>
            <val>-26.54522</val>
          </value>
        </values>
      </ddeItem>
      <ddeItem name="ENJSA.TKS.YAB.HAF.PAYY" advise="1">
        <values>
          <value>
            <val>-15.83212</val>
          </value>
        </values>
      </ddeItem>
      <ddeItem name="ENJSA.TKS.YAB.PAYY" advise="1">
        <values>
          <value>
            <val>34.356020000000001</val>
          </value>
        </values>
      </ddeItem>
      <ddeItem name="ENJSA.TKS.YAB.YIL.PAYY" advise="1">
        <values>
          <value>
            <val>-45.442070000000001</val>
          </value>
        </values>
      </ddeItem>
      <ddeItem name="ENKAI.30GUNLUK.F%" advise="1">
        <values>
          <value>
            <val>17.28</val>
          </value>
        </values>
      </ddeItem>
      <ddeItem name="ENKAI.52HAFTALIK.F%" advise="1">
        <values>
          <value>
            <val>85.86</val>
          </value>
        </values>
      </ddeItem>
      <ddeItem name="ENKAI.BU.YIL.FARK%" advise="1">
        <values>
          <value>
            <val>57.47</val>
          </value>
        </values>
      </ddeItem>
      <ddeItem name="ENKAI.GUN.F%" advise="1">
        <values>
          <value>
            <val>0.28000000000000003</val>
          </value>
        </values>
      </ddeItem>
      <ddeItem name="ENKAI.SEMBOL" advise="1">
        <values>
          <value t="str">
            <val>ENKAI</val>
          </value>
        </values>
      </ddeItem>
      <ddeItem name="ENKAI.SON" advise="1">
        <values>
          <value>
            <val>21.18</val>
          </value>
        </values>
      </ddeItem>
      <ddeItem name="ENKAI.TKS.YAB.AY.PAYY" advise="1">
        <values>
          <value>
            <val>-1.9819420000000001</val>
          </value>
        </values>
      </ddeItem>
      <ddeItem name="ENKAI.TKS.YAB.HAF.PAYY" advise="1">
        <values>
          <value>
            <val>-0.1317171</val>
          </value>
        </values>
      </ddeItem>
      <ddeItem name="ENKAI.TKS.YAB.PAYY" advise="1">
        <values>
          <value>
            <val>50.156559999999999</val>
          </value>
        </values>
      </ddeItem>
      <ddeItem name="ENKAI.TKS.YAB.YIL.PAYY" advise="1">
        <values>
          <value>
            <val>0.1000562</val>
          </value>
        </values>
      </ddeItem>
      <ddeItem name="ERBOS.30GUNLUK.F%" advise="1">
        <values>
          <value>
            <val>-1.27</val>
          </value>
        </values>
      </ddeItem>
      <ddeItem name="ERBOS.52HAFTALIK.F%" advise="1">
        <values>
          <value>
            <val>32.5</val>
          </value>
        </values>
      </ddeItem>
      <ddeItem name="ERBOS.BU.YIL.FARK%" advise="1">
        <values>
          <value>
            <val>40.9</val>
          </value>
        </values>
      </ddeItem>
      <ddeItem name="ERBOS.GUN.F%" advise="1">
        <values>
          <value>
            <val>2.98</val>
          </value>
        </values>
      </ddeItem>
      <ddeItem name="ERBOS.SEMBOL" advise="1">
        <values>
          <value t="str">
            <val>ERBOS</val>
          </value>
        </values>
      </ddeItem>
      <ddeItem name="ERBOS.SON" advise="1">
        <values>
          <value>
            <val>155.6</val>
          </value>
        </values>
      </ddeItem>
      <ddeItem name="ERBOS.TKS.YAB.AY.PAYY" advise="1">
        <values>
          <value>
            <val>80.306820000000002</val>
          </value>
        </values>
      </ddeItem>
      <ddeItem name="ERBOS.TKS.YAB.HAF.PAYY" advise="1">
        <values>
          <value>
            <val>105.57989999999999</val>
          </value>
        </values>
      </ddeItem>
      <ddeItem name="ERBOS.TKS.YAB.PAYY" advise="1">
        <values>
          <value>
            <val>1.8429219999999999</val>
          </value>
        </values>
      </ddeItem>
      <ddeItem name="ERBOS.TKS.YAB.YIL.PAYY" advise="1">
        <values>
          <value>
            <val>80.111260000000001</val>
          </value>
        </values>
      </ddeItem>
      <ddeItem name="EREGL.30GUNLUK.F%" advise="1">
        <values>
          <value>
            <val>27.62</val>
          </value>
        </values>
      </ddeItem>
      <ddeItem name="EREGL.52HAFTALIK.F%" advise="1">
        <values>
          <value>
            <val>102.31</val>
          </value>
        </values>
      </ddeItem>
      <ddeItem name="EREGL.BU.YIL.FARK%" advise="1">
        <values>
          <value>
            <val>52.59</val>
          </value>
        </values>
      </ddeItem>
      <ddeItem name="EREGL.GUN.F%" advise="1">
        <values>
          <value>
            <val>2.17</val>
          </value>
        </values>
      </ddeItem>
      <ddeItem name="EREGL.SEMBOL" advise="1">
        <values>
          <value t="str">
            <val>EREGL</val>
          </value>
        </values>
      </ddeItem>
      <ddeItem name="EREGL.SON" advise="1">
        <values>
          <value>
            <val>37.700000000000003</val>
          </value>
        </values>
      </ddeItem>
      <ddeItem name="EREGL.TKS.YAB.AY.PAYY" advise="1">
        <values>
          <value>
            <val>-2.9639929999999999</val>
          </value>
        </values>
      </ddeItem>
      <ddeItem name="EREGL.TKS.YAB.HAF.PAYY" advise="1">
        <values>
          <value>
            <val>-0.46914060000000002</val>
          </value>
        </values>
      </ddeItem>
      <ddeItem name="EREGL.TKS.YAB.PAYY" advise="1">
        <values>
          <value>
            <val>19.924890000000001</val>
          </value>
        </values>
      </ddeItem>
      <ddeItem name="EREGL.TKS.YAB.YIL.PAYY" advise="1">
        <values>
          <value>
            <val>-42.142209999999999</val>
          </value>
        </values>
      </ddeItem>
      <ddeItem name="FROTO.30GUNLUK.F%" advise="1">
        <values>
          <value>
            <val>19.96</val>
          </value>
        </values>
      </ddeItem>
      <ddeItem name="FROTO.52HAFTALIK.F%" advise="1">
        <values>
          <value>
            <val>103.25</val>
          </value>
        </values>
      </ddeItem>
      <ddeItem name="FROTO.BU.YIL.FARK%" advise="1">
        <values>
          <value>
            <val>90.36</val>
          </value>
        </values>
      </ddeItem>
      <ddeItem name="FROTO.GUN.F%" advise="1">
        <values>
          <value>
            <val>2.11</val>
          </value>
        </values>
      </ddeItem>
      <ddeItem name="FROTO.SEMBOL" advise="1">
        <values>
          <value t="str">
            <val>FROTO</val>
          </value>
        </values>
      </ddeItem>
      <ddeItem name="FROTO.SON" advise="1">
        <values>
          <value>
            <val>434.6</val>
          </value>
        </values>
      </ddeItem>
      <ddeItem name="FROTO.TKS.YAB.AY.PAYY" advise="1">
        <values>
          <value>
            <val>-13.470750000000001</val>
          </value>
        </values>
      </ddeItem>
      <ddeItem name="FROTO.TKS.YAB.HAF.PAYY" advise="1">
        <values>
          <value>
            <val>-1.8809659999999999</val>
          </value>
        </values>
      </ddeItem>
      <ddeItem name="FROTO.TKS.YAB.PAYY" advise="1">
        <values>
          <value>
            <val>37.510800000000003</val>
          </value>
        </values>
      </ddeItem>
      <ddeItem name="FROTO.TKS.YAB.YIL.PAYY" advise="1">
        <values>
          <value>
            <val>-44.115459999999999</val>
          </value>
        </values>
      </ddeItem>
      <ddeItem name="GARAN.30GUNLUK.F%" advise="1">
        <values>
          <value>
            <val>4.8099999999999996</val>
          </value>
        </values>
      </ddeItem>
      <ddeItem name="GARAN.52HAFTALIK.F%" advise="1">
        <values>
          <value>
            <val>121.66</val>
          </value>
        </values>
      </ddeItem>
      <ddeItem name="GARAN.BU.YIL.FARK%" advise="1">
        <values>
          <value>
            <val>137</val>
          </value>
        </values>
      </ddeItem>
      <ddeItem name="GARAN.GUN.F%" advise="1">
        <values>
          <value>
            <val>3.07</val>
          </value>
        </values>
      </ddeItem>
      <ddeItem name="GARAN.SEMBOL" advise="1">
        <values>
          <value t="str">
            <val>GARAN</val>
          </value>
        </values>
      </ddeItem>
      <ddeItem name="GARAN.SON" advise="1">
        <values>
          <value>
            <val>26.16</val>
          </value>
        </values>
      </ddeItem>
      <ddeItem name="GARAN.TKS.YAB.AY.PAYY" advise="1">
        <values>
          <value>
            <val>12.6974</val>
          </value>
        </values>
      </ddeItem>
      <ddeItem name="GARAN.TKS.YAB.HAF.PAYY" advise="1">
        <values>
          <value>
            <val>0.43336000000000002</val>
          </value>
        </values>
      </ddeItem>
      <ddeItem name="GARAN.TKS.YAB.PAYY" advise="1">
        <values>
          <value>
            <val>9.3011669999999995</val>
          </value>
        </values>
      </ddeItem>
      <ddeItem name="GARAN.TKS.YAB.YIL.PAYY" advise="1">
        <values>
          <value>
            <val>-84.192949999999996</val>
          </value>
        </values>
      </ddeItem>
      <ddeItem name="GENIL.30GUNLUK.F%" advise="1">
        <values>
          <value>
            <val>30.85</val>
          </value>
        </values>
      </ddeItem>
      <ddeItem name="GENIL.52HAFTALIK.F%" advise="1">
        <values>
          <value>
            <val>180.89</val>
          </value>
        </values>
      </ddeItem>
      <ddeItem name="GENIL.BU.YIL.FARK%" advise="1">
        <values>
          <value>
            <val>138.62</val>
          </value>
        </values>
      </ddeItem>
      <ddeItem name="GENIL.GUN.F%" advise="1">
        <values>
          <value>
            <val>8.8800000000000008</val>
          </value>
        </values>
      </ddeItem>
      <ddeItem name="GENIL.SEMBOL" advise="1">
        <values>
          <value t="str">
            <val>GENIL</val>
          </value>
        </values>
      </ddeItem>
      <ddeItem name="GENIL.SON" advise="1">
        <values>
          <value>
            <val>35.799999999999997</val>
          </value>
        </values>
      </ddeItem>
      <ddeItem name="GENIL.TKS.YAB.AY.PAYY" advise="1">
        <values>
          <value>
            <val>8.119783</val>
          </value>
        </values>
      </ddeItem>
      <ddeItem name="GENIL.TKS.YAB.HAF.PAYY" advise="1">
        <values>
          <value>
            <val>4.1694899999999997</val>
          </value>
        </values>
      </ddeItem>
      <ddeItem name="GENIL.TKS.YAB.PAYY" advise="1">
        <values>
          <value>
            <val>18.149789999999999</val>
          </value>
        </values>
      </ddeItem>
      <ddeItem name="GENIL.TKS.YAB.YIL.PAYY" advise="1">
        <values>
          <value>
            <val>112.0454</val>
          </value>
        </values>
      </ddeItem>
      <ddeItem name="GLYHO.30GUNLUK.F%" advise="1">
        <values>
          <value>
            <val>40.4</val>
          </value>
        </values>
      </ddeItem>
      <ddeItem name="GLYHO.52HAFTALIK.F%" advise="1">
        <values>
          <value>
            <val>329.86</val>
          </value>
        </values>
      </ddeItem>
      <ddeItem name="GLYHO.BU.YIL.FARK%" advise="1">
        <values>
          <value>
            <val>358.08</val>
          </value>
        </values>
      </ddeItem>
      <ddeItem name="GLYHO.GUN.F%" advise="1">
        <values>
          <value>
            <val>0.55000000000000004</val>
          </value>
        </values>
      </ddeItem>
      <ddeItem name="GLYHO.SEMBOL" advise="1">
        <values>
          <value t="str">
            <val>GLYHO</val>
          </value>
        </values>
      </ddeItem>
      <ddeItem name="GLYHO.SON" advise="1">
        <values>
          <value>
            <val>9.07</val>
          </value>
        </values>
      </ddeItem>
      <ddeItem name="GLYHO.TKS.YAB.AY.PAYY" advise="1">
        <values>
          <value>
            <val>-9.5041379999999993</val>
          </value>
        </values>
      </ddeItem>
      <ddeItem name="GLYHO.TKS.YAB.HAF.PAYY" advise="1">
        <values>
          <value>
            <val>-0.4362028</val>
          </value>
        </values>
      </ddeItem>
      <ddeItem name="GLYHO.TKS.YAB.PAYY" advise="1">
        <values>
          <value>
            <val>18.301970000000001</val>
          </value>
        </values>
      </ddeItem>
      <ddeItem name="GLYHO.TKS.YAB.YIL.PAYY" advise="1">
        <values>
          <value>
            <val>-10.973929999999999</val>
          </value>
        </values>
      </ddeItem>
      <ddeItem name="GOZDE.30GUNLUK.F%" advise="1">
        <values>
          <value>
            <val>12.34</val>
          </value>
        </values>
      </ddeItem>
      <ddeItem name="GOZDE.52HAFTALIK.F%" advise="1">
        <values>
          <value>
            <val>56.34</val>
          </value>
        </values>
      </ddeItem>
      <ddeItem name="GOZDE.BU.YIL.FARK%" advise="1">
        <values>
          <value>
            <val>53.92</val>
          </value>
        </values>
      </ddeItem>
      <ddeItem name="GOZDE.GUN.F%" advise="1">
        <values>
          <value>
            <val>5.37</val>
          </value>
        </values>
      </ddeItem>
      <ddeItem name="GOZDE.SEMBOL" advise="1">
        <values>
          <value t="str">
            <val>GOZDE</val>
          </value>
        </values>
      </ddeItem>
      <ddeItem name="GOZDE.SON" advise="1">
        <values>
          <value>
            <val>13.93</val>
          </value>
        </values>
      </ddeItem>
      <ddeItem name="GOZDE.TKS.YAB.AY.PAYY" advise="1">
        <values>
          <value>
            <val>8.5395310000000002</val>
          </value>
        </values>
      </ddeItem>
      <ddeItem name="GOZDE.TKS.YAB.HAF.PAYY" advise="1">
        <values>
          <value>
            <val>8.9001610000000007</val>
          </value>
        </values>
      </ddeItem>
      <ddeItem name="GOZDE.TKS.YAB.PAYY" advise="1">
        <values>
          <value>
            <val>6.8027889999999998</val>
          </value>
        </values>
      </ddeItem>
      <ddeItem name="GOZDE.TKS.YAB.YIL.PAYY" advise="1">
        <values>
          <value>
            <val>-7.3528880000000001</val>
          </value>
        </values>
      </ddeItem>
      <ddeItem name="GSDHO.30GUNLUK.F%" advise="1">
        <values>
          <value>
            <val>16.13</val>
          </value>
        </values>
      </ddeItem>
      <ddeItem name="GSDHO.52HAFTALIK.F%" advise="1">
        <values>
          <value>
            <val>160.04</val>
          </value>
        </values>
      </ddeItem>
      <ddeItem name="GSDHO.BU.YIL.FARK%" advise="1">
        <values>
          <value>
            <val>135.68</val>
          </value>
        </values>
      </ddeItem>
      <ddeItem name="GSDHO.GUN.F%" advise="1">
        <values>
          <value>
            <val>1.35</val>
          </value>
        </values>
      </ddeItem>
      <ddeItem name="GSDHO.SEMBOL" advise="1">
        <values>
          <value t="str">
            <val>GSDHO</val>
          </value>
        </values>
      </ddeItem>
      <ddeItem name="GSDHO.SON" advise="1">
        <values>
          <value>
            <val>3.01</val>
          </value>
        </values>
      </ddeItem>
      <ddeItem name="GSDHO.TKS.YAB.AY.PAYY" advise="1">
        <values>
          <value>
            <val>110.61190000000001</val>
          </value>
        </values>
      </ddeItem>
      <ddeItem name="GSDHO.TKS.YAB.HAF.PAYY" advise="1">
        <values>
          <value>
            <val>104.02509999999999</val>
          </value>
        </values>
      </ddeItem>
      <ddeItem name="GSDHO.TKS.YAB.PAYY" advise="1">
        <values>
          <value>
            <val>6.283582</val>
          </value>
        </values>
      </ddeItem>
      <ddeItem name="GSDHO.TKS.YAB.YIL.PAYY" advise="1">
        <values>
          <value>
            <val>108.59229999999999</val>
          </value>
        </values>
      </ddeItem>
      <ddeItem name="GUBRF.30GUNLUK.F%" advise="1">
        <values>
          <value>
            <val>19.46</val>
          </value>
        </values>
      </ddeItem>
      <ddeItem name="GUBRF.52HAFTALIK.F%" advise="1">
        <values>
          <value>
            <val>134.94999999999999</val>
          </value>
        </values>
      </ddeItem>
      <ddeItem name="GUBRF.BU.YIL.FARK%" advise="1">
        <values>
          <value>
            <val>120.43</val>
          </value>
        </values>
      </ddeItem>
      <ddeItem name="GUBRF.GUN.F%" advise="1">
        <values>
          <value>
            <val>5.55</val>
          </value>
        </values>
      </ddeItem>
      <ddeItem name="GUBRF.SEMBOL" advise="1">
        <values>
          <value t="str">
            <val>GUBRF</val>
          </value>
        </values>
      </ddeItem>
      <ddeItem name="GUBRF.SON" advise="1">
        <values>
          <value>
            <val>169.4</val>
          </value>
        </values>
      </ddeItem>
      <ddeItem name="GUBRF.TKS.YAB.AY.PAYY" advise="1">
        <values>
          <value>
            <val>23.326979999999999</val>
          </value>
        </values>
      </ddeItem>
      <ddeItem name="GUBRF.TKS.YAB.HAF.PAYY" advise="1">
        <values>
          <value>
            <val>2.893926</val>
          </value>
        </values>
      </ddeItem>
      <ddeItem name="GUBRF.TKS.YAB.PAYY" advise="1">
        <values>
          <value>
            <val>10.15067</val>
          </value>
        </values>
      </ddeItem>
      <ddeItem name="GUBRF.TKS.YAB.YIL.PAYY" advise="1">
        <values>
          <value>
            <val>33.03134</val>
          </value>
        </values>
      </ddeItem>
      <ddeItem name="GWIND.30GUNLUK.F%" advise="1">
        <values>
          <value>
            <val>36.049999999999997</val>
          </value>
        </values>
      </ddeItem>
      <ddeItem name="GWIND.52HAFTALIK.F%" advise="1">
        <values>
          <value>
            <val>443.69</val>
          </value>
        </values>
      </ddeItem>
      <ddeItem name="GWIND.BU.YIL.FARK%" advise="1">
        <values>
          <value>
            <val>358.04</val>
          </value>
        </values>
      </ddeItem>
      <ddeItem name="GWIND.GUN.F%" advise="1">
        <values>
          <value>
            <val>5.67</val>
          </value>
        </values>
      </ddeItem>
      <ddeItem name="GWIND.SEMBOL" advise="1">
        <values>
          <value t="str">
            <val>GWIND</val>
          </value>
        </values>
      </ddeItem>
      <ddeItem name="GWIND.SON" advise="1">
        <values>
          <value>
            <val>25.7</val>
          </value>
        </values>
      </ddeItem>
      <ddeItem name="GWIND.TKS.YAB.AY.PAYY" advise="1">
        <values>
          <value>
            <val>25.652509999999999</val>
          </value>
        </values>
      </ddeItem>
      <ddeItem name="GWIND.TKS.YAB.HAF.PAYY" advise="1">
        <values>
          <value>
            <val>19.955629999999999</val>
          </value>
        </values>
      </ddeItem>
      <ddeItem name="GWIND.TKS.YAB.PAYY" advise="1">
        <values>
          <value>
            <val>7.4395959999999999</val>
          </value>
        </values>
      </ddeItem>
      <ddeItem name="GWIND.TKS.YAB.YIL.PAYY" advise="1">
        <values>
          <value>
            <val>-55.401649999999997</val>
          </value>
        </values>
      </ddeItem>
      <ddeItem name="HALKB.30GUNLUK.F%" advise="1">
        <values>
          <value>
            <val>9.73</val>
          </value>
        </values>
      </ddeItem>
      <ddeItem name="HALKB.52HAFTALIK.F%" advise="1">
        <values>
          <value>
            <val>102.32</val>
          </value>
        </values>
      </ddeItem>
      <ddeItem name="HALKB.BU.YIL.FARK%" advise="1">
        <values>
          <value>
            <val>112.64</val>
          </value>
        </values>
      </ddeItem>
      <ddeItem name="HALKB.GUN.F%" advise="1">
        <values>
          <value>
            <val>0.1</val>
          </value>
        </values>
      </ddeItem>
      <ddeItem name="HALKB.SEMBOL" advise="1">
        <values>
          <value t="str">
            <val>HALKB</val>
          </value>
        </values>
      </ddeItem>
      <ddeItem name="HALKB.SON" advise="1">
        <values>
          <value>
            <val>9.59</val>
          </value>
        </values>
      </ddeItem>
      <ddeItem name="HALKB.TKS.YAB.AY.PAYY" advise="1">
        <values>
          <value>
            <val>130.81540000000001</val>
          </value>
        </values>
      </ddeItem>
      <ddeItem name="HALKB.TKS.YAB.HAF.PAYY" advise="1">
        <values>
          <value>
            <val>35.503160000000001</val>
          </value>
        </values>
      </ddeItem>
      <ddeItem name="HALKB.TKS.YAB.PAYY" advise="1">
        <values>
          <value>
            <val>3.6163249999999998</val>
          </value>
        </values>
      </ddeItem>
      <ddeItem name="HALKB.TKS.YAB.YIL.PAYY" advise="1">
        <values>
          <value>
            <val>31.532050000000002</val>
          </value>
        </values>
      </ddeItem>
      <ddeItem name="HEKTS.30GUNLUK.F%" advise="1">
        <values>
          <value>
            <val>26.78</val>
          </value>
        </values>
      </ddeItem>
      <ddeItem name="HEKTS.52HAFTALIK.F%" advise="1">
        <values>
          <value>
            <val>1011.74</val>
          </value>
        </values>
      </ddeItem>
      <ddeItem name="HEKTS.BU.YIL.FARK%" advise="1">
        <values>
          <value>
            <val>622.97</val>
          </value>
        </values>
      </ddeItem>
      <ddeItem name="HEKTS.GUN.F%" advise="1">
        <values>
          <value>
            <val>-9.9700000000000006</val>
          </value>
        </values>
      </ddeItem>
      <ddeItem name="HEKTS.SEMBOL" advise="1">
        <values>
          <value t="str">
            <val>HEKTS</val>
          </value>
        </values>
      </ddeItem>
      <ddeItem name="HEKTS.SON" advise="1">
        <values>
          <value>
            <val>37.4</val>
          </value>
        </values>
      </ddeItem>
      <ddeItem name="HEKTS.TKS.YAB.AY.PAYY" advise="1">
        <values>
          <value>
            <val>111.7988</val>
          </value>
        </values>
      </ddeItem>
      <ddeItem name="HEKTS.TKS.YAB.HAF.PAYY" advise="1">
        <values>
          <value>
            <val>4.2259650000000004</val>
          </value>
        </values>
      </ddeItem>
      <ddeItem name="HEKTS.TKS.YAB.PAYY" advise="1">
        <values>
          <value>
            <val>12.587960000000001</val>
          </value>
        </values>
      </ddeItem>
      <ddeItem name="HEKTS.TKS.YAB.YIL.PAYY" advise="1">
        <values>
          <value>
            <val>471.92090000000002</val>
          </value>
        </values>
      </ddeItem>
      <ddeItem name="INDES.30GUNLUK.F%" advise="1">
        <values>
          <value>
            <val>34.69</val>
          </value>
        </values>
      </ddeItem>
      <ddeItem name="INDES.52HAFTALIK.F%" advise="1">
        <values>
          <value>
            <val>169.84</val>
          </value>
        </values>
      </ddeItem>
      <ddeItem name="INDES.BU.YIL.FARK%" advise="1">
        <values>
          <value>
            <val>185.68</val>
          </value>
        </values>
      </ddeItem>
      <ddeItem name="INDES.GUN.F%" advise="1">
        <values>
          <value>
            <val>1.02</val>
          </value>
        </values>
      </ddeItem>
      <ddeItem name="INDES.SEMBOL" advise="1">
        <values>
          <value t="str">
            <val>INDES</val>
          </value>
        </values>
      </ddeItem>
      <ddeItem name="INDES.SON" advise="1">
        <values>
          <value>
            <val>17.86</val>
          </value>
        </values>
      </ddeItem>
      <ddeItem name="INDES.TKS.YAB.AY.PAYY" advise="1">
        <values>
          <value>
            <val>-5.501995</val>
          </value>
        </values>
      </ddeItem>
      <ddeItem name="INDES.TKS.YAB.HAF.PAYY" advise="1">
        <values>
          <value>
            <val>7.8436459999999997</val>
          </value>
        </values>
      </ddeItem>
      <ddeItem name="INDES.TKS.YAB.PAYY" advise="1">
        <values>
          <value>
            <val>9.0475759999999994</val>
          </value>
        </values>
      </ddeItem>
      <ddeItem name="INDES.TKS.YAB.YIL.PAYY" advise="1">
        <values>
          <value>
            <val>-25.692139999999998</val>
          </value>
        </values>
      </ddeItem>
      <ddeItem name="INVES.30GUNLUK.F%" advise="1">
        <values>
          <value>
            <val>44.94</val>
          </value>
        </values>
      </ddeItem>
      <ddeItem name="INVES.52HAFTALIK.F%" advise="1">
        <values>
          <value>
            <val>0</val>
          </value>
        </values>
      </ddeItem>
      <ddeItem name="INVES.BU.YIL.FARK%" advise="1">
        <values>
          <value t="str">
            <val/>
          </value>
        </values>
      </ddeItem>
      <ddeItem name="INVES.GUN.F%" advise="1">
        <values>
          <value>
            <val>-1.92</val>
          </value>
        </values>
      </ddeItem>
      <ddeItem name="INVES.SEMBOL" advise="1">
        <values>
          <value t="str">
            <val>INVES</val>
          </value>
        </values>
      </ddeItem>
      <ddeItem name="INVES.SON" advise="1">
        <values>
          <value>
            <val>71.599999999999994</val>
          </value>
        </values>
      </ddeItem>
      <ddeItem name="INVES.TKS.YAB.AY.PAYY" advise="1">
        <values>
          <value>
            <val>-10.958880000000001</val>
          </value>
        </values>
      </ddeItem>
      <ddeItem name="INVES.TKS.YAB.HAF.PAYY" advise="1">
        <values>
          <value>
            <val>-3.9855320000000001</val>
          </value>
        </values>
      </ddeItem>
      <ddeItem name="INVES.TKS.YAB.PAYY" advise="1">
        <values>
          <value>
            <val>0.2258107</val>
          </value>
        </values>
      </ddeItem>
      <ddeItem name="INVES.TKS.YAB.YIL.PAYY" advise="1">
        <values>
          <value>
            <val>0</val>
          </value>
        </values>
      </ddeItem>
      <ddeItem name="IPEKE.30GUNLUK.F%" advise="1">
        <values>
          <value>
            <val>19.11</val>
          </value>
        </values>
      </ddeItem>
      <ddeItem name="IPEKE.52HAFTALIK.F%" advise="1">
        <values>
          <value>
            <val>125.29</val>
          </value>
        </values>
      </ddeItem>
      <ddeItem name="IPEKE.BU.YIL.FARK%" advise="1">
        <values>
          <value>
            <val>131.4</val>
          </value>
        </values>
      </ddeItem>
      <ddeItem name="IPEKE.GUN.F%" advise="1">
        <values>
          <value>
            <val>4.92</val>
          </value>
        </values>
      </ddeItem>
      <ddeItem name="IPEKE.SEMBOL" advise="1">
        <values>
          <value t="str">
            <val>IPEKE</val>
          </value>
        </values>
      </ddeItem>
      <ddeItem name="IPEKE.SON" advise="1">
        <values>
          <value>
            <val>31.54</val>
          </value>
        </values>
      </ddeItem>
      <ddeItem name="IPEKE.TKS.YAB.AY.PAYY" advise="1">
        <values>
          <value>
            <val>48.175150000000002</val>
          </value>
        </values>
      </ddeItem>
      <ddeItem name="IPEKE.TKS.YAB.HAF.PAYY" advise="1">
        <values>
          <value>
            <val>13.896520000000001</val>
          </value>
        </values>
      </ddeItem>
      <ddeItem name="IPEKE.TKS.YAB.PAYY" advise="1">
        <values>
          <value>
            <val>16.609940000000002</val>
          </value>
        </values>
      </ddeItem>
      <ddeItem name="IPEKE.TKS.YAB.YIL.PAYY" advise="1">
        <values>
          <value>
            <val>-11.725849999999999</val>
          </value>
        </values>
      </ddeItem>
      <ddeItem name="ISCTR.30GUNLUK.F%" advise="1">
        <values>
          <value>
            <val>-0.81</val>
          </value>
        </values>
      </ddeItem>
      <ddeItem name="ISCTR.52HAFTALIK.F%" advise="1">
        <values>
          <value>
            <val>214.47</val>
          </value>
        </values>
      </ddeItem>
      <ddeItem name="ISCTR.BU.YIL.FARK%" advise="1">
        <values>
          <value>
            <val>212.28</val>
          </value>
        </values>
      </ddeItem>
      <ddeItem name="ISCTR.GUN.F%" advise="1">
        <values>
          <value>
            <val>2.09</val>
          </value>
        </values>
      </ddeItem>
      <ddeItem name="ISCTR.SEMBOL" advise="1">
        <values>
          <value t="str">
            <val>ISCTR</val>
          </value>
        </values>
      </ddeItem>
      <ddeItem name="ISCTR.SON" advise="1">
        <values>
          <value>
            <val>9.75</val>
          </value>
        </values>
      </ddeItem>
      <ddeItem name="ISCTR.TKS.YAB.AY.PAYY" advise="1">
        <values>
          <value>
            <val>-2.2899590000000001</val>
          </value>
        </values>
      </ddeItem>
      <ddeItem name="ISCTR.TKS.YAB.HAF.PAYY" advise="1">
        <values>
          <value>
            <val>0.92163280000000003</val>
          </value>
        </values>
      </ddeItem>
      <ddeItem name="ISCTR.TKS.YAB.PAYY" advise="1">
        <values>
          <value>
            <val>34.924979999999998</val>
          </value>
        </values>
      </ddeItem>
      <ddeItem name="ISCTR.TKS.YAB.YIL.PAYY" advise="1">
        <values>
          <value>
            <val>125.3998</val>
          </value>
        </values>
      </ddeItem>
      <ddeItem name="ISDMR.30GUNLUK.F%" advise="1">
        <values>
          <value>
            <val>17.02</val>
          </value>
        </values>
      </ddeItem>
      <ddeItem name="ISDMR.52HAFTALIK.F%" advise="1">
        <values>
          <value>
            <val>106.06</val>
          </value>
        </values>
      </ddeItem>
      <ddeItem name="ISDMR.BU.YIL.FARK%" advise="1">
        <values>
          <value>
            <val>41.76</val>
          </value>
        </values>
      </ddeItem>
      <ddeItem name="ISDMR.GUN.F%" advise="1">
        <values>
          <value>
            <val>1.65</val>
          </value>
        </values>
      </ddeItem>
      <ddeItem name="ISDMR.SEMBOL" advise="1">
        <values>
          <value t="str">
            <val>ISDMR</val>
          </value>
        </values>
      </ddeItem>
      <ddeItem name="ISDMR.SON" advise="1">
        <values>
          <value>
            <val>29.56</val>
          </value>
        </values>
      </ddeItem>
      <ddeItem name="ISDMR.TKS.YAB.AY.PAYY" advise="1">
        <values>
          <value>
            <val>6.5928760000000004</val>
          </value>
        </values>
      </ddeItem>
      <ddeItem name="ISDMR.TKS.YAB.HAF.PAYY" advise="1">
        <values>
          <value>
            <val>1.231571</val>
          </value>
        </values>
      </ddeItem>
      <ddeItem name="ISDMR.TKS.YAB.PAYY" advise="1">
        <values>
          <value>
            <val>9.5578319999999994</val>
          </value>
        </values>
      </ddeItem>
      <ddeItem name="ISDMR.TKS.YAB.YIL.PAYY" advise="1">
        <values>
          <value>
            <val>-16.109490000000001</val>
          </value>
        </values>
      </ddeItem>
      <ddeItem name="ISFIN.30GUNLUK.F%" advise="1">
        <values>
          <value>
            <val>10.4</val>
          </value>
        </values>
      </ddeItem>
      <ddeItem name="ISFIN.52HAFTALIK.F%" advise="1">
        <values>
          <value>
            <val>166.27</val>
          </value>
        </values>
      </ddeItem>
      <ddeItem name="ISFIN.BU.YIL.FARK%" advise="1">
        <values>
          <value>
            <val>187.74</val>
          </value>
        </values>
      </ddeItem>
      <ddeItem name="ISFIN.GUN.F%" advise="1">
        <values>
          <value>
            <val>1.1299999999999999</val>
          </value>
        </values>
      </ddeItem>
      <ddeItem name="ISFIN.SEMBOL" advise="1">
        <values>
          <value t="str">
            <val>ISFIN</val>
          </value>
        </values>
      </ddeItem>
      <ddeItem name="ISFIN.SON" advise="1">
        <values>
          <value>
            <val>8.92</val>
          </value>
        </values>
      </ddeItem>
      <ddeItem name="ISFIN.TKS.YAB.AY.PAYY" advise="1">
        <values>
          <value>
            <val>-4.7399190000000004</val>
          </value>
        </values>
      </ddeItem>
      <ddeItem name="ISFIN.TKS.YAB.HAF.PAYY" advise="1">
        <values>
          <value>
            <val>-0.55619859999999999</val>
          </value>
        </values>
      </ddeItem>
      <ddeItem name="ISFIN.TKS.YAB.PAYY" advise="1">
        <values>
          <value>
            <val>18.894359999999999</val>
          </value>
        </values>
      </ddeItem>
      <ddeItem name="ISFIN.TKS.YAB.YIL.PAYY" advise="1">
        <values>
          <value>
            <val>253.90090000000001</val>
          </value>
        </values>
      </ddeItem>
      <ddeItem name="ISGYO.30GUNLUK.F%" advise="1">
        <values>
          <value>
            <val>21.26</val>
          </value>
        </values>
      </ddeItem>
      <ddeItem name="ISGYO.52HAFTALIK.F%" advise="1">
        <values>
          <value>
            <val>268.33</val>
          </value>
        </values>
      </ddeItem>
      <ddeItem name="ISGYO.BU.YIL.FARK%" advise="1">
        <values>
          <value>
            <val>191.75</val>
          </value>
        </values>
      </ddeItem>
      <ddeItem name="ISGYO.GUN.F%" advise="1">
        <values>
          <value>
            <val>5.1100000000000003</val>
          </value>
        </values>
      </ddeItem>
      <ddeItem name="ISGYO.SEMBOL" advise="1">
        <values>
          <value t="str">
            <val>ISGYO</val>
          </value>
        </values>
      </ddeItem>
      <ddeItem name="ISGYO.SON" advise="1">
        <values>
          <value>
            <val>8.84</val>
          </value>
        </values>
      </ddeItem>
      <ddeItem name="ISGYO.TKS.YAB.AY.PAYY" advise="1">
        <values>
          <value>
            <val>-18.16</val>
          </value>
        </values>
      </ddeItem>
      <ddeItem name="ISGYO.TKS.YAB.HAF.PAYY" advise="1">
        <values>
          <value>
            <val>2.3457430000000001</val>
          </value>
        </values>
      </ddeItem>
      <ddeItem name="ISGYO.TKS.YAB.PAYY" advise="1">
        <values>
          <value>
            <val>9.0543940000000003</val>
          </value>
        </values>
      </ddeItem>
      <ddeItem name="ISGYO.TKS.YAB.YIL.PAYY" advise="1">
        <values>
          <value>
            <val>-39.808439999999997</val>
          </value>
        </values>
      </ddeItem>
      <ddeItem name="ISMEN.30GUNLUK.F%" advise="1">
        <values>
          <value>
            <val>21.65</val>
          </value>
        </values>
      </ddeItem>
      <ddeItem name="ISMEN.52HAFTALIK.F%" advise="1">
        <values>
          <value>
            <val>126.04</val>
          </value>
        </values>
      </ddeItem>
      <ddeItem name="ISMEN.BU.YIL.FARK%" advise="1">
        <values>
          <value>
            <val>84.97</val>
          </value>
        </values>
      </ddeItem>
      <ddeItem name="ISMEN.GUN.F%" advise="1">
        <values>
          <value>
            <val>4.24</val>
          </value>
        </values>
      </ddeItem>
      <ddeItem name="ISMEN.SEMBOL" advise="1">
        <values>
          <value t="str">
            <val>ISMEN</val>
          </value>
        </values>
      </ddeItem>
      <ddeItem name="ISMEN.SON" advise="1">
        <values>
          <value>
            <val>40.799999999999997</val>
          </value>
        </values>
      </ddeItem>
      <ddeItem name="ISMEN.TKS.YAB.AY.PAYY" advise="1">
        <values>
          <value>
            <val>-4.7475589999999999</val>
          </value>
        </values>
      </ddeItem>
      <ddeItem name="ISMEN.TKS.YAB.HAF.PAYY" advise="1">
        <values>
          <value>
            <val>-1.2144790000000001</val>
          </value>
        </values>
      </ddeItem>
      <ddeItem name="ISMEN.TKS.YAB.PAYY" advise="1">
        <values>
          <value>
            <val>29.863430000000001</val>
          </value>
        </values>
      </ddeItem>
      <ddeItem name="ISMEN.TKS.YAB.YIL.PAYY" advise="1">
        <values>
          <value>
            <val>-3.6968619999999999</val>
          </value>
        </values>
      </ddeItem>
      <ddeItem name="JANTS.30GUNLUK.F%" advise="1">
        <values>
          <value>
            <val>42.23</val>
          </value>
        </values>
      </ddeItem>
      <ddeItem name="JANTS.52HAFTALIK.F%" advise="1">
        <values>
          <value>
            <val>130.41</val>
          </value>
        </values>
      </ddeItem>
      <ddeItem name="JANTS.BU.YIL.FARK%" advise="1">
        <values>
          <value>
            <val>113.57</val>
          </value>
        </values>
      </ddeItem>
      <ddeItem name="JANTS.GUN.F%" advise="1">
        <values>
          <value>
            <val>-4.4000000000000004</val>
          </value>
        </values>
      </ddeItem>
      <ddeItem name="JANTS.SEMBOL" advise="1">
        <values>
          <value t="str">
            <val>JANTS</val>
          </value>
        </values>
      </ddeItem>
      <ddeItem name="JANTS.SON" advise="1">
        <values>
          <value>
            <val>136.9</val>
          </value>
        </values>
      </ddeItem>
      <ddeItem name="JANTS.TKS.YAB.AY.PAYY" advise="1">
        <values>
          <value>
            <val>47.241320000000002</val>
          </value>
        </values>
      </ddeItem>
      <ddeItem name="JANTS.TKS.YAB.HAF.PAYY" advise="1">
        <values>
          <value>
            <val>65.051640000000006</val>
          </value>
        </values>
      </ddeItem>
      <ddeItem name="JANTS.TKS.YAB.PAYY" advise="1">
        <values>
          <value>
            <val>4.8313350000000002</val>
          </value>
        </values>
      </ddeItem>
      <ddeItem name="JANTS.TKS.YAB.YIL.PAYY" advise="1">
        <values>
          <value>
            <val>85.661420000000007</val>
          </value>
        </values>
      </ddeItem>
      <ddeItem name="KARSN.30GUNLUK.F%" advise="1">
        <values>
          <value>
            <val>39.83</val>
          </value>
        </values>
      </ddeItem>
      <ddeItem name="KARSN.52HAFTALIK.F%" advise="1">
        <values>
          <value>
            <val>212.65</val>
          </value>
        </values>
      </ddeItem>
      <ddeItem name="KARSN.BU.YIL.FARK%" advise="1">
        <values>
          <value>
            <val>273.55</val>
          </value>
        </values>
      </ddeItem>
      <ddeItem name="KARSN.GUN.F%" advise="1">
        <values>
          <value>
            <val>0.47</val>
          </value>
        </values>
      </ddeItem>
      <ddeItem name="KARSN.SEMBOL" advise="1">
        <values>
          <value t="str">
            <val>KARSN</val>
          </value>
        </values>
      </ddeItem>
      <ddeItem name="KARSN.SON" advise="1">
        <values>
          <value>
            <val>12.85</val>
          </value>
        </values>
      </ddeItem>
      <ddeItem name="KARSN.TKS.YAB.AY.PAYY" advise="1">
        <values>
          <value>
            <val>142.69300000000001</val>
          </value>
        </values>
      </ddeItem>
      <ddeItem name="KARSN.TKS.YAB.HAF.PAYY" advise="1">
        <values>
          <value>
            <val>7.6252719999999998</val>
          </value>
        </values>
      </ddeItem>
      <ddeItem name="KARSN.TKS.YAB.PAYY" advise="1">
        <values>
          <value>
            <val>4.0506900000000003</val>
          </value>
        </values>
      </ddeItem>
      <ddeItem name="KARSN.TKS.YAB.YIL.PAYY" advise="1">
        <values>
          <value>
            <val>170.0626</val>
          </value>
        </values>
      </ddeItem>
      <ddeItem name="KCHOL.30GUNLUK.F%" advise="1">
        <values>
          <value>
            <val>15.74</val>
          </value>
        </values>
      </ddeItem>
      <ddeItem name="KCHOL.52HAFTALIK.F%" advise="1">
        <values>
          <value>
            <val>143.58000000000001</val>
          </value>
        </values>
      </ddeItem>
      <ddeItem name="KCHOL.BU.YIL.FARK%" advise="1">
        <values>
          <value>
            <val>137.22999999999999</val>
          </value>
        </values>
      </ddeItem>
      <ddeItem name="KCHOL.GUN.F%" advise="1">
        <values>
          <value>
            <val>4.53</val>
          </value>
        </values>
      </ddeItem>
      <ddeItem name="KCHOL.SEMBOL" advise="1">
        <values>
          <value t="str">
            <val>KCHOL</val>
          </value>
        </values>
      </ddeItem>
      <ddeItem name="KCHOL.SON" advise="1">
        <values>
          <value>
            <val>65.8</val>
          </value>
        </values>
      </ddeItem>
      <ddeItem name="KCHOL.TKS.YAB.AY.PAYY" advise="1">
        <values>
          <value>
            <val>-0.2749743</val>
          </value>
        </values>
      </ddeItem>
      <ddeItem name="KCHOL.TKS.YAB.HAF.PAYY" advise="1">
        <values>
          <value>
            <val>-1.566352</val>
          </value>
        </values>
      </ddeItem>
      <ddeItem name="KCHOL.TKS.YAB.PAYY" advise="1">
        <values>
          <value>
            <val>58.21931</val>
          </value>
        </values>
      </ddeItem>
      <ddeItem name="KCHOL.TKS.YAB.YIL.PAYY" advise="1">
        <values>
          <value>
            <val>-15.5364</val>
          </value>
        </values>
      </ddeItem>
      <ddeItem name="KONTR.30GUNLUK.F%" advise="1">
        <values>
          <value>
            <val>112.74</val>
          </value>
        </values>
      </ddeItem>
      <ddeItem name="KONTR.52HAFTALIK.F%" advise="1">
        <values>
          <value>
            <val>1333.84</val>
          </value>
        </values>
      </ddeItem>
      <ddeItem name="KONTR.BU.YIL.FARK%" advise="1">
        <values>
          <value>
            <val>1456.27</val>
          </value>
        </values>
      </ddeItem>
      <ddeItem name="KONTR.GUN.F%" advise="1">
        <values>
          <value>
            <val>9.9600000000000009</val>
          </value>
        </values>
      </ddeItem>
      <ddeItem name="KONTR.SEMBOL" advise="1">
        <values>
          <value t="str">
            <val>KONTR</val>
          </value>
        </values>
      </ddeItem>
      <ddeItem name="KONTR.SON" advise="1">
        <values>
          <value>
            <val>192.1</val>
          </value>
        </values>
      </ddeItem>
      <ddeItem name="KONTR.TKS.YAB.AY.PAYY" advise="1">
        <values>
          <value>
            <val>146.50280000000001</val>
          </value>
        </values>
      </ddeItem>
      <ddeItem name="KONTR.TKS.YAB.HAF.PAYY" advise="1">
        <values>
          <value>
            <val>42.283520000000003</val>
          </value>
        </values>
      </ddeItem>
      <ddeItem name="KONTR.TKS.YAB.PAYY" advise="1">
        <values>
          <value>
            <val>1.8208789999999999</val>
          </value>
        </values>
      </ddeItem>
      <ddeItem name="KONTR.TKS.YAB.YIL.PAYY" advise="1">
        <values>
          <value>
            <val>7726.5320000000002</val>
          </value>
        </values>
      </ddeItem>
      <ddeItem name="KORDS.30GUNLUK.F%" advise="1">
        <values>
          <value>
            <val>14.27</val>
          </value>
        </values>
      </ddeItem>
      <ddeItem name="KORDS.52HAFTALIK.F%" advise="1">
        <values>
          <value>
            <val>128.52000000000001</val>
          </value>
        </values>
      </ddeItem>
      <ddeItem name="KORDS.BU.YIL.FARK%" advise="1">
        <values>
          <value>
            <val>123.73</val>
          </value>
        </values>
      </ddeItem>
      <ddeItem name="KORDS.GUN.F%" advise="1">
        <values>
          <value>
            <val>3.07</val>
          </value>
        </values>
      </ddeItem>
      <ddeItem name="KORDS.SEMBOL" advise="1">
        <values>
          <value t="str">
            <val>KORDS</val>
          </value>
        </values>
      </ddeItem>
      <ddeItem name="KORDS.SON" advise="1">
        <values>
          <value>
            <val>68.849999999999994</val>
          </value>
        </values>
      </ddeItem>
      <ddeItem name="KORDS.TKS.YAB.AY.PAYY" advise="1">
        <values>
          <value>
            <val>13.50306</val>
          </value>
        </values>
      </ddeItem>
      <ddeItem name="KORDS.TKS.YAB.HAF.PAYY" advise="1">
        <values>
          <value>
            <val>7.2870419999999996</val>
          </value>
        </values>
      </ddeItem>
      <ddeItem name="KORDS.TKS.YAB.PAYY" advise="1">
        <values>
          <value>
            <val>10.241390000000001</val>
          </value>
        </values>
      </ddeItem>
      <ddeItem name="KORDS.TKS.YAB.YIL.PAYY" advise="1">
        <values>
          <value>
            <val>-40.34592</val>
          </value>
        </values>
      </ddeItem>
      <ddeItem name="KOZAA.30GUNLUK.F%" advise="1">
        <values>
          <value>
            <val>19.78</val>
          </value>
        </values>
      </ddeItem>
      <ddeItem name="KOZAA.52HAFTALIK.F%" advise="1">
        <values>
          <value>
            <val>107.05</val>
          </value>
        </values>
      </ddeItem>
      <ddeItem name="KOZAA.BU.YIL.FARK%" advise="1">
        <values>
          <value>
            <val>115.09</val>
          </value>
        </values>
      </ddeItem>
      <ddeItem name="KOZAA.GUN.F%" advise="1">
        <values>
          <value>
            <val>3.36</val>
          </value>
        </values>
      </ddeItem>
      <ddeItem name="KOZAA.SEMBOL" advise="1">
        <values>
          <value t="str">
            <val>KOZAA</val>
          </value>
        </values>
      </ddeItem>
      <ddeItem name="KOZAA.SON" advise="1">
        <values>
          <value>
            <val>38.76</val>
          </value>
        </values>
      </ddeItem>
      <ddeItem name="KOZAA.TKS.YAB.AY.PAYY" advise="1">
        <values>
          <value>
            <val>14.16018</val>
          </value>
        </values>
      </ddeItem>
      <ddeItem name="KOZAA.TKS.YAB.HAF.PAYY" advise="1">
        <values>
          <value>
            <val>3.3893469999999999</val>
          </value>
        </values>
      </ddeItem>
      <ddeItem name="KOZAA.TKS.YAB.PAYY" advise="1">
        <values>
          <value>
            <val>23.29739</val>
          </value>
        </values>
      </ddeItem>
      <ddeItem name="KOZAA.TKS.YAB.YIL.PAYY" advise="1">
        <values>
          <value>
            <val>-25.157330000000002</val>
          </value>
        </values>
      </ddeItem>
      <ddeItem name="KOZAL.30GUNLUK.F%" advise="1">
        <values>
          <value>
            <val>32.5</val>
          </value>
        </values>
      </ddeItem>
      <ddeItem name="KOZAL.52HAFTALIK.F%" advise="1">
        <values>
          <value>
            <val>143.33000000000001</val>
          </value>
        </values>
      </ddeItem>
      <ddeItem name="KOZAL.BU.YIL.FARK%" advise="1">
        <values>
          <value>
            <val>152.79</val>
          </value>
        </values>
      </ddeItem>
      <ddeItem name="KOZAL.GUN.F%" advise="1">
        <values>
          <value>
            <val>3.72</val>
          </value>
        </values>
      </ddeItem>
      <ddeItem name="KOZAL.SEMBOL" advise="1">
        <values>
          <value t="str">
            <val>KOZAL</val>
          </value>
        </values>
      </ddeItem>
      <ddeItem name="KOZAL.SON" advise="1">
        <values>
          <value>
            <val>265</val>
          </value>
        </values>
      </ddeItem>
      <ddeItem name="KOZAL.TKS.YAB.AY.PAYY" advise="1">
        <values>
          <value>
            <val>37.876429999999999</val>
          </value>
        </values>
      </ddeItem>
      <ddeItem name="KOZAL.TKS.YAB.HAF.PAYY" advise="1">
        <values>
          <value>
            <val>6.6039079999999997</val>
          </value>
        </values>
      </ddeItem>
      <ddeItem name="KOZAL.TKS.YAB.PAYY" advise="1">
        <values>
          <value>
            <val>26.85502</val>
          </value>
        </values>
      </ddeItem>
      <ddeItem name="KOZAL.TKS.YAB.YIL.PAYY" advise="1">
        <values>
          <value>
            <val>10.560280000000001</val>
          </value>
        </values>
      </ddeItem>
      <ddeItem name="KRDMD.30GUNLUK.F%" advise="1">
        <values>
          <value>
            <val>6.74</val>
          </value>
        </values>
      </ddeItem>
      <ddeItem name="KRDMD.52HAFTALIK.F%" advise="1">
        <values>
          <value>
            <val>66.48</val>
          </value>
        </values>
      </ddeItem>
      <ddeItem name="KRDMD.BU.YIL.FARK%" advise="1">
        <values>
          <value>
            <val>47.71</val>
          </value>
        </values>
      </ddeItem>
      <ddeItem name="KRDMD.GUN.F%" advise="1">
        <values>
          <value>
            <val>2.33</val>
          </value>
        </values>
      </ddeItem>
      <ddeItem name="KRDMD.SEMBOL" advise="1">
        <values>
          <value t="str">
            <val>KRDMD</val>
          </value>
        </values>
      </ddeItem>
      <ddeItem name="KRDMD.SON" advise="1">
        <values>
          <value>
            <val>13.15</val>
          </value>
        </values>
      </ddeItem>
      <ddeItem name="KRDMD.TKS.YAB.AY.PAYY" advise="1">
        <values>
          <value>
            <val>19.404299999999999</val>
          </value>
        </values>
      </ddeItem>
      <ddeItem name="KRDMD.TKS.YAB.HAF.PAYY" advise="1">
        <values>
          <value>
            <val>13.98052</val>
          </value>
        </values>
      </ddeItem>
      <ddeItem name="KRDMD.TKS.YAB.PAYY" advise="1">
        <values>
          <value>
            <val>15.07647</val>
          </value>
        </values>
      </ddeItem>
      <ddeItem name="KRDMD.TKS.YAB.YIL.PAYY" advise="1">
        <values>
          <value>
            <val>-24.275500000000001</val>
          </value>
        </values>
      </ddeItem>
      <ddeItem name="LOGO.30GUNLUK.F%" advise="1">
        <values>
          <value>
            <val>5.51</val>
          </value>
        </values>
      </ddeItem>
      <ddeItem name="LOGO.52HAFTALIK.F%" advise="1">
        <values>
          <value>
            <val>37.94</val>
          </value>
        </values>
      </ddeItem>
      <ddeItem name="LOGO.BU.YIL.FARK%" advise="1">
        <values>
          <value>
            <val>40.86</val>
          </value>
        </values>
      </ddeItem>
      <ddeItem name="LOGO.GUN.F%" advise="1">
        <values>
          <value>
            <val>0.35</val>
          </value>
        </values>
      </ddeItem>
      <ddeItem name="LOGO.SEMBOL" advise="1">
        <values>
          <value t="str">
            <val>LOGO</val>
          </value>
        </values>
      </ddeItem>
      <ddeItem name="LOGO.SON" advise="1">
        <values>
          <value>
            <val>57.4</val>
          </value>
        </values>
      </ddeItem>
      <ddeItem name="LOGO.TKS.YAB.AY.PAYY" advise="1">
        <values>
          <value>
            <val>2.3484430000000001</val>
          </value>
        </values>
      </ddeItem>
      <ddeItem name="LOGO.TKS.YAB.HAF.PAYY" advise="1">
        <values>
          <value>
            <val>0.3878296</val>
          </value>
        </values>
      </ddeItem>
      <ddeItem name="LOGO.TKS.YAB.PAYY" advise="1">
        <values>
          <value>
            <val>35.513449999999999</val>
          </value>
        </values>
      </ddeItem>
      <ddeItem name="LOGO.TKS.YAB.YIL.PAYY" advise="1">
        <values>
          <value>
            <val>-25.88128</val>
          </value>
        </values>
      </ddeItem>
      <ddeItem name="MAVI.30GUNLUK.F%" advise="1">
        <values>
          <value>
            <val>10.66</val>
          </value>
        </values>
      </ddeItem>
      <ddeItem name="MAVI.52HAFTALIK.F%" advise="1">
        <values>
          <value>
            <val>155.33000000000001</val>
          </value>
        </values>
      </ddeItem>
      <ddeItem name="MAVI.BU.YIL.FARK%" advise="1">
        <values>
          <value>
            <val>183.72</val>
          </value>
        </values>
      </ddeItem>
      <ddeItem name="MAVI.GUN.F%" advise="1">
        <values>
          <value>
            <val>4.6900000000000004</val>
          </value>
        </values>
      </ddeItem>
      <ddeItem name="MAVI.SEMBOL" advise="1">
        <values>
          <value t="str">
            <val>MAVI</val>
          </value>
        </values>
      </ddeItem>
      <ddeItem name="MAVI.SON" advise="1">
        <values>
          <value>
            <val>97.05</val>
          </value>
        </values>
      </ddeItem>
      <ddeItem name="MAVI.TKS.YAB.AY.PAYY" advise="1">
        <values>
          <value>
            <val>-3.8312210000000002</val>
          </value>
        </values>
      </ddeItem>
      <ddeItem name="MAVI.TKS.YAB.HAF.PAYY" advise="1">
        <values>
          <value>
            <val>0.67903610000000003</val>
          </value>
        </values>
      </ddeItem>
      <ddeItem name="MAVI.TKS.YAB.PAYY" advise="1">
        <values>
          <value>
            <val>36.03257</val>
          </value>
        </values>
      </ddeItem>
      <ddeItem name="MAVI.TKS.YAB.YIL.PAYY" advise="1">
        <values>
          <value>
            <val>11.00353</val>
          </value>
        </values>
      </ddeItem>
      <ddeItem name="MGROS.30GUNLUK.F%" advise="1">
        <values>
          <value>
            <val>3.16</val>
          </value>
        </values>
      </ddeItem>
      <ddeItem name="MGROS.52HAFTALIK.F%" advise="1">
        <values>
          <value>
            <val>202.09</val>
          </value>
        </values>
      </ddeItem>
      <ddeItem name="MGROS.BU.YIL.FARK%" advise="1">
        <values>
          <value>
            <val>235.53</val>
          </value>
        </values>
      </ddeItem>
      <ddeItem name="MGROS.GUN.F%" advise="1">
        <values>
          <value>
            <val>-4.93</val>
          </value>
        </values>
      </ddeItem>
      <ddeItem name="MGROS.SEMBOL" advise="1">
        <values>
          <value t="str">
            <val>MGROS</val>
          </value>
        </values>
      </ddeItem>
      <ddeItem name="MGROS.SON" advise="1">
        <values>
          <value>
            <val>127.3</val>
          </value>
        </values>
      </ddeItem>
      <ddeItem name="MGROS.TKS.YAB.AY.PAYY" advise="1">
        <values>
          <value>
            <val>-2.1105489999999998</val>
          </value>
        </values>
      </ddeItem>
      <ddeItem name="MGROS.TKS.YAB.HAF.PAYY" advise="1">
        <values>
          <value>
            <val>-0.71007299999999995</val>
          </value>
        </values>
      </ddeItem>
      <ddeItem name="MGROS.TKS.YAB.PAYY" advise="1">
        <values>
          <value>
            <val>33.714950000000002</val>
          </value>
        </values>
      </ddeItem>
      <ddeItem name="MGROS.TKS.YAB.YIL.PAYY" advise="1">
        <values>
          <value>
            <val>-11.77948</val>
          </value>
        </values>
      </ddeItem>
      <ddeItem name="NTHOL.30GUNLUK.F%" advise="1">
        <values>
          <value>
            <val>-0.15</val>
          </value>
        </values>
      </ddeItem>
      <ddeItem name="NTHOL.52HAFTALIK.F%" advise="1">
        <values>
          <value>
            <val>148.75</val>
          </value>
        </values>
      </ddeItem>
      <ddeItem name="NTHOL.BU.YIL.FARK%" advise="1">
        <values>
          <value>
            <val>94.01</val>
          </value>
        </values>
      </ddeItem>
      <ddeItem name="NTHOL.GUN.F%" advise="1">
        <values>
          <value>
            <val>-1.07</val>
          </value>
        </values>
      </ddeItem>
      <ddeItem name="NTHOL.SEMBOL" advise="1">
        <values>
          <value t="str">
            <val>NTHOL</val>
          </value>
        </values>
      </ddeItem>
      <ddeItem name="NTHOL.SON" advise="1">
        <values>
          <value>
            <val>12.96</val>
          </value>
        </values>
      </ddeItem>
      <ddeItem name="NTHOL.TKS.YAB.AY.PAYY" advise="1">
        <values>
          <value>
            <val>-3.5270480000000002</val>
          </value>
        </values>
      </ddeItem>
      <ddeItem name="NTHOL.TKS.YAB.HAF.PAYY" advise="1">
        <values>
          <value>
            <val>-14.36759</val>
          </value>
        </values>
      </ddeItem>
      <ddeItem name="NTHOL.TKS.YAB.PAYY" advise="1">
        <values>
          <value>
            <val>3.7484839999999999</val>
          </value>
        </values>
      </ddeItem>
      <ddeItem name="NTHOL.TKS.YAB.YIL.PAYY" advise="1">
        <values>
          <value>
            <val>-11.784610000000001</val>
          </value>
        </values>
      </ddeItem>
      <ddeItem name="NUGYO.30GUNLUK.F%" advise="1">
        <values>
          <value>
            <val>5.13</val>
          </value>
        </values>
      </ddeItem>
      <ddeItem name="NUGYO.52HAFTALIK.F%" advise="1">
        <values>
          <value>
            <val>-37.75</val>
          </value>
        </values>
      </ddeItem>
      <ddeItem name="NUGYO.BU.YIL.FARK%" advise="1">
        <values>
          <value>
            <val>9.48</val>
          </value>
        </values>
      </ddeItem>
      <ddeItem name="NUGYO.GUN.F%" advise="1">
        <values>
          <value>
            <val>3.76</val>
          </value>
        </values>
      </ddeItem>
      <ddeItem name="NUGYO.SEMBOL" advise="1">
        <values>
          <value t="str">
            <val>NUGYO</val>
          </value>
        </values>
      </ddeItem>
      <ddeItem name="NUGYO.SON" advise="1">
        <values>
          <value>
            <val>6.35</val>
          </value>
        </values>
      </ddeItem>
      <ddeItem name="NUGYO.TKS.YAB.AY.PAYY" advise="1">
        <values>
          <value>
            <val>-9.0906149999999997</val>
          </value>
        </values>
      </ddeItem>
      <ddeItem name="NUGYO.TKS.YAB.HAF.PAYY" advise="1">
        <values>
          <value>
            <val>-1.4751780000000001</val>
          </value>
        </values>
      </ddeItem>
      <ddeItem name="NUGYO.TKS.YAB.PAYY" advise="1">
        <values>
          <value>
            <val>3.7623570000000002</val>
          </value>
        </values>
      </ddeItem>
      <ddeItem name="NUGYO.TKS.YAB.YIL.PAYY" advise="1">
        <values>
          <value>
            <val>1.41988</val>
          </value>
        </values>
      </ddeItem>
      <ddeItem name="ODAS.30GUNLUK.F%" advise="1">
        <values>
          <value>
            <val>35.94</val>
          </value>
        </values>
      </ddeItem>
      <ddeItem name="ODAS.52HAFTALIK.F%" advise="1">
        <values>
          <value>
            <val>573.75</val>
          </value>
        </values>
      </ddeItem>
      <ddeItem name="ODAS.BU.YIL.FARK%" advise="1">
        <values>
          <value>
            <val>704.48</val>
          </value>
        </values>
      </ddeItem>
      <ddeItem name="ODAS.GUN.F%" advise="1">
        <values>
          <value>
            <val>-3.41</val>
          </value>
        </values>
      </ddeItem>
      <ddeItem name="ODAS.SEMBOL" advise="1">
        <values>
          <value t="str">
            <val>ODAS</val>
          </value>
        </values>
      </ddeItem>
      <ddeItem name="ODAS.SON" advise="1">
        <values>
          <value>
            <val>10.78</val>
          </value>
        </values>
      </ddeItem>
      <ddeItem name="ODAS.TKS.YAB.AY.PAYY" advise="1">
        <values>
          <value>
            <val>47.519919999999999</val>
          </value>
        </values>
      </ddeItem>
      <ddeItem name="ODAS.TKS.YAB.HAF.PAYY" advise="1">
        <values>
          <value>
            <val>16.52233</val>
          </value>
        </values>
      </ddeItem>
      <ddeItem name="ODAS.TKS.YAB.PAYY" advise="1">
        <values>
          <value>
            <val>8.7961100000000005</val>
          </value>
        </values>
      </ddeItem>
      <ddeItem name="ODAS.TKS.YAB.YIL.PAYY" advise="1">
        <values>
          <value>
            <val>191.8605</val>
          </value>
        </values>
      </ddeItem>
      <ddeItem name="OTKAR.30GUNLUK.F%" advise="1">
        <values>
          <value>
            <val>40.479999999999997</val>
          </value>
        </values>
      </ddeItem>
      <ddeItem name="OTKAR.52HAFTALIK.F%" advise="1">
        <values>
          <value>
            <val>110.07</val>
          </value>
        </values>
      </ddeItem>
      <ddeItem name="OTKAR.BU.YIL.FARK%" advise="1">
        <values>
          <value>
            <val>125.04</val>
          </value>
        </values>
      </ddeItem>
      <ddeItem name="OTKAR.GUN.F%" advise="1">
        <values>
          <value>
            <val>-1.38</val>
          </value>
        </values>
      </ddeItem>
      <ddeItem name="OTKAR.SEMBOL" advise="1">
        <values>
          <value t="str">
            <val>OTKAR</val>
          </value>
        </values>
      </ddeItem>
      <ddeItem name="OTKAR.SON" advise="1">
        <values>
          <value>
            <val>762.1</val>
          </value>
        </values>
      </ddeItem>
      <ddeItem name="OTKAR.TKS.YAB.AY.PAYY" advise="1">
        <values>
          <value>
            <val>-3.85453</val>
          </value>
        </values>
      </ddeItem>
      <ddeItem name="OTKAR.TKS.YAB.HAF.PAYY" advise="1">
        <values>
          <value>
            <val>-3.5774870000000001</val>
          </value>
        </values>
      </ddeItem>
      <ddeItem name="OTKAR.TKS.YAB.PAYY" advise="1">
        <values>
          <value>
            <val>10.293979999999999</val>
          </value>
        </values>
      </ddeItem>
      <ddeItem name="OTKAR.TKS.YAB.YIL.PAYY" advise="1">
        <values>
          <value>
            <val>-34.617069999999998</val>
          </value>
        </values>
      </ddeItem>
      <ddeItem name="OYAKC.30GUNLUK.F%" advise="1">
        <values>
          <value>
            <val>10.85</val>
          </value>
        </values>
      </ddeItem>
      <ddeItem name="OYAKC.52HAFTALIK.F%" advise="1">
        <values>
          <value>
            <val>137.22999999999999</val>
          </value>
        </values>
      </ddeItem>
      <ddeItem name="OYAKC.BU.YIL.FARK%" advise="1">
        <values>
          <value>
            <val>118.61</val>
          </value>
        </values>
      </ddeItem>
      <ddeItem name="OYAKC.GUN.F%" advise="1">
        <values>
          <value>
            <val>1.89</val>
          </value>
        </values>
      </ddeItem>
      <ddeItem name="OYAKC.SEMBOL" advise="1">
        <values>
          <value t="str">
            <val>OYAKC</val>
          </value>
        </values>
      </ddeItem>
      <ddeItem name="OYAKC.SON" advise="1">
        <values>
          <value>
            <val>17.27</val>
          </value>
        </values>
      </ddeItem>
      <ddeItem name="OYAKC.TKS.YAB.AY.PAYY" advise="1">
        <values>
          <value>
            <val>5.8650890000000002</val>
          </value>
        </values>
      </ddeItem>
      <ddeItem name="OYAKC.TKS.YAB.HAF.PAYY" advise="1">
        <values>
          <value>
            <val>-0.30479489999999998</val>
          </value>
        </values>
      </ddeItem>
      <ddeItem name="OYAKC.TKS.YAB.PAYY" advise="1">
        <values>
          <value>
            <val>3.1683340000000002</val>
          </value>
        </values>
      </ddeItem>
      <ddeItem name="OYAKC.TKS.YAB.YIL.PAYY" advise="1">
        <values>
          <value>
            <val>84.835930000000005</val>
          </value>
        </values>
      </ddeItem>
      <ddeItem name="PARSN.30GUNLUK.F%" advise="1">
        <values>
          <value>
            <val>14.67</val>
          </value>
        </values>
      </ddeItem>
      <ddeItem name="PARSN.52HAFTALIK.F%" advise="1">
        <values>
          <value>
            <val>93.31</val>
          </value>
        </values>
      </ddeItem>
      <ddeItem name="PARSN.BU.YIL.FARK%" advise="1">
        <values>
          <value>
            <val>102.34</val>
          </value>
        </values>
      </ddeItem>
      <ddeItem name="PARSN.GUN.F%" advise="1">
        <values>
          <value>
            <val>0.94</val>
          </value>
        </values>
      </ddeItem>
      <ddeItem name="PARSN.SEMBOL" advise="1">
        <values>
          <value t="str">
            <val>PARSN</val>
          </value>
        </values>
      </ddeItem>
      <ddeItem name="PARSN.SON" advise="1">
        <values>
          <value>
            <val>64.099999999999994</val>
          </value>
        </values>
      </ddeItem>
      <ddeItem name="PARSN.TKS.YAB.AY.PAYY" advise="1">
        <values>
          <value>
            <val>235.10769999999999</val>
          </value>
        </values>
      </ddeItem>
      <ddeItem name="PARSN.TKS.YAB.HAF.PAYY" advise="1">
        <values>
          <value>
            <val>-1.804519</val>
          </value>
        </values>
      </ddeItem>
      <ddeItem name="PARSN.TKS.YAB.PAYY" advise="1">
        <values>
          <value>
            <val>5.1588120000000002</val>
          </value>
        </values>
      </ddeItem>
      <ddeItem name="PARSN.TKS.YAB.YIL.PAYY" advise="1">
        <values>
          <value>
            <val>0.3506959</val>
          </value>
        </values>
      </ddeItem>
      <ddeItem name="PETKM.30GUNLUK.F%" advise="1">
        <values>
          <value>
            <val>14.62</val>
          </value>
        </values>
      </ddeItem>
      <ddeItem name="PETKM.52HAFTALIK.F%" advise="1">
        <values>
          <value>
            <val>98.06</val>
          </value>
        </values>
      </ddeItem>
      <ddeItem name="PETKM.BU.YIL.FARK%" advise="1">
        <values>
          <value>
            <val>96.03</val>
          </value>
        </values>
      </ddeItem>
      <ddeItem name="PETKM.GUN.F%" advise="1">
        <values>
          <value>
            <val>1.93</val>
          </value>
        </values>
      </ddeItem>
      <ddeItem name="PETKM.SEMBOL" advise="1">
        <values>
          <value t="str">
            <val>PETKM</val>
          </value>
        </values>
      </ddeItem>
      <ddeItem name="PETKM.SON" advise="1">
        <values>
          <value>
            <val>15.29</val>
          </value>
        </values>
      </ddeItem>
      <ddeItem name="PETKM.TKS.YAB.AY.PAYY" advise="1">
        <values>
          <value>
            <val>4.2542869999999997</val>
          </value>
        </values>
      </ddeItem>
      <ddeItem name="PETKM.TKS.YAB.HAF.PAYY" advise="1">
        <values>
          <value>
            <val>-0.84399139999999995</val>
          </value>
        </values>
      </ddeItem>
      <ddeItem name="PETKM.TKS.YAB.PAYY" advise="1">
        <values>
          <value>
            <val>14.988239999999999</val>
          </value>
        </values>
      </ddeItem>
      <ddeItem name="PETKM.TKS.YAB.YIL.PAYY" advise="1">
        <values>
          <value>
            <val>-47.570489999999999</val>
          </value>
        </values>
      </ddeItem>
      <ddeItem name="PGSUS.30GUNLUK.F%" advise="1">
        <values>
          <value>
            <val>3.56</val>
          </value>
        </values>
      </ddeItem>
      <ddeItem name="PGSUS.52HAFTALIK.F%" advise="1">
        <values>
          <value>
            <val>266.99</val>
          </value>
        </values>
      </ddeItem>
      <ddeItem name="PGSUS.BU.YIL.FARK%" advise="1">
        <values>
          <value>
            <val>300.47000000000003</val>
          </value>
        </values>
      </ddeItem>
      <ddeItem name="PGSUS.GUN.F%" advise="1">
        <values>
          <value>
            <val>-1.76</val>
          </value>
        </values>
      </ddeItem>
      <ddeItem name="PGSUS.SEMBOL" advise="1">
        <values>
          <value t="str">
            <val>PGSUS</val>
          </value>
        </values>
      </ddeItem>
      <ddeItem name="PGSUS.SON" advise="1">
        <values>
          <value>
            <val>340.2</val>
          </value>
        </values>
      </ddeItem>
      <ddeItem name="PGSUS.TKS.YAB.AY.PAYY" advise="1">
        <values>
          <value>
            <val>-7.7283869999999997</val>
          </value>
        </values>
      </ddeItem>
      <ddeItem name="PGSUS.TKS.YAB.HAF.PAYY" advise="1">
        <values>
          <value>
            <val>4.4160269999999997</val>
          </value>
        </values>
      </ddeItem>
      <ddeItem name="PGSUS.TKS.YAB.PAYY" advise="1">
        <values>
          <value>
            <val>26.965</val>
          </value>
        </values>
      </ddeItem>
      <ddeItem name="PGSUS.TKS.YAB.YIL.PAYY" advise="1">
        <values>
          <value>
            <val>-34.123570000000001</val>
          </value>
        </values>
      </ddeItem>
      <ddeItem name="PSGYO.30GUNLUK.F%" advise="1">
        <values>
          <value>
            <val>29.34</val>
          </value>
        </values>
      </ddeItem>
      <ddeItem name="PSGYO.52HAFTALIK.F%" advise="1">
        <values>
          <value>
            <val>0</val>
          </value>
        </values>
      </ddeItem>
      <ddeItem name="PSGYO.BU.YIL.FARK%" advise="1">
        <values>
          <value>
            <val>141.08000000000001</val>
          </value>
        </values>
      </ddeItem>
      <ddeItem name="PSGYO.GUN.F%" advise="1">
        <values>
          <value>
            <val>6.7</val>
          </value>
        </values>
      </ddeItem>
      <ddeItem name="PSGYO.SEMBOL" advise="1">
        <values>
          <value t="str">
            <val>PSGYO</val>
          </value>
        </values>
      </ddeItem>
      <ddeItem name="PSGYO.SON" advise="1">
        <values>
          <value>
            <val>9.08</val>
          </value>
        </values>
      </ddeItem>
      <ddeItem name="PSGYO.TKS.YAB.AY.PAYY" advise="1">
        <values>
          <value>
            <val>26.891279999999998</val>
          </value>
        </values>
      </ddeItem>
      <ddeItem name="PSGYO.TKS.YAB.HAF.PAYY" advise="1">
        <values>
          <value>
            <val>47.996220000000001</val>
          </value>
        </values>
      </ddeItem>
      <ddeItem name="PSGYO.TKS.YAB.PAYY" advise="1">
        <values>
          <value>
            <val>2.9591660000000002</val>
          </value>
        </values>
      </ddeItem>
      <ddeItem name="PSGYO.TKS.YAB.YIL.PAYY" advise="1">
        <values>
          <value>
            <val>0</val>
          </value>
        </values>
      </ddeItem>
      <ddeItem name="QUAGR.30GUNLUK.F%" advise="1">
        <values>
          <value>
            <val>34.799999999999997</val>
          </value>
        </values>
      </ddeItem>
      <ddeItem name="QUAGR.52HAFTALIK.F%" advise="1">
        <values>
          <value>
            <val>403.57</val>
          </value>
        </values>
      </ddeItem>
      <ddeItem name="QUAGR.BU.YIL.FARK%" advise="1">
        <values>
          <value>
            <val>363.43</val>
          </value>
        </values>
      </ddeItem>
      <ddeItem name="QUAGR.GUN.F%" advise="1">
        <values>
          <value>
            <val>1.62</val>
          </value>
        </values>
      </ddeItem>
      <ddeItem name="QUAGR.SEMBOL" advise="1">
        <values>
          <value t="str">
            <val>QUAGR</val>
          </value>
        </values>
      </ddeItem>
      <ddeItem name="QUAGR.SON" advise="1">
        <values>
          <value>
            <val>56.4</val>
          </value>
        </values>
      </ddeItem>
      <ddeItem name="QUAGR.TKS.YAB.AY.PAYY" advise="1">
        <values>
          <value>
            <val>-57.486780000000003</val>
          </value>
        </values>
      </ddeItem>
      <ddeItem name="QUAGR.TKS.YAB.HAF.PAYY" advise="1">
        <values>
          <value>
            <val>-16.002759999999999</val>
          </value>
        </values>
      </ddeItem>
      <ddeItem name="QUAGR.TKS.YAB.PAYY" advise="1">
        <values>
          <value>
            <val>0.96407379999999998</val>
          </value>
        </values>
      </ddeItem>
      <ddeItem name="QUAGR.TKS.YAB.YIL.PAYY" advise="1">
        <values>
          <value>
            <val>1052.1279999999999</val>
          </value>
        </values>
      </ddeItem>
      <ddeItem name="SAHOL.30GUNLUK.F%" advise="1">
        <values>
          <value>
            <val>14.65</val>
          </value>
        </values>
      </ddeItem>
      <ddeItem name="SAHOL.52HAFTALIK.F%" advise="1">
        <values>
          <value>
            <val>190.6</val>
          </value>
        </values>
      </ddeItem>
      <ddeItem name="SAHOL.BU.YIL.FARK%" advise="1">
        <values>
          <value>
            <val>204</val>
          </value>
        </values>
      </ddeItem>
      <ddeItem name="SAHOL.GUN.F%" advise="1">
        <values>
          <value>
            <val>5.77</val>
          </value>
        </values>
      </ddeItem>
      <ddeItem name="SAHOL.SEMBOL" advise="1">
        <values>
          <value t="str">
            <val>SAHOL</val>
          </value>
        </values>
      </ddeItem>
      <ddeItem name="SAHOL.SON" advise="1">
        <values>
          <value>
            <val>38.5</val>
          </value>
        </values>
      </ddeItem>
      <ddeItem name="SAHOL.TKS.YAB.AY.PAYY" advise="1">
        <values>
          <value>
            <val>-2.7457560000000001</val>
          </value>
        </values>
      </ddeItem>
      <ddeItem name="SAHOL.TKS.YAB.HAF.PAYY" advise="1">
        <values>
          <value>
            <val>-1.1111800000000001</val>
          </value>
        </values>
      </ddeItem>
      <ddeItem name="SAHOL.TKS.YAB.PAYY" advise="1">
        <values>
          <value>
            <val>43.93618</val>
          </value>
        </values>
      </ddeItem>
      <ddeItem name="SAHOL.TKS.YAB.YIL.PAYY" advise="1">
        <values>
          <value>
            <val>-30.95167</val>
          </value>
        </values>
      </ddeItem>
      <ddeItem name="SASA.30GUNLUK.F%" advise="1">
        <values>
          <value>
            <val>45.89</val>
          </value>
        </values>
      </ddeItem>
      <ddeItem name="SASA.52HAFTALIK.F%" advise="1">
        <values>
          <value>
            <val>712.31</val>
          </value>
        </values>
      </ddeItem>
      <ddeItem name="SASA.BU.YIL.FARK%" advise="1">
        <values>
          <value>
            <val>414.29</val>
          </value>
        </values>
      </ddeItem>
      <ddeItem name="SASA.GUN.F%" advise="1">
        <values>
          <value>
            <val>-10</val>
          </value>
        </values>
      </ddeItem>
      <ddeItem name="SASA.SEMBOL" advise="1">
        <values>
          <value t="str">
            <val>SASA</val>
          </value>
        </values>
      </ddeItem>
      <ddeItem name="SASA.SON" advise="1">
        <values>
          <value>
            <val>135.9</val>
          </value>
        </values>
      </ddeItem>
      <ddeItem name="SASA.TKS.YAB.AY.PAYY" advise="1">
        <values>
          <value>
            <val>14.35263</val>
          </value>
        </values>
      </ddeItem>
      <ddeItem name="SASA.TKS.YAB.HAF.PAYY" advise="1">
        <values>
          <value>
            <val>0.15887490000000001</val>
          </value>
        </values>
      </ddeItem>
      <ddeItem name="SASA.TKS.YAB.PAYY" advise="1">
        <values>
          <value>
            <val>3.349183</val>
          </value>
        </values>
      </ddeItem>
      <ddeItem name="SASA.TKS.YAB.YIL.PAYY" advise="1">
        <values>
          <value>
            <val>86.617490000000004</val>
          </value>
        </values>
      </ddeItem>
      <ddeItem name="SELEC.30GUNLUK.F%" advise="1">
        <values>
          <value>
            <val>9.7200000000000006</val>
          </value>
        </values>
      </ddeItem>
      <ddeItem name="SELEC.52HAFTALIK.F%" advise="1">
        <values>
          <value>
            <val>167.48</val>
          </value>
        </values>
      </ddeItem>
      <ddeItem name="SELEC.BU.YIL.FARK%" advise="1">
        <values>
          <value>
            <val>132.80000000000001</val>
          </value>
        </values>
      </ddeItem>
      <ddeItem name="SELEC.GUN.F%" advise="1">
        <values>
          <value>
            <val>3.36</val>
          </value>
        </values>
      </ddeItem>
      <ddeItem name="SELEC.SEMBOL" advise="1">
        <values>
          <value t="str">
            <val>SELEC</val>
          </value>
        </values>
      </ddeItem>
      <ddeItem name="SELEC.SON" advise="1">
        <values>
          <value>
            <val>26.42</val>
          </value>
        </values>
      </ddeItem>
      <ddeItem name="SELEC.TKS.YAB.AY.PAYY" advise="1">
        <values>
          <value>
            <val>5.910501</val>
          </value>
        </values>
      </ddeItem>
      <ddeItem name="SELEC.TKS.YAB.HAF.PAYY" advise="1">
        <values>
          <value>
            <val>2.8960689999999998</val>
          </value>
        </values>
      </ddeItem>
      <ddeItem name="SELEC.TKS.YAB.PAYY" advise="1">
        <values>
          <value>
            <val>21.361989999999999</val>
          </value>
        </values>
      </ddeItem>
      <ddeItem name="SELEC.TKS.YAB.YIL.PAYY" advise="1">
        <values>
          <value>
            <val>2.2501899999999999</val>
          </value>
        </values>
      </ddeItem>
      <ddeItem name="SISE.30GUNLUK.F%" advise="1">
        <values>
          <value>
            <val>11.69</val>
          </value>
        </values>
      </ddeItem>
      <ddeItem name="SISE.52HAFTALIK.F%" advise="1">
        <values>
          <value>
            <val>223.97</val>
          </value>
        </values>
      </ddeItem>
      <ddeItem name="SISE.BU.YIL.FARK%" advise="1">
        <values>
          <value>
            <val>172.39</val>
          </value>
        </values>
      </ddeItem>
      <ddeItem name="SISE.GUN.F%" advise="1">
        <values>
          <value>
            <val>3.12</val>
          </value>
        </values>
      </ddeItem>
      <ddeItem name="SISE.SEMBOL" advise="1">
        <values>
          <value t="str">
            <val>SISE</val>
          </value>
        </values>
      </ddeItem>
      <ddeItem name="SISE.SON" advise="1">
        <values>
          <value>
            <val>35.74</val>
          </value>
        </values>
      </ddeItem>
      <ddeItem name="SISE.TKS.YAB.AY.PAYY" advise="1">
        <values>
          <value>
            <val>-0.18177109999999999</val>
          </value>
        </values>
      </ddeItem>
      <ddeItem name="SISE.TKS.YAB.HAF.PAYY" advise="1">
        <values>
          <value>
            <val>-3.0752079999999999</val>
          </value>
        </values>
      </ddeItem>
      <ddeItem name="SISE.TKS.YAB.PAYY" advise="1">
        <values>
          <value>
            <val>23.10192</val>
          </value>
        </values>
      </ddeItem>
      <ddeItem name="SISE.TKS.YAB.YIL.PAYY" advise="1">
        <values>
          <value>
            <val>-29.05406</val>
          </value>
        </values>
      </ddeItem>
      <ddeItem name="SKBNK.30GUNLUK.F%" advise="1">
        <values>
          <value>
            <val>25</val>
          </value>
        </values>
      </ddeItem>
      <ddeItem name="SKBNK.52HAFTALIK.F%" advise="1">
        <values>
          <value>
            <val>114.91</val>
          </value>
        </values>
      </ddeItem>
      <ddeItem name="SKBNK.BU.YIL.FARK%" advise="1">
        <values>
          <value>
            <val>142.57</val>
          </value>
        </values>
      </ddeItem>
      <ddeItem name="SKBNK.GUN.F%" advise="1">
        <values>
          <value>
            <val>0.82</val>
          </value>
        </values>
      </ddeItem>
      <ddeItem name="SKBNK.SEMBOL" advise="1">
        <values>
          <value t="str">
            <val>SKBNK</val>
          </value>
        </values>
      </ddeItem>
      <ddeItem name="SKBNK.SON" advise="1">
        <values>
          <value>
            <val>2.4500000000000002</val>
          </value>
        </values>
      </ddeItem>
      <ddeItem name="SKBNK.TKS.YAB.AY.PAYY" advise="1">
        <values>
          <value>
            <val>-8.4439799999999998</val>
          </value>
        </values>
      </ddeItem>
      <ddeItem name="SKBNK.TKS.YAB.HAF.PAYY" advise="1">
        <values>
          <value>
            <val>-25.235980000000001</val>
          </value>
        </values>
      </ddeItem>
      <ddeItem name="SKBNK.TKS.YAB.PAYY" advise="1">
        <values>
          <value>
            <val>5.4408960000000004</val>
          </value>
        </values>
      </ddeItem>
      <ddeItem name="SKBNK.TKS.YAB.YIL.PAYY" advise="1">
        <values>
          <value>
            <val>190.4753</val>
          </value>
        </values>
      </ddeItem>
      <ddeItem name="SNGYO.30GUNLUK.F%" advise="1">
        <values>
          <value>
            <val>-44.28</val>
          </value>
        </values>
      </ddeItem>
      <ddeItem name="SNGYO.52HAFTALIK.F%" advise="1">
        <values>
          <value>
            <val>26.53</val>
          </value>
        </values>
      </ddeItem>
      <ddeItem name="SNGYO.BU.YIL.FARK%" advise="1">
        <values>
          <value>
            <val>21.5</val>
          </value>
        </values>
      </ddeItem>
      <ddeItem name="SNGYO.GUN.F%" advise="1">
        <values>
          <value>
            <val>4.5</val>
          </value>
        </values>
      </ddeItem>
      <ddeItem name="SNGYO.SEMBOL" advise="1">
        <values>
          <value t="str">
            <val>SNGYO</val>
          </value>
        </values>
      </ddeItem>
      <ddeItem name="SNGYO.SON" advise="1">
        <values>
          <value>
            <val>3.02</val>
          </value>
        </values>
      </ddeItem>
      <ddeItem name="SNGYO.TKS.YAB.AY.PAYY" advise="1">
        <values>
          <value>
            <val>2.801917</val>
          </value>
        </values>
      </ddeItem>
      <ddeItem name="SNGYO.TKS.YAB.HAF.PAYY" advise="1">
        <values>
          <value>
            <val>4.5364319999999996</val>
          </value>
        </values>
      </ddeItem>
      <ddeItem name="SNGYO.TKS.YAB.PAYY" advise="1">
        <values>
          <value>
            <val>6.5887359999999999</val>
          </value>
        </values>
      </ddeItem>
      <ddeItem name="SNGYO.TKS.YAB.YIL.PAYY" advise="1">
        <values>
          <value>
            <val>561.12210000000005</val>
          </value>
        </values>
      </ddeItem>
      <ddeItem name="SOKM.30GUNLUK.F%" advise="1">
        <values>
          <value>
            <val>-8.24</val>
          </value>
        </values>
      </ddeItem>
      <ddeItem name="SOKM.52HAFTALIK.F%" advise="1">
        <values>
          <value>
            <val>54.06</val>
          </value>
        </values>
      </ddeItem>
      <ddeItem name="SOKM.BU.YIL.FARK%" advise="1">
        <values>
          <value>
            <val>71.63</val>
          </value>
        </values>
      </ddeItem>
      <ddeItem name="SOKM.GUN.F%" advise="1">
        <values>
          <value>
            <val>-2.4300000000000002</val>
          </value>
        </values>
      </ddeItem>
      <ddeItem name="SOKM.SEMBOL" advise="1">
        <values>
          <value t="str">
            <val>SOKM</val>
          </value>
        </values>
      </ddeItem>
      <ddeItem name="SOKM.SON" advise="1">
        <values>
          <value>
            <val>22.5</val>
          </value>
        </values>
      </ddeItem>
      <ddeItem name="SOKM.TKS.YAB.AY.PAYY" advise="1">
        <values>
          <value>
            <val>-6.8393470000000001</val>
          </value>
        </values>
      </ddeItem>
      <ddeItem name="SOKM.TKS.YAB.HAF.PAYY" advise="1">
        <values>
          <value>
            <val>-1.526959</val>
          </value>
        </values>
      </ddeItem>
      <ddeItem name="SOKM.TKS.YAB.PAYY" advise="1">
        <values>
          <value>
            <val>36.609470000000002</val>
          </value>
        </values>
      </ddeItem>
      <ddeItem name="SOKM.TKS.YAB.YIL.PAYY" advise="1">
        <values>
          <value>
            <val>-14.64846</val>
          </value>
        </values>
      </ddeItem>
      <ddeItem name="StdDocumentName" ole="1" advise="1"/>
      <ddeItem name="StdDocumentName" ole="1" advise="1"/>
      <ddeItem name="StdDocumentName" ole="1" advise="1"/>
      <ddeItem name="StdDocumentName" ole="1" advise="1"/>
      <ddeItem name="TAVHL.30GUNLUK.F%" advise="1">
        <values>
          <value>
            <val>-3.01</val>
          </value>
        </values>
      </ddeItem>
      <ddeItem name="TAVHL.52HAFTALIK.F%" advise="1">
        <values>
          <value>
            <val>184.79</val>
          </value>
        </values>
      </ddeItem>
      <ddeItem name="TAVHL.BU.YIL.FARK%" advise="1">
        <values>
          <value>
            <val>141.59</val>
          </value>
        </values>
      </ddeItem>
      <ddeItem name="TAVHL.GUN.F%" advise="1">
        <values>
          <value>
            <val>1.54</val>
          </value>
        </values>
      </ddeItem>
      <ddeItem name="TAVHL.SEMBOL" advise="1">
        <values>
          <value t="str">
            <val>TAVHL</val>
          </value>
        </values>
      </ddeItem>
      <ddeItem name="TAVHL.SON" advise="1">
        <values>
          <value>
            <val>79</val>
          </value>
        </values>
      </ddeItem>
      <ddeItem name="TAVHL.TKS.YAB.AY.PAYY" advise="1">
        <values>
          <value>
            <val>5.9306520000000003</val>
          </value>
        </values>
      </ddeItem>
      <ddeItem name="TAVHL.TKS.YAB.HAF.PAYY" advise="1">
        <values>
          <value>
            <val>0.47132400000000002</val>
          </value>
        </values>
      </ddeItem>
      <ddeItem name="TAVHL.TKS.YAB.PAYY" advise="1">
        <values>
          <value>
            <val>46.323839999999997</val>
          </value>
        </values>
      </ddeItem>
      <ddeItem name="TAVHL.TKS.YAB.YIL.PAYY" advise="1">
        <values>
          <value>
            <val>-11.976979999999999</val>
          </value>
        </values>
      </ddeItem>
      <ddeItem name="TCELL.30GUNLUK.F%" advise="1">
        <values>
          <value>
            <val>25.61</val>
          </value>
        </values>
      </ddeItem>
      <ddeItem name="TCELL.52HAFTALIK.F%" advise="1">
        <values>
          <value>
            <val>81.650000000000006</val>
          </value>
        </values>
      </ddeItem>
      <ddeItem name="TCELL.BU.YIL.FARK%" advise="1">
        <values>
          <value>
            <val>77.319999999999993</val>
          </value>
        </values>
      </ddeItem>
      <ddeItem name="TCELL.GUN.F%" advise="1">
        <values>
          <value>
            <val>1.1499999999999999</val>
          </value>
        </values>
      </ddeItem>
      <ddeItem name="TCELL.SEMBOL" advise="1">
        <values>
          <value t="str">
            <val>TCELL</val>
          </value>
        </values>
      </ddeItem>
      <ddeItem name="TCELL.SON" advise="1">
        <values>
          <value>
            <val>31.68</val>
          </value>
        </values>
      </ddeItem>
      <ddeItem name="TCELL.TKS.YAB.AY.PAYY" advise="1">
        <values>
          <value>
            <val>4.1748479999999999</val>
          </value>
        </values>
      </ddeItem>
      <ddeItem name="TCELL.TKS.YAB.HAF.PAYY" advise="1">
        <values>
          <value>
            <val>0.84863980000000006</val>
          </value>
        </values>
      </ddeItem>
      <ddeItem name="TCELL.TKS.YAB.PAYY" advise="1">
        <values>
          <value>
            <val>78.090980000000002</val>
          </value>
        </values>
      </ddeItem>
      <ddeItem name="TCELL.TKS.YAB.YIL.PAYY" advise="1">
        <values>
          <value>
            <val>-9.8314819999999994</val>
          </value>
        </values>
      </ddeItem>
      <ddeItem name="THYAO.30GUNLUK.F%" advise="1">
        <values>
          <value>
            <val>9.14</val>
          </value>
        </values>
      </ddeItem>
      <ddeItem name="THYAO.52HAFTALIK.F%" advise="1">
        <values>
          <value>
            <val>525.51</val>
          </value>
        </values>
      </ddeItem>
      <ddeItem name="THYAO.BU.YIL.FARK%" advise="1">
        <values>
          <value>
            <val>433.97</val>
          </value>
        </values>
      </ddeItem>
      <ddeItem name="THYAO.GUN.F%" advise="1">
        <values>
          <value>
            <val>0.28000000000000003</val>
          </value>
        </values>
      </ddeItem>
      <ddeItem name="THYAO.SEMBOL" advise="1">
        <values>
          <value t="str">
            <val>THYAO</val>
          </value>
        </values>
      </ddeItem>
      <ddeItem name="THYAO.SON" advise="1">
        <values>
          <value>
            <val>106.9</val>
          </value>
        </values>
      </ddeItem>
      <ddeItem name="THYAO.TKS.YAB.AY.PAYY" advise="1">
        <values>
          <value>
            <val>-1.646887</val>
          </value>
        </values>
      </ddeItem>
      <ddeItem name="THYAO.TKS.YAB.HAF.PAYY" advise="1">
        <values>
          <value>
            <val>-5.8595920000000001</val>
          </value>
        </values>
      </ddeItem>
      <ddeItem name="THYAO.TKS.YAB.PAYY" advise="1">
        <values>
          <value>
            <val>30.61345</val>
          </value>
        </values>
      </ddeItem>
      <ddeItem name="THYAO.TKS.YAB.YIL.PAYY" advise="1">
        <values>
          <value>
            <val>-24.392520000000001</val>
          </value>
        </values>
      </ddeItem>
      <ddeItem name="TKFEN.30GUNLUK.F%" advise="1">
        <values>
          <value>
            <val>17.37</val>
          </value>
        </values>
      </ddeItem>
      <ddeItem name="TKFEN.52HAFTALIK.F%" advise="1">
        <values>
          <value>
            <val>117.12</val>
          </value>
        </values>
      </ddeItem>
      <ddeItem name="TKFEN.BU.YIL.FARK%" advise="1">
        <values>
          <value>
            <val>90.73</val>
          </value>
        </values>
      </ddeItem>
      <ddeItem name="TKFEN.GUN.F%" advise="1">
        <values>
          <value>
            <val>0.7</val>
          </value>
        </values>
      </ddeItem>
      <ddeItem name="TKFEN.SEMBOL" advise="1">
        <values>
          <value t="str">
            <val>TKFEN</val>
          </value>
        </values>
      </ddeItem>
      <ddeItem name="TKFEN.SON" advise="1">
        <values>
          <value>
            <val>37.44</val>
          </value>
        </values>
      </ddeItem>
      <ddeItem name="TKFEN.TKS.YAB.AY.PAYY" advise="1">
        <values>
          <value>
            <val>15.270149999999999</val>
          </value>
        </values>
      </ddeItem>
      <ddeItem name="TKFEN.TKS.YAB.HAF.PAYY" advise="1">
        <values>
          <value>
            <val>-0.97985650000000002</val>
          </value>
        </values>
      </ddeItem>
      <ddeItem name="TKFEN.TKS.YAB.PAYY" advise="1">
        <values>
          <value>
            <val>19.536560000000001</val>
          </value>
        </values>
      </ddeItem>
      <ddeItem name="TKFEN.TKS.YAB.YIL.PAYY" advise="1">
        <values>
          <value>
            <val>-8.7692530000000009</val>
          </value>
        </values>
      </ddeItem>
      <ddeItem name="TKNSA.30GUNLUK.F%" advise="1">
        <values>
          <value>
            <val>39.46</val>
          </value>
        </values>
      </ddeItem>
      <ddeItem name="TKNSA.52HAFTALIK.F%" advise="1">
        <values>
          <value>
            <val>275.12</val>
          </value>
        </values>
      </ddeItem>
      <ddeItem name="TKNSA.BU.YIL.FARK%" advise="1">
        <values>
          <value>
            <val>276.89999999999998</val>
          </value>
        </values>
      </ddeItem>
      <ddeItem name="TKNSA.GUN.F%" advise="1">
        <values>
          <value>
            <val>2.58</val>
          </value>
        </values>
      </ddeItem>
      <ddeItem name="TKNSA.SEMBOL" advise="1">
        <values>
          <value t="str">
            <val>TKNSA</val>
          </value>
        </values>
      </ddeItem>
      <ddeItem name="TKNSA.SON" advise="1">
        <values>
          <value>
            <val>23.82</val>
          </value>
        </values>
      </ddeItem>
      <ddeItem name="TKNSA.TKS.YAB.AY.PAYY" advise="1">
        <values>
          <value>
            <val>-30.472000000000001</val>
          </value>
        </values>
      </ddeItem>
      <ddeItem name="TKNSA.TKS.YAB.HAF.PAYY" advise="1">
        <values>
          <value>
            <val>10.771570000000001</val>
          </value>
        </values>
      </ddeItem>
      <ddeItem name="TKNSA.TKS.YAB.PAYY" advise="1">
        <values>
          <value>
            <val>4.0639909999999997</val>
          </value>
        </values>
      </ddeItem>
      <ddeItem name="TKNSA.TKS.YAB.YIL.PAYY" advise="1">
        <values>
          <value>
            <val>374.82330000000002</val>
          </value>
        </values>
      </ddeItem>
      <ddeItem name="TOASO.30GUNLUK.F%" advise="1">
        <values>
          <value>
            <val>31.11</val>
          </value>
        </values>
      </ddeItem>
      <ddeItem name="TOASO.52HAFTALIK.F%" advise="1">
        <values>
          <value>
            <val>114.93</val>
          </value>
        </values>
      </ddeItem>
      <ddeItem name="TOASO.BU.YIL.FARK%" advise="1">
        <values>
          <value>
            <val>82.98</val>
          </value>
        </values>
      </ddeItem>
      <ddeItem name="TOASO.GUN.F%" advise="1">
        <values>
          <value>
            <val>2.08</val>
          </value>
        </values>
      </ddeItem>
      <ddeItem name="TOASO.SEMBOL" advise="1">
        <values>
          <value t="str">
            <val>TOASO</val>
          </value>
        </values>
      </ddeItem>
      <ddeItem name="TOASO.SON" advise="1">
        <values>
          <value>
            <val>127.5</val>
          </value>
        </values>
      </ddeItem>
      <ddeItem name="TOASO.TKS.YAB.AY.PAYY" advise="1">
        <values>
          <value>
            <val>-20.240010000000002</val>
          </value>
        </values>
      </ddeItem>
      <ddeItem name="TOASO.TKS.YAB.HAF.PAYY" advise="1">
        <values>
          <value>
            <val>-3.0921780000000001</val>
          </value>
        </values>
      </ddeItem>
      <ddeItem name="TOASO.TKS.YAB.PAYY" advise="1">
        <values>
          <value>
            <val>28.206469999999999</val>
          </value>
        </values>
      </ddeItem>
      <ddeItem name="TOASO.TKS.YAB.YIL.PAYY" advise="1">
        <values>
          <value>
            <val>-53.410690000000002</val>
          </value>
        </values>
      </ddeItem>
      <ddeItem name="TRGYO.30GUNLUK.F%" advise="1">
        <values>
          <value>
            <val>25.77</val>
          </value>
        </values>
      </ddeItem>
      <ddeItem name="TRGYO.52HAFTALIK.F%" advise="1">
        <values>
          <value>
            <val>259.3</val>
          </value>
        </values>
      </ddeItem>
      <ddeItem name="TRGYO.BU.YIL.FARK%" advise="1">
        <values>
          <value>
            <val>264.8</val>
          </value>
        </values>
      </ddeItem>
      <ddeItem name="TRGYO.GUN.F%" advise="1">
        <values>
          <value>
            <val>4.92</val>
          </value>
        </values>
      </ddeItem>
      <ddeItem name="TRGYO.SEMBOL" advise="1">
        <values>
          <value t="str">
            <val>TRGYO</val>
          </value>
        </values>
      </ddeItem>
      <ddeItem name="TRGYO.SON" advise="1">
        <values>
          <value>
            <val>14.3</val>
          </value>
        </values>
      </ddeItem>
      <ddeItem name="TRGYO.TKS.YAB.AY.PAYY" advise="1">
        <values>
          <value>
            <val>-7.3463320000000003</val>
          </value>
        </values>
      </ddeItem>
      <ddeItem name="TRGYO.TKS.YAB.HAF.PAYY" advise="1">
        <values>
          <value>
            <val>-0.59804069999999998</val>
          </value>
        </values>
      </ddeItem>
      <ddeItem name="TRGYO.TKS.YAB.PAYY" advise="1">
        <values>
          <value>
            <val>25.106249999999999</val>
          </value>
        </values>
      </ddeItem>
      <ddeItem name="TRGYO.TKS.YAB.YIL.PAYY" advise="1">
        <values>
          <value>
            <val>284.33609999999999</val>
          </value>
        </values>
      </ddeItem>
      <ddeItem name="TRILC.30GUNLUK.F%" advise="1">
        <values>
          <value>
            <val>-5.27</val>
          </value>
        </values>
      </ddeItem>
      <ddeItem name="TRILC.52HAFTALIK.F%" advise="1">
        <values>
          <value>
            <val>15.39</val>
          </value>
        </values>
      </ddeItem>
      <ddeItem name="TRILC.BU.YIL.FARK%" advise="1">
        <values>
          <value>
            <val>-3.25</val>
          </value>
        </values>
      </ddeItem>
      <ddeItem name="TRILC.GUN.F%" advise="1">
        <values>
          <value>
            <val>1.25</val>
          </value>
        </values>
      </ddeItem>
      <ddeItem name="TRILC.SEMBOL" advise="1">
        <values>
          <value t="str">
            <val>TRILC</val>
          </value>
        </values>
      </ddeItem>
      <ddeItem name="TRILC.SON" advise="1">
        <values>
          <value>
            <val>11.32</val>
          </value>
        </values>
      </ddeItem>
      <ddeItem name="TRILC.TKS.YAB.AY.PAYY" advise="1">
        <values>
          <value>
            <val>-57.880330000000001</val>
          </value>
        </values>
      </ddeItem>
      <ddeItem name="TRILC.TKS.YAB.HAF.PAYY" advise="1">
        <values>
          <value>
            <val>-80.542680000000004</val>
          </value>
        </values>
      </ddeItem>
      <ddeItem name="TRILC.TKS.YAB.PAYY" advise="1">
        <values>
          <value>
            <val>0.5437128</val>
          </value>
        </values>
      </ddeItem>
      <ddeItem name="TRILC.TKS.YAB.YIL.PAYY" advise="1">
        <values>
          <value>
            <val>-79.700980000000001</val>
          </value>
        </values>
      </ddeItem>
      <ddeItem name="TSKB.30GUNLUK.F%" advise="1">
        <values>
          <value>
            <val>18.62</val>
          </value>
        </values>
      </ddeItem>
      <ddeItem name="TSKB.52HAFTALIK.F%" advise="1">
        <values>
          <value>
            <val>121.94</val>
          </value>
        </values>
      </ddeItem>
      <ddeItem name="TSKB.BU.YIL.FARK%" advise="1">
        <values>
          <value>
            <val>138.88999999999999</val>
          </value>
        </values>
      </ddeItem>
      <ddeItem name="TSKB.GUN.F%" advise="1">
        <values>
          <value>
            <val>1.78</val>
          </value>
        </values>
      </ddeItem>
      <ddeItem name="TSKB.SEMBOL" advise="1">
        <values>
          <value t="str">
            <val>TSKB</val>
          </value>
        </values>
      </ddeItem>
      <ddeItem name="TSKB.SON" advise="1">
        <values>
          <value>
            <val>3.44</val>
          </value>
        </values>
      </ddeItem>
      <ddeItem name="TSKB.TKS.YAB.AY.PAYY" advise="1">
        <values>
          <value>
            <val>23.743169999999999</val>
          </value>
        </values>
      </ddeItem>
      <ddeItem name="TSKB.TKS.YAB.HAF.PAYY" advise="1">
        <values>
          <value>
            <val>13.97682</val>
          </value>
        </values>
      </ddeItem>
      <ddeItem name="TSKB.TKS.YAB.PAYY" advise="1">
        <values>
          <value>
            <val>20.065729999999999</val>
          </value>
        </values>
      </ddeItem>
      <ddeItem name="TSKB.TKS.YAB.YIL.PAYY" advise="1">
        <values>
          <value>
            <val>20.625309999999999</val>
          </value>
        </values>
      </ddeItem>
      <ddeItem name="TTKOM.30GUNLUK.F%" advise="1">
        <values>
          <value>
            <val>18.93</val>
          </value>
        </values>
      </ddeItem>
      <ddeItem name="TTKOM.52HAFTALIK.F%" advise="1">
        <values>
          <value>
            <val>83.27</val>
          </value>
        </values>
      </ddeItem>
      <ddeItem name="TTKOM.BU.YIL.FARK%" advise="1">
        <values>
          <value>
            <val>72.23</val>
          </value>
        </values>
      </ddeItem>
      <ddeItem name="TTKOM.GUN.F%" advise="1">
        <values>
          <value>
            <val>2.0099999999999998</val>
          </value>
        </values>
      </ddeItem>
      <ddeItem name="TTKOM.SEMBOL" advise="1">
        <values>
          <value t="str">
            <val>TTKOM</val>
          </value>
        </values>
      </ddeItem>
      <ddeItem name="TTKOM.SON" advise="1">
        <values>
          <value>
            <val>14.7</val>
          </value>
        </values>
      </ddeItem>
      <ddeItem name="TTKOM.TKS.YAB.AY.PAYY" advise="1">
        <values>
          <value>
            <val>24.35577</val>
          </value>
        </values>
      </ddeItem>
      <ddeItem name="TTKOM.TKS.YAB.HAF.PAYY" advise="1">
        <values>
          <value>
            <val>-1.7758400000000001</val>
          </value>
        </values>
      </ddeItem>
      <ddeItem name="TTKOM.TKS.YAB.PAYY" advise="1">
        <values>
          <value>
            <val>31.582660000000001</val>
          </value>
        </values>
      </ddeItem>
      <ddeItem name="TTKOM.TKS.YAB.YIL.PAYY" advise="1">
        <values>
          <value>
            <val>-42.909419999999997</val>
          </value>
        </values>
      </ddeItem>
      <ddeItem name="TTRAK.30GUNLUK.F%" advise="1">
        <values>
          <value>
            <val>28.96</val>
          </value>
        </values>
      </ddeItem>
      <ddeItem name="TTRAK.52HAFTALIK.F%" advise="1">
        <values>
          <value>
            <val>164.19</val>
          </value>
        </values>
      </ddeItem>
      <ddeItem name="TTRAK.BU.YIL.FARK%" advise="1">
        <values>
          <value>
            <val>116.54</val>
          </value>
        </values>
      </ddeItem>
      <ddeItem name="TTRAK.GUN.F%" advise="1">
        <values>
          <value>
            <val>2.23</val>
          </value>
        </values>
      </ddeItem>
      <ddeItem name="TTRAK.SEMBOL" advise="1">
        <values>
          <value t="str">
            <val>TTRAK</val>
          </value>
        </values>
      </ddeItem>
      <ddeItem name="TTRAK.SON" advise="1">
        <values>
          <value>
            <val>444.8</val>
          </value>
        </values>
      </ddeItem>
      <ddeItem name="TTRAK.TKS.YAB.AY.PAYY" advise="1">
        <values>
          <value>
            <val>20.00525</val>
          </value>
        </values>
      </ddeItem>
      <ddeItem name="TTRAK.TKS.YAB.HAF.PAYY" advise="1">
        <values>
          <value>
            <val>4.0506500000000001</val>
          </value>
        </values>
      </ddeItem>
      <ddeItem name="TTRAK.TKS.YAB.PAYY" advise="1">
        <values>
          <value>
            <val>38.233069999999998</val>
          </value>
        </values>
      </ddeItem>
      <ddeItem name="TTRAK.TKS.YAB.YIL.PAYY" advise="1">
        <values>
          <value>
            <val>-0.73586370000000001</val>
          </value>
        </values>
      </ddeItem>
      <ddeItem name="TUPRS.30GUNLUK.F%" advise="1">
        <values>
          <value>
            <val>13.89</val>
          </value>
        </values>
      </ddeItem>
      <ddeItem name="TUPRS.52HAFTALIK.F%" advise="1">
        <values>
          <value>
            <val>179.05</val>
          </value>
        </values>
      </ddeItem>
      <ddeItem name="TUPRS.BU.YIL.FARK%" advise="1">
        <values>
          <value>
            <val>180.31</val>
          </value>
        </values>
      </ddeItem>
      <ddeItem name="TUPRS.GUN.F%" advise="1">
        <values>
          <value>
            <val>1.69</val>
          </value>
        </values>
      </ddeItem>
      <ddeItem name="TUPRS.SEMBOL" advise="1">
        <values>
          <value t="str">
            <val>TUPRS</val>
          </value>
        </values>
      </ddeItem>
      <ddeItem name="TUPRS.SON" advise="1">
        <values>
          <value>
            <val>432.8</val>
          </value>
        </values>
      </ddeItem>
      <ddeItem name="TUPRS.TKS.YAB.AY.PAYY" advise="1">
        <values>
          <value>
            <val>-9.8283970000000007</val>
          </value>
        </values>
      </ddeItem>
      <ddeItem name="TUPRS.TKS.YAB.HAF.PAYY" advise="1">
        <values>
          <value>
            <val>-0.74848250000000005</val>
          </value>
        </values>
      </ddeItem>
      <ddeItem name="TUPRS.TKS.YAB.PAYY" advise="1">
        <values>
          <value>
            <val>40.669029999999999</val>
          </value>
        </values>
      </ddeItem>
      <ddeItem name="TUPRS.TKS.YAB.YIL.PAYY" advise="1">
        <values>
          <value>
            <val>-23.727209999999999</val>
          </value>
        </values>
      </ddeItem>
      <ddeItem name="TURSG.30GUNLUK.F%" advise="1">
        <values>
          <value>
            <val>33.11</val>
          </value>
        </values>
      </ddeItem>
      <ddeItem name="TURSG.52HAFTALIK.F%" advise="1">
        <values>
          <value>
            <val>106.41</val>
          </value>
        </values>
      </ddeItem>
      <ddeItem name="TURSG.BU.YIL.FARK%" advise="1">
        <values>
          <value>
            <val>109.27</val>
          </value>
        </values>
      </ddeItem>
      <ddeItem name="TURSG.GUN.F%" advise="1">
        <values>
          <value>
            <val>4.29</val>
          </value>
        </values>
      </ddeItem>
      <ddeItem name="TURSG.SEMBOL" advise="1">
        <values>
          <value t="str">
            <val>TURSG</val>
          </value>
        </values>
      </ddeItem>
      <ddeItem name="TURSG.SON" advise="1">
        <values>
          <value>
            <val>9.73</val>
          </value>
        </values>
      </ddeItem>
      <ddeItem name="TURSG.TKS.YAB.AY.PAYY" advise="1">
        <values>
          <value>
            <val>29.84385</val>
          </value>
        </values>
      </ddeItem>
      <ddeItem name="TURSG.TKS.YAB.HAF.PAYY" advise="1">
        <values>
          <value>
            <val>9.1318099999999998</val>
          </value>
        </values>
      </ddeItem>
      <ddeItem name="TURSG.TKS.YAB.PAYY" advise="1">
        <values>
          <value>
            <val>1.332341</val>
          </value>
        </values>
      </ddeItem>
      <ddeItem name="TURSG.TKS.YAB.YIL.PAYY" advise="1">
        <values>
          <value>
            <val>-12.499969999999999</val>
          </value>
        </values>
      </ddeItem>
      <ddeItem name="ULKER.30GUNLUK.F%" advise="1">
        <values>
          <value>
            <val>16.72</val>
          </value>
        </values>
      </ddeItem>
      <ddeItem name="ULKER.52HAFTALIK.F%" advise="1">
        <values>
          <value>
            <val>37.86</val>
          </value>
        </values>
      </ddeItem>
      <ddeItem name="ULKER.BU.YIL.FARK%" advise="1">
        <values>
          <value>
            <val>53.76</val>
          </value>
        </values>
      </ddeItem>
      <ddeItem name="ULKER.GUN.F%" advise="1">
        <values>
          <value>
            <val>-0.3</val>
          </value>
        </values>
      </ddeItem>
      <ddeItem name="ULKER.SEMBOL" advise="1">
        <values>
          <value t="str">
            <val>ULKER</val>
          </value>
        </values>
      </ddeItem>
      <ddeItem name="ULKER.SON" advise="1">
        <values>
          <value>
            <val>26.8</val>
          </value>
        </values>
      </ddeItem>
      <ddeItem name="ULKER.TKS.YAB.AY.PAYY" advise="1">
        <values>
          <value>
            <val>-25.110050000000001</val>
          </value>
        </values>
      </ddeItem>
      <ddeItem name="ULKER.TKS.YAB.HAF.PAYY" advise="1">
        <values>
          <value>
            <val>-1.3245</val>
          </value>
        </values>
      </ddeItem>
      <ddeItem name="ULKER.TKS.YAB.PAYY" advise="1">
        <values>
          <value>
            <val>14.27539</val>
          </value>
        </values>
      </ddeItem>
      <ddeItem name="ULKER.TKS.YAB.YIL.PAYY" advise="1">
        <values>
          <value>
            <val>-52.539769999999997</val>
          </value>
        </values>
      </ddeItem>
      <ddeItem name="VAKBN.30GUNLUK.F%" advise="1">
        <values>
          <value>
            <val>7.07</val>
          </value>
        </values>
      </ddeItem>
      <ddeItem name="VAKBN.52HAFTALIK.F%" advise="1">
        <values>
          <value>
            <val>142.75</val>
          </value>
        </values>
      </ddeItem>
      <ddeItem name="VAKBN.BU.YIL.FARK%" advise="1">
        <values>
          <value>
            <val>159.24</val>
          </value>
        </values>
      </ddeItem>
      <ddeItem name="VAKBN.GUN.F%" advise="1">
        <values>
          <value>
            <val>0.21</val>
          </value>
        </values>
      </ddeItem>
      <ddeItem name="VAKBN.SEMBOL" advise="1">
        <values>
          <value t="str">
            <val>VAKBN</val>
          </value>
        </values>
      </ddeItem>
      <ddeItem name="VAKBN.SON" advise="1">
        <values>
          <value>
            <val>9.5399999999999991</val>
          </value>
        </values>
      </ddeItem>
      <ddeItem name="VAKBN.TKS.YAB.AY.PAYY" advise="1">
        <values>
          <value>
            <val>27.880420000000001</val>
          </value>
        </values>
      </ddeItem>
      <ddeItem name="VAKBN.TKS.YAB.HAF.PAYY" advise="1">
        <values>
          <value>
            <val>11.129390000000001</val>
          </value>
        </values>
      </ddeItem>
      <ddeItem name="VAKBN.TKS.YAB.PAYY" advise="1">
        <values>
          <value>
            <val>4.030087</val>
          </value>
        </values>
      </ddeItem>
      <ddeItem name="VAKBN.TKS.YAB.YIL.PAYY" advise="1">
        <values>
          <value>
            <val>104.76300000000001</val>
          </value>
        </values>
      </ddeItem>
      <ddeItem name="VESBE.30GUNLUK.F%" advise="1">
        <values>
          <value>
            <val>2.08</val>
          </value>
        </values>
      </ddeItem>
      <ddeItem name="VESBE.52HAFTALIK.F%" advise="1">
        <values>
          <value>
            <val>46.21</val>
          </value>
        </values>
      </ddeItem>
      <ddeItem name="VESBE.BU.YIL.FARK%" advise="1">
        <values>
          <value>
            <val>30.62</val>
          </value>
        </values>
      </ddeItem>
      <ddeItem name="VESBE.GUN.F%" advise="1">
        <values>
          <value>
            <val>0.72</val>
          </value>
        </values>
      </ddeItem>
      <ddeItem name="VESBE.SEMBOL" advise="1">
        <values>
          <value t="str">
            <val>VESBE</val>
          </value>
        </values>
      </ddeItem>
      <ddeItem name="VESBE.SON" advise="1">
        <values>
          <value>
            <val>9.83</val>
          </value>
        </values>
      </ddeItem>
      <ddeItem name="VESBE.TKS.YAB.AY.PAYY" advise="1">
        <values>
          <value>
            <val>-15.14195</val>
          </value>
        </values>
      </ddeItem>
      <ddeItem name="VESBE.TKS.YAB.HAF.PAYY" advise="1">
        <values>
          <value>
            <val>11.651999999999999</val>
          </value>
        </values>
      </ddeItem>
      <ddeItem name="VESBE.TKS.YAB.PAYY" advise="1">
        <values>
          <value>
            <val>6.251169</val>
          </value>
        </values>
      </ddeItem>
      <ddeItem name="VESBE.TKS.YAB.YIL.PAYY" advise="1">
        <values>
          <value>
            <val>-45.731349999999999</val>
          </value>
        </values>
      </ddeItem>
      <ddeItem name="VESTL.30GUNLUK.F%" advise="1">
        <values>
          <value>
            <val>1.85</val>
          </value>
        </values>
      </ddeItem>
      <ddeItem name="VESTL.52HAFTALIK.F%" advise="1">
        <values>
          <value>
            <val>63.03</val>
          </value>
        </values>
      </ddeItem>
      <ddeItem name="VESTL.BU.YIL.FARK%" advise="1">
        <values>
          <value>
            <val>75.72</val>
          </value>
        </values>
      </ddeItem>
      <ddeItem name="VESTL.GUN.F%" advise="1">
        <values>
          <value>
            <val>1.85</val>
          </value>
        </values>
      </ddeItem>
      <ddeItem name="VESTL.SEMBOL" advise="1">
        <values>
          <value t="str">
            <val>VESTL</val>
          </value>
        </values>
      </ddeItem>
      <ddeItem name="VESTL.SON" advise="1">
        <values>
          <value>
            <val>44</val>
          </value>
        </values>
      </ddeItem>
      <ddeItem name="VESTL.TKS.YAB.AY.PAYY" advise="1">
        <values>
          <value>
            <val>-0.220998</val>
          </value>
        </values>
      </ddeItem>
      <ddeItem name="VESTL.TKS.YAB.HAF.PAYY" advise="1">
        <values>
          <value>
            <val>-6.0469419999999996</val>
          </value>
        </values>
      </ddeItem>
      <ddeItem name="VESTL.TKS.YAB.PAYY" advise="1">
        <values>
          <value>
            <val>4.3033979999999996</val>
          </value>
        </values>
      </ddeItem>
      <ddeItem name="VESTL.TKS.YAB.YIL.PAYY" advise="1">
        <values>
          <value>
            <val>-64.267259999999993</val>
          </value>
        </values>
      </ddeItem>
      <ddeItem name="YATAS.30GUNLUK.F%" advise="1">
        <values>
          <value>
            <val>27.05</val>
          </value>
        </values>
      </ddeItem>
      <ddeItem name="YATAS.52HAFTALIK.F%" advise="1">
        <values>
          <value>
            <val>94.1</val>
          </value>
        </values>
      </ddeItem>
      <ddeItem name="YATAS.BU.YIL.FARK%" advise="1">
        <values>
          <value>
            <val>124.99</val>
          </value>
        </values>
      </ddeItem>
      <ddeItem name="YATAS.GUN.F%" advise="1">
        <values>
          <value>
            <val>5.82</val>
          </value>
        </values>
      </ddeItem>
      <ddeItem name="YATAS.SEMBOL" advise="1">
        <values>
          <value t="str">
            <val>YATAS</val>
          </value>
        </values>
      </ddeItem>
      <ddeItem name="YATAS.SON" advise="1">
        <values>
          <value>
            <val>24</val>
          </value>
        </values>
      </ddeItem>
      <ddeItem name="YATAS.TKS.YAB.AY.PAYY" advise="1">
        <values>
          <value>
            <val>29.260100000000001</val>
          </value>
        </values>
      </ddeItem>
      <ddeItem name="YATAS.TKS.YAB.HAF.PAYY" advise="1">
        <values>
          <value>
            <val>9.1645149999999997</val>
          </value>
        </values>
      </ddeItem>
      <ddeItem name="YATAS.TKS.YAB.PAYY" advise="1">
        <values>
          <value>
            <val>21.455390000000001</val>
          </value>
        </values>
      </ddeItem>
      <ddeItem name="YATAS.TKS.YAB.YIL.PAYY" advise="1">
        <values>
          <value>
            <val>33.629249999999999</val>
          </value>
        </values>
      </ddeItem>
      <ddeItem name="YKBNK.30GUNLUK.F%" advise="1">
        <values>
          <value>
            <val>20.36</val>
          </value>
        </values>
      </ddeItem>
      <ddeItem name="YKBNK.52HAFTALIK.F%" advise="1">
        <values>
          <value>
            <val>228.93</val>
          </value>
        </values>
      </ddeItem>
      <ddeItem name="YKBNK.BU.YIL.FARK%" advise="1">
        <values>
          <value>
            <val>245.47</val>
          </value>
        </values>
      </ddeItem>
      <ddeItem name="YKBNK.GUN.F%" advise="1">
        <values>
          <value>
            <val>4.2</val>
          </value>
        </values>
      </ddeItem>
      <ddeItem name="YKBNK.SEMBOL" advise="1">
        <values>
          <value t="str">
            <val>YKBNK</val>
          </value>
        </values>
      </ddeItem>
      <ddeItem name="YKBNK.SON" advise="1">
        <values>
          <value>
            <val>11.41</val>
          </value>
        </values>
      </ddeItem>
      <ddeItem name="YKBNK.TKS.YAB.AY.PAYY" advise="1">
        <values>
          <value>
            <val>8.1897929999999999</val>
          </value>
        </values>
      </ddeItem>
      <ddeItem name="YKBNK.TKS.YAB.HAF.PAYY" advise="1">
        <values>
          <value>
            <val>2.2092589999999999</val>
          </value>
        </values>
      </ddeItem>
      <ddeItem name="YKBNK.TKS.YAB.PAYY" advise="1">
        <values>
          <value>
            <val>19.97822</val>
          </value>
        </values>
      </ddeItem>
      <ddeItem name="YKBNK.TKS.YAB.YIL.PAYY" advise="1">
        <values>
          <value>
            <val>-4.1229430000000002</val>
          </value>
        </values>
      </ddeItem>
      <ddeItem name="ZOREN.30GUNLUK.F%" advise="1">
        <values>
          <value>
            <val>81.599999999999994</val>
          </value>
        </values>
      </ddeItem>
      <ddeItem name="ZOREN.52HAFTALIK.F%" advise="1">
        <values>
          <value>
            <val>384.62</val>
          </value>
        </values>
      </ddeItem>
      <ddeItem name="ZOREN.BU.YIL.FARK%" advise="1">
        <values>
          <value>
            <val>393.37</val>
          </value>
        </values>
      </ddeItem>
      <ddeItem name="ZOREN.GUN.F%" advise="1">
        <values>
          <value>
            <val>5.68</val>
          </value>
        </values>
      </ddeItem>
      <ddeItem name="ZOREN.SEMBOL" advise="1">
        <values>
          <value t="str">
            <val>ZOREN</val>
          </value>
        </values>
      </ddeItem>
      <ddeItem name="ZOREN.SON" advise="1">
        <values>
          <value>
            <val>8.19</val>
          </value>
        </values>
      </ddeItem>
      <ddeItem name="ZOREN.TKS.YAB.AY.PAYY" advise="1">
        <values>
          <value>
            <val>-31.603459999999998</val>
          </value>
        </values>
      </ddeItem>
      <ddeItem name="ZOREN.TKS.YAB.HAF.PAYY" advise="1">
        <values>
          <value>
            <val>13.47354</val>
          </value>
        </values>
      </ddeItem>
      <ddeItem name="ZOREN.TKS.YAB.PAYY" advise="1">
        <values>
          <value>
            <val>5.2247620000000001</val>
          </value>
        </values>
      </ddeItem>
      <ddeItem name="ZOREN.TKS.YAB.YIL.PAYY" advise="1">
        <values>
          <value>
            <val>56.550820000000002</val>
          </value>
        </values>
      </ddeItem>
      <ddeItem name="ZRGYO.30GUNLUK.F%" advise="1">
        <values>
          <value>
            <val>24.08</val>
          </value>
        </values>
      </ddeItem>
      <ddeItem name="ZRGYO.52HAFTALIK.F%" advise="1">
        <values>
          <value>
            <val>117.87</val>
          </value>
        </values>
      </ddeItem>
      <ddeItem name="ZRGYO.BU.YIL.FARK%" advise="1">
        <values>
          <value>
            <val>108.01</val>
          </value>
        </values>
      </ddeItem>
      <ddeItem name="ZRGYO.GUN.F%" advise="1">
        <values>
          <value>
            <val>6.09</val>
          </value>
        </values>
      </ddeItem>
      <ddeItem name="ZRGYO.SEMBOL" advise="1">
        <values>
          <value t="str">
            <val>ZRGYO</val>
          </value>
        </values>
      </ddeItem>
      <ddeItem name="ZRGYO.SON" advise="1">
        <values>
          <value>
            <val>5.05</val>
          </value>
        </values>
      </ddeItem>
      <ddeItem name="ZRGYO.TKS.YAB.AY.PAYY" advise="1">
        <values>
          <value>
            <val>13.76342</val>
          </value>
        </values>
      </ddeItem>
      <ddeItem name="ZRGYO.TKS.YAB.HAF.PAYY" advise="1">
        <values>
          <value>
            <val>-0.16704830000000001</val>
          </value>
        </values>
      </ddeItem>
      <ddeItem name="ZRGYO.TKS.YAB.PAYY" advise="1">
        <values>
          <value>
            <val>5.4070090000000004</val>
          </value>
        </values>
      </ddeItem>
      <ddeItem name="ZRGYO.TKS.YAB.YIL.PAYY" advise="1">
        <values>
          <value>
            <val>481.41890000000001</val>
          </value>
        </values>
      </ddeItem>
    </ddeItems>
  </ddeLink>
</externalLink>
</file>

<file path=xl/tables/table1.xml><?xml version="1.0" encoding="utf-8"?>
<table xmlns="http://schemas.openxmlformats.org/spreadsheetml/2006/main" id="7" name="Table7" displayName="Table7" ref="A12:I112" totalsRowShown="0" headerRowDxfId="72" dataDxfId="70" headerRowBorderDxfId="71" tableBorderDxfId="69">
  <autoFilter ref="A12:I112"/>
  <sortState ref="A15:I114">
    <sortCondition ref="A15"/>
  </sortState>
  <tableColumns count="9">
    <tableColumn id="1" name="HİSSELER " dataDxfId="68"/>
    <tableColumn id="2" name="KAPANIŞ " dataDxfId="67">
      <calculatedColumnFormula>_xll.AnalizExpert.AnalizExpertIslem.HisseKapanis($A13)</calculatedColumnFormula>
    </tableColumn>
    <tableColumn id="3" name="GÜNLÜK GETİRİ " dataDxfId="66">
      <calculatedColumnFormula>_xll.AnalizExpert.AnalizExpertIslem.HisseGetiri($A13)</calculatedColumnFormula>
    </tableColumn>
    <tableColumn id="4" name="HAFTA BAŞI GETİRİ " dataDxfId="65">
      <calculatedColumnFormula>_xll.AnalizExpert.AnalizExpertIslem.HisseGetiri($A13,"hb")</calculatedColumnFormula>
    </tableColumn>
    <tableColumn id="5" name="HAFTALIK GETİRİ " dataDxfId="64">
      <calculatedColumnFormula>_xll.AnalizExpert.AnalizExpertIslem.HisseGetiri($A13,"s1h")</calculatedColumnFormula>
    </tableColumn>
    <tableColumn id="6" name="AYBAŞI GETİRİ " dataDxfId="63">
      <calculatedColumnFormula>_xll.AnalizExpert.AnalizExpertIslem.HisseGetiri($A13,"ab")</calculatedColumnFormula>
    </tableColumn>
    <tableColumn id="7" name="AYLIK GETİRİ " dataDxfId="62">
      <calculatedColumnFormula>_xll.AnalizExpert.AnalizExpertIslem.HisseGetiri($A13,"s1a")</calculatedColumnFormula>
    </tableColumn>
    <tableColumn id="8" name="YILBAŞI GETİRİ " dataDxfId="61">
      <calculatedColumnFormula>_xll.AnalizExpert.AnalizExpertIslem.HisseGetiri($A13,"yt")</calculatedColumnFormula>
    </tableColumn>
    <tableColumn id="9" name="YILLIK GETİRİ" dataDxfId="60">
      <calculatedColumnFormula>_xll.AnalizExpert.AnalizExpertIslem.HisseGetiri($A13,"s1y")</calculatedColumnFormula>
    </tableColumn>
  </tableColumns>
  <tableStyleInfo name="TableStyleLight1" showFirstColumn="0" showLastColumn="0" showRowStripes="1" showColumnStripes="0"/>
</table>
</file>

<file path=xl/tables/table2.xml><?xml version="1.0" encoding="utf-8"?>
<table xmlns="http://schemas.openxmlformats.org/spreadsheetml/2006/main" id="6" name="Table6" displayName="Table6" ref="A13:J113" totalsRowShown="0" headerRowDxfId="59" dataDxfId="58" tableBorderDxfId="57">
  <autoFilter ref="A13:J113"/>
  <sortState ref="A7:J106">
    <sortCondition ref="A7"/>
  </sortState>
  <tableColumns count="10">
    <tableColumn id="1" name="Hisseler" dataDxfId="56"/>
    <tableColumn id="2" name="Kapanış " dataDxfId="55">
      <calculatedColumnFormula>_xll.AnalizExpert.AnalizExpertIslem.HisseKapanis($A14)</calculatedColumnFormula>
    </tableColumn>
    <tableColumn id="3" name="Basit Hareketli Ortalama" dataDxfId="54">
      <calculatedColumnFormula>_xll.AnalizExpert.AnalizExpertIslem.IndMov($A14,14,"S",0,"",,"G")</calculatedColumnFormula>
    </tableColumn>
    <tableColumn id="4" name="Üssel Hareketli Ortalama" dataDxfId="53">
      <calculatedColumnFormula>_xll.AnalizExpert.AnalizExpertIslem.IndMov($A14,14,"E",0,"",,"G")</calculatedColumnFormula>
    </tableColumn>
    <tableColumn id="5" name="Ağırlıklı Hareketli Ortalama" dataDxfId="52">
      <calculatedColumnFormula>_xll.AnalizExpert.AnalizExpertIslem.IndMov($A14,14,"W",0,"",,"G")</calculatedColumnFormula>
    </tableColumn>
    <tableColumn id="6" name="RSI " dataDxfId="51">
      <calculatedColumnFormula>_xll.AnalizExpert.AnalizExpertIslem.IndRSI($A14,14,"",,"G")</calculatedColumnFormula>
    </tableColumn>
    <tableColumn id="7" name="ATR " dataDxfId="50">
      <calculatedColumnFormula>_xll.AnalizExpert.AnalizExpertIslem.IndAtr($A14,14,"",,"G")</calculatedColumnFormula>
    </tableColumn>
    <tableColumn id="8" name="Bollinger Alt Bandı " dataDxfId="49">
      <calculatedColumnFormula>_xll.AnalizExpert.AnalizExpertIslem.IndBBandBot($A14,20,"S","",,"G",,2)</calculatedColumnFormula>
    </tableColumn>
    <tableColumn id="9" name="Bollinger Üst Bandı " dataDxfId="48">
      <calculatedColumnFormula>_xll.AnalizExpert.AnalizExpertIslem.IndBBandTop($A14,20,"S","",,"G",,2)</calculatedColumnFormula>
    </tableColumn>
    <tableColumn id="10" name="Momentum" dataDxfId="47">
      <calculatedColumnFormula>_xll.AnalizExpert.AnalizExpertIslem.IndMOM($A14,12,"S",0,"",,"G")</calculatedColumnFormula>
    </tableColumn>
  </tableColumns>
  <tableStyleInfo name="TableStyleLight1" showFirstColumn="0" showLastColumn="0" showRowStripes="1" showColumnStripes="0"/>
</table>
</file>

<file path=xl/tables/table3.xml><?xml version="1.0" encoding="utf-8"?>
<table xmlns="http://schemas.openxmlformats.org/spreadsheetml/2006/main" id="2" name="Table2" displayName="Table2" ref="A5:J12" totalsRowShown="0" headerRowDxfId="46" dataDxfId="45" tableBorderDxfId="44">
  <autoFilter ref="A5:J12"/>
  <tableColumns count="10">
    <tableColumn id="1" name="Hisseler" dataDxfId="43"/>
    <tableColumn id="2" name="Kapanış " dataDxfId="42">
      <calculatedColumnFormula>_xll.AnalizExpert.AnalizExpertIslem.EndeksKapanis($A6)</calculatedColumnFormula>
    </tableColumn>
    <tableColumn id="3" name="Basit Hareketli Ortalama" dataDxfId="41">
      <calculatedColumnFormula>_xll.AnalizExpert.AnalizExpertIslem.IndMov($A6,14,"S",0,"",,"G")</calculatedColumnFormula>
    </tableColumn>
    <tableColumn id="4" name="Üssel Hareketli Ortalama" dataDxfId="40">
      <calculatedColumnFormula>_xll.AnalizExpert.AnalizExpertIslem.IndMov($A6,14,"E",0,"",,"G")</calculatedColumnFormula>
    </tableColumn>
    <tableColumn id="5" name="Ağırlıklı Hareketli Ortalama" dataDxfId="39">
      <calculatedColumnFormula>_xll.AnalizExpert.AnalizExpertIslem.IndMov($A6,14,"W",0,"",,"G")</calculatedColumnFormula>
    </tableColumn>
    <tableColumn id="6" name="RSI " dataDxfId="38">
      <calculatedColumnFormula>_xll.AnalizExpert.AnalizExpertIslem.IndRSI($A6,14,"",,"G")</calculatedColumnFormula>
    </tableColumn>
    <tableColumn id="7" name="ATR " dataDxfId="37">
      <calculatedColumnFormula>_xll.AnalizExpert.AnalizExpertIslem.IndAtr($A6,14,"",,"G")</calculatedColumnFormula>
    </tableColumn>
    <tableColumn id="8" name="Bollinger Alt Bandı " dataDxfId="36">
      <calculatedColumnFormula>_xll.AnalizExpert.AnalizExpertIslem.IndBBandBot($A6,20,"S","",,"G",,2)</calculatedColumnFormula>
    </tableColumn>
    <tableColumn id="9" name="Bollinger Üst Bandı " dataDxfId="35">
      <calculatedColumnFormula>_xll.AnalizExpert.AnalizExpertIslem.IndBBandTop($A6,20,"S","",,"G",,2)</calculatedColumnFormula>
    </tableColumn>
    <tableColumn id="10" name="Momentum" dataDxfId="34">
      <calculatedColumnFormula>_xll.AnalizExpert.AnalizExpertIslem.IndMOM($A6,12,"S",0,"",,"G")</calculatedColumnFormula>
    </tableColumn>
  </tableColumns>
  <tableStyleInfo name="TableStyleLight1" showFirstColumn="0" showLastColumn="0" showRowStripes="1" showColumnStripes="0"/>
</table>
</file>

<file path=xl/tables/table4.xml><?xml version="1.0" encoding="utf-8"?>
<table xmlns="http://schemas.openxmlformats.org/spreadsheetml/2006/main" id="8" name="Table8" displayName="Table8" ref="A4:J104" totalsRowShown="0" headerRowDxfId="33" dataDxfId="31" headerRowBorderDxfId="32" tableBorderDxfId="30">
  <autoFilter ref="A4:J104"/>
  <sortState ref="A6:J105">
    <sortCondition ref="A6"/>
  </sortState>
  <tableColumns count="10">
    <tableColumn id="1" name="HİSSELER " dataDxfId="29"/>
    <tableColumn id="2" name="KAPANIŞ " dataDxfId="28">
      <calculatedColumnFormula>_xll.AnalizExpert.AnalizExpertIslem.HisseKapanis($A5)</calculatedColumnFormula>
    </tableColumn>
    <tableColumn id="3" name="PİYASA DEĞERİ" dataDxfId="27">
      <calculatedColumnFormula>_xll.AnalizExpert.AnalizExpertIslem.PiyasaDegeri($A5)</calculatedColumnFormula>
    </tableColumn>
    <tableColumn id="4" name="F/K" dataDxfId="26">
      <calculatedColumnFormula>_xll.AnalizExpert.AnalizExpertIslem.FiyatKazancDonemSonu($A5,"2022/06","TL")</calculatedColumnFormula>
    </tableColumn>
    <tableColumn id="9" name="PD/DD" dataDxfId="25">
      <calculatedColumnFormula>_xll.AnalizExpert.AnalizExpertIslem.PdDd($A5)</calculatedColumnFormula>
    </tableColumn>
    <tableColumn id="10" name="FAVÖK" dataDxfId="24">
      <calculatedColumnFormula>_xll.AnalizExpert.AnalizExpertIslem.KalemFAVOK($A5,,,1,1,1,1)</calculatedColumnFormula>
    </tableColumn>
    <tableColumn id="5" name="HBK " dataDxfId="23">
      <calculatedColumnFormula>_xll.AnalizExpert.AnalizExpertIslem.HisseBasinaKar($A5)</calculatedColumnFormula>
    </tableColumn>
    <tableColumn id="6" name="TEMETTÜ VERİMİ" dataDxfId="22">
      <calculatedColumnFormula>_xll.AnalizExpert.AnalizExpertIslem.TemettuVerimi($A5,"",0)</calculatedColumnFormula>
    </tableColumn>
    <tableColumn id="7" name="BRÜT MARJ" dataDxfId="21">
      <calculatedColumnFormula>_xll.AnalizExpert.AnalizExpertIslem.HisseGetiri($A5,"yt")</calculatedColumnFormula>
    </tableColumn>
    <tableColumn id="8" name="FAALİYET MARJI" dataDxfId="20">
      <calculatedColumnFormula>_xll.AnalizExpert.AnalizExpertIslem.HisseGetiri($A5,"s1y")</calculatedColumnFormula>
    </tableColumn>
  </tableColumns>
  <tableStyleInfo name="TableStyleLight1" showFirstColumn="0" showLastColumn="0" showRowStripes="1" showColumnStripes="0"/>
</table>
</file>

<file path=xl/tables/table5.xml><?xml version="1.0" encoding="utf-8"?>
<table xmlns="http://schemas.openxmlformats.org/spreadsheetml/2006/main" id="9" name="Table9" displayName="Table9" ref="B6:E106" totalsRowShown="0" headerRowDxfId="19" headerRowBorderDxfId="18" tableBorderDxfId="17">
  <autoFilter ref="B6:E106">
    <filterColumn colId="3">
      <customFilters>
        <customFilter operator="greaterThan" val="1"/>
      </customFilters>
    </filterColumn>
  </autoFilter>
  <sortState ref="B9:E107">
    <sortCondition descending="1" ref="E9"/>
  </sortState>
  <tableColumns count="4">
    <tableColumn id="1" name="HİSSELER " dataDxfId="16"/>
    <tableColumn id="2" name="2021/06 FAVÖK" dataDxfId="15">
      <calculatedColumnFormula>_xll.AnalizExpert.AnalizExpertIslem.KalemFAVOK($B7,"2021/06K","TL",1,1,1,1)</calculatedColumnFormula>
    </tableColumn>
    <tableColumn id="3" name="2022/06 FAVÖK " dataDxfId="14">
      <calculatedColumnFormula>_xll.AnalizExpert.AnalizExpertIslem.KalemFAVOK($B7,"2022/06K","TL",1,1,1,1)</calculatedColumnFormula>
    </tableColumn>
    <tableColumn id="4" name="DEĞİŞİM (%)" dataDxfId="13" dataCellStyle="Percent">
      <calculatedColumnFormula>D7/C7-1</calculatedColumnFormula>
    </tableColumn>
  </tableColumns>
  <tableStyleInfo name="TableStyleLight1" showFirstColumn="0" showLastColumn="0" showRowStripes="1" showColumnStripes="0"/>
</table>
</file>

<file path=xl/tables/table6.xml><?xml version="1.0" encoding="utf-8"?>
<table xmlns="http://schemas.openxmlformats.org/spreadsheetml/2006/main" id="1" name="Table1" displayName="Table1" ref="B5:K105" totalsRowShown="0" headerRowDxfId="12" dataDxfId="10" headerRowBorderDxfId="11" dataCellStyle="Percent">
  <autoFilter ref="B5:K105"/>
  <sortState ref="B6:K105">
    <sortCondition descending="1" ref="K5:K105"/>
  </sortState>
  <tableColumns count="10">
    <tableColumn id="1" name="KOD " dataDxfId="9"/>
    <tableColumn id="2" name="SON FİYAT " dataDxfId="8"/>
    <tableColumn id="3" name="GÜNLÜK F% " dataDxfId="7" dataCellStyle="Percent"/>
    <tableColumn id="4" name="30 GÜNLÜK F% " dataDxfId="6" dataCellStyle="Percent"/>
    <tableColumn id="5" name="BU YIL FARK%" dataDxfId="5" dataCellStyle="Percent"/>
    <tableColumn id="6" name="52 HAFTALIK F%" dataDxfId="4" dataCellStyle="Percent"/>
    <tableColumn id="7" name="TKS. YAB. PAYY " dataDxfId="3" dataCellStyle="Percent"/>
    <tableColumn id="8" name="TKS. YAB. HAF. PAYY" dataDxfId="2" dataCellStyle="Percent"/>
    <tableColumn id="9" name="TKS. YAB. AY.PAYY" dataDxfId="1" dataCellStyle="Percent"/>
    <tableColumn id="10" name="TKS. YAB. YIL. PAY " dataDxfId="0" dataCellStyle="Perce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29"/>
  <sheetViews>
    <sheetView showGridLines="0" tabSelected="1" view="pageBreakPreview" zoomScale="70" zoomScaleNormal="70" zoomScaleSheetLayoutView="70" zoomScalePageLayoutView="55" workbookViewId="0">
      <selection activeCell="F9" sqref="F9"/>
    </sheetView>
  </sheetViews>
  <sheetFormatPr defaultColWidth="9.1796875" defaultRowHeight="14.5" x14ac:dyDescent="0.35"/>
  <cols>
    <col min="1" max="1" width="11.54296875" style="72" bestFit="1" customWidth="1"/>
    <col min="2" max="2" width="12.1796875" style="73" customWidth="1"/>
    <col min="3" max="4" width="12.81640625" style="73" bestFit="1" customWidth="1"/>
    <col min="5" max="5" width="11.54296875" style="73" bestFit="1" customWidth="1"/>
    <col min="6" max="6" width="8.7265625" style="73" bestFit="1" customWidth="1"/>
    <col min="7" max="7" width="11.54296875" style="73" customWidth="1"/>
    <col min="8" max="8" width="12.1796875" style="73" customWidth="1"/>
    <col min="9" max="9" width="11.54296875" style="73" bestFit="1" customWidth="1"/>
    <col min="10" max="11" width="17.7265625" style="73" customWidth="1"/>
    <col min="12" max="12" width="25.54296875" style="73" customWidth="1"/>
    <col min="13" max="13" width="23.54296875" style="73" customWidth="1"/>
    <col min="14" max="14" width="3" style="73" customWidth="1"/>
    <col min="15" max="15" width="11.26953125" style="73" customWidth="1"/>
    <col min="16" max="16384" width="9.1796875" style="73"/>
  </cols>
  <sheetData>
    <row r="1" spans="1:13" s="71" customFormat="1" x14ac:dyDescent="0.35">
      <c r="A1" s="110"/>
      <c r="B1" s="111"/>
      <c r="C1" s="111"/>
      <c r="D1" s="111"/>
      <c r="E1" s="111"/>
      <c r="F1" s="166" t="s">
        <v>149</v>
      </c>
      <c r="G1" s="166"/>
      <c r="H1" s="166"/>
      <c r="I1" s="166"/>
      <c r="J1" s="166"/>
      <c r="K1" s="166"/>
      <c r="L1" s="40"/>
      <c r="M1" s="169">
        <f ca="1">TODAY()</f>
        <v>44886</v>
      </c>
    </row>
    <row r="2" spans="1:13" ht="15" customHeight="1" x14ac:dyDescent="0.35">
      <c r="A2" s="112"/>
      <c r="B2" s="113"/>
      <c r="C2" s="113"/>
      <c r="D2" s="113"/>
      <c r="E2" s="113"/>
      <c r="F2" s="167"/>
      <c r="G2" s="167"/>
      <c r="H2" s="167"/>
      <c r="I2" s="167"/>
      <c r="J2" s="167"/>
      <c r="K2" s="167"/>
      <c r="L2" s="20"/>
      <c r="M2" s="170"/>
    </row>
    <row r="3" spans="1:13" ht="15" customHeight="1" x14ac:dyDescent="0.35">
      <c r="A3" s="112"/>
      <c r="B3" s="113"/>
      <c r="C3" s="113"/>
      <c r="D3" s="113"/>
      <c r="E3" s="113"/>
      <c r="F3" s="167"/>
      <c r="G3" s="167"/>
      <c r="H3" s="167"/>
      <c r="I3" s="167"/>
      <c r="J3" s="167"/>
      <c r="K3" s="167"/>
      <c r="L3" s="114"/>
      <c r="M3" s="170"/>
    </row>
    <row r="4" spans="1:13" ht="15" thickBot="1" x14ac:dyDescent="0.4">
      <c r="A4" s="115"/>
      <c r="B4" s="116"/>
      <c r="C4" s="116"/>
      <c r="D4" s="116"/>
      <c r="E4" s="116"/>
      <c r="F4" s="168"/>
      <c r="G4" s="168"/>
      <c r="H4" s="168"/>
      <c r="I4" s="168"/>
      <c r="J4" s="168"/>
      <c r="K4" s="168"/>
      <c r="L4" s="41"/>
      <c r="M4" s="171"/>
    </row>
    <row r="5" spans="1:13" ht="42.5" thickBot="1" x14ac:dyDescent="0.4">
      <c r="A5" s="121" t="s">
        <v>164</v>
      </c>
      <c r="B5" s="122" t="s">
        <v>101</v>
      </c>
      <c r="C5" s="123" t="s">
        <v>102</v>
      </c>
      <c r="D5" s="123" t="s">
        <v>103</v>
      </c>
      <c r="E5" s="123" t="s">
        <v>104</v>
      </c>
      <c r="F5" s="123" t="s">
        <v>105</v>
      </c>
      <c r="G5" s="123" t="s">
        <v>106</v>
      </c>
      <c r="H5" s="123" t="s">
        <v>107</v>
      </c>
      <c r="I5" s="123" t="s">
        <v>108</v>
      </c>
      <c r="J5" s="123" t="s">
        <v>109</v>
      </c>
      <c r="K5" s="123" t="s">
        <v>110</v>
      </c>
      <c r="L5" s="123" t="s">
        <v>111</v>
      </c>
      <c r="M5" s="124" t="s">
        <v>112</v>
      </c>
    </row>
    <row r="6" spans="1:13" s="120" customFormat="1" x14ac:dyDescent="0.35">
      <c r="A6" s="117" t="s">
        <v>132</v>
      </c>
      <c r="B6" s="90">
        <f>_xll.AnalizExpert.AnalizExpertIslem.DestekDirencSeviye($A6,"Fibonacci","Sp3")</f>
        <v>4777.7833333333328</v>
      </c>
      <c r="C6" s="90">
        <f>_xll.AnalizExpert.AnalizExpertIslem.DestekDirencSeviye($A6,"Fibonacci","Sp2")</f>
        <v>4825.7969133333327</v>
      </c>
      <c r="D6" s="90">
        <f>_xll.AnalizExpert.AnalizExpertIslem.DestekDirencSeviye($A6,"Fibonacci","Sp1")</f>
        <v>4855.4597533333326</v>
      </c>
      <c r="E6" s="90">
        <f>_xll.AnalizExpert.AnalizExpertIslem.EndeksKapanis($A6,#REF!-1)</f>
        <v>4945.37</v>
      </c>
      <c r="F6" s="90">
        <f>_xll.AnalizExpert.AnalizExpertIslem.PivotNoktasi("XU030")</f>
        <v>4903.4733333333324</v>
      </c>
      <c r="G6" s="90">
        <f>_xll.AnalizExpert.AnalizExpertIslem.DestekDirencSeviye($A6,"Fibonacci","Rs1")</f>
        <v>4951.4869133333323</v>
      </c>
      <c r="H6" s="90">
        <f>_xll.AnalizExpert.AnalizExpertIslem.DestekDirencSeviye($A6,"Fibonacci","Rs2")</f>
        <v>4981.1497533333322</v>
      </c>
      <c r="I6" s="90">
        <f>_xll.AnalizExpert.AnalizExpertIslem.DestekDirencSeviye($A6,"Fibonacci","Rs3")</f>
        <v>5029.163333333332</v>
      </c>
      <c r="J6" s="91">
        <f>C6/E6-1</f>
        <v>-2.4178794845818863E-2</v>
      </c>
      <c r="K6" s="91">
        <f>H6/E6-1</f>
        <v>7.2350002797227919E-3</v>
      </c>
      <c r="L6" s="90">
        <f>_xll.AnalizExpert.AnalizExpertIslem.EndeksDusuk($A6,"s1h")</f>
        <v>4822.42</v>
      </c>
      <c r="M6" s="92">
        <f>_xll.AnalizExpert.AnalizExpertIslem.EndeksYuksek($A6,"s1h")</f>
        <v>4953.26</v>
      </c>
    </row>
    <row r="7" spans="1:13" s="120" customFormat="1" x14ac:dyDescent="0.35">
      <c r="A7" s="118" t="s">
        <v>133</v>
      </c>
      <c r="B7" s="94">
        <f>_xll.AnalizExpert.AnalizExpertIslem.DestekDirencSeviye($A7,"Fibonacci","Sp3")</f>
        <v>3877.9933333333333</v>
      </c>
      <c r="C7" s="94">
        <f>_xll.AnalizExpert.AnalizExpertIslem.DestekDirencSeviye($A7,"Fibonacci","Sp2")</f>
        <v>3915.4178733333333</v>
      </c>
      <c r="D7" s="94">
        <f>_xll.AnalizExpert.AnalizExpertIslem.DestekDirencSeviye($A7,"Fibonacci","Sp1")</f>
        <v>3938.5387933333332</v>
      </c>
      <c r="E7" s="94">
        <f>_xll.AnalizExpert.AnalizExpertIslem.EndeksKapanis($A7,#REF!-1)</f>
        <v>4008.62</v>
      </c>
      <c r="F7" s="94">
        <f>_xll.AnalizExpert.AnalizExpertIslem.PivotNoktasi("XU030")</f>
        <v>4903.4733333333324</v>
      </c>
      <c r="G7" s="94">
        <f>_xll.AnalizExpert.AnalizExpertIslem.DestekDirencSeviye($A7,"Fibonacci","Rs1")</f>
        <v>4013.3878733333331</v>
      </c>
      <c r="H7" s="94">
        <f>_xll.AnalizExpert.AnalizExpertIslem.DestekDirencSeviye($A7,"Fibonacci","Rs2")</f>
        <v>4036.508793333333</v>
      </c>
      <c r="I7" s="94">
        <f>_xll.AnalizExpert.AnalizExpertIslem.DestekDirencSeviye($A7,"Fibonacci","Rs3")</f>
        <v>4073.9333333333329</v>
      </c>
      <c r="J7" s="95">
        <f t="shared" ref="J7:J12" si="0">C7/E7-1</f>
        <v>-2.325042699648916E-2</v>
      </c>
      <c r="K7" s="95">
        <f t="shared" ref="K7:K12" si="1">H7/E7-1</f>
        <v>6.9572055553615009E-3</v>
      </c>
      <c r="L7" s="94">
        <f>_xll.AnalizExpert.AnalizExpertIslem.EndeksDusuk($A7,"s1h")</f>
        <v>3919.63</v>
      </c>
      <c r="M7" s="96">
        <f>_xll.AnalizExpert.AnalizExpertIslem.EndeksYuksek($A7,"s1h")</f>
        <v>4019.75</v>
      </c>
    </row>
    <row r="8" spans="1:13" s="120" customFormat="1" x14ac:dyDescent="0.35">
      <c r="A8" s="118" t="s">
        <v>165</v>
      </c>
      <c r="B8" s="94">
        <f>_xll.AnalizExpert.AnalizExpertIslem.DestekDirencSeviye($A8,"Fibonacci","Sp3")</f>
        <v>4427.9333333333325</v>
      </c>
      <c r="C8" s="94">
        <f>_xll.AnalizExpert.AnalizExpertIslem.DestekDirencSeviye($A8,"Fibonacci","Sp2")</f>
        <v>4468.7271133333325</v>
      </c>
      <c r="D8" s="94">
        <f>_xll.AnalizExpert.AnalizExpertIslem.DestekDirencSeviye($A8,"Fibonacci","Sp1")</f>
        <v>4493.9295533333325</v>
      </c>
      <c r="E8" s="94">
        <f>_xll.AnalizExpert.AnalizExpertIslem.EndeksKapanis($A8,#REF!-1)</f>
        <v>4570.32</v>
      </c>
      <c r="F8" s="94">
        <f>_xll.AnalizExpert.AnalizExpertIslem.PivotNoktasi("XU030")</f>
        <v>4903.4733333333324</v>
      </c>
      <c r="G8" s="94">
        <f>_xll.AnalizExpert.AnalizExpertIslem.DestekDirencSeviye($A8,"Fibonacci","Rs1")</f>
        <v>4575.5171133333324</v>
      </c>
      <c r="H8" s="94">
        <f>_xll.AnalizExpert.AnalizExpertIslem.DestekDirencSeviye($A8,"Fibonacci","Rs2")</f>
        <v>4600.7195533333324</v>
      </c>
      <c r="I8" s="94">
        <f>_xll.AnalizExpert.AnalizExpertIslem.DestekDirencSeviye($A8,"Fibonacci","Rs3")</f>
        <v>4641.5133333333324</v>
      </c>
      <c r="J8" s="95">
        <f t="shared" si="0"/>
        <v>-2.2228834450687796E-2</v>
      </c>
      <c r="K8" s="95">
        <f t="shared" si="1"/>
        <v>6.6515152841228886E-3</v>
      </c>
      <c r="L8" s="94">
        <f>_xll.AnalizExpert.AnalizExpertIslem.EndeksDusuk($A8,"s1h")</f>
        <v>4449.8</v>
      </c>
      <c r="M8" s="96">
        <f>_xll.AnalizExpert.AnalizExpertIslem.EndeksYuksek($A8,"s1h")</f>
        <v>4571.16</v>
      </c>
    </row>
    <row r="9" spans="1:13" s="120" customFormat="1" x14ac:dyDescent="0.35">
      <c r="A9" s="118" t="s">
        <v>161</v>
      </c>
      <c r="B9" s="94">
        <f>_xll.AnalizExpert.AnalizExpertIslem.DestekDirencSeviye($A9,"Fibonacci","Sp3")</f>
        <v>4025.916666666667</v>
      </c>
      <c r="C9" s="94">
        <f>_xll.AnalizExpert.AnalizExpertIslem.DestekDirencSeviye($A9,"Fibonacci","Sp2")</f>
        <v>4087.8961666666669</v>
      </c>
      <c r="D9" s="94">
        <f>_xll.AnalizExpert.AnalizExpertIslem.DestekDirencSeviye($A9,"Fibonacci","Sp1")</f>
        <v>4126.1871666666666</v>
      </c>
      <c r="E9" s="94">
        <f>_xll.AnalizExpert.AnalizExpertIslem.EndeksKapanis($A9,#REF!-1)</f>
        <v>4242.25</v>
      </c>
      <c r="F9" s="94">
        <f>_xll.AnalizExpert.AnalizExpertIslem.PivotNoktasi("XU030")</f>
        <v>4903.4733333333324</v>
      </c>
      <c r="G9" s="94">
        <f>_xll.AnalizExpert.AnalizExpertIslem.DestekDirencSeviye($A9,"Fibonacci","Rs1")</f>
        <v>4250.1461666666673</v>
      </c>
      <c r="H9" s="94">
        <f>_xll.AnalizExpert.AnalizExpertIslem.DestekDirencSeviye($A9,"Fibonacci","Rs2")</f>
        <v>4288.4371666666666</v>
      </c>
      <c r="I9" s="94">
        <f>_xll.AnalizExpert.AnalizExpertIslem.DestekDirencSeviye($A9,"Fibonacci","Rs3")</f>
        <v>4350.416666666667</v>
      </c>
      <c r="J9" s="95">
        <f t="shared" si="0"/>
        <v>-3.638489795116584E-2</v>
      </c>
      <c r="K9" s="95">
        <f t="shared" si="1"/>
        <v>1.0887422161981686E-2</v>
      </c>
      <c r="L9" s="94">
        <f>_xll.AnalizExpert.AnalizExpertIslem.EndeksDusuk($A9,"s1h")</f>
        <v>3811.05</v>
      </c>
      <c r="M9" s="96">
        <f>_xll.AnalizExpert.AnalizExpertIslem.EndeksYuksek($A9,"s1h")</f>
        <v>3893.16</v>
      </c>
    </row>
    <row r="10" spans="1:13" x14ac:dyDescent="0.35">
      <c r="A10" s="119" t="s">
        <v>166</v>
      </c>
      <c r="B10" s="94">
        <f>_xll.AnalizExpert.AnalizExpertIslem.DestekDirencSeviye($A10,"Fibonacci","Sp3")</f>
        <v>7365.4666666666672</v>
      </c>
      <c r="C10" s="94">
        <f>_xll.AnalizExpert.AnalizExpertIslem.DestekDirencSeviye($A10,"Fibonacci","Sp2")</f>
        <v>7412.1585266666671</v>
      </c>
      <c r="D10" s="94">
        <f>_xll.AnalizExpert.AnalizExpertIslem.DestekDirencSeviye($A10,"Fibonacci","Sp1")</f>
        <v>7441.0048066666668</v>
      </c>
      <c r="E10" s="94">
        <f>_xll.AnalizExpert.AnalizExpertIslem.EndeksKapanis($A10,#REF!-1)</f>
        <v>7528.44</v>
      </c>
      <c r="F10" s="94">
        <f>_xll.AnalizExpert.AnalizExpertIslem.PivotNoktasi("XU030")</f>
        <v>4903.4733333333324</v>
      </c>
      <c r="G10" s="94">
        <f>_xll.AnalizExpert.AnalizExpertIslem.DestekDirencSeviye($A10,"Fibonacci","Rs1")</f>
        <v>7534.3885266666666</v>
      </c>
      <c r="H10" s="94">
        <f>_xll.AnalizExpert.AnalizExpertIslem.DestekDirencSeviye($A10,"Fibonacci","Rs2")</f>
        <v>7563.2348066666664</v>
      </c>
      <c r="I10" s="94">
        <f>_xll.AnalizExpert.AnalizExpertIslem.DestekDirencSeviye($A10,"Fibonacci","Rs3")</f>
        <v>7609.9266666666663</v>
      </c>
      <c r="J10" s="95">
        <f t="shared" si="0"/>
        <v>-1.5445626628269982E-2</v>
      </c>
      <c r="K10" s="95">
        <f t="shared" si="1"/>
        <v>4.6217817591249766E-3</v>
      </c>
      <c r="L10" s="94">
        <f>_xll.AnalizExpert.AnalizExpertIslem.EndeksDusuk($A10,"s1h")</f>
        <v>7282.99</v>
      </c>
      <c r="M10" s="96">
        <f>_xll.AnalizExpert.AnalizExpertIslem.EndeksYuksek($A10,"s1h")</f>
        <v>7551.9</v>
      </c>
    </row>
    <row r="11" spans="1:13" x14ac:dyDescent="0.35">
      <c r="A11" s="119" t="s">
        <v>167</v>
      </c>
      <c r="B11" s="94">
        <f>_xll.AnalizExpert.AnalizExpertIslem.DestekDirencSeviye($A11,"Fibonacci","Sp3")</f>
        <v>2215.6033333333335</v>
      </c>
      <c r="C11" s="94">
        <f>_xll.AnalizExpert.AnalizExpertIslem.DestekDirencSeviye($A11,"Fibonacci","Sp2")</f>
        <v>2241.4570933333334</v>
      </c>
      <c r="D11" s="94">
        <f>_xll.AnalizExpert.AnalizExpertIslem.DestekDirencSeviye($A11,"Fibonacci","Sp1")</f>
        <v>2257.4295733333333</v>
      </c>
      <c r="E11" s="94">
        <f>_xll.AnalizExpert.AnalizExpertIslem.EndeksKapanis($A11,#REF!-1)</f>
        <v>2299.5300000000002</v>
      </c>
      <c r="F11" s="94">
        <f>_xll.AnalizExpert.AnalizExpertIslem.PivotNoktasi("XU030")</f>
        <v>4903.4733333333324</v>
      </c>
      <c r="G11" s="94">
        <f>_xll.AnalizExpert.AnalizExpertIslem.DestekDirencSeviye($A11,"Fibonacci","Rs1")</f>
        <v>2309.1370933333333</v>
      </c>
      <c r="H11" s="94">
        <f>_xll.AnalizExpert.AnalizExpertIslem.DestekDirencSeviye($A11,"Fibonacci","Rs2")</f>
        <v>2325.1095733333332</v>
      </c>
      <c r="I11" s="94">
        <f>_xll.AnalizExpert.AnalizExpertIslem.DestekDirencSeviye($A11,"Fibonacci","Rs3")</f>
        <v>2350.9633333333331</v>
      </c>
      <c r="J11" s="95">
        <f t="shared" si="0"/>
        <v>-2.5254250506262954E-2</v>
      </c>
      <c r="K11" s="95">
        <f t="shared" si="1"/>
        <v>1.1123826753002941E-2</v>
      </c>
      <c r="L11" s="94">
        <f>_xll.AnalizExpert.AnalizExpertIslem.EndeksDusuk($A11,"s1h")</f>
        <v>2082.5</v>
      </c>
      <c r="M11" s="96">
        <f>_xll.AnalizExpert.AnalizExpertIslem.EndeksYuksek($A11,"s1h")</f>
        <v>2191.44</v>
      </c>
    </row>
    <row r="12" spans="1:13" ht="15" thickBot="1" x14ac:dyDescent="0.4">
      <c r="A12" s="119" t="s">
        <v>168</v>
      </c>
      <c r="B12" s="94">
        <f>_xll.AnalizExpert.AnalizExpertIslem.DestekDirencSeviye($A12,"Fibonacci","Sp3")</f>
        <v>4333.6766666666672</v>
      </c>
      <c r="C12" s="94">
        <f>_xll.AnalizExpert.AnalizExpertIslem.DestekDirencSeviye($A12,"Fibonacci","Sp2")</f>
        <v>4380.4143666666678</v>
      </c>
      <c r="D12" s="94">
        <f>_xll.AnalizExpert.AnalizExpertIslem.DestekDirencSeviye($A12,"Fibonacci","Sp1")</f>
        <v>4409.288966666667</v>
      </c>
      <c r="E12" s="94">
        <f>_xll.AnalizExpert.AnalizExpertIslem.EndeksKapanis($A12,#REF!-1)</f>
        <v>4496.8100000000004</v>
      </c>
      <c r="F12" s="94">
        <f>_xll.AnalizExpert.AnalizExpertIslem.PivotNoktasi("XU030")</f>
        <v>4903.4733333333324</v>
      </c>
      <c r="G12" s="94">
        <f>_xll.AnalizExpert.AnalizExpertIslem.DestekDirencSeviye($A12,"Fibonacci","Rs1")</f>
        <v>4502.7643666666681</v>
      </c>
      <c r="H12" s="94">
        <f>_xll.AnalizExpert.AnalizExpertIslem.DestekDirencSeviye($A12,"Fibonacci","Rs2")</f>
        <v>4531.6389666666673</v>
      </c>
      <c r="I12" s="94">
        <f>_xll.AnalizExpert.AnalizExpertIslem.DestekDirencSeviye($A12,"Fibonacci","Rs3")</f>
        <v>4578.3766666666679</v>
      </c>
      <c r="J12" s="95">
        <f t="shared" si="0"/>
        <v>-2.5884045208343864E-2</v>
      </c>
      <c r="K12" s="95">
        <f t="shared" si="1"/>
        <v>7.7452608997639061E-3</v>
      </c>
      <c r="L12" s="94">
        <f>_xll.AnalizExpert.AnalizExpertIslem.EndeksDusuk($A12,"s1h")</f>
        <v>4263.3100000000004</v>
      </c>
      <c r="M12" s="96">
        <f>_xll.AnalizExpert.AnalizExpertIslem.EndeksYuksek($A12,"s1h")</f>
        <v>4404.51</v>
      </c>
    </row>
    <row r="13" spans="1:13" ht="42.5" thickBot="1" x14ac:dyDescent="0.4">
      <c r="A13" s="121" t="s">
        <v>138</v>
      </c>
      <c r="B13" s="122" t="s">
        <v>101</v>
      </c>
      <c r="C13" s="123" t="s">
        <v>102</v>
      </c>
      <c r="D13" s="123" t="s">
        <v>103</v>
      </c>
      <c r="E13" s="123" t="s">
        <v>104</v>
      </c>
      <c r="F13" s="123" t="s">
        <v>105</v>
      </c>
      <c r="G13" s="123" t="s">
        <v>106</v>
      </c>
      <c r="H13" s="123" t="s">
        <v>107</v>
      </c>
      <c r="I13" s="123" t="s">
        <v>108</v>
      </c>
      <c r="J13" s="123" t="s">
        <v>109</v>
      </c>
      <c r="K13" s="123" t="s">
        <v>110</v>
      </c>
      <c r="L13" s="123" t="s">
        <v>111</v>
      </c>
      <c r="M13" s="124" t="s">
        <v>112</v>
      </c>
    </row>
    <row r="14" spans="1:13" x14ac:dyDescent="0.35">
      <c r="A14" s="89" t="s">
        <v>1</v>
      </c>
      <c r="B14" s="90">
        <f>_xll.AnalizExpert.AnalizExpertIslem.DestekDirencSeviye($A14,"Fibonacci","Sp3")</f>
        <v>15.75</v>
      </c>
      <c r="C14" s="90">
        <f>_xll.AnalizExpert.AnalizExpertIslem.DestekDirencSeviye($A14,"Fibonacci","Sp2")</f>
        <v>15.979199999999999</v>
      </c>
      <c r="D14" s="90">
        <f>_xll.AnalizExpert.AnalizExpertIslem.DestekDirencSeviye($A14,"Fibonacci","Sp1")</f>
        <v>16.120799999999999</v>
      </c>
      <c r="E14" s="90">
        <f>_xll.AnalizExpert.AnalizExpertIslem.HisseKapanis($A14,#REF!-1)</f>
        <v>16.53</v>
      </c>
      <c r="F14" s="90">
        <f>_xll.AnalizExpert.AnalizExpertIslem.PivotNoktasi($A14,#REF!-1)</f>
        <v>16.349999999999998</v>
      </c>
      <c r="G14" s="90">
        <f>_xll.AnalizExpert.AnalizExpertIslem.DestekDirencSeviye($A14,"Fibonacci","Rs1")</f>
        <v>16.579199999999997</v>
      </c>
      <c r="H14" s="90">
        <f>_xll.AnalizExpert.AnalizExpertIslem.DestekDirencSeviye($A14,"Fibonacci","Rs2")</f>
        <v>16.720799999999997</v>
      </c>
      <c r="I14" s="90">
        <f>_xll.AnalizExpert.AnalizExpertIslem.DestekDirencSeviye($A14,"Fibonacci","Rs3")</f>
        <v>16.949999999999996</v>
      </c>
      <c r="J14" s="91">
        <f t="shared" ref="J14:J45" si="2">C14/E14-1</f>
        <v>-3.3321234119782384E-2</v>
      </c>
      <c r="K14" s="91">
        <f t="shared" ref="K14:K45" si="3">H14/E14-1</f>
        <v>1.1542649727767529E-2</v>
      </c>
      <c r="L14" s="90">
        <f>_xll.AnalizExpert.AnalizExpertIslem.HisseDusuk($A14,"s1h")</f>
        <v>14.9</v>
      </c>
      <c r="M14" s="92">
        <f>_xll.AnalizExpert.AnalizExpertIslem.HisseYuksek($A14,"s1h")</f>
        <v>15.23</v>
      </c>
    </row>
    <row r="15" spans="1:13" x14ac:dyDescent="0.35">
      <c r="A15" s="93" t="s">
        <v>9</v>
      </c>
      <c r="B15" s="94">
        <f>_xll.AnalizExpert.AnalizExpertIslem.DestekDirencSeviye($A15,"Fibonacci","Sp3")</f>
        <v>54.349999999999994</v>
      </c>
      <c r="C15" s="94">
        <f>_xll.AnalizExpert.AnalizExpertIslem.DestekDirencSeviye($A15,"Fibonacci","Sp2")</f>
        <v>55.629699999999993</v>
      </c>
      <c r="D15" s="94">
        <f>_xll.AnalizExpert.AnalizExpertIslem.DestekDirencSeviye($A15,"Fibonacci","Sp1")</f>
        <v>56.420299999999997</v>
      </c>
      <c r="E15" s="94">
        <f>_xll.AnalizExpert.AnalizExpertIslem.HisseKapanis($A15,O2-1)</f>
        <v>58.75</v>
      </c>
      <c r="F15" s="94">
        <f>_xll.AnalizExpert.AnalizExpertIslem.PivotNoktasi($A15,O2-1)</f>
        <v>57.699999999999996</v>
      </c>
      <c r="G15" s="94">
        <f>_xll.AnalizExpert.AnalizExpertIslem.DestekDirencSeviye($A15,"Fibonacci","Rs1")</f>
        <v>58.979699999999994</v>
      </c>
      <c r="H15" s="94">
        <f>_xll.AnalizExpert.AnalizExpertIslem.DestekDirencSeviye($A15,"Fibonacci","Rs2")</f>
        <v>59.770299999999999</v>
      </c>
      <c r="I15" s="94">
        <f>_xll.AnalizExpert.AnalizExpertIslem.DestekDirencSeviye($A15,"Fibonacci","Rs3")</f>
        <v>61.05</v>
      </c>
      <c r="J15" s="95">
        <f t="shared" si="2"/>
        <v>-5.3111489361702291E-2</v>
      </c>
      <c r="K15" s="95">
        <f t="shared" si="3"/>
        <v>1.736680851063821E-2</v>
      </c>
      <c r="L15" s="94">
        <f>_xll.AnalizExpert.AnalizExpertIslem.HisseDusuk($A15,"s1h")</f>
        <v>52.85</v>
      </c>
      <c r="M15" s="96">
        <f>_xll.AnalizExpert.AnalizExpertIslem.HisseYuksek($A15,"s1h")</f>
        <v>54.95</v>
      </c>
    </row>
    <row r="16" spans="1:13" x14ac:dyDescent="0.35">
      <c r="A16" s="93" t="s">
        <v>10</v>
      </c>
      <c r="B16" s="94">
        <f>_xll.AnalizExpert.AnalizExpertIslem.DestekDirencSeviye($A16,"Fibonacci","Sp3")</f>
        <v>87.166666666666671</v>
      </c>
      <c r="C16" s="94">
        <f>_xll.AnalizExpert.AnalizExpertIslem.DestekDirencSeviye($A16,"Fibonacci","Sp2")</f>
        <v>88.484566666666666</v>
      </c>
      <c r="D16" s="94">
        <f>_xll.AnalizExpert.AnalizExpertIslem.DestekDirencSeviye($A16,"Fibonacci","Sp1")</f>
        <v>89.29876666666668</v>
      </c>
      <c r="E16" s="94">
        <f>_xll.AnalizExpert.AnalizExpertIslem.HisseKapanis($A16,O3-1)</f>
        <v>90.5</v>
      </c>
      <c r="F16" s="94">
        <f>_xll.AnalizExpert.AnalizExpertIslem.PivotNoktasi($A16,O3-1)</f>
        <v>90.616666666666674</v>
      </c>
      <c r="G16" s="94">
        <f>_xll.AnalizExpert.AnalizExpertIslem.DestekDirencSeviye($A16,"Fibonacci","Rs1")</f>
        <v>91.934566666666669</v>
      </c>
      <c r="H16" s="94">
        <f>_xll.AnalizExpert.AnalizExpertIslem.DestekDirencSeviye($A16,"Fibonacci","Rs2")</f>
        <v>92.748766666666683</v>
      </c>
      <c r="I16" s="94">
        <f>_xll.AnalizExpert.AnalizExpertIslem.DestekDirencSeviye($A16,"Fibonacci","Rs3")</f>
        <v>94.066666666666677</v>
      </c>
      <c r="J16" s="95">
        <f t="shared" si="2"/>
        <v>-2.2269981583793785E-2</v>
      </c>
      <c r="K16" s="95">
        <f t="shared" si="3"/>
        <v>2.4848250460405286E-2</v>
      </c>
      <c r="L16" s="94">
        <f>_xll.AnalizExpert.AnalizExpertIslem.HisseDusuk($A16,"s1h")</f>
        <v>91.25</v>
      </c>
      <c r="M16" s="96">
        <f>_xll.AnalizExpert.AnalizExpertIslem.HisseYuksek($A16,"s1h")</f>
        <v>94.8</v>
      </c>
    </row>
    <row r="17" spans="1:13" x14ac:dyDescent="0.35">
      <c r="A17" s="93" t="s">
        <v>2</v>
      </c>
      <c r="B17" s="94">
        <f>_xll.AnalizExpert.AnalizExpertIslem.DestekDirencSeviye($A17,"Fibonacci","Sp3")</f>
        <v>4.2133333333333329</v>
      </c>
      <c r="C17" s="94">
        <f>_xll.AnalizExpert.AnalizExpertIslem.DestekDirencSeviye($A17,"Fibonacci","Sp2")</f>
        <v>4.259173333333333</v>
      </c>
      <c r="D17" s="94">
        <f>_xll.AnalizExpert.AnalizExpertIslem.DestekDirencSeviye($A17,"Fibonacci","Sp1")</f>
        <v>4.2874933333333329</v>
      </c>
      <c r="E17" s="94">
        <f>_xll.AnalizExpert.AnalizExpertIslem.HisseKapanis($A17,#REF!-1)</f>
        <v>4.34</v>
      </c>
      <c r="F17" s="94">
        <f>_xll.AnalizExpert.AnalizExpertIslem.PivotNoktasi($A17,#REF!-1)</f>
        <v>4.333333333333333</v>
      </c>
      <c r="G17" s="94">
        <f>_xll.AnalizExpert.AnalizExpertIslem.DestekDirencSeviye($A17,"Fibonacci","Rs1")</f>
        <v>4.3791733333333331</v>
      </c>
      <c r="H17" s="94">
        <f>_xll.AnalizExpert.AnalizExpertIslem.DestekDirencSeviye($A17,"Fibonacci","Rs2")</f>
        <v>4.407493333333333</v>
      </c>
      <c r="I17" s="94">
        <f>_xll.AnalizExpert.AnalizExpertIslem.DestekDirencSeviye($A17,"Fibonacci","Rs3")</f>
        <v>4.4533333333333331</v>
      </c>
      <c r="J17" s="95">
        <f t="shared" si="2"/>
        <v>-1.8623655913978521E-2</v>
      </c>
      <c r="K17" s="95">
        <f t="shared" si="3"/>
        <v>1.5551459293394743E-2</v>
      </c>
      <c r="L17" s="94">
        <f>_xll.AnalizExpert.AnalizExpertIslem.HisseDusuk($A17,"s1h")</f>
        <v>4.41</v>
      </c>
      <c r="M17" s="96">
        <f>_xll.AnalizExpert.AnalizExpertIslem.HisseYuksek($A17,"s1h")</f>
        <v>4.8499999999999996</v>
      </c>
    </row>
    <row r="18" spans="1:13" x14ac:dyDescent="0.35">
      <c r="A18" s="93" t="s">
        <v>3</v>
      </c>
      <c r="B18" s="94">
        <f>_xll.AnalizExpert.AnalizExpertIslem.DestekDirencSeviye($A18,"Fibonacci","Sp3")</f>
        <v>75.233333333333334</v>
      </c>
      <c r="C18" s="94">
        <f>_xll.AnalizExpert.AnalizExpertIslem.DestekDirencSeviye($A18,"Fibonacci","Sp2")</f>
        <v>76.665833333333339</v>
      </c>
      <c r="D18" s="94">
        <f>_xll.AnalizExpert.AnalizExpertIslem.DestekDirencSeviye($A18,"Fibonacci","Sp1")</f>
        <v>77.55083333333333</v>
      </c>
      <c r="E18" s="94">
        <f>_xll.AnalizExpert.AnalizExpertIslem.HisseKapanis($A18,#REF!-1)</f>
        <v>78.7</v>
      </c>
      <c r="F18" s="94">
        <f>_xll.AnalizExpert.AnalizExpertIslem.PivotNoktasi($A18,#REF!-1)</f>
        <v>78.983333333333334</v>
      </c>
      <c r="G18" s="94">
        <f>_xll.AnalizExpert.AnalizExpertIslem.DestekDirencSeviye($A18,"Fibonacci","Rs1")</f>
        <v>80.415833333333339</v>
      </c>
      <c r="H18" s="94">
        <f>_xll.AnalizExpert.AnalizExpertIslem.DestekDirencSeviye($A18,"Fibonacci","Rs2")</f>
        <v>81.30083333333333</v>
      </c>
      <c r="I18" s="94">
        <f>_xll.AnalizExpert.AnalizExpertIslem.DestekDirencSeviye($A18,"Fibonacci","Rs3")</f>
        <v>82.733333333333334</v>
      </c>
      <c r="J18" s="95">
        <f t="shared" si="2"/>
        <v>-2.5847098686996972E-2</v>
      </c>
      <c r="K18" s="95">
        <f t="shared" si="3"/>
        <v>3.3047437526471768E-2</v>
      </c>
      <c r="L18" s="94">
        <f>_xll.AnalizExpert.AnalizExpertIslem.HisseDusuk($A18,"s1h")</f>
        <v>79.8</v>
      </c>
      <c r="M18" s="96">
        <f>_xll.AnalizExpert.AnalizExpertIslem.HisseYuksek($A18,"s1h")</f>
        <v>82.85</v>
      </c>
    </row>
    <row r="19" spans="1:13" x14ac:dyDescent="0.35">
      <c r="A19" s="93" t="s">
        <v>4</v>
      </c>
      <c r="B19" s="94">
        <f>_xll.AnalizExpert.AnalizExpertIslem.DestekDirencSeviye($A19,"Fibonacci","Sp3")</f>
        <v>47.179999999999993</v>
      </c>
      <c r="C19" s="94">
        <f>_xll.AnalizExpert.AnalizExpertIslem.DestekDirencSeviye($A19,"Fibonacci","Sp2")</f>
        <v>47.615479999999991</v>
      </c>
      <c r="D19" s="94">
        <f>_xll.AnalizExpert.AnalizExpertIslem.DestekDirencSeviye($A19,"Fibonacci","Sp1")</f>
        <v>47.884519999999995</v>
      </c>
      <c r="E19" s="94">
        <f>_xll.AnalizExpert.AnalizExpertIslem.HisseKapanis($A19,#REF!-1)</f>
        <v>48.5</v>
      </c>
      <c r="F19" s="94">
        <f>_xll.AnalizExpert.AnalizExpertIslem.PivotNoktasi($A19,#REF!-1)</f>
        <v>48.319999999999993</v>
      </c>
      <c r="G19" s="94">
        <f>_xll.AnalizExpert.AnalizExpertIslem.DestekDirencSeviye($A19,"Fibonacci","Rs1")</f>
        <v>48.755479999999991</v>
      </c>
      <c r="H19" s="94">
        <f>_xll.AnalizExpert.AnalizExpertIslem.DestekDirencSeviye($A19,"Fibonacci","Rs2")</f>
        <v>49.024519999999995</v>
      </c>
      <c r="I19" s="94">
        <f>_xll.AnalizExpert.AnalizExpertIslem.DestekDirencSeviye($A19,"Fibonacci","Rs3")</f>
        <v>49.459999999999994</v>
      </c>
      <c r="J19" s="95">
        <f t="shared" si="2"/>
        <v>-1.8237525773196039E-2</v>
      </c>
      <c r="K19" s="95">
        <f t="shared" si="3"/>
        <v>1.0814845360824554E-2</v>
      </c>
      <c r="L19" s="94">
        <f>_xll.AnalizExpert.AnalizExpertIslem.HisseDusuk($A19,"s1h")</f>
        <v>46.04</v>
      </c>
      <c r="M19" s="96">
        <f>_xll.AnalizExpert.AnalizExpertIslem.HisseYuksek($A19,"s1h")</f>
        <v>48.98</v>
      </c>
    </row>
    <row r="20" spans="1:13" x14ac:dyDescent="0.35">
      <c r="A20" s="93" t="s">
        <v>6</v>
      </c>
      <c r="B20" s="94">
        <f>_xll.AnalizExpert.AnalizExpertIslem.DestekDirencSeviye($A20,"Fibonacci","Sp3")</f>
        <v>75.183333333333351</v>
      </c>
      <c r="C20" s="94">
        <f>_xll.AnalizExpert.AnalizExpertIslem.DestekDirencSeviye($A20,"Fibonacci","Sp2")</f>
        <v>76.272033333333354</v>
      </c>
      <c r="D20" s="94">
        <f>_xll.AnalizExpert.AnalizExpertIslem.DestekDirencSeviye($A20,"Fibonacci","Sp1")</f>
        <v>76.944633333333343</v>
      </c>
      <c r="E20" s="94">
        <f>_xll.AnalizExpert.AnalizExpertIslem.HisseKapanis($A20,O15-1)</f>
        <v>77.95</v>
      </c>
      <c r="F20" s="94">
        <f>_xll.AnalizExpert.AnalizExpertIslem.PivotNoktasi($A20,O15-1)</f>
        <v>78.033333333333346</v>
      </c>
      <c r="G20" s="94">
        <f>_xll.AnalizExpert.AnalizExpertIslem.DestekDirencSeviye($A20,"Fibonacci","Rs1")</f>
        <v>79.122033333333349</v>
      </c>
      <c r="H20" s="94">
        <f>_xll.AnalizExpert.AnalizExpertIslem.DestekDirencSeviye($A20,"Fibonacci","Rs2")</f>
        <v>79.794633333333337</v>
      </c>
      <c r="I20" s="94">
        <f>_xll.AnalizExpert.AnalizExpertIslem.DestekDirencSeviye($A20,"Fibonacci","Rs3")</f>
        <v>80.88333333333334</v>
      </c>
      <c r="J20" s="95">
        <f t="shared" si="2"/>
        <v>-2.1526192003420763E-2</v>
      </c>
      <c r="K20" s="95">
        <f t="shared" si="3"/>
        <v>2.3664314731665526E-2</v>
      </c>
      <c r="L20" s="94">
        <f>_xll.AnalizExpert.AnalizExpertIslem.HisseDusuk($A20,"s1h")</f>
        <v>77.75</v>
      </c>
      <c r="M20" s="96">
        <f>_xll.AnalizExpert.AnalizExpertIslem.HisseYuksek($A20,"s1h")</f>
        <v>81.5</v>
      </c>
    </row>
    <row r="21" spans="1:13" x14ac:dyDescent="0.35">
      <c r="A21" s="93" t="s">
        <v>7</v>
      </c>
      <c r="B21" s="94">
        <f>_xll.AnalizExpert.AnalizExpertIslem.DestekDirencSeviye($A21,"Fibonacci","Sp3")</f>
        <v>3.1566666666666663</v>
      </c>
      <c r="C21" s="94">
        <f>_xll.AnalizExpert.AnalizExpertIslem.DestekDirencSeviye($A21,"Fibonacci","Sp2")</f>
        <v>3.2903666666666664</v>
      </c>
      <c r="D21" s="94">
        <f>_xll.AnalizExpert.AnalizExpertIslem.DestekDirencSeviye($A21,"Fibonacci","Sp1")</f>
        <v>3.3729666666666662</v>
      </c>
      <c r="E21" s="94">
        <f>_xll.AnalizExpert.AnalizExpertIslem.HisseKapanis($A21,O16-1)</f>
        <v>3.49</v>
      </c>
      <c r="F21" s="94">
        <f>_xll.AnalizExpert.AnalizExpertIslem.PivotNoktasi($A21,O16-1)</f>
        <v>3.5066666666666664</v>
      </c>
      <c r="G21" s="94">
        <f>_xll.AnalizExpert.AnalizExpertIslem.DestekDirencSeviye($A21,"Fibonacci","Rs1")</f>
        <v>3.6403666666666665</v>
      </c>
      <c r="H21" s="94">
        <f>_xll.AnalizExpert.AnalizExpertIslem.DestekDirencSeviye($A21,"Fibonacci","Rs2")</f>
        <v>3.7229666666666663</v>
      </c>
      <c r="I21" s="94">
        <f>_xll.AnalizExpert.AnalizExpertIslem.DestekDirencSeviye($A21,"Fibonacci","Rs3")</f>
        <v>3.8566666666666665</v>
      </c>
      <c r="J21" s="95">
        <f t="shared" si="2"/>
        <v>-5.7201528175740313E-2</v>
      </c>
      <c r="K21" s="95">
        <f t="shared" si="3"/>
        <v>6.6752626552053274E-2</v>
      </c>
      <c r="L21" s="94">
        <f>_xll.AnalizExpert.AnalizExpertIslem.HisseDusuk($A21,"s1h")</f>
        <v>2.41</v>
      </c>
      <c r="M21" s="96">
        <f>_xll.AnalizExpert.AnalizExpertIslem.HisseYuksek($A21,"s1h")</f>
        <v>2.69</v>
      </c>
    </row>
    <row r="22" spans="1:13" x14ac:dyDescent="0.35">
      <c r="A22" s="93" t="s">
        <v>5</v>
      </c>
      <c r="B22" s="94">
        <f>_xll.AnalizExpert.AnalizExpertIslem.DestekDirencSeviye($A22,"Fibonacci","Sp3")</f>
        <v>66.966666666666669</v>
      </c>
      <c r="C22" s="94">
        <f>_xll.AnalizExpert.AnalizExpertIslem.DestekDirencSeviye($A22,"Fibonacci","Sp2")</f>
        <v>68.380066666666664</v>
      </c>
      <c r="D22" s="94">
        <f>_xll.AnalizExpert.AnalizExpertIslem.DestekDirencSeviye($A22,"Fibonacci","Sp1")</f>
        <v>69.253266666666676</v>
      </c>
      <c r="E22" s="94">
        <f>_xll.AnalizExpert.AnalizExpertIslem.HisseKapanis($A22,O17-1)</f>
        <v>69.900000000000006</v>
      </c>
      <c r="F22" s="94">
        <f>_xll.AnalizExpert.AnalizExpertIslem.PivotNoktasi($A22,O17-1)</f>
        <v>70.666666666666671</v>
      </c>
      <c r="G22" s="94">
        <f>_xll.AnalizExpert.AnalizExpertIslem.DestekDirencSeviye($A22,"Fibonacci","Rs1")</f>
        <v>72.080066666666667</v>
      </c>
      <c r="H22" s="94">
        <f>_xll.AnalizExpert.AnalizExpertIslem.DestekDirencSeviye($A22,"Fibonacci","Rs2")</f>
        <v>72.953266666666678</v>
      </c>
      <c r="I22" s="94">
        <f>_xll.AnalizExpert.AnalizExpertIslem.DestekDirencSeviye($A22,"Fibonacci","Rs3")</f>
        <v>74.366666666666674</v>
      </c>
      <c r="J22" s="95">
        <f t="shared" si="2"/>
        <v>-2.1744396757272355E-2</v>
      </c>
      <c r="K22" s="95">
        <f t="shared" si="3"/>
        <v>4.3680495946590403E-2</v>
      </c>
      <c r="L22" s="94">
        <f>_xll.AnalizExpert.AnalizExpertIslem.HisseDusuk($A22,"s1h")</f>
        <v>67.650000000000006</v>
      </c>
      <c r="M22" s="96">
        <f>_xll.AnalizExpert.AnalizExpertIslem.HisseYuksek($A22,"s1h")</f>
        <v>71.25</v>
      </c>
    </row>
    <row r="23" spans="1:13" x14ac:dyDescent="0.35">
      <c r="A23" s="93" t="s">
        <v>8</v>
      </c>
      <c r="B23" s="94">
        <f>_xll.AnalizExpert.AnalizExpertIslem.DestekDirencSeviye($A23,"Fibonacci","Sp3")</f>
        <v>36.96</v>
      </c>
      <c r="C23" s="94">
        <f>_xll.AnalizExpert.AnalizExpertIslem.DestekDirencSeviye($A23,"Fibonacci","Sp2")</f>
        <v>37.441319999999997</v>
      </c>
      <c r="D23" s="94">
        <f>_xll.AnalizExpert.AnalizExpertIslem.DestekDirencSeviye($A23,"Fibonacci","Sp1")</f>
        <v>37.738680000000002</v>
      </c>
      <c r="E23" s="94">
        <f>_xll.AnalizExpert.AnalizExpertIslem.HisseKapanis($A23,O18-1)</f>
        <v>38.119999999999997</v>
      </c>
      <c r="F23" s="94">
        <f>_xll.AnalizExpert.AnalizExpertIslem.PivotNoktasi($A23,O18-1)</f>
        <v>38.22</v>
      </c>
      <c r="G23" s="94">
        <f>_xll.AnalizExpert.AnalizExpertIslem.DestekDirencSeviye($A23,"Fibonacci","Rs1")</f>
        <v>38.701319999999996</v>
      </c>
      <c r="H23" s="94">
        <f>_xll.AnalizExpert.AnalizExpertIslem.DestekDirencSeviye($A23,"Fibonacci","Rs2")</f>
        <v>38.99868</v>
      </c>
      <c r="I23" s="94">
        <f>_xll.AnalizExpert.AnalizExpertIslem.DestekDirencSeviye($A23,"Fibonacci","Rs3")</f>
        <v>39.479999999999997</v>
      </c>
      <c r="J23" s="95">
        <f t="shared" si="2"/>
        <v>-1.7803777544596056E-2</v>
      </c>
      <c r="K23" s="95">
        <f t="shared" si="3"/>
        <v>2.3050367261280291E-2</v>
      </c>
      <c r="L23" s="94">
        <f>_xll.AnalizExpert.AnalizExpertIslem.HisseDusuk($A23,"s1h")</f>
        <v>40.340000000000003</v>
      </c>
      <c r="M23" s="96">
        <f>_xll.AnalizExpert.AnalizExpertIslem.HisseYuksek($A23,"s1h")</f>
        <v>41.38</v>
      </c>
    </row>
    <row r="24" spans="1:13" x14ac:dyDescent="0.35">
      <c r="A24" s="93" t="s">
        <v>11</v>
      </c>
      <c r="B24" s="94">
        <f>_xll.AnalizExpert.AnalizExpertIslem.DestekDirencSeviye($A24,"Fibonacci","Sp3")</f>
        <v>82.566666666666677</v>
      </c>
      <c r="C24" s="94">
        <f>_xll.AnalizExpert.AnalizExpertIslem.DestekDirencSeviye($A24,"Fibonacci","Sp2")</f>
        <v>84.362066666666678</v>
      </c>
      <c r="D24" s="94">
        <f>_xll.AnalizExpert.AnalizExpertIslem.DestekDirencSeviye($A24,"Fibonacci","Sp1")</f>
        <v>85.471266666666665</v>
      </c>
      <c r="E24" s="94">
        <f>_xll.AnalizExpert.AnalizExpertIslem.HisseKapanis($A24,O19-1)</f>
        <v>88.8</v>
      </c>
      <c r="F24" s="94">
        <f>_xll.AnalizExpert.AnalizExpertIslem.PivotNoktasi($A24,O19-1)</f>
        <v>87.266666666666666</v>
      </c>
      <c r="G24" s="94">
        <f>_xll.AnalizExpert.AnalizExpertIslem.DestekDirencSeviye($A24,"Fibonacci","Rs1")</f>
        <v>89.062066666666666</v>
      </c>
      <c r="H24" s="94">
        <f>_xll.AnalizExpert.AnalizExpertIslem.DestekDirencSeviye($A24,"Fibonacci","Rs2")</f>
        <v>90.171266666666654</v>
      </c>
      <c r="I24" s="94">
        <f>_xll.AnalizExpert.AnalizExpertIslem.DestekDirencSeviye($A24,"Fibonacci","Rs3")</f>
        <v>91.966666666666654</v>
      </c>
      <c r="J24" s="95">
        <f t="shared" si="2"/>
        <v>-4.9976726726726595E-2</v>
      </c>
      <c r="K24" s="95">
        <f t="shared" si="3"/>
        <v>1.5442192192192117E-2</v>
      </c>
      <c r="L24" s="94">
        <f>_xll.AnalizExpert.AnalizExpertIslem.HisseDusuk($A24,"s1h")</f>
        <v>79</v>
      </c>
      <c r="M24" s="96">
        <f>_xll.AnalizExpert.AnalizExpertIslem.HisseYuksek($A24,"s1h")</f>
        <v>82.85</v>
      </c>
    </row>
    <row r="25" spans="1:13" x14ac:dyDescent="0.35">
      <c r="A25" s="93" t="s">
        <v>12</v>
      </c>
      <c r="B25" s="94">
        <f>_xll.AnalizExpert.AnalizExpertIslem.DestekDirencSeviye($A25,"Fibonacci","Sp3")</f>
        <v>8.3100000000000023</v>
      </c>
      <c r="C25" s="94">
        <f>_xll.AnalizExpert.AnalizExpertIslem.DestekDirencSeviye($A25,"Fibonacci","Sp2")</f>
        <v>8.6079600000000021</v>
      </c>
      <c r="D25" s="94">
        <f>_xll.AnalizExpert.AnalizExpertIslem.DestekDirencSeviye($A25,"Fibonacci","Sp1")</f>
        <v>8.7920400000000019</v>
      </c>
      <c r="E25" s="94">
        <f>_xll.AnalizExpert.AnalizExpertIslem.HisseKapanis($A25,O20-1)</f>
        <v>9.35</v>
      </c>
      <c r="F25" s="94">
        <f>_xll.AnalizExpert.AnalizExpertIslem.PivotNoktasi($A25,O20-1)</f>
        <v>9.0900000000000016</v>
      </c>
      <c r="G25" s="94">
        <f>_xll.AnalizExpert.AnalizExpertIslem.DestekDirencSeviye($A25,"Fibonacci","Rs1")</f>
        <v>9.3879600000000014</v>
      </c>
      <c r="H25" s="94">
        <f>_xll.AnalizExpert.AnalizExpertIslem.DestekDirencSeviye($A25,"Fibonacci","Rs2")</f>
        <v>9.5720400000000012</v>
      </c>
      <c r="I25" s="94">
        <f>_xll.AnalizExpert.AnalizExpertIslem.DestekDirencSeviye($A25,"Fibonacci","Rs3")</f>
        <v>9.870000000000001</v>
      </c>
      <c r="J25" s="95">
        <f t="shared" si="2"/>
        <v>-7.9362566844919491E-2</v>
      </c>
      <c r="K25" s="95">
        <f t="shared" si="3"/>
        <v>2.3747593582887916E-2</v>
      </c>
      <c r="L25" s="94">
        <f>_xll.AnalizExpert.AnalizExpertIslem.HisseDusuk($A25,"s1h")</f>
        <v>7.83</v>
      </c>
      <c r="M25" s="96">
        <f>_xll.AnalizExpert.AnalizExpertIslem.HisseYuksek($A25,"s1h")</f>
        <v>8.1999999999999993</v>
      </c>
    </row>
    <row r="26" spans="1:13" x14ac:dyDescent="0.35">
      <c r="A26" s="93" t="s">
        <v>13</v>
      </c>
      <c r="B26" s="94">
        <f>_xll.AnalizExpert.AnalizExpertIslem.DestekDirencSeviye($A26,"Fibonacci","Sp3")</f>
        <v>39.366666666666667</v>
      </c>
      <c r="C26" s="94">
        <f>_xll.AnalizExpert.AnalizExpertIslem.DestekDirencSeviye($A26,"Fibonacci","Sp2")</f>
        <v>40.000786666666663</v>
      </c>
      <c r="D26" s="94">
        <f>_xll.AnalizExpert.AnalizExpertIslem.DestekDirencSeviye($A26,"Fibonacci","Sp1")</f>
        <v>40.392546666666668</v>
      </c>
      <c r="E26" s="94">
        <f>_xll.AnalizExpert.AnalizExpertIslem.HisseKapanis($A26,O21-1)</f>
        <v>41.58</v>
      </c>
      <c r="F26" s="94">
        <f>_xll.AnalizExpert.AnalizExpertIslem.PivotNoktasi($A26,O21-1)</f>
        <v>41.026666666666664</v>
      </c>
      <c r="G26" s="94">
        <f>_xll.AnalizExpert.AnalizExpertIslem.DestekDirencSeviye($A26,"Fibonacci","Rs1")</f>
        <v>41.66078666666666</v>
      </c>
      <c r="H26" s="94">
        <f>_xll.AnalizExpert.AnalizExpertIslem.DestekDirencSeviye($A26,"Fibonacci","Rs2")</f>
        <v>42.052546666666665</v>
      </c>
      <c r="I26" s="94">
        <f>_xll.AnalizExpert.AnalizExpertIslem.DestekDirencSeviye($A26,"Fibonacci","Rs3")</f>
        <v>42.68666666666666</v>
      </c>
      <c r="J26" s="95">
        <f t="shared" si="2"/>
        <v>-3.798011864678541E-2</v>
      </c>
      <c r="K26" s="95">
        <f t="shared" si="3"/>
        <v>1.1364758698092059E-2</v>
      </c>
      <c r="L26" s="94">
        <f>_xll.AnalizExpert.AnalizExpertIslem.HisseDusuk($A26,"s1h")</f>
        <v>38.629623190912618</v>
      </c>
      <c r="M26" s="96">
        <f>_xll.AnalizExpert.AnalizExpertIslem.HisseYuksek($A26,"s1h")</f>
        <v>42.331379972731142</v>
      </c>
    </row>
    <row r="27" spans="1:13" x14ac:dyDescent="0.35">
      <c r="A27" s="93" t="s">
        <v>14</v>
      </c>
      <c r="B27" s="94">
        <f>_xll.AnalizExpert.AnalizExpertIslem.DestekDirencSeviye($A27,"Fibonacci","Sp3")</f>
        <v>17.836666666666666</v>
      </c>
      <c r="C27" s="94">
        <f>_xll.AnalizExpert.AnalizExpertIslem.DestekDirencSeviye($A27,"Fibonacci","Sp2")</f>
        <v>18.054406666666665</v>
      </c>
      <c r="D27" s="94">
        <f>_xll.AnalizExpert.AnalizExpertIslem.DestekDirencSeviye($A27,"Fibonacci","Sp1")</f>
        <v>18.188926666666667</v>
      </c>
      <c r="E27" s="94">
        <f>_xll.AnalizExpert.AnalizExpertIslem.HisseKapanis($A27,O22-1)</f>
        <v>18.55</v>
      </c>
      <c r="F27" s="94">
        <f>_xll.AnalizExpert.AnalizExpertIslem.PivotNoktasi($A27,O22-1)</f>
        <v>18.406666666666666</v>
      </c>
      <c r="G27" s="94">
        <f>_xll.AnalizExpert.AnalizExpertIslem.DestekDirencSeviye($A27,"Fibonacci","Rs1")</f>
        <v>18.624406666666665</v>
      </c>
      <c r="H27" s="94">
        <f>_xll.AnalizExpert.AnalizExpertIslem.DestekDirencSeviye($A27,"Fibonacci","Rs2")</f>
        <v>18.758926666666667</v>
      </c>
      <c r="I27" s="94">
        <f>_xll.AnalizExpert.AnalizExpertIslem.DestekDirencSeviye($A27,"Fibonacci","Rs3")</f>
        <v>18.976666666666667</v>
      </c>
      <c r="J27" s="95">
        <f t="shared" si="2"/>
        <v>-2.6716621743036906E-2</v>
      </c>
      <c r="K27" s="95">
        <f t="shared" si="3"/>
        <v>1.1262893081761094E-2</v>
      </c>
      <c r="L27" s="94">
        <f>_xll.AnalizExpert.AnalizExpertIslem.HisseDusuk($A27,"s1h")</f>
        <v>17.21</v>
      </c>
      <c r="M27" s="96">
        <f>_xll.AnalizExpert.AnalizExpertIslem.HisseYuksek($A27,"s1h")</f>
        <v>18.16</v>
      </c>
    </row>
    <row r="28" spans="1:13" x14ac:dyDescent="0.35">
      <c r="A28" s="93" t="s">
        <v>15</v>
      </c>
      <c r="B28" s="94">
        <f>_xll.AnalizExpert.AnalizExpertIslem.DestekDirencSeviye($A28,"Fibonacci","Sp3")</f>
        <v>39.686666666666667</v>
      </c>
      <c r="C28" s="94">
        <f>_xll.AnalizExpert.AnalizExpertIslem.DestekDirencSeviye($A28,"Fibonacci","Sp2")</f>
        <v>40.259666666666668</v>
      </c>
      <c r="D28" s="94">
        <f>_xll.AnalizExpert.AnalizExpertIslem.DestekDirencSeviye($A28,"Fibonacci","Sp1")</f>
        <v>40.613666666666667</v>
      </c>
      <c r="E28" s="94">
        <f>_xll.AnalizExpert.AnalizExpertIslem.HisseKapanis($A28,O23-1)</f>
        <v>41.06</v>
      </c>
      <c r="F28" s="94">
        <f>_xll.AnalizExpert.AnalizExpertIslem.PivotNoktasi($A28,O23-1)</f>
        <v>41.186666666666667</v>
      </c>
      <c r="G28" s="94">
        <f>_xll.AnalizExpert.AnalizExpertIslem.DestekDirencSeviye($A28,"Fibonacci","Rs1")</f>
        <v>41.759666666666668</v>
      </c>
      <c r="H28" s="94">
        <f>_xll.AnalizExpert.AnalizExpertIslem.DestekDirencSeviye($A28,"Fibonacci","Rs2")</f>
        <v>42.113666666666667</v>
      </c>
      <c r="I28" s="94">
        <f>_xll.AnalizExpert.AnalizExpertIslem.DestekDirencSeviye($A28,"Fibonacci","Rs3")</f>
        <v>42.686666666666667</v>
      </c>
      <c r="J28" s="95">
        <f t="shared" si="2"/>
        <v>-1.9491800616983301E-2</v>
      </c>
      <c r="K28" s="95">
        <f t="shared" si="3"/>
        <v>2.5661633382042526E-2</v>
      </c>
      <c r="L28" s="94">
        <f>_xll.AnalizExpert.AnalizExpertIslem.HisseDusuk($A28,"s1h")</f>
        <v>42.04</v>
      </c>
      <c r="M28" s="96">
        <f>_xll.AnalizExpert.AnalizExpertIslem.HisseYuksek($A28,"s1h")</f>
        <v>44.84</v>
      </c>
    </row>
    <row r="29" spans="1:13" x14ac:dyDescent="0.35">
      <c r="A29" s="93" t="s">
        <v>16</v>
      </c>
      <c r="B29" s="94">
        <f>_xll.AnalizExpert.AnalizExpertIslem.DestekDirencSeviye($A29,"Fibonacci","Sp3")</f>
        <v>16.813333333333336</v>
      </c>
      <c r="C29" s="94">
        <f>_xll.AnalizExpert.AnalizExpertIslem.DestekDirencSeviye($A29,"Fibonacci","Sp2")</f>
        <v>17.019613333333336</v>
      </c>
      <c r="D29" s="94">
        <f>_xll.AnalizExpert.AnalizExpertIslem.DestekDirencSeviye($A29,"Fibonacci","Sp1")</f>
        <v>17.147053333333336</v>
      </c>
      <c r="E29" s="94">
        <f>_xll.AnalizExpert.AnalizExpertIslem.HisseKapanis($A29,O24-1)</f>
        <v>17.420000000000002</v>
      </c>
      <c r="F29" s="94">
        <f>_xll.AnalizExpert.AnalizExpertIslem.PivotNoktasi($A29,O24-1)</f>
        <v>17.353333333333335</v>
      </c>
      <c r="G29" s="94">
        <f>_xll.AnalizExpert.AnalizExpertIslem.DestekDirencSeviye($A29,"Fibonacci","Rs1")</f>
        <v>17.559613333333335</v>
      </c>
      <c r="H29" s="94">
        <f>_xll.AnalizExpert.AnalizExpertIslem.DestekDirencSeviye($A29,"Fibonacci","Rs2")</f>
        <v>17.687053333333335</v>
      </c>
      <c r="I29" s="94">
        <f>_xll.AnalizExpert.AnalizExpertIslem.DestekDirencSeviye($A29,"Fibonacci","Rs3")</f>
        <v>17.893333333333334</v>
      </c>
      <c r="J29" s="95">
        <f t="shared" si="2"/>
        <v>-2.2984309223115118E-2</v>
      </c>
      <c r="K29" s="95">
        <f t="shared" si="3"/>
        <v>1.5330271718331456E-2</v>
      </c>
      <c r="L29" s="94">
        <f>_xll.AnalizExpert.AnalizExpertIslem.HisseDusuk($A29,"s1h")</f>
        <v>16.96</v>
      </c>
      <c r="M29" s="96">
        <f>_xll.AnalizExpert.AnalizExpertIslem.HisseYuksek($A29,"s1h")</f>
        <v>17.670000000000002</v>
      </c>
    </row>
    <row r="30" spans="1:13" x14ac:dyDescent="0.35">
      <c r="A30" s="93" t="s">
        <v>17</v>
      </c>
      <c r="B30" s="94">
        <f>_xll.AnalizExpert.AnalizExpertIslem.DestekDirencSeviye($A30,"Fibonacci","Sp3")</f>
        <v>27.126666666666672</v>
      </c>
      <c r="C30" s="94">
        <f>_xll.AnalizExpert.AnalizExpertIslem.DestekDirencSeviye($A30,"Fibonacci","Sp2")</f>
        <v>27.737866666666672</v>
      </c>
      <c r="D30" s="94">
        <f>_xll.AnalizExpert.AnalizExpertIslem.DestekDirencSeviye($A30,"Fibonacci","Sp1")</f>
        <v>28.11546666666667</v>
      </c>
      <c r="E30" s="94">
        <f>_xll.AnalizExpert.AnalizExpertIslem.HisseKapanis($A30,O25-1)</f>
        <v>28.98</v>
      </c>
      <c r="F30" s="94">
        <f>_xll.AnalizExpert.AnalizExpertIslem.PivotNoktasi($A30,O25-1)</f>
        <v>28.72666666666667</v>
      </c>
      <c r="G30" s="94">
        <f>_xll.AnalizExpert.AnalizExpertIslem.DestekDirencSeviye($A30,"Fibonacci","Rs1")</f>
        <v>29.33786666666667</v>
      </c>
      <c r="H30" s="94">
        <f>_xll.AnalizExpert.AnalizExpertIslem.DestekDirencSeviye($A30,"Fibonacci","Rs2")</f>
        <v>29.715466666666668</v>
      </c>
      <c r="I30" s="94">
        <f>_xll.AnalizExpert.AnalizExpertIslem.DestekDirencSeviye($A30,"Fibonacci","Rs3")</f>
        <v>30.326666666666668</v>
      </c>
      <c r="J30" s="95">
        <f t="shared" si="2"/>
        <v>-4.2861743731308799E-2</v>
      </c>
      <c r="K30" s="95">
        <f t="shared" si="3"/>
        <v>2.5378421900161152E-2</v>
      </c>
      <c r="L30" s="94">
        <f>_xll.AnalizExpert.AnalizExpertIslem.HisseDusuk($A30,"s1h")</f>
        <v>28.1</v>
      </c>
      <c r="M30" s="96">
        <f>_xll.AnalizExpert.AnalizExpertIslem.HisseYuksek($A30,"s1h")</f>
        <v>30.06</v>
      </c>
    </row>
    <row r="31" spans="1:13" x14ac:dyDescent="0.35">
      <c r="A31" s="93" t="s">
        <v>18</v>
      </c>
      <c r="B31" s="94">
        <f>_xll.AnalizExpert.AnalizExpertIslem.DestekDirencSeviye($A31,"Fibonacci","Sp3")</f>
        <v>121.19999999999997</v>
      </c>
      <c r="C31" s="94">
        <f>_xll.AnalizExpert.AnalizExpertIslem.DestekDirencSeviye($A31,"Fibonacci","Sp2")</f>
        <v>124.10319999999997</v>
      </c>
      <c r="D31" s="94">
        <f>_xll.AnalizExpert.AnalizExpertIslem.DestekDirencSeviye($A31,"Fibonacci","Sp1")</f>
        <v>125.89679999999998</v>
      </c>
      <c r="E31" s="94">
        <f>_xll.AnalizExpert.AnalizExpertIslem.HisseKapanis($A31,O26-1)</f>
        <v>128.19999999999999</v>
      </c>
      <c r="F31" s="94">
        <f>_xll.AnalizExpert.AnalizExpertIslem.PivotNoktasi($A31,O26-1)</f>
        <v>128.79999999999998</v>
      </c>
      <c r="G31" s="94">
        <f>_xll.AnalizExpert.AnalizExpertIslem.DestekDirencSeviye($A31,"Fibonacci","Rs1")</f>
        <v>131.70319999999998</v>
      </c>
      <c r="H31" s="94">
        <f>_xll.AnalizExpert.AnalizExpertIslem.DestekDirencSeviye($A31,"Fibonacci","Rs2")</f>
        <v>133.49679999999998</v>
      </c>
      <c r="I31" s="94">
        <f>_xll.AnalizExpert.AnalizExpertIslem.DestekDirencSeviye($A31,"Fibonacci","Rs3")</f>
        <v>136.39999999999998</v>
      </c>
      <c r="J31" s="95">
        <f t="shared" si="2"/>
        <v>-3.1956318252730265E-2</v>
      </c>
      <c r="K31" s="95">
        <f t="shared" si="3"/>
        <v>4.1316692667706656E-2</v>
      </c>
      <c r="L31" s="94">
        <f>_xll.AnalizExpert.AnalizExpertIslem.HisseDusuk($A31,"s1h")</f>
        <v>134.69999999999999</v>
      </c>
      <c r="M31" s="96">
        <f>_xll.AnalizExpert.AnalizExpertIslem.HisseYuksek($A31,"s1h")</f>
        <v>137.19999999999999</v>
      </c>
    </row>
    <row r="32" spans="1:13" x14ac:dyDescent="0.35">
      <c r="A32" s="93" t="s">
        <v>19</v>
      </c>
      <c r="B32" s="94">
        <f>_xll.AnalizExpert.AnalizExpertIslem.DestekDirencSeviye($A32,"Fibonacci","Sp3")</f>
        <v>914.5333333333333</v>
      </c>
      <c r="C32" s="94">
        <f>_xll.AnalizExpert.AnalizExpertIslem.DestekDirencSeviye($A32,"Fibonacci","Sp2")</f>
        <v>936.3073333333333</v>
      </c>
      <c r="D32" s="94">
        <f>_xll.AnalizExpert.AnalizExpertIslem.DestekDirencSeviye($A32,"Fibonacci","Sp1")</f>
        <v>949.7593333333333</v>
      </c>
      <c r="E32" s="94">
        <f>_xll.AnalizExpert.AnalizExpertIslem.HisseKapanis($A32,O27-1)</f>
        <v>956</v>
      </c>
      <c r="F32" s="94">
        <f>_xll.AnalizExpert.AnalizExpertIslem.PivotNoktasi($A32,O27-1)</f>
        <v>971.5333333333333</v>
      </c>
      <c r="G32" s="94">
        <f>_xll.AnalizExpert.AnalizExpertIslem.DestekDirencSeviye($A32,"Fibonacci","Rs1")</f>
        <v>993.3073333333333</v>
      </c>
      <c r="H32" s="94">
        <f>_xll.AnalizExpert.AnalizExpertIslem.DestekDirencSeviye($A32,"Fibonacci","Rs2")</f>
        <v>1006.7593333333333</v>
      </c>
      <c r="I32" s="94">
        <f>_xll.AnalizExpert.AnalizExpertIslem.DestekDirencSeviye($A32,"Fibonacci","Rs3")</f>
        <v>1028.5333333333333</v>
      </c>
      <c r="J32" s="95">
        <f t="shared" si="2"/>
        <v>-2.0599023709902409E-2</v>
      </c>
      <c r="K32" s="95">
        <f t="shared" si="3"/>
        <v>5.3095536959553602E-2</v>
      </c>
      <c r="L32" s="94">
        <f>_xll.AnalizExpert.AnalizExpertIslem.HisseDusuk($A32,"s1h")</f>
        <v>963</v>
      </c>
      <c r="M32" s="96">
        <f>_xll.AnalizExpert.AnalizExpertIslem.HisseYuksek($A32,"s1h")</f>
        <v>1040</v>
      </c>
    </row>
    <row r="33" spans="1:13" x14ac:dyDescent="0.35">
      <c r="A33" s="93" t="s">
        <v>20</v>
      </c>
      <c r="B33" s="94">
        <f>_xll.AnalizExpert.AnalizExpertIslem.DestekDirencSeviye($A33,"Fibonacci","Sp3")</f>
        <v>5.2633333333333328</v>
      </c>
      <c r="C33" s="94">
        <f>_xll.AnalizExpert.AnalizExpertIslem.DestekDirencSeviye($A33,"Fibonacci","Sp2")</f>
        <v>5.312993333333333</v>
      </c>
      <c r="D33" s="94">
        <f>_xll.AnalizExpert.AnalizExpertIslem.DestekDirencSeviye($A33,"Fibonacci","Sp1")</f>
        <v>5.3436733333333333</v>
      </c>
      <c r="E33" s="94">
        <f>_xll.AnalizExpert.AnalizExpertIslem.HisseKapanis($A33,O28-1)</f>
        <v>5.43</v>
      </c>
      <c r="F33" s="94">
        <f>_xll.AnalizExpert.AnalizExpertIslem.PivotNoktasi($A33,O28-1)</f>
        <v>5.3933333333333335</v>
      </c>
      <c r="G33" s="94">
        <f>_xll.AnalizExpert.AnalizExpertIslem.DestekDirencSeviye($A33,"Fibonacci","Rs1")</f>
        <v>5.4429933333333338</v>
      </c>
      <c r="H33" s="94">
        <f>_xll.AnalizExpert.AnalizExpertIslem.DestekDirencSeviye($A33,"Fibonacci","Rs2")</f>
        <v>5.4736733333333341</v>
      </c>
      <c r="I33" s="94">
        <f>_xll.AnalizExpert.AnalizExpertIslem.DestekDirencSeviye($A33,"Fibonacci","Rs3")</f>
        <v>5.5233333333333343</v>
      </c>
      <c r="J33" s="95">
        <f t="shared" si="2"/>
        <v>-2.1548189073051005E-2</v>
      </c>
      <c r="K33" s="95">
        <f t="shared" si="3"/>
        <v>8.0429711479437227E-3</v>
      </c>
      <c r="L33" s="94">
        <f>_xll.AnalizExpert.AnalizExpertIslem.HisseDusuk($A33,"s1h")</f>
        <v>5.0599999999999996</v>
      </c>
      <c r="M33" s="96">
        <f>_xll.AnalizExpert.AnalizExpertIslem.HisseYuksek($A33,"s1h")</f>
        <v>5.22</v>
      </c>
    </row>
    <row r="34" spans="1:13" x14ac:dyDescent="0.35">
      <c r="A34" s="93" t="s">
        <v>21</v>
      </c>
      <c r="B34" s="94">
        <f>_xll.AnalizExpert.AnalizExpertIslem.DestekDirencSeviye($A34,"Fibonacci","Sp3")</f>
        <v>169.13333333333333</v>
      </c>
      <c r="C34" s="94">
        <f>_xll.AnalizExpert.AnalizExpertIslem.DestekDirencSeviye($A34,"Fibonacci","Sp2")</f>
        <v>170.85233333333332</v>
      </c>
      <c r="D34" s="94">
        <f>_xll.AnalizExpert.AnalizExpertIslem.DestekDirencSeviye($A34,"Fibonacci","Sp1")</f>
        <v>171.91433333333333</v>
      </c>
      <c r="E34" s="94">
        <f>_xll.AnalizExpert.AnalizExpertIslem.HisseKapanis($A34,O29-1)</f>
        <v>173.4</v>
      </c>
      <c r="F34" s="94">
        <f>_xll.AnalizExpert.AnalizExpertIslem.PivotNoktasi($A34,O29-1)</f>
        <v>173.63333333333333</v>
      </c>
      <c r="G34" s="94">
        <f>_xll.AnalizExpert.AnalizExpertIslem.DestekDirencSeviye($A34,"Fibonacci","Rs1")</f>
        <v>175.35233333333332</v>
      </c>
      <c r="H34" s="94">
        <f>_xll.AnalizExpert.AnalizExpertIslem.DestekDirencSeviye($A34,"Fibonacci","Rs2")</f>
        <v>176.41433333333333</v>
      </c>
      <c r="I34" s="94">
        <f>_xll.AnalizExpert.AnalizExpertIslem.DestekDirencSeviye($A34,"Fibonacci","Rs3")</f>
        <v>178.13333333333333</v>
      </c>
      <c r="J34" s="95">
        <f t="shared" si="2"/>
        <v>-1.4692425990003977E-2</v>
      </c>
      <c r="K34" s="95">
        <f t="shared" si="3"/>
        <v>1.7383698577470241E-2</v>
      </c>
      <c r="L34" s="94">
        <f>_xll.AnalizExpert.AnalizExpertIslem.HisseDusuk($A34,"s1h")</f>
        <v>170.9</v>
      </c>
      <c r="M34" s="96">
        <f>_xll.AnalizExpert.AnalizExpertIslem.HisseYuksek($A34,"s1h")</f>
        <v>177.9</v>
      </c>
    </row>
    <row r="35" spans="1:13" x14ac:dyDescent="0.35">
      <c r="A35" s="93" t="s">
        <v>22</v>
      </c>
      <c r="B35" s="94">
        <f>_xll.AnalizExpert.AnalizExpertIslem.DestekDirencSeviye($A35,"Fibonacci","Sp3")</f>
        <v>45.566666666666677</v>
      </c>
      <c r="C35" s="94">
        <f>_xll.AnalizExpert.AnalizExpertIslem.DestekDirencSeviye($A35,"Fibonacci","Sp2")</f>
        <v>46.246626666666671</v>
      </c>
      <c r="D35" s="94">
        <f>_xll.AnalizExpert.AnalizExpertIslem.DestekDirencSeviye($A35,"Fibonacci","Sp1")</f>
        <v>46.66670666666667</v>
      </c>
      <c r="E35" s="94">
        <f>_xll.AnalizExpert.AnalizExpertIslem.HisseKapanis($A35,O30-1)</f>
        <v>47.86</v>
      </c>
      <c r="F35" s="94">
        <f>_xll.AnalizExpert.AnalizExpertIslem.PivotNoktasi($A35,O30-1)</f>
        <v>47.346666666666671</v>
      </c>
      <c r="G35" s="94">
        <f>_xll.AnalizExpert.AnalizExpertIslem.DestekDirencSeviye($A35,"Fibonacci","Rs1")</f>
        <v>48.026626666666672</v>
      </c>
      <c r="H35" s="94">
        <f>_xll.AnalizExpert.AnalizExpertIslem.DestekDirencSeviye($A35,"Fibonacci","Rs2")</f>
        <v>48.446706666666671</v>
      </c>
      <c r="I35" s="94">
        <f>_xll.AnalizExpert.AnalizExpertIslem.DestekDirencSeviye($A35,"Fibonacci","Rs3")</f>
        <v>49.126666666666665</v>
      </c>
      <c r="J35" s="95">
        <f t="shared" si="2"/>
        <v>-3.3710266053767812E-2</v>
      </c>
      <c r="K35" s="95">
        <f t="shared" si="3"/>
        <v>1.2258810419278454E-2</v>
      </c>
      <c r="L35" s="94">
        <f>_xll.AnalizExpert.AnalizExpertIslem.HisseDusuk($A35,"s1h")</f>
        <v>46.6</v>
      </c>
      <c r="M35" s="96">
        <f>_xll.AnalizExpert.AnalizExpertIslem.HisseYuksek($A35,"s1h")</f>
        <v>50.55</v>
      </c>
    </row>
    <row r="36" spans="1:13" x14ac:dyDescent="0.35">
      <c r="A36" s="93" t="s">
        <v>23</v>
      </c>
      <c r="B36" s="94">
        <f>_xll.AnalizExpert.AnalizExpertIslem.DestekDirencSeviye($A36,"Fibonacci","Sp3")</f>
        <v>78.099999999999994</v>
      </c>
      <c r="C36" s="94">
        <f>_xll.AnalizExpert.AnalizExpertIslem.DestekDirencSeviye($A36,"Fibonacci","Sp2")</f>
        <v>79.131399999999999</v>
      </c>
      <c r="D36" s="94">
        <f>_xll.AnalizExpert.AnalizExpertIslem.DestekDirencSeviye($A36,"Fibonacci","Sp1")</f>
        <v>79.768599999999992</v>
      </c>
      <c r="E36" s="94">
        <f>_xll.AnalizExpert.AnalizExpertIslem.HisseKapanis($A36,O31-1)</f>
        <v>80.7</v>
      </c>
      <c r="F36" s="94">
        <f>_xll.AnalizExpert.AnalizExpertIslem.PivotNoktasi($A36,O31-1)</f>
        <v>80.8</v>
      </c>
      <c r="G36" s="94">
        <f>_xll.AnalizExpert.AnalizExpertIslem.DestekDirencSeviye($A36,"Fibonacci","Rs1")</f>
        <v>81.831400000000002</v>
      </c>
      <c r="H36" s="94">
        <f>_xll.AnalizExpert.AnalizExpertIslem.DestekDirencSeviye($A36,"Fibonacci","Rs2")</f>
        <v>82.468599999999995</v>
      </c>
      <c r="I36" s="94">
        <f>_xll.AnalizExpert.AnalizExpertIslem.DestekDirencSeviye($A36,"Fibonacci","Rs3")</f>
        <v>83.5</v>
      </c>
      <c r="J36" s="95">
        <f t="shared" si="2"/>
        <v>-1.943742255266423E-2</v>
      </c>
      <c r="K36" s="95">
        <f t="shared" si="3"/>
        <v>2.1915737298636939E-2</v>
      </c>
      <c r="L36" s="94">
        <f>_xll.AnalizExpert.AnalizExpertIslem.HisseDusuk($A36,"s1h")</f>
        <v>78.5</v>
      </c>
      <c r="M36" s="96">
        <f>_xll.AnalizExpert.AnalizExpertIslem.HisseYuksek($A36,"s1h")</f>
        <v>81.2</v>
      </c>
    </row>
    <row r="37" spans="1:13" x14ac:dyDescent="0.35">
      <c r="A37" s="93" t="s">
        <v>24</v>
      </c>
      <c r="B37" s="94">
        <f>_xll.AnalizExpert.AnalizExpertIslem.DestekDirencSeviye($A37,"Fibonacci","Sp3")</f>
        <v>45.960000000000008</v>
      </c>
      <c r="C37" s="94">
        <f>_xll.AnalizExpert.AnalizExpertIslem.DestekDirencSeviye($A37,"Fibonacci","Sp2")</f>
        <v>46.624680000000012</v>
      </c>
      <c r="D37" s="94">
        <f>_xll.AnalizExpert.AnalizExpertIslem.DestekDirencSeviye($A37,"Fibonacci","Sp1")</f>
        <v>47.035320000000006</v>
      </c>
      <c r="E37" s="94">
        <f>_xll.AnalizExpert.AnalizExpertIslem.HisseKapanis($A37,O32-1)</f>
        <v>47.8</v>
      </c>
      <c r="F37" s="94">
        <f>_xll.AnalizExpert.AnalizExpertIslem.PivotNoktasi($A37,O32-1)</f>
        <v>47.70000000000001</v>
      </c>
      <c r="G37" s="94">
        <f>_xll.AnalizExpert.AnalizExpertIslem.DestekDirencSeviye($A37,"Fibonacci","Rs1")</f>
        <v>48.364680000000014</v>
      </c>
      <c r="H37" s="94">
        <f>_xll.AnalizExpert.AnalizExpertIslem.DestekDirencSeviye($A37,"Fibonacci","Rs2")</f>
        <v>48.775320000000008</v>
      </c>
      <c r="I37" s="94">
        <f>_xll.AnalizExpert.AnalizExpertIslem.DestekDirencSeviye($A37,"Fibonacci","Rs3")</f>
        <v>49.440000000000012</v>
      </c>
      <c r="J37" s="95">
        <f t="shared" si="2"/>
        <v>-2.4588284518828107E-2</v>
      </c>
      <c r="K37" s="95">
        <f t="shared" si="3"/>
        <v>2.0404184100418554E-2</v>
      </c>
      <c r="L37" s="94">
        <f>_xll.AnalizExpert.AnalizExpertIslem.HisseDusuk($A37,"s1h")</f>
        <v>47.5</v>
      </c>
      <c r="M37" s="96">
        <f>_xll.AnalizExpert.AnalizExpertIslem.HisseYuksek($A37,"s1h")</f>
        <v>48.48</v>
      </c>
    </row>
    <row r="38" spans="1:13" x14ac:dyDescent="0.35">
      <c r="A38" s="93" t="s">
        <v>26</v>
      </c>
      <c r="B38" s="94">
        <f>_xll.AnalizExpert.AnalizExpertIslem.DestekDirencSeviye($A38,"Fibonacci","Sp3")</f>
        <v>138.83333333333334</v>
      </c>
      <c r="C38" s="94">
        <f>_xll.AnalizExpert.AnalizExpertIslem.DestekDirencSeviye($A38,"Fibonacci","Sp2")</f>
        <v>141.88933333333335</v>
      </c>
      <c r="D38" s="94">
        <f>_xll.AnalizExpert.AnalizExpertIslem.DestekDirencSeviye($A38,"Fibonacci","Sp1")</f>
        <v>143.77733333333333</v>
      </c>
      <c r="E38" s="94">
        <f>_xll.AnalizExpert.AnalizExpertIslem.HisseKapanis($A38,O33-1)</f>
        <v>148.1</v>
      </c>
      <c r="F38" s="94">
        <f>_xll.AnalizExpert.AnalizExpertIslem.PivotNoktasi($A38,O33-1)</f>
        <v>146.83333333333334</v>
      </c>
      <c r="G38" s="94">
        <f>_xll.AnalizExpert.AnalizExpertIslem.DestekDirencSeviye($A38,"Fibonacci","Rs1")</f>
        <v>149.88933333333335</v>
      </c>
      <c r="H38" s="94">
        <f>_xll.AnalizExpert.AnalizExpertIslem.DestekDirencSeviye($A38,"Fibonacci","Rs2")</f>
        <v>151.77733333333333</v>
      </c>
      <c r="I38" s="94">
        <f>_xll.AnalizExpert.AnalizExpertIslem.DestekDirencSeviye($A38,"Fibonacci","Rs3")</f>
        <v>154.83333333333334</v>
      </c>
      <c r="J38" s="95">
        <f t="shared" si="2"/>
        <v>-4.1935629079450587E-2</v>
      </c>
      <c r="K38" s="95">
        <f t="shared" si="3"/>
        <v>2.4830069772676211E-2</v>
      </c>
      <c r="L38" s="94">
        <f>_xll.AnalizExpert.AnalizExpertIslem.HisseDusuk($A38,"s1h")</f>
        <v>142.30000000000001</v>
      </c>
      <c r="M38" s="96">
        <f>_xll.AnalizExpert.AnalizExpertIslem.HisseYuksek($A38,"s1h")</f>
        <v>155.5</v>
      </c>
    </row>
    <row r="39" spans="1:13" x14ac:dyDescent="0.35">
      <c r="A39" s="93" t="s">
        <v>25</v>
      </c>
      <c r="B39" s="94">
        <f>_xll.AnalizExpert.AnalizExpertIslem.DestekDirencSeviye($A39,"Fibonacci","Sp3")</f>
        <v>6.4633333333333329</v>
      </c>
      <c r="C39" s="94">
        <f>_xll.AnalizExpert.AnalizExpertIslem.DestekDirencSeviye($A39,"Fibonacci","Sp2")</f>
        <v>6.5970333333333331</v>
      </c>
      <c r="D39" s="94">
        <f>_xll.AnalizExpert.AnalizExpertIslem.DestekDirencSeviye($A39,"Fibonacci","Sp1")</f>
        <v>6.6796333333333324</v>
      </c>
      <c r="E39" s="94">
        <f>_xll.AnalizExpert.AnalizExpertIslem.HisseKapanis($A39,O34-1)</f>
        <v>6.85</v>
      </c>
      <c r="F39" s="94">
        <f>_xll.AnalizExpert.AnalizExpertIslem.PivotNoktasi($A39,O34-1)</f>
        <v>6.8133333333333326</v>
      </c>
      <c r="G39" s="94">
        <f>_xll.AnalizExpert.AnalizExpertIslem.DestekDirencSeviye($A39,"Fibonacci","Rs1")</f>
        <v>6.9470333333333327</v>
      </c>
      <c r="H39" s="94">
        <f>_xll.AnalizExpert.AnalizExpertIslem.DestekDirencSeviye($A39,"Fibonacci","Rs2")</f>
        <v>7.0296333333333321</v>
      </c>
      <c r="I39" s="94">
        <f>_xll.AnalizExpert.AnalizExpertIslem.DestekDirencSeviye($A39,"Fibonacci","Rs3")</f>
        <v>7.1633333333333322</v>
      </c>
      <c r="J39" s="95">
        <f t="shared" si="2"/>
        <v>-3.6929440389294355E-2</v>
      </c>
      <c r="K39" s="95">
        <f t="shared" si="3"/>
        <v>2.6223844282238229E-2</v>
      </c>
      <c r="L39" s="94">
        <f>_xll.AnalizExpert.AnalizExpertIslem.HisseDusuk($A39,"s1h")</f>
        <v>6.48</v>
      </c>
      <c r="M39" s="96">
        <f>_xll.AnalizExpert.AnalizExpertIslem.HisseYuksek($A39,"s1h")</f>
        <v>6.7</v>
      </c>
    </row>
    <row r="40" spans="1:13" x14ac:dyDescent="0.35">
      <c r="A40" s="93" t="s">
        <v>27</v>
      </c>
      <c r="B40" s="94">
        <f>_xll.AnalizExpert.AnalizExpertIslem.DestekDirencSeviye($A40,"Fibonacci","Sp3")</f>
        <v>22.04</v>
      </c>
      <c r="C40" s="94">
        <f>_xll.AnalizExpert.AnalizExpertIslem.DestekDirencSeviye($A40,"Fibonacci","Sp2")</f>
        <v>22.292120000000001</v>
      </c>
      <c r="D40" s="94">
        <f>_xll.AnalizExpert.AnalizExpertIslem.DestekDirencSeviye($A40,"Fibonacci","Sp1")</f>
        <v>22.447879999999998</v>
      </c>
      <c r="E40" s="94">
        <f>_xll.AnalizExpert.AnalizExpertIslem.HisseKapanis($A40,O35-1)</f>
        <v>22.8</v>
      </c>
      <c r="F40" s="94">
        <f>_xll.AnalizExpert.AnalizExpertIslem.PivotNoktasi($A40,O35-1)</f>
        <v>22.7</v>
      </c>
      <c r="G40" s="94">
        <f>_xll.AnalizExpert.AnalizExpertIslem.DestekDirencSeviye($A40,"Fibonacci","Rs1")</f>
        <v>22.952120000000001</v>
      </c>
      <c r="H40" s="94">
        <f>_xll.AnalizExpert.AnalizExpertIslem.DestekDirencSeviye($A40,"Fibonacci","Rs2")</f>
        <v>23.107879999999998</v>
      </c>
      <c r="I40" s="94">
        <f>_xll.AnalizExpert.AnalizExpertIslem.DestekDirencSeviye($A40,"Fibonacci","Rs3")</f>
        <v>23.36</v>
      </c>
      <c r="J40" s="95">
        <f t="shared" si="2"/>
        <v>-2.2275438596491282E-2</v>
      </c>
      <c r="K40" s="95">
        <f t="shared" si="3"/>
        <v>1.350350877192974E-2</v>
      </c>
      <c r="L40" s="94">
        <f>_xll.AnalizExpert.AnalizExpertIslem.HisseDusuk($A40,"s1h")</f>
        <v>22.74</v>
      </c>
      <c r="M40" s="96">
        <f>_xll.AnalizExpert.AnalizExpertIslem.HisseYuksek($A40,"s1h")</f>
        <v>23.32</v>
      </c>
    </row>
    <row r="41" spans="1:13" x14ac:dyDescent="0.35">
      <c r="A41" s="93" t="s">
        <v>28</v>
      </c>
      <c r="B41" s="94">
        <f>_xll.AnalizExpert.AnalizExpertIslem.DestekDirencSeviye($A41,"Fibonacci","Sp3")</f>
        <v>3277.5666666666671</v>
      </c>
      <c r="C41" s="94">
        <f>_xll.AnalizExpert.AnalizExpertIslem.DestekDirencSeviye($A41,"Fibonacci","Sp2")</f>
        <v>3368.253466666667</v>
      </c>
      <c r="D41" s="94">
        <f>_xll.AnalizExpert.AnalizExpertIslem.DestekDirencSeviye($A41,"Fibonacci","Sp1")</f>
        <v>3424.2798666666672</v>
      </c>
      <c r="E41" s="94">
        <f>_xll.AnalizExpert.AnalizExpertIslem.HisseKapanis($A41,O36-1)</f>
        <v>3476.3</v>
      </c>
      <c r="F41" s="94">
        <f>_xll.AnalizExpert.AnalizExpertIslem.PivotNoktasi($A41,O36-1)</f>
        <v>3514.9666666666672</v>
      </c>
      <c r="G41" s="94">
        <f>_xll.AnalizExpert.AnalizExpertIslem.DestekDirencSeviye($A41,"Fibonacci","Rs1")</f>
        <v>3605.6534666666671</v>
      </c>
      <c r="H41" s="94">
        <f>_xll.AnalizExpert.AnalizExpertIslem.DestekDirencSeviye($A41,"Fibonacci","Rs2")</f>
        <v>3661.6798666666673</v>
      </c>
      <c r="I41" s="94">
        <f>_xll.AnalizExpert.AnalizExpertIslem.DestekDirencSeviye($A41,"Fibonacci","Rs3")</f>
        <v>3752.3666666666672</v>
      </c>
      <c r="J41" s="95">
        <f t="shared" si="2"/>
        <v>-3.1080900190815886E-2</v>
      </c>
      <c r="K41" s="95">
        <f t="shared" si="3"/>
        <v>5.3326774635867658E-2</v>
      </c>
      <c r="L41" s="94">
        <f>_xll.AnalizExpert.AnalizExpertIslem.HisseDusuk($A41,"s1h")</f>
        <v>3195</v>
      </c>
      <c r="M41" s="96">
        <f>_xll.AnalizExpert.AnalizExpertIslem.HisseYuksek($A41,"s1h")</f>
        <v>3329.8</v>
      </c>
    </row>
    <row r="42" spans="1:13" x14ac:dyDescent="0.35">
      <c r="A42" s="93" t="s">
        <v>29</v>
      </c>
      <c r="B42" s="94">
        <f>_xll.AnalizExpert.AnalizExpertIslem.DestekDirencSeviye($A42,"Fibonacci","Sp3")</f>
        <v>5.3733333333333348</v>
      </c>
      <c r="C42" s="94">
        <f>_xll.AnalizExpert.AnalizExpertIslem.DestekDirencSeviye($A42,"Fibonacci","Sp2")</f>
        <v>5.4955733333333345</v>
      </c>
      <c r="D42" s="94">
        <f>_xll.AnalizExpert.AnalizExpertIslem.DestekDirencSeviye($A42,"Fibonacci","Sp1")</f>
        <v>5.5710933333333346</v>
      </c>
      <c r="E42" s="94">
        <f>_xll.AnalizExpert.AnalizExpertIslem.HisseKapanis($A42,O37-1)</f>
        <v>5.78</v>
      </c>
      <c r="F42" s="94">
        <f>_xll.AnalizExpert.AnalizExpertIslem.PivotNoktasi($A42,O37-1)</f>
        <v>5.6933333333333342</v>
      </c>
      <c r="G42" s="94">
        <f>_xll.AnalizExpert.AnalizExpertIslem.DestekDirencSeviye($A42,"Fibonacci","Rs1")</f>
        <v>5.8155733333333339</v>
      </c>
      <c r="H42" s="94">
        <f>_xll.AnalizExpert.AnalizExpertIslem.DestekDirencSeviye($A42,"Fibonacci","Rs2")</f>
        <v>5.891093333333334</v>
      </c>
      <c r="I42" s="94">
        <f>_xll.AnalizExpert.AnalizExpertIslem.DestekDirencSeviye($A42,"Fibonacci","Rs3")</f>
        <v>6.0133333333333336</v>
      </c>
      <c r="J42" s="95">
        <f t="shared" si="2"/>
        <v>-4.9208765859284687E-2</v>
      </c>
      <c r="K42" s="95">
        <f t="shared" si="3"/>
        <v>1.9220299884659786E-2</v>
      </c>
      <c r="L42" s="94">
        <f>_xll.AnalizExpert.AnalizExpertIslem.HisseDusuk($A42,"s1h")</f>
        <v>5.32</v>
      </c>
      <c r="M42" s="96">
        <f>_xll.AnalizExpert.AnalizExpertIslem.HisseYuksek($A42,"s1h")</f>
        <v>5.67</v>
      </c>
    </row>
    <row r="43" spans="1:13" x14ac:dyDescent="0.35">
      <c r="A43" s="93" t="s">
        <v>30</v>
      </c>
      <c r="B43" s="94">
        <f>_xll.AnalizExpert.AnalizExpertIslem.DestekDirencSeviye($A43,"Fibonacci","Sp3")</f>
        <v>24.866666666666667</v>
      </c>
      <c r="C43" s="94">
        <f>_xll.AnalizExpert.AnalizExpertIslem.DestekDirencSeviye($A43,"Fibonacci","Sp2")</f>
        <v>25.271586666666668</v>
      </c>
      <c r="D43" s="94">
        <f>_xll.AnalizExpert.AnalizExpertIslem.DestekDirencSeviye($A43,"Fibonacci","Sp1")</f>
        <v>25.521746666666665</v>
      </c>
      <c r="E43" s="94">
        <f>_xll.AnalizExpert.AnalizExpertIslem.HisseKapanis($A43,O38-1)</f>
        <v>26.2</v>
      </c>
      <c r="F43" s="94">
        <f>_xll.AnalizExpert.AnalizExpertIslem.PivotNoktasi($A43,O38-1)</f>
        <v>25.926666666666666</v>
      </c>
      <c r="G43" s="94">
        <f>_xll.AnalizExpert.AnalizExpertIslem.DestekDirencSeviye($A43,"Fibonacci","Rs1")</f>
        <v>26.331586666666666</v>
      </c>
      <c r="H43" s="94">
        <f>_xll.AnalizExpert.AnalizExpertIslem.DestekDirencSeviye($A43,"Fibonacci","Rs2")</f>
        <v>26.581746666666664</v>
      </c>
      <c r="I43" s="94">
        <f>_xll.AnalizExpert.AnalizExpertIslem.DestekDirencSeviye($A43,"Fibonacci","Rs3")</f>
        <v>26.986666666666665</v>
      </c>
      <c r="J43" s="95">
        <f t="shared" si="2"/>
        <v>-3.5435623409669104E-2</v>
      </c>
      <c r="K43" s="95">
        <f t="shared" si="3"/>
        <v>1.457048346055978E-2</v>
      </c>
      <c r="L43" s="94">
        <f>_xll.AnalizExpert.AnalizExpertIslem.HisseDusuk($A43,"s1h")</f>
        <v>24.7</v>
      </c>
      <c r="M43" s="96">
        <f>_xll.AnalizExpert.AnalizExpertIslem.HisseYuksek($A43,"s1h")</f>
        <v>26.36</v>
      </c>
    </row>
    <row r="44" spans="1:13" x14ac:dyDescent="0.35">
      <c r="A44" s="93" t="s">
        <v>31</v>
      </c>
      <c r="B44" s="94">
        <f>_xll.AnalizExpert.AnalizExpertIslem.DestekDirencSeviye($A44,"Fibonacci","Sp3")</f>
        <v>20.526666666666667</v>
      </c>
      <c r="C44" s="94">
        <f>_xll.AnalizExpert.AnalizExpertIslem.DestekDirencSeviye($A44,"Fibonacci","Sp2")</f>
        <v>20.740586666666665</v>
      </c>
      <c r="D44" s="94">
        <f>_xll.AnalizExpert.AnalizExpertIslem.DestekDirencSeviye($A44,"Fibonacci","Sp1")</f>
        <v>20.872746666666668</v>
      </c>
      <c r="E44" s="94">
        <f>_xll.AnalizExpert.AnalizExpertIslem.HisseKapanis($A44,O39-1)</f>
        <v>21.18</v>
      </c>
      <c r="F44" s="94">
        <f>_xll.AnalizExpert.AnalizExpertIslem.PivotNoktasi($A44,O39-1)</f>
        <v>21.086666666666666</v>
      </c>
      <c r="G44" s="94">
        <f>_xll.AnalizExpert.AnalizExpertIslem.DestekDirencSeviye($A44,"Fibonacci","Rs1")</f>
        <v>21.300586666666664</v>
      </c>
      <c r="H44" s="94">
        <f>_xll.AnalizExpert.AnalizExpertIslem.DestekDirencSeviye($A44,"Fibonacci","Rs2")</f>
        <v>21.432746666666667</v>
      </c>
      <c r="I44" s="94">
        <f>_xll.AnalizExpert.AnalizExpertIslem.DestekDirencSeviye($A44,"Fibonacci","Rs3")</f>
        <v>21.646666666666665</v>
      </c>
      <c r="J44" s="95">
        <f t="shared" si="2"/>
        <v>-2.0746616304689991E-2</v>
      </c>
      <c r="K44" s="95">
        <f t="shared" si="3"/>
        <v>1.193327038086256E-2</v>
      </c>
      <c r="L44" s="94">
        <f>_xll.AnalizExpert.AnalizExpertIslem.HisseDusuk($A44,"s1h")</f>
        <v>21.82</v>
      </c>
      <c r="M44" s="96">
        <f>_xll.AnalizExpert.AnalizExpertIslem.HisseYuksek($A44,"s1h")</f>
        <v>22.48</v>
      </c>
    </row>
    <row r="45" spans="1:13" x14ac:dyDescent="0.35">
      <c r="A45" s="93" t="s">
        <v>32</v>
      </c>
      <c r="B45" s="94">
        <f>_xll.AnalizExpert.AnalizExpertIslem.DestekDirencSeviye($A45,"Fibonacci","Sp3")</f>
        <v>148.86666666666667</v>
      </c>
      <c r="C45" s="94">
        <f>_xll.AnalizExpert.AnalizExpertIslem.DestekDirencSeviye($A45,"Fibonacci","Sp2")</f>
        <v>151.15866666666668</v>
      </c>
      <c r="D45" s="94">
        <f>_xll.AnalizExpert.AnalizExpertIslem.DestekDirencSeviye($A45,"Fibonacci","Sp1")</f>
        <v>152.57466666666667</v>
      </c>
      <c r="E45" s="94">
        <f>_xll.AnalizExpert.AnalizExpertIslem.HisseKapanis($A45,O40-1)</f>
        <v>155.6</v>
      </c>
      <c r="F45" s="94">
        <f>_xll.AnalizExpert.AnalizExpertIslem.PivotNoktasi($A45,O40-1)</f>
        <v>154.86666666666667</v>
      </c>
      <c r="G45" s="94">
        <f>_xll.AnalizExpert.AnalizExpertIslem.DestekDirencSeviye($A45,"Fibonacci","Rs1")</f>
        <v>157.15866666666668</v>
      </c>
      <c r="H45" s="94">
        <f>_xll.AnalizExpert.AnalizExpertIslem.DestekDirencSeviye($A45,"Fibonacci","Rs2")</f>
        <v>158.57466666666667</v>
      </c>
      <c r="I45" s="94">
        <f>_xll.AnalizExpert.AnalizExpertIslem.DestekDirencSeviye($A45,"Fibonacci","Rs3")</f>
        <v>160.86666666666667</v>
      </c>
      <c r="J45" s="95">
        <f t="shared" si="2"/>
        <v>-2.8543273350471243E-2</v>
      </c>
      <c r="K45" s="95">
        <f t="shared" si="3"/>
        <v>1.9117395029991435E-2</v>
      </c>
      <c r="L45" s="94">
        <f>_xll.AnalizExpert.AnalizExpertIslem.HisseDusuk($A45,"s1h")</f>
        <v>153.9</v>
      </c>
      <c r="M45" s="96">
        <f>_xll.AnalizExpert.AnalizExpertIslem.HisseYuksek($A45,"s1h")</f>
        <v>164</v>
      </c>
    </row>
    <row r="46" spans="1:13" x14ac:dyDescent="0.35">
      <c r="A46" s="93" t="s">
        <v>33</v>
      </c>
      <c r="B46" s="94">
        <f>_xll.AnalizExpert.AnalizExpertIslem.DestekDirencSeviye($A46,"Fibonacci","Sp3")</f>
        <v>36.366666666666667</v>
      </c>
      <c r="C46" s="94">
        <f>_xll.AnalizExpert.AnalizExpertIslem.DestekDirencSeviye($A46,"Fibonacci","Sp2")</f>
        <v>36.748666666666665</v>
      </c>
      <c r="D46" s="94">
        <f>_xll.AnalizExpert.AnalizExpertIslem.DestekDirencSeviye($A46,"Fibonacci","Sp1")</f>
        <v>36.984666666666669</v>
      </c>
      <c r="E46" s="94">
        <f>_xll.AnalizExpert.AnalizExpertIslem.HisseKapanis($A46,O41-1)</f>
        <v>37.700000000000003</v>
      </c>
      <c r="F46" s="94">
        <f>_xll.AnalizExpert.AnalizExpertIslem.PivotNoktasi($A46,O41-1)</f>
        <v>37.366666666666667</v>
      </c>
      <c r="G46" s="94">
        <f>_xll.AnalizExpert.AnalizExpertIslem.DestekDirencSeviye($A46,"Fibonacci","Rs1")</f>
        <v>37.748666666666665</v>
      </c>
      <c r="H46" s="94">
        <f>_xll.AnalizExpert.AnalizExpertIslem.DestekDirencSeviye($A46,"Fibonacci","Rs2")</f>
        <v>37.984666666666669</v>
      </c>
      <c r="I46" s="94">
        <f>_xll.AnalizExpert.AnalizExpertIslem.DestekDirencSeviye($A46,"Fibonacci","Rs3")</f>
        <v>38.366666666666667</v>
      </c>
      <c r="J46" s="95">
        <f t="shared" ref="J46:J77" si="4">C46/E46-1</f>
        <v>-2.5234305923961253E-2</v>
      </c>
      <c r="K46" s="95">
        <f t="shared" ref="K46:K77" si="5">H46/E46-1</f>
        <v>7.550839964633127E-3</v>
      </c>
      <c r="L46" s="94">
        <f>_xll.AnalizExpert.AnalizExpertIslem.HisseDusuk($A46,"s1h")</f>
        <v>36.78</v>
      </c>
      <c r="M46" s="96">
        <f>_xll.AnalizExpert.AnalizExpertIslem.HisseYuksek($A46,"s1h")</f>
        <v>37.94</v>
      </c>
    </row>
    <row r="47" spans="1:13" x14ac:dyDescent="0.35">
      <c r="A47" s="93" t="s">
        <v>34</v>
      </c>
      <c r="B47" s="94">
        <f>_xll.AnalizExpert.AnalizExpertIslem.DestekDirencSeviye($A47,"Fibonacci","Sp3")</f>
        <v>412.8</v>
      </c>
      <c r="C47" s="94">
        <f>_xll.AnalizExpert.AnalizExpertIslem.DestekDirencSeviye($A47,"Fibonacci","Sp2")</f>
        <v>420.3254</v>
      </c>
      <c r="D47" s="94">
        <f>_xll.AnalizExpert.AnalizExpertIslem.DestekDirencSeviye($A47,"Fibonacci","Sp1")</f>
        <v>424.97460000000001</v>
      </c>
      <c r="E47" s="94">
        <f>_xll.AnalizExpert.AnalizExpertIslem.HisseKapanis($A47,O42-1)</f>
        <v>434.6</v>
      </c>
      <c r="F47" s="94">
        <f>_xll.AnalizExpert.AnalizExpertIslem.PivotNoktasi($A47,O42-1)</f>
        <v>432.5</v>
      </c>
      <c r="G47" s="94">
        <f>_xll.AnalizExpert.AnalizExpertIslem.DestekDirencSeviye($A47,"Fibonacci","Rs1")</f>
        <v>440.02539999999999</v>
      </c>
      <c r="H47" s="94">
        <f>_xll.AnalizExpert.AnalizExpertIslem.DestekDirencSeviye($A47,"Fibonacci","Rs2")</f>
        <v>444.6746</v>
      </c>
      <c r="I47" s="94">
        <f>_xll.AnalizExpert.AnalizExpertIslem.DestekDirencSeviye($A47,"Fibonacci","Rs3")</f>
        <v>452.2</v>
      </c>
      <c r="J47" s="95">
        <f t="shared" si="4"/>
        <v>-3.2845375057524162E-2</v>
      </c>
      <c r="K47" s="95">
        <f t="shared" si="5"/>
        <v>2.3181316152784071E-2</v>
      </c>
      <c r="L47" s="94">
        <f>_xll.AnalizExpert.AnalizExpertIslem.HisseDusuk($A47,"s1h")</f>
        <v>373.6</v>
      </c>
      <c r="M47" s="96">
        <f>_xll.AnalizExpert.AnalizExpertIslem.HisseYuksek($A47,"s1h")</f>
        <v>393.7</v>
      </c>
    </row>
    <row r="48" spans="1:13" x14ac:dyDescent="0.35">
      <c r="A48" s="93" t="s">
        <v>36</v>
      </c>
      <c r="B48" s="94">
        <f>_xll.AnalizExpert.AnalizExpertIslem.DestekDirencSeviye($A48,"Fibonacci","Sp3")</f>
        <v>24.2</v>
      </c>
      <c r="C48" s="94">
        <f>_xll.AnalizExpert.AnalizExpertIslem.DestekDirencSeviye($A48,"Fibonacci","Sp2")</f>
        <v>24.82648</v>
      </c>
      <c r="D48" s="94">
        <f>_xll.AnalizExpert.AnalizExpertIslem.DestekDirencSeviye($A48,"Fibonacci","Sp1")</f>
        <v>25.213519999999999</v>
      </c>
      <c r="E48" s="94">
        <f>_xll.AnalizExpert.AnalizExpertIslem.HisseKapanis($A48,O43-1)</f>
        <v>26.16</v>
      </c>
      <c r="F48" s="94">
        <f>_xll.AnalizExpert.AnalizExpertIslem.PivotNoktasi($A48,O43-1)</f>
        <v>25.84</v>
      </c>
      <c r="G48" s="94">
        <f>_xll.AnalizExpert.AnalizExpertIslem.DestekDirencSeviye($A48,"Fibonacci","Rs1")</f>
        <v>26.466480000000001</v>
      </c>
      <c r="H48" s="94">
        <f>_xll.AnalizExpert.AnalizExpertIslem.DestekDirencSeviye($A48,"Fibonacci","Rs2")</f>
        <v>26.85352</v>
      </c>
      <c r="I48" s="94">
        <f>_xll.AnalizExpert.AnalizExpertIslem.DestekDirencSeviye($A48,"Fibonacci","Rs3")</f>
        <v>27.48</v>
      </c>
      <c r="J48" s="95">
        <f t="shared" si="4"/>
        <v>-5.0975535168195751E-2</v>
      </c>
      <c r="K48" s="95">
        <f t="shared" si="5"/>
        <v>2.6510703363914256E-2</v>
      </c>
      <c r="L48" s="94">
        <f>_xll.AnalizExpert.AnalizExpertIslem.HisseDusuk($A48,"s1h")</f>
        <v>24.28</v>
      </c>
      <c r="M48" s="96">
        <f>_xll.AnalizExpert.AnalizExpertIslem.HisseYuksek($A48,"s1h")</f>
        <v>24.86</v>
      </c>
    </row>
    <row r="49" spans="1:13" x14ac:dyDescent="0.35">
      <c r="A49" s="93" t="s">
        <v>37</v>
      </c>
      <c r="B49" s="94">
        <f>_xll.AnalizExpert.AnalizExpertIslem.DestekDirencSeviye($A49,"Fibonacci","Sp3")</f>
        <v>32.133333333333333</v>
      </c>
      <c r="C49" s="94">
        <f>_xll.AnalizExpert.AnalizExpertIslem.DestekDirencSeviye($A49,"Fibonacci","Sp2")</f>
        <v>33.202933333333334</v>
      </c>
      <c r="D49" s="94">
        <f>_xll.AnalizExpert.AnalizExpertIslem.DestekDirencSeviye($A49,"Fibonacci","Sp1")</f>
        <v>33.863733333333329</v>
      </c>
      <c r="E49" s="94">
        <f>_xll.AnalizExpert.AnalizExpertIslem.HisseKapanis($A49,O44-1)</f>
        <v>35.799999999999997</v>
      </c>
      <c r="F49" s="94">
        <f>_xll.AnalizExpert.AnalizExpertIslem.PivotNoktasi($A49,O44-1)</f>
        <v>34.93333333333333</v>
      </c>
      <c r="G49" s="94">
        <f>_xll.AnalizExpert.AnalizExpertIslem.DestekDirencSeviye($A49,"Fibonacci","Rs1")</f>
        <v>36.002933333333331</v>
      </c>
      <c r="H49" s="94">
        <f>_xll.AnalizExpert.AnalizExpertIslem.DestekDirencSeviye($A49,"Fibonacci","Rs2")</f>
        <v>36.663733333333326</v>
      </c>
      <c r="I49" s="94">
        <f>_xll.AnalizExpert.AnalizExpertIslem.DestekDirencSeviye($A49,"Fibonacci","Rs3")</f>
        <v>37.733333333333327</v>
      </c>
      <c r="J49" s="95">
        <f t="shared" si="4"/>
        <v>-7.2543761638733661E-2</v>
      </c>
      <c r="K49" s="95">
        <f t="shared" si="5"/>
        <v>2.4126629422718704E-2</v>
      </c>
      <c r="L49" s="94">
        <f>_xll.AnalizExpert.AnalizExpertIslem.HisseDusuk($A49,"s1h")</f>
        <v>29.86</v>
      </c>
      <c r="M49" s="96">
        <f>_xll.AnalizExpert.AnalizExpertIslem.HisseYuksek($A49,"s1h")</f>
        <v>31.8</v>
      </c>
    </row>
    <row r="50" spans="1:13" x14ac:dyDescent="0.35">
      <c r="A50" s="93" t="s">
        <v>38</v>
      </c>
      <c r="B50" s="94">
        <f>_xll.AnalizExpert.AnalizExpertIslem.DestekDirencSeviye($A50,"Fibonacci","Sp3")</f>
        <v>8.6566666666666663</v>
      </c>
      <c r="C50" s="94">
        <f>_xll.AnalizExpert.AnalizExpertIslem.DestekDirencSeviye($A50,"Fibonacci","Sp2")</f>
        <v>8.843846666666666</v>
      </c>
      <c r="D50" s="94">
        <f>_xll.AnalizExpert.AnalizExpertIslem.DestekDirencSeviye($A50,"Fibonacci","Sp1")</f>
        <v>8.9594866666666668</v>
      </c>
      <c r="E50" s="94">
        <f>_xll.AnalizExpert.AnalizExpertIslem.HisseKapanis($A50,O45-1)</f>
        <v>9.07</v>
      </c>
      <c r="F50" s="94">
        <f>_xll.AnalizExpert.AnalizExpertIslem.PivotNoktasi($A50,O45-1)</f>
        <v>9.1466666666666665</v>
      </c>
      <c r="G50" s="94">
        <f>_xll.AnalizExpert.AnalizExpertIslem.DestekDirencSeviye($A50,"Fibonacci","Rs1")</f>
        <v>9.3338466666666662</v>
      </c>
      <c r="H50" s="94">
        <f>_xll.AnalizExpert.AnalizExpertIslem.DestekDirencSeviye($A50,"Fibonacci","Rs2")</f>
        <v>9.449486666666667</v>
      </c>
      <c r="I50" s="94">
        <f>_xll.AnalizExpert.AnalizExpertIslem.DestekDirencSeviye($A50,"Fibonacci","Rs3")</f>
        <v>9.6366666666666667</v>
      </c>
      <c r="J50" s="95">
        <f t="shared" si="4"/>
        <v>-2.4934215361999357E-2</v>
      </c>
      <c r="K50" s="95">
        <f t="shared" si="5"/>
        <v>4.1839764792355849E-2</v>
      </c>
      <c r="L50" s="94">
        <f>_xll.AnalizExpert.AnalizExpertIslem.HisseDusuk($A50,"s1h")</f>
        <v>8.11</v>
      </c>
      <c r="M50" s="96">
        <f>_xll.AnalizExpert.AnalizExpertIslem.HisseYuksek($A50,"s1h")</f>
        <v>8.85</v>
      </c>
    </row>
    <row r="51" spans="1:13" x14ac:dyDescent="0.35">
      <c r="A51" s="93" t="s">
        <v>39</v>
      </c>
      <c r="B51" s="94">
        <f>_xll.AnalizExpert.AnalizExpertIslem.DestekDirencSeviye($A51,"Fibonacci","Sp3")</f>
        <v>13.049999999999999</v>
      </c>
      <c r="C51" s="94">
        <f>_xll.AnalizExpert.AnalizExpertIslem.DestekDirencSeviye($A51,"Fibonacci","Sp2")</f>
        <v>13.302119999999999</v>
      </c>
      <c r="D51" s="94">
        <f>_xll.AnalizExpert.AnalizExpertIslem.DestekDirencSeviye($A51,"Fibonacci","Sp1")</f>
        <v>13.457879999999999</v>
      </c>
      <c r="E51" s="94">
        <f>_xll.AnalizExpert.AnalizExpertIslem.HisseKapanis($A51,O46-1)</f>
        <v>13.93</v>
      </c>
      <c r="F51" s="94">
        <f>_xll.AnalizExpert.AnalizExpertIslem.PivotNoktasi($A51,O46-1)</f>
        <v>13.709999999999999</v>
      </c>
      <c r="G51" s="94">
        <f>_xll.AnalizExpert.AnalizExpertIslem.DestekDirencSeviye($A51,"Fibonacci","Rs1")</f>
        <v>13.962119999999999</v>
      </c>
      <c r="H51" s="94">
        <f>_xll.AnalizExpert.AnalizExpertIslem.DestekDirencSeviye($A51,"Fibonacci","Rs2")</f>
        <v>14.11788</v>
      </c>
      <c r="I51" s="94">
        <f>_xll.AnalizExpert.AnalizExpertIslem.DestekDirencSeviye($A51,"Fibonacci","Rs3")</f>
        <v>14.37</v>
      </c>
      <c r="J51" s="95">
        <f t="shared" si="4"/>
        <v>-4.5073941134242679E-2</v>
      </c>
      <c r="K51" s="95">
        <f t="shared" si="5"/>
        <v>1.3487437185929707E-2</v>
      </c>
      <c r="L51" s="94">
        <f>_xll.AnalizExpert.AnalizExpertIslem.HisseDusuk($A51,"s1h")</f>
        <v>13.02</v>
      </c>
      <c r="M51" s="96">
        <f>_xll.AnalizExpert.AnalizExpertIslem.HisseYuksek($A51,"s1h")</f>
        <v>13.89</v>
      </c>
    </row>
    <row r="52" spans="1:13" x14ac:dyDescent="0.35">
      <c r="A52" s="93" t="s">
        <v>40</v>
      </c>
      <c r="B52" s="94">
        <f>_xll.AnalizExpert.AnalizExpertIslem.DestekDirencSeviye($A52,"Fibonacci","Sp3")</f>
        <v>2.9166666666666665</v>
      </c>
      <c r="C52" s="94">
        <f>_xll.AnalizExpert.AnalizExpertIslem.DestekDirencSeviye($A52,"Fibonacci","Sp2")</f>
        <v>2.9510466666666666</v>
      </c>
      <c r="D52" s="94">
        <f>_xll.AnalizExpert.AnalizExpertIslem.DestekDirencSeviye($A52,"Fibonacci","Sp1")</f>
        <v>2.9722866666666663</v>
      </c>
      <c r="E52" s="94">
        <f>_xll.AnalizExpert.AnalizExpertIslem.HisseKapanis($A52,O47-1)</f>
        <v>3.01</v>
      </c>
      <c r="F52" s="94">
        <f>_xll.AnalizExpert.AnalizExpertIslem.PivotNoktasi($A52,O47-1)</f>
        <v>3.0066666666666664</v>
      </c>
      <c r="G52" s="94">
        <f>_xll.AnalizExpert.AnalizExpertIslem.DestekDirencSeviye($A52,"Fibonacci","Rs1")</f>
        <v>3.0410466666666665</v>
      </c>
      <c r="H52" s="94">
        <f>_xll.AnalizExpert.AnalizExpertIslem.DestekDirencSeviye($A52,"Fibonacci","Rs2")</f>
        <v>3.0622866666666662</v>
      </c>
      <c r="I52" s="94">
        <f>_xll.AnalizExpert.AnalizExpertIslem.DestekDirencSeviye($A52,"Fibonacci","Rs3")</f>
        <v>3.0966666666666662</v>
      </c>
      <c r="J52" s="95">
        <f t="shared" si="4"/>
        <v>-1.9585825027685466E-2</v>
      </c>
      <c r="K52" s="95">
        <f t="shared" si="5"/>
        <v>1.7370985603543554E-2</v>
      </c>
      <c r="L52" s="94">
        <f>_xll.AnalizExpert.AnalizExpertIslem.HisseDusuk($A52,"s1h")</f>
        <v>3.04</v>
      </c>
      <c r="M52" s="96">
        <f>_xll.AnalizExpert.AnalizExpertIslem.HisseYuksek($A52,"s1h")</f>
        <v>3.16</v>
      </c>
    </row>
    <row r="53" spans="1:13" x14ac:dyDescent="0.35">
      <c r="A53" s="93" t="s">
        <v>41</v>
      </c>
      <c r="B53" s="94">
        <f>_xll.AnalizExpert.AnalizExpertIslem.DestekDirencSeviye($A53,"Fibonacci","Sp3")</f>
        <v>158.46666666666667</v>
      </c>
      <c r="C53" s="94">
        <f>_xll.AnalizExpert.AnalizExpertIslem.DestekDirencSeviye($A53,"Fibonacci","Sp2")</f>
        <v>161.90466666666666</v>
      </c>
      <c r="D53" s="94">
        <f>_xll.AnalizExpert.AnalizExpertIslem.DestekDirencSeviye($A53,"Fibonacci","Sp1")</f>
        <v>164.02866666666668</v>
      </c>
      <c r="E53" s="94">
        <f>_xll.AnalizExpert.AnalizExpertIslem.HisseKapanis($A53,O48-1)</f>
        <v>169.4</v>
      </c>
      <c r="F53" s="94">
        <f>_xll.AnalizExpert.AnalizExpertIslem.PivotNoktasi($A53,O48-1)</f>
        <v>167.46666666666667</v>
      </c>
      <c r="G53" s="94">
        <f>_xll.AnalizExpert.AnalizExpertIslem.DestekDirencSeviye($A53,"Fibonacci","Rs1")</f>
        <v>170.90466666666666</v>
      </c>
      <c r="H53" s="94">
        <f>_xll.AnalizExpert.AnalizExpertIslem.DestekDirencSeviye($A53,"Fibonacci","Rs2")</f>
        <v>173.02866666666668</v>
      </c>
      <c r="I53" s="94">
        <f>_xll.AnalizExpert.AnalizExpertIslem.DestekDirencSeviye($A53,"Fibonacci","Rs3")</f>
        <v>176.46666666666667</v>
      </c>
      <c r="J53" s="95">
        <f t="shared" si="4"/>
        <v>-4.4246359700905291E-2</v>
      </c>
      <c r="K53" s="95">
        <f t="shared" si="5"/>
        <v>2.1420700511609603E-2</v>
      </c>
      <c r="L53" s="94">
        <f>_xll.AnalizExpert.AnalizExpertIslem.HisseDusuk($A53,"s1h")</f>
        <v>156.1</v>
      </c>
      <c r="M53" s="96">
        <f>_xll.AnalizExpert.AnalizExpertIslem.HisseYuksek($A53,"s1h")</f>
        <v>170</v>
      </c>
    </row>
    <row r="54" spans="1:13" x14ac:dyDescent="0.35">
      <c r="A54" s="93" t="s">
        <v>35</v>
      </c>
      <c r="B54" s="94">
        <f>_xll.AnalizExpert.AnalizExpertIslem.DestekDirencSeviye($A54,"Fibonacci","Sp3")</f>
        <v>22.206666666666663</v>
      </c>
      <c r="C54" s="94">
        <f>_xll.AnalizExpert.AnalizExpertIslem.DestekDirencSeviye($A54,"Fibonacci","Sp2")</f>
        <v>23.322106666666663</v>
      </c>
      <c r="D54" s="94">
        <f>_xll.AnalizExpert.AnalizExpertIslem.DestekDirencSeviye($A54,"Fibonacci","Sp1")</f>
        <v>24.011226666666666</v>
      </c>
      <c r="E54" s="94">
        <f>_xll.AnalizExpert.AnalizExpertIslem.HisseKapanis($A54,O49-1)</f>
        <v>25.7</v>
      </c>
      <c r="F54" s="94">
        <f>_xll.AnalizExpert.AnalizExpertIslem.PivotNoktasi($A54,O49-1)</f>
        <v>25.126666666666665</v>
      </c>
      <c r="G54" s="94">
        <f>_xll.AnalizExpert.AnalizExpertIslem.DestekDirencSeviye($A54,"Fibonacci","Rs1")</f>
        <v>26.242106666666665</v>
      </c>
      <c r="H54" s="94">
        <f>_xll.AnalizExpert.AnalizExpertIslem.DestekDirencSeviye($A54,"Fibonacci","Rs2")</f>
        <v>26.931226666666667</v>
      </c>
      <c r="I54" s="94">
        <f>_xll.AnalizExpert.AnalizExpertIslem.DestekDirencSeviye($A54,"Fibonacci","Rs3")</f>
        <v>28.046666666666667</v>
      </c>
      <c r="J54" s="95">
        <f t="shared" si="4"/>
        <v>-9.2525032425421649E-2</v>
      </c>
      <c r="K54" s="95">
        <f t="shared" si="5"/>
        <v>4.7907652399481249E-2</v>
      </c>
      <c r="L54" s="94">
        <f>_xll.AnalizExpert.AnalizExpertIslem.HisseDusuk($A54,"s1h")</f>
        <v>20.32</v>
      </c>
      <c r="M54" s="96">
        <f>_xll.AnalizExpert.AnalizExpertIslem.HisseYuksek($A54,"s1h")</f>
        <v>22.76</v>
      </c>
    </row>
    <row r="55" spans="1:13" x14ac:dyDescent="0.35">
      <c r="A55" s="93" t="s">
        <v>79</v>
      </c>
      <c r="B55" s="94">
        <f>_xll.AnalizExpert.AnalizExpertIslem.DestekDirencSeviye($A55,"Fibonacci","Sp3")</f>
        <v>9.0899999999999981</v>
      </c>
      <c r="C55" s="94">
        <f>_xll.AnalizExpert.AnalizExpertIslem.DestekDirencSeviye($A55,"Fibonacci","Sp2")</f>
        <v>9.2580799999999979</v>
      </c>
      <c r="D55" s="94">
        <f>_xll.AnalizExpert.AnalizExpertIslem.DestekDirencSeviye($A55,"Fibonacci","Sp1")</f>
        <v>9.3619199999999996</v>
      </c>
      <c r="E55" s="94">
        <f>_xll.AnalizExpert.AnalizExpertIslem.HisseKapanis($A55,O50-1)</f>
        <v>9.59</v>
      </c>
      <c r="F55" s="94">
        <f>_xll.AnalizExpert.AnalizExpertIslem.PivotNoktasi($A55,O50-1)</f>
        <v>9.5299999999999994</v>
      </c>
      <c r="G55" s="94">
        <f>_xll.AnalizExpert.AnalizExpertIslem.DestekDirencSeviye($A55,"Fibonacci","Rs1")</f>
        <v>9.6980799999999991</v>
      </c>
      <c r="H55" s="94">
        <f>_xll.AnalizExpert.AnalizExpertIslem.DestekDirencSeviye($A55,"Fibonacci","Rs2")</f>
        <v>9.8019200000000009</v>
      </c>
      <c r="I55" s="94">
        <f>_xll.AnalizExpert.AnalizExpertIslem.DestekDirencSeviye($A55,"Fibonacci","Rs3")</f>
        <v>9.9700000000000006</v>
      </c>
      <c r="J55" s="95">
        <f t="shared" si="4"/>
        <v>-3.4611053180396478E-2</v>
      </c>
      <c r="K55" s="95">
        <f t="shared" si="5"/>
        <v>2.2098018769551642E-2</v>
      </c>
      <c r="L55" s="94">
        <f>_xll.AnalizExpert.AnalizExpertIslem.HisseDusuk($A55,"s1h")</f>
        <v>8.7799999999999994</v>
      </c>
      <c r="M55" s="96">
        <f>_xll.AnalizExpert.AnalizExpertIslem.HisseYuksek($A55,"s1h")</f>
        <v>9.08</v>
      </c>
    </row>
    <row r="56" spans="1:13" x14ac:dyDescent="0.35">
      <c r="A56" s="93" t="s">
        <v>42</v>
      </c>
      <c r="B56" s="94">
        <f>_xll.AnalizExpert.AnalizExpertIslem.DestekDirencSeviye($A56,"Fibonacci","Sp3")</f>
        <v>37.4</v>
      </c>
      <c r="C56" s="94">
        <f>_xll.AnalizExpert.AnalizExpertIslem.DestekDirencSeviye($A56,"Fibonacci","Sp2")</f>
        <v>37.4</v>
      </c>
      <c r="D56" s="94">
        <f>_xll.AnalizExpert.AnalizExpertIslem.DestekDirencSeviye($A56,"Fibonacci","Sp1")</f>
        <v>37.4</v>
      </c>
      <c r="E56" s="94">
        <f>_xll.AnalizExpert.AnalizExpertIslem.HisseKapanis($A56,O51-1)</f>
        <v>37.4</v>
      </c>
      <c r="F56" s="94">
        <f>_xll.AnalizExpert.AnalizExpertIslem.PivotNoktasi($A56,O51-1)</f>
        <v>37.4</v>
      </c>
      <c r="G56" s="94">
        <f>_xll.AnalizExpert.AnalizExpertIslem.DestekDirencSeviye($A56,"Fibonacci","Rs1")</f>
        <v>37.4</v>
      </c>
      <c r="H56" s="94">
        <f>_xll.AnalizExpert.AnalizExpertIslem.DestekDirencSeviye($A56,"Fibonacci","Rs2")</f>
        <v>37.4</v>
      </c>
      <c r="I56" s="94">
        <f>_xll.AnalizExpert.AnalizExpertIslem.DestekDirencSeviye($A56,"Fibonacci","Rs3")</f>
        <v>37.4</v>
      </c>
      <c r="J56" s="95">
        <f t="shared" si="4"/>
        <v>0</v>
      </c>
      <c r="K56" s="95">
        <f t="shared" si="5"/>
        <v>0</v>
      </c>
      <c r="L56" s="94">
        <f>_xll.AnalizExpert.AnalizExpertIslem.HisseDusuk($A56,"s1h")</f>
        <v>38.56</v>
      </c>
      <c r="M56" s="96">
        <f>_xll.AnalizExpert.AnalizExpertIslem.HisseYuksek($A56,"s1h")</f>
        <v>42.38</v>
      </c>
    </row>
    <row r="57" spans="1:13" x14ac:dyDescent="0.35">
      <c r="A57" s="93" t="s">
        <v>44</v>
      </c>
      <c r="B57" s="94">
        <f>_xll.AnalizExpert.AnalizExpertIslem.DestekDirencSeviye($A57,"Fibonacci","Sp3")</f>
        <v>16.886666666666667</v>
      </c>
      <c r="C57" s="94">
        <f>_xll.AnalizExpert.AnalizExpertIslem.DestekDirencSeviye($A57,"Fibonacci","Sp2")</f>
        <v>17.211366666666667</v>
      </c>
      <c r="D57" s="94">
        <f>_xll.AnalizExpert.AnalizExpertIslem.DestekDirencSeviye($A57,"Fibonacci","Sp1")</f>
        <v>17.411966666666668</v>
      </c>
      <c r="E57" s="94">
        <f>_xll.AnalizExpert.AnalizExpertIslem.HisseKapanis($A57,O52-1)</f>
        <v>17.86</v>
      </c>
      <c r="F57" s="94">
        <f>_xll.AnalizExpert.AnalizExpertIslem.PivotNoktasi($A57,O52-1)</f>
        <v>17.736666666666668</v>
      </c>
      <c r="G57" s="94">
        <f>_xll.AnalizExpert.AnalizExpertIslem.DestekDirencSeviye($A57,"Fibonacci","Rs1")</f>
        <v>18.061366666666668</v>
      </c>
      <c r="H57" s="94">
        <f>_xll.AnalizExpert.AnalizExpertIslem.DestekDirencSeviye($A57,"Fibonacci","Rs2")</f>
        <v>18.26196666666667</v>
      </c>
      <c r="I57" s="94">
        <f>_xll.AnalizExpert.AnalizExpertIslem.DestekDirencSeviye($A57,"Fibonacci","Rs3")</f>
        <v>18.58666666666667</v>
      </c>
      <c r="J57" s="95">
        <f t="shared" si="4"/>
        <v>-3.6317655841731966E-2</v>
      </c>
      <c r="K57" s="95">
        <f t="shared" si="5"/>
        <v>2.2506532288167458E-2</v>
      </c>
      <c r="L57" s="94">
        <f>_xll.AnalizExpert.AnalizExpertIslem.HisseDusuk($A57,"s1h")</f>
        <v>16.22</v>
      </c>
      <c r="M57" s="96">
        <f>_xll.AnalizExpert.AnalizExpertIslem.HisseYuksek($A57,"s1h")</f>
        <v>17.489999999999998</v>
      </c>
    </row>
    <row r="58" spans="1:13" x14ac:dyDescent="0.35">
      <c r="A58" s="93" t="s">
        <v>43</v>
      </c>
      <c r="B58" s="94">
        <f>_xll.AnalizExpert.AnalizExpertIslem.DestekDirencSeviye($A58,"Fibonacci","Sp3")</f>
        <v>69.400000000000006</v>
      </c>
      <c r="C58" s="94">
        <f>_xll.AnalizExpert.AnalizExpertIslem.DestekDirencSeviye($A58,"Fibonacci","Sp2")</f>
        <v>70.393200000000007</v>
      </c>
      <c r="D58" s="94">
        <f>_xll.AnalizExpert.AnalizExpertIslem.DestekDirencSeviye($A58,"Fibonacci","Sp1")</f>
        <v>71.006799999999998</v>
      </c>
      <c r="E58" s="94">
        <f>_xll.AnalizExpert.AnalizExpertIslem.HisseKapanis($A58,O53-1)</f>
        <v>71.599999999999994</v>
      </c>
      <c r="F58" s="94">
        <f>_xll.AnalizExpert.AnalizExpertIslem.PivotNoktasi($A58,O53-1)</f>
        <v>72</v>
      </c>
      <c r="G58" s="94">
        <f>_xll.AnalizExpert.AnalizExpertIslem.DestekDirencSeviye($A58,"Fibonacci","Rs1")</f>
        <v>72.993200000000002</v>
      </c>
      <c r="H58" s="94">
        <f>_xll.AnalizExpert.AnalizExpertIslem.DestekDirencSeviye($A58,"Fibonacci","Rs2")</f>
        <v>73.606799999999993</v>
      </c>
      <c r="I58" s="94">
        <f>_xll.AnalizExpert.AnalizExpertIslem.DestekDirencSeviye($A58,"Fibonacci","Rs3")</f>
        <v>74.599999999999994</v>
      </c>
      <c r="J58" s="95">
        <f t="shared" si="4"/>
        <v>-1.6854748603351788E-2</v>
      </c>
      <c r="K58" s="95">
        <f t="shared" si="5"/>
        <v>2.8027932960893898E-2</v>
      </c>
      <c r="L58" s="94">
        <f>_xll.AnalizExpert.AnalizExpertIslem.HisseDusuk($A58,"s1h")</f>
        <v>58.75</v>
      </c>
      <c r="M58" s="96">
        <f>_xll.AnalizExpert.AnalizExpertIslem.HisseYuksek($A58,"s1h")</f>
        <v>61</v>
      </c>
    </row>
    <row r="59" spans="1:13" x14ac:dyDescent="0.35">
      <c r="A59" s="93" t="s">
        <v>45</v>
      </c>
      <c r="B59" s="94">
        <f>_xll.AnalizExpert.AnalizExpertIslem.DestekDirencSeviye($A59,"Fibonacci","Sp3")</f>
        <v>29.11333333333333</v>
      </c>
      <c r="C59" s="94">
        <f>_xll.AnalizExpert.AnalizExpertIslem.DestekDirencSeviye($A59,"Fibonacci","Sp2")</f>
        <v>30.030133333333332</v>
      </c>
      <c r="D59" s="94">
        <f>_xll.AnalizExpert.AnalizExpertIslem.DestekDirencSeviye($A59,"Fibonacci","Sp1")</f>
        <v>30.59653333333333</v>
      </c>
      <c r="E59" s="94">
        <f>_xll.AnalizExpert.AnalizExpertIslem.HisseKapanis($A59,O54-1)</f>
        <v>31.54</v>
      </c>
      <c r="F59" s="94">
        <f>_xll.AnalizExpert.AnalizExpertIslem.PivotNoktasi($A59,O54-1)</f>
        <v>31.513333333333332</v>
      </c>
      <c r="G59" s="94">
        <f>_xll.AnalizExpert.AnalizExpertIslem.DestekDirencSeviye($A59,"Fibonacci","Rs1")</f>
        <v>32.43013333333333</v>
      </c>
      <c r="H59" s="94">
        <f>_xll.AnalizExpert.AnalizExpertIslem.DestekDirencSeviye($A59,"Fibonacci","Rs2")</f>
        <v>32.996533333333332</v>
      </c>
      <c r="I59" s="94">
        <f>_xll.AnalizExpert.AnalizExpertIslem.DestekDirencSeviye($A59,"Fibonacci","Rs3")</f>
        <v>33.913333333333334</v>
      </c>
      <c r="J59" s="95">
        <f t="shared" si="4"/>
        <v>-4.7871485943775105E-2</v>
      </c>
      <c r="K59" s="95">
        <f t="shared" si="5"/>
        <v>4.6180511519763323E-2</v>
      </c>
      <c r="L59" s="94">
        <f>_xll.AnalizExpert.AnalizExpertIslem.HisseDusuk($A59,"s1h")</f>
        <v>29.8</v>
      </c>
      <c r="M59" s="96">
        <f>_xll.AnalizExpert.AnalizExpertIslem.HisseYuksek($A59,"s1h")</f>
        <v>31.68</v>
      </c>
    </row>
    <row r="60" spans="1:13" x14ac:dyDescent="0.35">
      <c r="A60" s="93" t="s">
        <v>47</v>
      </c>
      <c r="B60" s="94">
        <f>_xll.AnalizExpert.AnalizExpertIslem.DestekDirencSeviye($A60,"Fibonacci","Sp3")</f>
        <v>9.2566666666666677</v>
      </c>
      <c r="C60" s="94">
        <f>_xll.AnalizExpert.AnalizExpertIslem.DestekDirencSeviye($A60,"Fibonacci","Sp2")</f>
        <v>9.3980066666666673</v>
      </c>
      <c r="D60" s="94">
        <f>_xll.AnalizExpert.AnalizExpertIslem.DestekDirencSeviye($A60,"Fibonacci","Sp1")</f>
        <v>9.4853266666666674</v>
      </c>
      <c r="E60" s="94">
        <f>_xll.AnalizExpert.AnalizExpertIslem.HisseKapanis($A60,O55-1)</f>
        <v>9.75</v>
      </c>
      <c r="F60" s="94">
        <f>_xll.AnalizExpert.AnalizExpertIslem.PivotNoktasi($A60,O55-1)</f>
        <v>9.6266666666666669</v>
      </c>
      <c r="G60" s="94">
        <f>_xll.AnalizExpert.AnalizExpertIslem.DestekDirencSeviye($A60,"Fibonacci","Rs1")</f>
        <v>9.7680066666666665</v>
      </c>
      <c r="H60" s="94">
        <f>_xll.AnalizExpert.AnalizExpertIslem.DestekDirencSeviye($A60,"Fibonacci","Rs2")</f>
        <v>9.8553266666666666</v>
      </c>
      <c r="I60" s="94">
        <f>_xll.AnalizExpert.AnalizExpertIslem.DestekDirencSeviye($A60,"Fibonacci","Rs3")</f>
        <v>9.9966666666666661</v>
      </c>
      <c r="J60" s="95">
        <f t="shared" si="4"/>
        <v>-3.6101880341880332E-2</v>
      </c>
      <c r="K60" s="95">
        <f t="shared" si="5"/>
        <v>1.0802735042735101E-2</v>
      </c>
      <c r="L60" s="94">
        <f>_xll.AnalizExpert.AnalizExpertIslem.HisseDusuk($A60,"s1h")</f>
        <v>9.1300000000000008</v>
      </c>
      <c r="M60" s="96">
        <f>_xll.AnalizExpert.AnalizExpertIslem.HisseYuksek($A60,"s1h")</f>
        <v>9.31</v>
      </c>
    </row>
    <row r="61" spans="1:13" x14ac:dyDescent="0.35">
      <c r="A61" s="93" t="s">
        <v>46</v>
      </c>
      <c r="B61" s="94">
        <f>_xll.AnalizExpert.AnalizExpertIslem.DestekDirencSeviye($A61,"Fibonacci","Sp3")</f>
        <v>28.759999999999998</v>
      </c>
      <c r="C61" s="94">
        <f>_xll.AnalizExpert.AnalizExpertIslem.DestekDirencSeviye($A61,"Fibonacci","Sp2")</f>
        <v>29.035039999999999</v>
      </c>
      <c r="D61" s="94">
        <f>_xll.AnalizExpert.AnalizExpertIslem.DestekDirencSeviye($A61,"Fibonacci","Sp1")</f>
        <v>29.20496</v>
      </c>
      <c r="E61" s="94">
        <f>_xll.AnalizExpert.AnalizExpertIslem.HisseKapanis($A61,O56-1)</f>
        <v>29.56</v>
      </c>
      <c r="F61" s="94">
        <f>_xll.AnalizExpert.AnalizExpertIslem.PivotNoktasi($A61,O56-1)</f>
        <v>29.48</v>
      </c>
      <c r="G61" s="94">
        <f>_xll.AnalizExpert.AnalizExpertIslem.DestekDirencSeviye($A61,"Fibonacci","Rs1")</f>
        <v>29.755040000000001</v>
      </c>
      <c r="H61" s="94">
        <f>_xll.AnalizExpert.AnalizExpertIslem.DestekDirencSeviye($A61,"Fibonacci","Rs2")</f>
        <v>29.924960000000002</v>
      </c>
      <c r="I61" s="94">
        <f>_xll.AnalizExpert.AnalizExpertIslem.DestekDirencSeviye($A61,"Fibonacci","Rs3")</f>
        <v>30.200000000000003</v>
      </c>
      <c r="J61" s="95">
        <f t="shared" si="4"/>
        <v>-1.775913396481732E-2</v>
      </c>
      <c r="K61" s="95">
        <f t="shared" si="5"/>
        <v>1.2346414073071799E-2</v>
      </c>
      <c r="L61" s="94">
        <f>_xll.AnalizExpert.AnalizExpertIslem.HisseDusuk($A61,"s1h")</f>
        <v>29.24</v>
      </c>
      <c r="M61" s="96">
        <f>_xll.AnalizExpert.AnalizExpertIslem.HisseYuksek($A61,"s1h")</f>
        <v>30.46</v>
      </c>
    </row>
    <row r="62" spans="1:13" x14ac:dyDescent="0.35">
      <c r="A62" s="93" t="s">
        <v>48</v>
      </c>
      <c r="B62" s="94">
        <f>_xll.AnalizExpert.AnalizExpertIslem.DestekDirencSeviye($A62,"Fibonacci","Sp3")</f>
        <v>8.5066666666666659</v>
      </c>
      <c r="C62" s="94">
        <f>_xll.AnalizExpert.AnalizExpertIslem.DestekDirencSeviye($A62,"Fibonacci","Sp2")</f>
        <v>8.6594666666666669</v>
      </c>
      <c r="D62" s="94">
        <f>_xll.AnalizExpert.AnalizExpertIslem.DestekDirencSeviye($A62,"Fibonacci","Sp1")</f>
        <v>8.7538666666666654</v>
      </c>
      <c r="E62" s="94">
        <f>_xll.AnalizExpert.AnalizExpertIslem.HisseKapanis($A62,O57-1)</f>
        <v>8.92</v>
      </c>
      <c r="F62" s="94">
        <f>_xll.AnalizExpert.AnalizExpertIslem.PivotNoktasi($A62,O57-1)</f>
        <v>8.9066666666666663</v>
      </c>
      <c r="G62" s="94">
        <f>_xll.AnalizExpert.AnalizExpertIslem.DestekDirencSeviye($A62,"Fibonacci","Rs1")</f>
        <v>9.0594666666666672</v>
      </c>
      <c r="H62" s="94">
        <f>_xll.AnalizExpert.AnalizExpertIslem.DestekDirencSeviye($A62,"Fibonacci","Rs2")</f>
        <v>9.1538666666666657</v>
      </c>
      <c r="I62" s="94">
        <f>_xll.AnalizExpert.AnalizExpertIslem.DestekDirencSeviye($A62,"Fibonacci","Rs3")</f>
        <v>9.3066666666666666</v>
      </c>
      <c r="J62" s="95">
        <f t="shared" si="4"/>
        <v>-2.9207772795216691E-2</v>
      </c>
      <c r="K62" s="95">
        <f t="shared" si="5"/>
        <v>2.6218236173392917E-2</v>
      </c>
      <c r="L62" s="94">
        <f>_xll.AnalizExpert.AnalizExpertIslem.HisseDusuk($A62,"s1h")</f>
        <v>8.8000000000000007</v>
      </c>
      <c r="M62" s="96">
        <f>_xll.AnalizExpert.AnalizExpertIslem.HisseYuksek($A62,"s1h")</f>
        <v>9.36</v>
      </c>
    </row>
    <row r="63" spans="1:13" x14ac:dyDescent="0.35">
      <c r="A63" s="93" t="s">
        <v>49</v>
      </c>
      <c r="B63" s="94">
        <f>_xll.AnalizExpert.AnalizExpertIslem.DestekDirencSeviye($A63,"Fibonacci","Sp3")</f>
        <v>8.1</v>
      </c>
      <c r="C63" s="94">
        <f>_xll.AnalizExpert.AnalizExpertIslem.DestekDirencSeviye($A63,"Fibonacci","Sp2")</f>
        <v>8.3597599999999996</v>
      </c>
      <c r="D63" s="94">
        <f>_xll.AnalizExpert.AnalizExpertIslem.DestekDirencSeviye($A63,"Fibonacci","Sp1")</f>
        <v>8.5202399999999994</v>
      </c>
      <c r="E63" s="94">
        <f>_xll.AnalizExpert.AnalizExpertIslem.HisseKapanis($A63,O58-1)</f>
        <v>8.84</v>
      </c>
      <c r="F63" s="94">
        <f>_xll.AnalizExpert.AnalizExpertIslem.PivotNoktasi($A63,O58-1)</f>
        <v>8.7799999999999994</v>
      </c>
      <c r="G63" s="94">
        <f>_xll.AnalizExpert.AnalizExpertIslem.DestekDirencSeviye($A63,"Fibonacci","Rs1")</f>
        <v>9.0397599999999994</v>
      </c>
      <c r="H63" s="94">
        <f>_xll.AnalizExpert.AnalizExpertIslem.DestekDirencSeviye($A63,"Fibonacci","Rs2")</f>
        <v>9.2002399999999991</v>
      </c>
      <c r="I63" s="94">
        <f>_xll.AnalizExpert.AnalizExpertIslem.DestekDirencSeviye($A63,"Fibonacci","Rs3")</f>
        <v>9.4599999999999991</v>
      </c>
      <c r="J63" s="95">
        <f t="shared" si="4"/>
        <v>-5.4325791855203698E-2</v>
      </c>
      <c r="K63" s="95">
        <f t="shared" si="5"/>
        <v>4.0751131221719472E-2</v>
      </c>
      <c r="L63" s="94">
        <f>_xll.AnalizExpert.AnalizExpertIslem.HisseDusuk($A63,"s1h")</f>
        <v>8.0299999999999994</v>
      </c>
      <c r="M63" s="96">
        <f>_xll.AnalizExpert.AnalizExpertIslem.HisseYuksek($A63,"s1h")</f>
        <v>8.26</v>
      </c>
    </row>
    <row r="64" spans="1:13" x14ac:dyDescent="0.35">
      <c r="A64" s="93" t="s">
        <v>50</v>
      </c>
      <c r="B64" s="94">
        <f>_xll.AnalizExpert.AnalizExpertIslem.DestekDirencSeviye($A64,"Fibonacci","Sp3")</f>
        <v>38.546666666666667</v>
      </c>
      <c r="C64" s="94">
        <f>_xll.AnalizExpert.AnalizExpertIslem.DestekDirencSeviye($A64,"Fibonacci","Sp2")</f>
        <v>39.203706666666669</v>
      </c>
      <c r="D64" s="94">
        <f>_xll.AnalizExpert.AnalizExpertIslem.DestekDirencSeviye($A64,"Fibonacci","Sp1")</f>
        <v>39.609626666666664</v>
      </c>
      <c r="E64" s="94">
        <f>_xll.AnalizExpert.AnalizExpertIslem.HisseKapanis($A64,O59-1)</f>
        <v>40.799999999999997</v>
      </c>
      <c r="F64" s="94">
        <f>_xll.AnalizExpert.AnalizExpertIslem.PivotNoktasi($A64,O59-1)</f>
        <v>40.266666666666666</v>
      </c>
      <c r="G64" s="94">
        <f>_xll.AnalizExpert.AnalizExpertIslem.DestekDirencSeviye($A64,"Fibonacci","Rs1")</f>
        <v>40.923706666666668</v>
      </c>
      <c r="H64" s="94">
        <f>_xll.AnalizExpert.AnalizExpertIslem.DestekDirencSeviye($A64,"Fibonacci","Rs2")</f>
        <v>41.329626666666663</v>
      </c>
      <c r="I64" s="94">
        <f>_xll.AnalizExpert.AnalizExpertIslem.DestekDirencSeviye($A64,"Fibonacci","Rs3")</f>
        <v>41.986666666666665</v>
      </c>
      <c r="J64" s="95">
        <f t="shared" si="4"/>
        <v>-3.9124836601307056E-2</v>
      </c>
      <c r="K64" s="95">
        <f t="shared" si="5"/>
        <v>1.2981045751633946E-2</v>
      </c>
      <c r="L64" s="94">
        <f>_xll.AnalizExpert.AnalizExpertIslem.HisseDusuk($A64,"s1h")</f>
        <v>37.04</v>
      </c>
      <c r="M64" s="96">
        <f>_xll.AnalizExpert.AnalizExpertIslem.HisseYuksek($A64,"s1h")</f>
        <v>41.9</v>
      </c>
    </row>
    <row r="65" spans="1:13" x14ac:dyDescent="0.35">
      <c r="A65" s="93" t="s">
        <v>51</v>
      </c>
      <c r="B65" s="94">
        <f>_xll.AnalizExpert.AnalizExpertIslem.DestekDirencSeviye($A65,"Fibonacci","Sp3")</f>
        <v>131.29999999999998</v>
      </c>
      <c r="C65" s="94">
        <f>_xll.AnalizExpert.AnalizExpertIslem.DestekDirencSeviye($A65,"Fibonacci","Sp2")</f>
        <v>134.39419999999998</v>
      </c>
      <c r="D65" s="94">
        <f>_xll.AnalizExpert.AnalizExpertIslem.DestekDirencSeviye($A65,"Fibonacci","Sp1")</f>
        <v>136.30579999999998</v>
      </c>
      <c r="E65" s="94">
        <f>_xll.AnalizExpert.AnalizExpertIslem.HisseKapanis($A65,O60-1)</f>
        <v>136.9</v>
      </c>
      <c r="F65" s="94">
        <f>_xll.AnalizExpert.AnalizExpertIslem.PivotNoktasi($A65,O60-1)</f>
        <v>139.39999999999998</v>
      </c>
      <c r="G65" s="94">
        <f>_xll.AnalizExpert.AnalizExpertIslem.DestekDirencSeviye($A65,"Fibonacci","Rs1")</f>
        <v>142.49419999999998</v>
      </c>
      <c r="H65" s="94">
        <f>_xll.AnalizExpert.AnalizExpertIslem.DestekDirencSeviye($A65,"Fibonacci","Rs2")</f>
        <v>144.40579999999997</v>
      </c>
      <c r="I65" s="94">
        <f>_xll.AnalizExpert.AnalizExpertIslem.DestekDirencSeviye($A65,"Fibonacci","Rs3")</f>
        <v>147.49999999999997</v>
      </c>
      <c r="J65" s="95">
        <f t="shared" si="4"/>
        <v>-1.8303871439006691E-2</v>
      </c>
      <c r="K65" s="95">
        <f t="shared" si="5"/>
        <v>5.4826880934988775E-2</v>
      </c>
      <c r="L65" s="94">
        <f>_xll.AnalizExpert.AnalizExpertIslem.HisseDusuk($A65,"s1h")</f>
        <v>116.6</v>
      </c>
      <c r="M65" s="96">
        <f>_xll.AnalizExpert.AnalizExpertIslem.HisseYuksek($A65,"s1h")</f>
        <v>125.7</v>
      </c>
    </row>
    <row r="66" spans="1:13" x14ac:dyDescent="0.35">
      <c r="A66" s="93" t="s">
        <v>53</v>
      </c>
      <c r="B66" s="94">
        <f>_xll.AnalizExpert.AnalizExpertIslem.DestekDirencSeviye($A66,"Fibonacci","Sp3")</f>
        <v>11.816666666666666</v>
      </c>
      <c r="C66" s="94">
        <f>_xll.AnalizExpert.AnalizExpertIslem.DestekDirencSeviye($A66,"Fibonacci","Sp2")</f>
        <v>12.343826666666667</v>
      </c>
      <c r="D66" s="94">
        <f>_xll.AnalizExpert.AnalizExpertIslem.DestekDirencSeviye($A66,"Fibonacci","Sp1")</f>
        <v>12.669506666666667</v>
      </c>
      <c r="E66" s="94">
        <f>_xll.AnalizExpert.AnalizExpertIslem.HisseKapanis($A66,O61-1)</f>
        <v>12.85</v>
      </c>
      <c r="F66" s="94">
        <f>_xll.AnalizExpert.AnalizExpertIslem.PivotNoktasi($A66,O61-1)</f>
        <v>13.196666666666667</v>
      </c>
      <c r="G66" s="94">
        <f>_xll.AnalizExpert.AnalizExpertIslem.DestekDirencSeviye($A66,"Fibonacci","Rs1")</f>
        <v>13.723826666666668</v>
      </c>
      <c r="H66" s="94">
        <f>_xll.AnalizExpert.AnalizExpertIslem.DestekDirencSeviye($A66,"Fibonacci","Rs2")</f>
        <v>14.049506666666668</v>
      </c>
      <c r="I66" s="94">
        <f>_xll.AnalizExpert.AnalizExpertIslem.DestekDirencSeviye($A66,"Fibonacci","Rs3")</f>
        <v>14.576666666666668</v>
      </c>
      <c r="J66" s="95">
        <f t="shared" si="4"/>
        <v>-3.9390920881971381E-2</v>
      </c>
      <c r="K66" s="95">
        <f t="shared" si="5"/>
        <v>9.334682230869018E-2</v>
      </c>
      <c r="L66" s="94">
        <f>_xll.AnalizExpert.AnalizExpertIslem.HisseDusuk($A66,"s1h")</f>
        <v>10.3</v>
      </c>
      <c r="M66" s="96">
        <f>_xll.AnalizExpert.AnalizExpertIslem.HisseYuksek($A66,"s1h")</f>
        <v>11.13</v>
      </c>
    </row>
    <row r="67" spans="1:13" x14ac:dyDescent="0.35">
      <c r="A67" s="93" t="s">
        <v>54</v>
      </c>
      <c r="B67" s="94">
        <f>_xll.AnalizExpert.AnalizExpertIslem.DestekDirencSeviye($A67,"Fibonacci","Sp3")</f>
        <v>61.8</v>
      </c>
      <c r="C67" s="94">
        <f>_xll.AnalizExpert.AnalizExpertIslem.DestekDirencSeviye($A67,"Fibonacci","Sp2")</f>
        <v>62.945999999999998</v>
      </c>
      <c r="D67" s="94">
        <f>_xll.AnalizExpert.AnalizExpertIslem.DestekDirencSeviye($A67,"Fibonacci","Sp1")</f>
        <v>63.653999999999996</v>
      </c>
      <c r="E67" s="94">
        <f>_xll.AnalizExpert.AnalizExpertIslem.HisseKapanis($A67,O62-1)</f>
        <v>65.8</v>
      </c>
      <c r="F67" s="94">
        <f>_xll.AnalizExpert.AnalizExpertIslem.PivotNoktasi($A67,O62-1)</f>
        <v>64.8</v>
      </c>
      <c r="G67" s="94">
        <f>_xll.AnalizExpert.AnalizExpertIslem.DestekDirencSeviye($A67,"Fibonacci","Rs1")</f>
        <v>65.945999999999998</v>
      </c>
      <c r="H67" s="94">
        <f>_xll.AnalizExpert.AnalizExpertIslem.DestekDirencSeviye($A67,"Fibonacci","Rs2")</f>
        <v>66.653999999999996</v>
      </c>
      <c r="I67" s="94">
        <f>_xll.AnalizExpert.AnalizExpertIslem.DestekDirencSeviye($A67,"Fibonacci","Rs3")</f>
        <v>67.8</v>
      </c>
      <c r="J67" s="95">
        <f t="shared" si="4"/>
        <v>-4.3373860182370771E-2</v>
      </c>
      <c r="K67" s="95">
        <f t="shared" si="5"/>
        <v>1.2978723404255321E-2</v>
      </c>
      <c r="L67" s="94">
        <f>_xll.AnalizExpert.AnalizExpertIslem.HisseDusuk($A67,"s1h")</f>
        <v>61.75</v>
      </c>
      <c r="M67" s="96">
        <f>_xll.AnalizExpert.AnalizExpertIslem.HisseYuksek($A67,"s1h")</f>
        <v>63.4</v>
      </c>
    </row>
    <row r="68" spans="1:13" x14ac:dyDescent="0.35">
      <c r="A68" s="93" t="s">
        <v>55</v>
      </c>
      <c r="B68" s="94">
        <f>_xll.AnalizExpert.AnalizExpertIslem.DestekDirencSeviye($A68,"Fibonacci","Sp3")</f>
        <v>146.63333333333335</v>
      </c>
      <c r="C68" s="94">
        <f>_xll.AnalizExpert.AnalizExpertIslem.DestekDirencSeviye($A68,"Fibonacci","Sp2")</f>
        <v>159.65953333333334</v>
      </c>
      <c r="D68" s="94">
        <f>_xll.AnalizExpert.AnalizExpertIslem.DestekDirencSeviye($A68,"Fibonacci","Sp1")</f>
        <v>167.70713333333336</v>
      </c>
      <c r="E68" s="94">
        <f>_xll.AnalizExpert.AnalizExpertIslem.HisseKapanis($A68,O63-1)</f>
        <v>192.1</v>
      </c>
      <c r="F68" s="94">
        <f>_xll.AnalizExpert.AnalizExpertIslem.PivotNoktasi($A68,O63-1)</f>
        <v>180.73333333333335</v>
      </c>
      <c r="G68" s="94">
        <f>_xll.AnalizExpert.AnalizExpertIslem.DestekDirencSeviye($A68,"Fibonacci","Rs1")</f>
        <v>193.75953333333334</v>
      </c>
      <c r="H68" s="94">
        <f>_xll.AnalizExpert.AnalizExpertIslem.DestekDirencSeviye($A68,"Fibonacci","Rs2")</f>
        <v>201.80713333333335</v>
      </c>
      <c r="I68" s="94">
        <f>_xll.AnalizExpert.AnalizExpertIslem.DestekDirencSeviye($A68,"Fibonacci","Rs3")</f>
        <v>214.83333333333334</v>
      </c>
      <c r="J68" s="95">
        <f t="shared" si="4"/>
        <v>-0.16887280930071136</v>
      </c>
      <c r="K68" s="95">
        <f t="shared" si="5"/>
        <v>5.0531667534270408E-2</v>
      </c>
      <c r="L68" s="94">
        <f>_xll.AnalizExpert.AnalizExpertIslem.HisseDusuk($A68,"s1h")</f>
        <v>167.1</v>
      </c>
      <c r="M68" s="97">
        <f>_xll.AnalizExpert.AnalizExpertIslem.HisseYuksek($A68,"s1h")</f>
        <v>178.2</v>
      </c>
    </row>
    <row r="69" spans="1:13" x14ac:dyDescent="0.35">
      <c r="A69" s="93" t="s">
        <v>56</v>
      </c>
      <c r="B69" s="94">
        <f>_xll.AnalizExpert.AnalizExpertIslem.DestekDirencSeviye($A69,"Fibonacci","Sp3")</f>
        <v>65.916666666666671</v>
      </c>
      <c r="C69" s="94">
        <f>_xll.AnalizExpert.AnalizExpertIslem.DestekDirencSeviye($A69,"Fibonacci","Sp2")</f>
        <v>66.757066666666674</v>
      </c>
      <c r="D69" s="94">
        <f>_xll.AnalizExpert.AnalizExpertIslem.DestekDirencSeviye($A69,"Fibonacci","Sp1")</f>
        <v>67.276266666666658</v>
      </c>
      <c r="E69" s="94">
        <f>_xll.AnalizExpert.AnalizExpertIslem.HisseKapanis($A69,O64-1)</f>
        <v>68.849999999999994</v>
      </c>
      <c r="F69" s="94">
        <f>_xll.AnalizExpert.AnalizExpertIslem.PivotNoktasi($A69,O64-1)</f>
        <v>68.11666666666666</v>
      </c>
      <c r="G69" s="94">
        <f>_xll.AnalizExpert.AnalizExpertIslem.DestekDirencSeviye($A69,"Fibonacci","Rs1")</f>
        <v>68.957066666666663</v>
      </c>
      <c r="H69" s="94">
        <f>_xll.AnalizExpert.AnalizExpertIslem.DestekDirencSeviye($A69,"Fibonacci","Rs2")</f>
        <v>69.476266666666646</v>
      </c>
      <c r="I69" s="94">
        <f>_xll.AnalizExpert.AnalizExpertIslem.DestekDirencSeviye($A69,"Fibonacci","Rs3")</f>
        <v>70.316666666666649</v>
      </c>
      <c r="J69" s="95">
        <f t="shared" si="4"/>
        <v>-3.0398450738319815E-2</v>
      </c>
      <c r="K69" s="95">
        <f t="shared" si="5"/>
        <v>9.0961026385860677E-3</v>
      </c>
      <c r="L69" s="94">
        <f>_xll.AnalizExpert.AnalizExpertIslem.HisseDusuk($A69,"s1h")</f>
        <v>67</v>
      </c>
      <c r="M69" s="96">
        <f>_xll.AnalizExpert.AnalizExpertIslem.HisseYuksek($A69,"s1h")</f>
        <v>70</v>
      </c>
    </row>
    <row r="70" spans="1:13" x14ac:dyDescent="0.35">
      <c r="A70" s="93" t="s">
        <v>58</v>
      </c>
      <c r="B70" s="94">
        <f>_xll.AnalizExpert.AnalizExpertIslem.DestekDirencSeviye($A70,"Fibonacci","Sp3")</f>
        <v>36.959999999999994</v>
      </c>
      <c r="C70" s="94">
        <f>_xll.AnalizExpert.AnalizExpertIslem.DestekDirencSeviye($A70,"Fibonacci","Sp2")</f>
        <v>37.578839999999992</v>
      </c>
      <c r="D70" s="94">
        <f>_xll.AnalizExpert.AnalizExpertIslem.DestekDirencSeviye($A70,"Fibonacci","Sp1")</f>
        <v>37.961159999999992</v>
      </c>
      <c r="E70" s="94">
        <f>_xll.AnalizExpert.AnalizExpertIslem.HisseKapanis($A70,O65-1)</f>
        <v>38.76</v>
      </c>
      <c r="F70" s="94">
        <f>_xll.AnalizExpert.AnalizExpertIslem.PivotNoktasi($A70,O65-1)</f>
        <v>38.579999999999991</v>
      </c>
      <c r="G70" s="94">
        <f>_xll.AnalizExpert.AnalizExpertIslem.DestekDirencSeviye($A70,"Fibonacci","Rs1")</f>
        <v>39.19883999999999</v>
      </c>
      <c r="H70" s="94">
        <f>_xll.AnalizExpert.AnalizExpertIslem.DestekDirencSeviye($A70,"Fibonacci","Rs2")</f>
        <v>39.58115999999999</v>
      </c>
      <c r="I70" s="94">
        <f>_xll.AnalizExpert.AnalizExpertIslem.DestekDirencSeviye($A70,"Fibonacci","Rs3")</f>
        <v>40.199999999999989</v>
      </c>
      <c r="J70" s="95">
        <f t="shared" si="4"/>
        <v>-3.0473684210526431E-2</v>
      </c>
      <c r="K70" s="95">
        <f t="shared" si="5"/>
        <v>2.1185758513931674E-2</v>
      </c>
      <c r="L70" s="94">
        <f>_xll.AnalizExpert.AnalizExpertIslem.HisseDusuk($A70,"s1h")</f>
        <v>36.56</v>
      </c>
      <c r="M70" s="96">
        <f>_xll.AnalizExpert.AnalizExpertIslem.HisseYuksek($A70,"s1h")</f>
        <v>38.76</v>
      </c>
    </row>
    <row r="71" spans="1:13" x14ac:dyDescent="0.35">
      <c r="A71" s="93" t="s">
        <v>57</v>
      </c>
      <c r="B71" s="94">
        <f>_xll.AnalizExpert.AnalizExpertIslem.DestekDirencSeviye($A71,"Fibonacci","Sp3")</f>
        <v>251.53333333333336</v>
      </c>
      <c r="C71" s="94">
        <f>_xll.AnalizExpert.AnalizExpertIslem.DestekDirencSeviye($A71,"Fibonacci","Sp2")</f>
        <v>256.00273333333337</v>
      </c>
      <c r="D71" s="94">
        <f>_xll.AnalizExpert.AnalizExpertIslem.DestekDirencSeviye($A71,"Fibonacci","Sp1")</f>
        <v>258.76393333333334</v>
      </c>
      <c r="E71" s="94">
        <f>_xll.AnalizExpert.AnalizExpertIslem.HisseKapanis($A71,O66-1)</f>
        <v>265</v>
      </c>
      <c r="F71" s="94">
        <f>_xll.AnalizExpert.AnalizExpertIslem.PivotNoktasi($A71,O66-1)</f>
        <v>263.23333333333335</v>
      </c>
      <c r="G71" s="94">
        <f>_xll.AnalizExpert.AnalizExpertIslem.DestekDirencSeviye($A71,"Fibonacci","Rs1")</f>
        <v>267.70273333333336</v>
      </c>
      <c r="H71" s="94">
        <f>_xll.AnalizExpert.AnalizExpertIslem.DestekDirencSeviye($A71,"Fibonacci","Rs2")</f>
        <v>270.46393333333333</v>
      </c>
      <c r="I71" s="94">
        <f>_xll.AnalizExpert.AnalizExpertIslem.DestekDirencSeviye($A71,"Fibonacci","Rs3")</f>
        <v>274.93333333333334</v>
      </c>
      <c r="J71" s="95">
        <f t="shared" si="4"/>
        <v>-3.3951949685534499E-2</v>
      </c>
      <c r="K71" s="95">
        <f t="shared" si="5"/>
        <v>2.0618616352201302E-2</v>
      </c>
      <c r="L71" s="94">
        <f>_xll.AnalizExpert.AnalizExpertIslem.HisseDusuk($A71,"s1h")</f>
        <v>225.3</v>
      </c>
      <c r="M71" s="96">
        <f>_xll.AnalizExpert.AnalizExpertIslem.HisseYuksek($A71,"s1h")</f>
        <v>245.4</v>
      </c>
    </row>
    <row r="72" spans="1:13" x14ac:dyDescent="0.35">
      <c r="A72" s="93" t="s">
        <v>52</v>
      </c>
      <c r="B72" s="94">
        <f>_xll.AnalizExpert.AnalizExpertIslem.DestekDirencSeviye($A72,"Fibonacci","Sp3")</f>
        <v>12.770000000000001</v>
      </c>
      <c r="C72" s="94">
        <f>_xll.AnalizExpert.AnalizExpertIslem.DestekDirencSeviye($A72,"Fibonacci","Sp2")</f>
        <v>12.884600000000001</v>
      </c>
      <c r="D72" s="94">
        <f>_xll.AnalizExpert.AnalizExpertIslem.DestekDirencSeviye($A72,"Fibonacci","Sp1")</f>
        <v>12.955400000000001</v>
      </c>
      <c r="E72" s="94">
        <f>_xll.AnalizExpert.AnalizExpertIslem.HisseKapanis($A72,O67-1)</f>
        <v>13.15</v>
      </c>
      <c r="F72" s="94">
        <f>_xll.AnalizExpert.AnalizExpertIslem.PivotNoktasi($A72,O67-1)</f>
        <v>13.07</v>
      </c>
      <c r="G72" s="94">
        <f>_xll.AnalizExpert.AnalizExpertIslem.DestekDirencSeviye($A72,"Fibonacci","Rs1")</f>
        <v>13.1846</v>
      </c>
      <c r="H72" s="94">
        <f>_xll.AnalizExpert.AnalizExpertIslem.DestekDirencSeviye($A72,"Fibonacci","Rs2")</f>
        <v>13.2554</v>
      </c>
      <c r="I72" s="94">
        <f>_xll.AnalizExpert.AnalizExpertIslem.DestekDirencSeviye($A72,"Fibonacci","Rs3")</f>
        <v>13.37</v>
      </c>
      <c r="J72" s="95">
        <f t="shared" si="4"/>
        <v>-2.0182509505703439E-2</v>
      </c>
      <c r="K72" s="95">
        <f t="shared" si="5"/>
        <v>8.0152091254752644E-3</v>
      </c>
      <c r="L72" s="94">
        <f>_xll.AnalizExpert.AnalizExpertIslem.HisseDusuk($A72,"s1h")</f>
        <v>12.9</v>
      </c>
      <c r="M72" s="96">
        <f>_xll.AnalizExpert.AnalizExpertIslem.HisseYuksek($A72,"s1h")</f>
        <v>13.23</v>
      </c>
    </row>
    <row r="73" spans="1:13" x14ac:dyDescent="0.35">
      <c r="A73" s="93" t="s">
        <v>59</v>
      </c>
      <c r="B73" s="94">
        <f>_xll.AnalizExpert.AnalizExpertIslem.DestekDirencSeviye($A73,"Fibonacci","Sp3")</f>
        <v>54.833333333333336</v>
      </c>
      <c r="C73" s="94">
        <f>_xll.AnalizExpert.AnalizExpertIslem.DestekDirencSeviye($A73,"Fibonacci","Sp2")</f>
        <v>55.826533333333337</v>
      </c>
      <c r="D73" s="94">
        <f>_xll.AnalizExpert.AnalizExpertIslem.DestekDirencSeviye($A73,"Fibonacci","Sp1")</f>
        <v>56.440133333333335</v>
      </c>
      <c r="E73" s="94">
        <f>_xll.AnalizExpert.AnalizExpertIslem.HisseKapanis($A73,O68-1)</f>
        <v>57.4</v>
      </c>
      <c r="F73" s="94">
        <f>_xll.AnalizExpert.AnalizExpertIslem.PivotNoktasi($A73,O68-1)</f>
        <v>57.433333333333337</v>
      </c>
      <c r="G73" s="94">
        <f>_xll.AnalizExpert.AnalizExpertIslem.DestekDirencSeviye($A73,"Fibonacci","Rs1")</f>
        <v>58.426533333333339</v>
      </c>
      <c r="H73" s="94">
        <f>_xll.AnalizExpert.AnalizExpertIslem.DestekDirencSeviye($A73,"Fibonacci","Rs2")</f>
        <v>59.040133333333337</v>
      </c>
      <c r="I73" s="94">
        <f>_xll.AnalizExpert.AnalizExpertIslem.DestekDirencSeviye($A73,"Fibonacci","Rs3")</f>
        <v>60.033333333333339</v>
      </c>
      <c r="J73" s="95">
        <f t="shared" si="4"/>
        <v>-2.7412311265969658E-2</v>
      </c>
      <c r="K73" s="95">
        <f t="shared" si="5"/>
        <v>2.85737514518003E-2</v>
      </c>
      <c r="L73" s="94">
        <f>_xll.AnalizExpert.AnalizExpertIslem.HisseDusuk($A73,"s1h")</f>
        <v>53.2</v>
      </c>
      <c r="M73" s="96">
        <f>_xll.AnalizExpert.AnalizExpertIslem.HisseYuksek($A73,"s1h")</f>
        <v>55.55</v>
      </c>
    </row>
    <row r="74" spans="1:13" x14ac:dyDescent="0.35">
      <c r="A74" s="93" t="s">
        <v>60</v>
      </c>
      <c r="B74" s="94">
        <f>_xll.AnalizExpert.AnalizExpertIslem.DestekDirencSeviye($A74,"Fibonacci","Sp3")</f>
        <v>89.383333333333326</v>
      </c>
      <c r="C74" s="94">
        <f>_xll.AnalizExpert.AnalizExpertIslem.DestekDirencSeviye($A74,"Fibonacci","Sp2")</f>
        <v>91.579833333333326</v>
      </c>
      <c r="D74" s="94">
        <f>_xll.AnalizExpert.AnalizExpertIslem.DestekDirencSeviye($A74,"Fibonacci","Sp1")</f>
        <v>92.936833333333325</v>
      </c>
      <c r="E74" s="94">
        <f>_xll.AnalizExpert.AnalizExpertIslem.HisseKapanis($A74,O69-1)</f>
        <v>97.05</v>
      </c>
      <c r="F74" s="94">
        <f>_xll.AnalizExpert.AnalizExpertIslem.PivotNoktasi($A74,O69-1)</f>
        <v>95.133333333333326</v>
      </c>
      <c r="G74" s="94">
        <f>_xll.AnalizExpert.AnalizExpertIslem.DestekDirencSeviye($A74,"Fibonacci","Rs1")</f>
        <v>97.329833333333326</v>
      </c>
      <c r="H74" s="94">
        <f>_xll.AnalizExpert.AnalizExpertIslem.DestekDirencSeviye($A74,"Fibonacci","Rs2")</f>
        <v>98.686833333333325</v>
      </c>
      <c r="I74" s="94">
        <f>_xll.AnalizExpert.AnalizExpertIslem.DestekDirencSeviye($A74,"Fibonacci","Rs3")</f>
        <v>100.88333333333333</v>
      </c>
      <c r="J74" s="95">
        <f t="shared" si="4"/>
        <v>-5.6364416967199071E-2</v>
      </c>
      <c r="K74" s="95">
        <f t="shared" si="5"/>
        <v>1.6865876695861148E-2</v>
      </c>
      <c r="L74" s="94">
        <f>_xll.AnalizExpert.AnalizExpertIslem.HisseDusuk($A74,"s1h")</f>
        <v>90.5</v>
      </c>
      <c r="M74" s="96">
        <f>_xll.AnalizExpert.AnalizExpertIslem.HisseYuksek($A74,"s1h")</f>
        <v>93.5</v>
      </c>
    </row>
    <row r="75" spans="1:13" x14ac:dyDescent="0.35">
      <c r="A75" s="93" t="s">
        <v>61</v>
      </c>
      <c r="B75" s="94">
        <f>_xll.AnalizExpert.AnalizExpertIslem.DestekDirencSeviye($A75,"Fibonacci","Sp3")</f>
        <v>117.03333333333336</v>
      </c>
      <c r="C75" s="94">
        <f>_xll.AnalizExpert.AnalizExpertIslem.DestekDirencSeviye($A75,"Fibonacci","Sp2")</f>
        <v>122.03753333333336</v>
      </c>
      <c r="D75" s="94">
        <f>_xll.AnalizExpert.AnalizExpertIslem.DestekDirencSeviye($A75,"Fibonacci","Sp1")</f>
        <v>125.12913333333336</v>
      </c>
      <c r="E75" s="94">
        <f>_xll.AnalizExpert.AnalizExpertIslem.HisseKapanis($A75,O70-1)</f>
        <v>127.3</v>
      </c>
      <c r="F75" s="94">
        <f>_xll.AnalizExpert.AnalizExpertIslem.PivotNoktasi($A75,O70-1)</f>
        <v>130.13333333333335</v>
      </c>
      <c r="G75" s="94">
        <f>_xll.AnalizExpert.AnalizExpertIslem.DestekDirencSeviye($A75,"Fibonacci","Rs1")</f>
        <v>135.13753333333335</v>
      </c>
      <c r="H75" s="94">
        <f>_xll.AnalizExpert.AnalizExpertIslem.DestekDirencSeviye($A75,"Fibonacci","Rs2")</f>
        <v>138.22913333333335</v>
      </c>
      <c r="I75" s="94">
        <f>_xll.AnalizExpert.AnalizExpertIslem.DestekDirencSeviye($A75,"Fibonacci","Rs3")</f>
        <v>143.23333333333335</v>
      </c>
      <c r="J75" s="95">
        <f t="shared" si="4"/>
        <v>-4.1339094003665644E-2</v>
      </c>
      <c r="K75" s="95">
        <f t="shared" si="5"/>
        <v>8.585336475517158E-2</v>
      </c>
      <c r="L75" s="94">
        <f>_xll.AnalizExpert.AnalizExpertIslem.HisseDusuk($A75,"s1h")</f>
        <v>140.19999999999999</v>
      </c>
      <c r="M75" s="96">
        <f>_xll.AnalizExpert.AnalizExpertIslem.HisseYuksek($A75,"s1h")</f>
        <v>145.30000000000001</v>
      </c>
    </row>
    <row r="76" spans="1:13" x14ac:dyDescent="0.35">
      <c r="A76" s="93" t="s">
        <v>62</v>
      </c>
      <c r="B76" s="94">
        <f>_xll.AnalizExpert.AnalizExpertIslem.DestekDirencSeviye($A76,"Fibonacci","Sp3")</f>
        <v>12.766666666666666</v>
      </c>
      <c r="C76" s="94">
        <f>_xll.AnalizExpert.AnalizExpertIslem.DestekDirencSeviye($A76,"Fibonacci","Sp2")</f>
        <v>12.873626666666667</v>
      </c>
      <c r="D76" s="94">
        <f>_xll.AnalizExpert.AnalizExpertIslem.DestekDirencSeviye($A76,"Fibonacci","Sp1")</f>
        <v>12.939706666666666</v>
      </c>
      <c r="E76" s="94">
        <f>_xll.AnalizExpert.AnalizExpertIslem.HisseKapanis($A76,O71-1)</f>
        <v>12.96</v>
      </c>
      <c r="F76" s="94">
        <f>_xll.AnalizExpert.AnalizExpertIslem.PivotNoktasi($A76,O71-1)</f>
        <v>13.046666666666667</v>
      </c>
      <c r="G76" s="94">
        <f>_xll.AnalizExpert.AnalizExpertIslem.DestekDirencSeviye($A76,"Fibonacci","Rs1")</f>
        <v>13.153626666666668</v>
      </c>
      <c r="H76" s="94">
        <f>_xll.AnalizExpert.AnalizExpertIslem.DestekDirencSeviye($A76,"Fibonacci","Rs2")</f>
        <v>13.219706666666667</v>
      </c>
      <c r="I76" s="94">
        <f>_xll.AnalizExpert.AnalizExpertIslem.DestekDirencSeviye($A76,"Fibonacci","Rs3")</f>
        <v>13.326666666666668</v>
      </c>
      <c r="J76" s="95">
        <f t="shared" si="4"/>
        <v>-6.6646090534979718E-3</v>
      </c>
      <c r="K76" s="95">
        <f t="shared" si="5"/>
        <v>2.0039094650205813E-2</v>
      </c>
      <c r="L76" s="94">
        <f>_xll.AnalizExpert.AnalizExpertIslem.HisseDusuk($A76,"s1h")</f>
        <v>13.68</v>
      </c>
      <c r="M76" s="96">
        <f>_xll.AnalizExpert.AnalizExpertIslem.HisseYuksek($A76,"s1h")</f>
        <v>14.24</v>
      </c>
    </row>
    <row r="77" spans="1:13" x14ac:dyDescent="0.35">
      <c r="A77" s="93" t="s">
        <v>63</v>
      </c>
      <c r="B77" s="94">
        <f>_xll.AnalizExpert.AnalizExpertIslem.DestekDirencSeviye($A77,"Fibonacci","Sp3")</f>
        <v>6.0366666666666662</v>
      </c>
      <c r="C77" s="94">
        <f>_xll.AnalizExpert.AnalizExpertIslem.DestekDirencSeviye($A77,"Fibonacci","Sp2")</f>
        <v>6.1321666666666665</v>
      </c>
      <c r="D77" s="94">
        <f>_xll.AnalizExpert.AnalizExpertIslem.DestekDirencSeviye($A77,"Fibonacci","Sp1")</f>
        <v>6.1911666666666658</v>
      </c>
      <c r="E77" s="94">
        <f>_xll.AnalizExpert.AnalizExpertIslem.HisseKapanis($A77,O72-1)</f>
        <v>6.35</v>
      </c>
      <c r="F77" s="94">
        <f>_xll.AnalizExpert.AnalizExpertIslem.PivotNoktasi($A77,O72-1)</f>
        <v>6.2866666666666662</v>
      </c>
      <c r="G77" s="94">
        <f>_xll.AnalizExpert.AnalizExpertIslem.DestekDirencSeviye($A77,"Fibonacci","Rs1")</f>
        <v>6.3821666666666665</v>
      </c>
      <c r="H77" s="94">
        <f>_xll.AnalizExpert.AnalizExpertIslem.DestekDirencSeviye($A77,"Fibonacci","Rs2")</f>
        <v>6.4411666666666658</v>
      </c>
      <c r="I77" s="94">
        <f>_xll.AnalizExpert.AnalizExpertIslem.DestekDirencSeviye($A77,"Fibonacci","Rs3")</f>
        <v>6.5366666666666662</v>
      </c>
      <c r="J77" s="95">
        <f t="shared" si="4"/>
        <v>-3.4304461942257225E-2</v>
      </c>
      <c r="K77" s="95">
        <f t="shared" si="5"/>
        <v>1.4356955380577352E-2</v>
      </c>
      <c r="L77" s="94">
        <f>_xll.AnalizExpert.AnalizExpertIslem.HisseDusuk($A77,"s1h")</f>
        <v>6.06</v>
      </c>
      <c r="M77" s="96">
        <f>_xll.AnalizExpert.AnalizExpertIslem.HisseYuksek($A77,"s1h")</f>
        <v>6.42</v>
      </c>
    </row>
    <row r="78" spans="1:13" x14ac:dyDescent="0.35">
      <c r="A78" s="93" t="s">
        <v>64</v>
      </c>
      <c r="B78" s="94">
        <f>_xll.AnalizExpert.AnalizExpertIslem.DestekDirencSeviye($A78,"Fibonacci","Sp3")</f>
        <v>10.220000000000002</v>
      </c>
      <c r="C78" s="94">
        <f>_xll.AnalizExpert.AnalizExpertIslem.DestekDirencSeviye($A78,"Fibonacci","Sp2")</f>
        <v>10.456840000000001</v>
      </c>
      <c r="D78" s="94">
        <f>_xll.AnalizExpert.AnalizExpertIslem.DestekDirencSeviye($A78,"Fibonacci","Sp1")</f>
        <v>10.603160000000003</v>
      </c>
      <c r="E78" s="94">
        <f>_xll.AnalizExpert.AnalizExpertIslem.HisseKapanis($A78,O73-1)</f>
        <v>10.78</v>
      </c>
      <c r="F78" s="94">
        <f>_xll.AnalizExpert.AnalizExpertIslem.PivotNoktasi($A78,O73-1)</f>
        <v>10.840000000000002</v>
      </c>
      <c r="G78" s="94">
        <f>_xll.AnalizExpert.AnalizExpertIslem.DestekDirencSeviye($A78,"Fibonacci","Rs1")</f>
        <v>11.076840000000001</v>
      </c>
      <c r="H78" s="94">
        <f>_xll.AnalizExpert.AnalizExpertIslem.DestekDirencSeviye($A78,"Fibonacci","Rs2")</f>
        <v>11.223160000000002</v>
      </c>
      <c r="I78" s="94">
        <f>_xll.AnalizExpert.AnalizExpertIslem.DestekDirencSeviye($A78,"Fibonacci","Rs3")</f>
        <v>11.46</v>
      </c>
      <c r="J78" s="95">
        <f t="shared" ref="J78:J113" si="6">C78/E78-1</f>
        <v>-2.9977736549164913E-2</v>
      </c>
      <c r="K78" s="95">
        <f t="shared" ref="K78:K113" si="7">H78/E78-1</f>
        <v>4.1109461966605032E-2</v>
      </c>
      <c r="L78" s="94">
        <f>_xll.AnalizExpert.AnalizExpertIslem.HisseDusuk($A78,"s1h")</f>
        <v>10.89</v>
      </c>
      <c r="M78" s="96">
        <f>_xll.AnalizExpert.AnalizExpertIslem.HisseYuksek($A78,"s1h")</f>
        <v>11.89</v>
      </c>
    </row>
    <row r="79" spans="1:13" x14ac:dyDescent="0.35">
      <c r="A79" s="93" t="s">
        <v>65</v>
      </c>
      <c r="B79" s="94">
        <f>_xll.AnalizExpert.AnalizExpertIslem.DestekDirencSeviye($A79,"Fibonacci","Sp3")</f>
        <v>737.43333333333339</v>
      </c>
      <c r="C79" s="94">
        <f>_xll.AnalizExpert.AnalizExpertIslem.DestekDirencSeviye($A79,"Fibonacci","Sp2")</f>
        <v>746.6013333333334</v>
      </c>
      <c r="D79" s="94">
        <f>_xll.AnalizExpert.AnalizExpertIslem.DestekDirencSeviye($A79,"Fibonacci","Sp1")</f>
        <v>752.26533333333339</v>
      </c>
      <c r="E79" s="94">
        <f>_xll.AnalizExpert.AnalizExpertIslem.HisseKapanis($A79,O74-1)</f>
        <v>762.1</v>
      </c>
      <c r="F79" s="94">
        <f>_xll.AnalizExpert.AnalizExpertIslem.PivotNoktasi($A79,O74-1)</f>
        <v>761.43333333333339</v>
      </c>
      <c r="G79" s="94">
        <f>_xll.AnalizExpert.AnalizExpertIslem.DestekDirencSeviye($A79,"Fibonacci","Rs1")</f>
        <v>770.6013333333334</v>
      </c>
      <c r="H79" s="94">
        <f>_xll.AnalizExpert.AnalizExpertIslem.DestekDirencSeviye($A79,"Fibonacci","Rs2")</f>
        <v>776.26533333333339</v>
      </c>
      <c r="I79" s="94">
        <f>_xll.AnalizExpert.AnalizExpertIslem.DestekDirencSeviye($A79,"Fibonacci","Rs3")</f>
        <v>785.43333333333339</v>
      </c>
      <c r="J79" s="95">
        <f t="shared" si="6"/>
        <v>-2.0336788697896124E-2</v>
      </c>
      <c r="K79" s="95">
        <f t="shared" si="7"/>
        <v>1.858723702051357E-2</v>
      </c>
      <c r="L79" s="94">
        <f>_xll.AnalizExpert.AnalizExpertIslem.HisseDusuk($A79,"s1h")</f>
        <v>704.8</v>
      </c>
      <c r="M79" s="96">
        <f>_xll.AnalizExpert.AnalizExpertIslem.HisseYuksek($A79,"s1h")</f>
        <v>744</v>
      </c>
    </row>
    <row r="80" spans="1:13" x14ac:dyDescent="0.35">
      <c r="A80" s="93" t="s">
        <v>66</v>
      </c>
      <c r="B80" s="94">
        <f>_xll.AnalizExpert.AnalizExpertIslem.DestekDirencSeviye($A80,"Fibonacci","Sp3")</f>
        <v>16.483333333333334</v>
      </c>
      <c r="C80" s="94">
        <f>_xll.AnalizExpert.AnalizExpertIslem.DestekDirencSeviye($A80,"Fibonacci","Sp2")</f>
        <v>16.750733333333333</v>
      </c>
      <c r="D80" s="94">
        <f>_xll.AnalizExpert.AnalizExpertIslem.DestekDirencSeviye($A80,"Fibonacci","Sp1")</f>
        <v>16.915933333333335</v>
      </c>
      <c r="E80" s="94">
        <f>_xll.AnalizExpert.AnalizExpertIslem.HisseKapanis($A80,O75-1)</f>
        <v>17.27</v>
      </c>
      <c r="F80" s="94">
        <f>_xll.AnalizExpert.AnalizExpertIslem.PivotNoktasi($A80,O75-1)</f>
        <v>17.183333333333334</v>
      </c>
      <c r="G80" s="94">
        <f>_xll.AnalizExpert.AnalizExpertIslem.DestekDirencSeviye($A80,"Fibonacci","Rs1")</f>
        <v>17.450733333333332</v>
      </c>
      <c r="H80" s="94">
        <f>_xll.AnalizExpert.AnalizExpertIslem.DestekDirencSeviye($A80,"Fibonacci","Rs2")</f>
        <v>17.615933333333334</v>
      </c>
      <c r="I80" s="94">
        <f>_xll.AnalizExpert.AnalizExpertIslem.DestekDirencSeviye($A80,"Fibonacci","Rs3")</f>
        <v>17.883333333333333</v>
      </c>
      <c r="J80" s="95">
        <f t="shared" si="6"/>
        <v>-3.0067554526153284E-2</v>
      </c>
      <c r="K80" s="95">
        <f t="shared" si="7"/>
        <v>2.0030882069098643E-2</v>
      </c>
      <c r="L80" s="94">
        <f>_xll.AnalizExpert.AnalizExpertIslem.HisseDusuk($A80,"s1h")</f>
        <v>17.420000000000002</v>
      </c>
      <c r="M80" s="96">
        <f>_xll.AnalizExpert.AnalizExpertIslem.HisseYuksek($A80,"s1h")</f>
        <v>17.850000000000001</v>
      </c>
    </row>
    <row r="81" spans="1:13" x14ac:dyDescent="0.35">
      <c r="A81" s="93" t="s">
        <v>67</v>
      </c>
      <c r="B81" s="94">
        <f>_xll.AnalizExpert.AnalizExpertIslem.DestekDirencSeviye($A81,"Fibonacci","Sp3")</f>
        <v>62.466666666666676</v>
      </c>
      <c r="C81" s="94">
        <f>_xll.AnalizExpert.AnalizExpertIslem.DestekDirencSeviye($A81,"Fibonacci","Sp2")</f>
        <v>63.211566666666677</v>
      </c>
      <c r="D81" s="94">
        <f>_xll.AnalizExpert.AnalizExpertIslem.DestekDirencSeviye($A81,"Fibonacci","Sp1")</f>
        <v>63.67176666666667</v>
      </c>
      <c r="E81" s="94">
        <f>_xll.AnalizExpert.AnalizExpertIslem.HisseKapanis($A81,O76-1)</f>
        <v>64.099999999999994</v>
      </c>
      <c r="F81" s="94">
        <f>_xll.AnalizExpert.AnalizExpertIslem.PivotNoktasi($A81,O76-1)</f>
        <v>64.416666666666671</v>
      </c>
      <c r="G81" s="94">
        <f>_xll.AnalizExpert.AnalizExpertIslem.DestekDirencSeviye($A81,"Fibonacci","Rs1")</f>
        <v>65.161566666666673</v>
      </c>
      <c r="H81" s="94">
        <f>_xll.AnalizExpert.AnalizExpertIslem.DestekDirencSeviye($A81,"Fibonacci","Rs2")</f>
        <v>65.621766666666673</v>
      </c>
      <c r="I81" s="94">
        <f>_xll.AnalizExpert.AnalizExpertIslem.DestekDirencSeviye($A81,"Fibonacci","Rs3")</f>
        <v>66.366666666666674</v>
      </c>
      <c r="J81" s="95">
        <f t="shared" si="6"/>
        <v>-1.3860114404575907E-2</v>
      </c>
      <c r="K81" s="95">
        <f t="shared" si="7"/>
        <v>2.3740509620385097E-2</v>
      </c>
      <c r="L81" s="94">
        <f>_xll.AnalizExpert.AnalizExpertIslem.HisseDusuk($A81,"s1h")</f>
        <v>67.7</v>
      </c>
      <c r="M81" s="96">
        <f>_xll.AnalizExpert.AnalizExpertIslem.HisseYuksek($A81,"s1h")</f>
        <v>71.5</v>
      </c>
    </row>
    <row r="82" spans="1:13" x14ac:dyDescent="0.35">
      <c r="A82" s="93" t="s">
        <v>70</v>
      </c>
      <c r="B82" s="94">
        <f>_xll.AnalizExpert.AnalizExpertIslem.DestekDirencSeviye($A82,"Fibonacci","Sp3")</f>
        <v>14.690000000000001</v>
      </c>
      <c r="C82" s="94">
        <f>_xll.AnalizExpert.AnalizExpertIslem.DestekDirencSeviye($A82,"Fibonacci","Sp2")</f>
        <v>14.877180000000001</v>
      </c>
      <c r="D82" s="94">
        <f>_xll.AnalizExpert.AnalizExpertIslem.DestekDirencSeviye($A82,"Fibonacci","Sp1")</f>
        <v>14.99282</v>
      </c>
      <c r="E82" s="94">
        <f>_xll.AnalizExpert.AnalizExpertIslem.HisseKapanis($A82,O77-1)</f>
        <v>15.29</v>
      </c>
      <c r="F82" s="94">
        <f>_xll.AnalizExpert.AnalizExpertIslem.PivotNoktasi($A82,O77-1)</f>
        <v>15.18</v>
      </c>
      <c r="G82" s="94">
        <f>_xll.AnalizExpert.AnalizExpertIslem.DestekDirencSeviye($A82,"Fibonacci","Rs1")</f>
        <v>15.367179999999999</v>
      </c>
      <c r="H82" s="94">
        <f>_xll.AnalizExpert.AnalizExpertIslem.DestekDirencSeviye($A82,"Fibonacci","Rs2")</f>
        <v>15.482819999999998</v>
      </c>
      <c r="I82" s="94">
        <f>_xll.AnalizExpert.AnalizExpertIslem.DestekDirencSeviye($A82,"Fibonacci","Rs3")</f>
        <v>15.669999999999998</v>
      </c>
      <c r="J82" s="95">
        <f t="shared" si="6"/>
        <v>-2.6999345977763101E-2</v>
      </c>
      <c r="K82" s="95">
        <f t="shared" si="7"/>
        <v>1.2610856769130097E-2</v>
      </c>
      <c r="L82" s="94">
        <f>_xll.AnalizExpert.AnalizExpertIslem.HisseDusuk($A82,"s1h")</f>
        <v>14.27</v>
      </c>
      <c r="M82" s="96">
        <f>_xll.AnalizExpert.AnalizExpertIslem.HisseYuksek($A82,"s1h")</f>
        <v>15.48</v>
      </c>
    </row>
    <row r="83" spans="1:13" x14ac:dyDescent="0.35">
      <c r="A83" s="93" t="s">
        <v>69</v>
      </c>
      <c r="B83" s="94">
        <f>_xll.AnalizExpert.AnalizExpertIslem.DestekDirencSeviye($A83,"Fibonacci","Sp3")</f>
        <v>325.40000000000003</v>
      </c>
      <c r="C83" s="94">
        <f>_xll.AnalizExpert.AnalizExpertIslem.DestekDirencSeviye($A83,"Fibonacci","Sp2")</f>
        <v>332.46700000000004</v>
      </c>
      <c r="D83" s="94">
        <f>_xll.AnalizExpert.AnalizExpertIslem.DestekDirencSeviye($A83,"Fibonacci","Sp1")</f>
        <v>336.83300000000003</v>
      </c>
      <c r="E83" s="94">
        <f>_xll.AnalizExpert.AnalizExpertIslem.HisseKapanis($A83,O78-1)</f>
        <v>340.2</v>
      </c>
      <c r="F83" s="94">
        <f>_xll.AnalizExpert.AnalizExpertIslem.PivotNoktasi($A83,O78-1)</f>
        <v>343.90000000000003</v>
      </c>
      <c r="G83" s="94">
        <f>_xll.AnalizExpert.AnalizExpertIslem.DestekDirencSeviye($A83,"Fibonacci","Rs1")</f>
        <v>350.96700000000004</v>
      </c>
      <c r="H83" s="94">
        <f>_xll.AnalizExpert.AnalizExpertIslem.DestekDirencSeviye($A83,"Fibonacci","Rs2")</f>
        <v>355.33300000000003</v>
      </c>
      <c r="I83" s="94">
        <f>_xll.AnalizExpert.AnalizExpertIslem.DestekDirencSeviye($A83,"Fibonacci","Rs3")</f>
        <v>362.40000000000003</v>
      </c>
      <c r="J83" s="95">
        <f t="shared" si="6"/>
        <v>-2.2730746619635367E-2</v>
      </c>
      <c r="K83" s="95">
        <f t="shared" si="7"/>
        <v>4.4482657260435099E-2</v>
      </c>
      <c r="L83" s="94">
        <f>_xll.AnalizExpert.AnalizExpertIslem.HisseDusuk($A83,"s1h")</f>
        <v>366.2</v>
      </c>
      <c r="M83" s="96">
        <f>_xll.AnalizExpert.AnalizExpertIslem.HisseYuksek($A83,"s1h")</f>
        <v>380</v>
      </c>
    </row>
    <row r="84" spans="1:13" x14ac:dyDescent="0.35">
      <c r="A84" s="93" t="s">
        <v>68</v>
      </c>
      <c r="B84" s="94">
        <f>_xll.AnalizExpert.AnalizExpertIslem.DestekDirencSeviye($A84,"Fibonacci","Sp3")</f>
        <v>8.2066666666666652</v>
      </c>
      <c r="C84" s="94">
        <f>_xll.AnalizExpert.AnalizExpertIslem.DestekDirencSeviye($A84,"Fibonacci","Sp2")</f>
        <v>8.4626066666666659</v>
      </c>
      <c r="D84" s="94">
        <f>_xll.AnalizExpert.AnalizExpertIslem.DestekDirencSeviye($A84,"Fibonacci","Sp1")</f>
        <v>8.6207266666666644</v>
      </c>
      <c r="E84" s="94">
        <f>_xll.AnalizExpert.AnalizExpertIslem.HisseKapanis($A84,O79-1)</f>
        <v>9.08</v>
      </c>
      <c r="F84" s="94">
        <f>_xll.AnalizExpert.AnalizExpertIslem.PivotNoktasi($A84,O79-1)</f>
        <v>8.8766666666666652</v>
      </c>
      <c r="G84" s="94">
        <f>_xll.AnalizExpert.AnalizExpertIslem.DestekDirencSeviye($A84,"Fibonacci","Rs1")</f>
        <v>9.1326066666666659</v>
      </c>
      <c r="H84" s="94">
        <f>_xll.AnalizExpert.AnalizExpertIslem.DestekDirencSeviye($A84,"Fibonacci","Rs2")</f>
        <v>9.2907266666666644</v>
      </c>
      <c r="I84" s="94">
        <f>_xll.AnalizExpert.AnalizExpertIslem.DestekDirencSeviye($A84,"Fibonacci","Rs3")</f>
        <v>9.5466666666666651</v>
      </c>
      <c r="J84" s="95">
        <f t="shared" si="6"/>
        <v>-6.7994860499265841E-2</v>
      </c>
      <c r="K84" s="95">
        <f t="shared" si="7"/>
        <v>2.3207782672540089E-2</v>
      </c>
      <c r="L84" s="94">
        <f>_xll.AnalizExpert.AnalizExpertIslem.HisseDusuk($A84,"s1h")</f>
        <v>8.3000000000000007</v>
      </c>
      <c r="M84" s="96">
        <f>_xll.AnalizExpert.AnalizExpertIslem.HisseYuksek($A84,"s1h")</f>
        <v>8.8000000000000007</v>
      </c>
    </row>
    <row r="85" spans="1:13" x14ac:dyDescent="0.35">
      <c r="A85" s="93" t="s">
        <v>71</v>
      </c>
      <c r="B85" s="94">
        <f>_xll.AnalizExpert.AnalizExpertIslem.DestekDirencSeviye($A85,"Fibonacci","Sp3")</f>
        <v>54.066666666666663</v>
      </c>
      <c r="C85" s="94">
        <f>_xll.AnalizExpert.AnalizExpertIslem.DestekDirencSeviye($A85,"Fibonacci","Sp2")</f>
        <v>55.059866666666665</v>
      </c>
      <c r="D85" s="94">
        <f>_xll.AnalizExpert.AnalizExpertIslem.DestekDirencSeviye($A85,"Fibonacci","Sp1")</f>
        <v>55.673466666666663</v>
      </c>
      <c r="E85" s="94">
        <f>_xll.AnalizExpert.AnalizExpertIslem.HisseKapanis($A85,O80-1)</f>
        <v>56.4</v>
      </c>
      <c r="F85" s="94">
        <f>_xll.AnalizExpert.AnalizExpertIslem.PivotNoktasi($A85,O80-1)</f>
        <v>56.666666666666664</v>
      </c>
      <c r="G85" s="94">
        <f>_xll.AnalizExpert.AnalizExpertIslem.DestekDirencSeviye($A85,"Fibonacci","Rs1")</f>
        <v>57.659866666666666</v>
      </c>
      <c r="H85" s="94">
        <f>_xll.AnalizExpert.AnalizExpertIslem.DestekDirencSeviye($A85,"Fibonacci","Rs2")</f>
        <v>58.273466666666664</v>
      </c>
      <c r="I85" s="94">
        <f>_xll.AnalizExpert.AnalizExpertIslem.DestekDirencSeviye($A85,"Fibonacci","Rs3")</f>
        <v>59.266666666666666</v>
      </c>
      <c r="J85" s="95">
        <f t="shared" si="6"/>
        <v>-2.3761229314420818E-2</v>
      </c>
      <c r="K85" s="95">
        <f t="shared" si="7"/>
        <v>3.3217494089834432E-2</v>
      </c>
      <c r="L85" s="94">
        <f>_xll.AnalizExpert.AnalizExpertIslem.HisseDusuk($A85,"s1h")</f>
        <v>54.2</v>
      </c>
      <c r="M85" s="96">
        <f>_xll.AnalizExpert.AnalizExpertIslem.HisseYuksek($A85,"s1h")</f>
        <v>57.5</v>
      </c>
    </row>
    <row r="86" spans="1:13" x14ac:dyDescent="0.35">
      <c r="A86" s="93" t="s">
        <v>72</v>
      </c>
      <c r="B86" s="94">
        <f>_xll.AnalizExpert.AnalizExpertIslem.DestekDirencSeviye($A86,"Fibonacci","Sp3")</f>
        <v>35.886666666666663</v>
      </c>
      <c r="C86" s="94">
        <f>_xll.AnalizExpert.AnalizExpertIslem.DestekDirencSeviye($A86,"Fibonacci","Sp2")</f>
        <v>36.635386666666662</v>
      </c>
      <c r="D86" s="94">
        <f>_xll.AnalizExpert.AnalizExpertIslem.DestekDirencSeviye($A86,"Fibonacci","Sp1")</f>
        <v>37.097946666666665</v>
      </c>
      <c r="E86" s="94">
        <f>_xll.AnalizExpert.AnalizExpertIslem.HisseKapanis($A86,O81-1)</f>
        <v>38.5</v>
      </c>
      <c r="F86" s="94">
        <f>_xll.AnalizExpert.AnalizExpertIslem.PivotNoktasi($A86,O81-1)</f>
        <v>37.846666666666664</v>
      </c>
      <c r="G86" s="94">
        <f>_xll.AnalizExpert.AnalizExpertIslem.DestekDirencSeviye($A86,"Fibonacci","Rs1")</f>
        <v>38.595386666666663</v>
      </c>
      <c r="H86" s="94">
        <f>_xll.AnalizExpert.AnalizExpertIslem.DestekDirencSeviye($A86,"Fibonacci","Rs2")</f>
        <v>39.057946666666666</v>
      </c>
      <c r="I86" s="94">
        <f>_xll.AnalizExpert.AnalizExpertIslem.DestekDirencSeviye($A86,"Fibonacci","Rs3")</f>
        <v>39.806666666666665</v>
      </c>
      <c r="J86" s="95">
        <f t="shared" si="6"/>
        <v>-4.8431515151515225E-2</v>
      </c>
      <c r="K86" s="95">
        <f t="shared" si="7"/>
        <v>1.4492121212121178E-2</v>
      </c>
      <c r="L86" s="94">
        <f>_xll.AnalizExpert.AnalizExpertIslem.HisseDusuk($A86,"s1h")</f>
        <v>36.020000000000003</v>
      </c>
      <c r="M86" s="96">
        <f>_xll.AnalizExpert.AnalizExpertIslem.HisseYuksek($A86,"s1h")</f>
        <v>37.14</v>
      </c>
    </row>
    <row r="87" spans="1:13" x14ac:dyDescent="0.35">
      <c r="A87" s="93" t="s">
        <v>73</v>
      </c>
      <c r="B87" s="94">
        <f>_xll.AnalizExpert.AnalizExpertIslem.DestekDirencSeviye($A87,"Fibonacci","Sp3")</f>
        <v>135.9</v>
      </c>
      <c r="C87" s="94">
        <f>_xll.AnalizExpert.AnalizExpertIslem.DestekDirencSeviye($A87,"Fibonacci","Sp2")</f>
        <v>135.9</v>
      </c>
      <c r="D87" s="94">
        <f>_xll.AnalizExpert.AnalizExpertIslem.DestekDirencSeviye($A87,"Fibonacci","Sp1")</f>
        <v>135.9</v>
      </c>
      <c r="E87" s="94">
        <f>_xll.AnalizExpert.AnalizExpertIslem.HisseKapanis($A87,O82-1)</f>
        <v>135.9</v>
      </c>
      <c r="F87" s="94">
        <f>_xll.AnalizExpert.AnalizExpertIslem.PivotNoktasi($A87,O82-1)</f>
        <v>135.9</v>
      </c>
      <c r="G87" s="94">
        <f>_xll.AnalizExpert.AnalizExpertIslem.DestekDirencSeviye($A87,"Fibonacci","Rs1")</f>
        <v>135.9</v>
      </c>
      <c r="H87" s="94">
        <f>_xll.AnalizExpert.AnalizExpertIslem.DestekDirencSeviye($A87,"Fibonacci","Rs2")</f>
        <v>135.9</v>
      </c>
      <c r="I87" s="94">
        <f>_xll.AnalizExpert.AnalizExpertIslem.DestekDirencSeviye($A87,"Fibonacci","Rs3")</f>
        <v>135.9</v>
      </c>
      <c r="J87" s="95">
        <f t="shared" si="6"/>
        <v>0</v>
      </c>
      <c r="K87" s="95">
        <f t="shared" si="7"/>
        <v>0</v>
      </c>
      <c r="L87" s="94">
        <f>_xll.AnalizExpert.AnalizExpertIslem.HisseDusuk($A87,"s1h")</f>
        <v>145.69999999999999</v>
      </c>
      <c r="M87" s="96">
        <f>_xll.AnalizExpert.AnalizExpertIslem.HisseYuksek($A87,"s1h")</f>
        <v>154.5</v>
      </c>
    </row>
    <row r="88" spans="1:13" x14ac:dyDescent="0.35">
      <c r="A88" s="93" t="s">
        <v>74</v>
      </c>
      <c r="B88" s="94">
        <f>_xll.AnalizExpert.AnalizExpertIslem.DestekDirencSeviye($A88,"Fibonacci","Sp3")</f>
        <v>25.38</v>
      </c>
      <c r="C88" s="94">
        <f>_xll.AnalizExpert.AnalizExpertIslem.DestekDirencSeviye($A88,"Fibonacci","Sp2")</f>
        <v>25.677959999999999</v>
      </c>
      <c r="D88" s="94">
        <f>_xll.AnalizExpert.AnalizExpertIslem.DestekDirencSeviye($A88,"Fibonacci","Sp1")</f>
        <v>25.86204</v>
      </c>
      <c r="E88" s="94">
        <f>_xll.AnalizExpert.AnalizExpertIslem.HisseKapanis($A88,O83-1)</f>
        <v>26.42</v>
      </c>
      <c r="F88" s="94">
        <f>_xll.AnalizExpert.AnalizExpertIslem.PivotNoktasi($A88,O83-1)</f>
        <v>26.16</v>
      </c>
      <c r="G88" s="94">
        <f>_xll.AnalizExpert.AnalizExpertIslem.DestekDirencSeviye($A88,"Fibonacci","Rs1")</f>
        <v>26.45796</v>
      </c>
      <c r="H88" s="94">
        <f>_xll.AnalizExpert.AnalizExpertIslem.DestekDirencSeviye($A88,"Fibonacci","Rs2")</f>
        <v>26.642040000000001</v>
      </c>
      <c r="I88" s="94">
        <f>_xll.AnalizExpert.AnalizExpertIslem.DestekDirencSeviye($A88,"Fibonacci","Rs3")</f>
        <v>26.94</v>
      </c>
      <c r="J88" s="95">
        <f t="shared" si="6"/>
        <v>-2.808629825889486E-2</v>
      </c>
      <c r="K88" s="95">
        <f t="shared" si="7"/>
        <v>8.4042392127177123E-3</v>
      </c>
      <c r="L88" s="94">
        <f>_xll.AnalizExpert.AnalizExpertIslem.HisseDusuk($A88,"s1h")</f>
        <v>25.78</v>
      </c>
      <c r="M88" s="96">
        <f>_xll.AnalizExpert.AnalizExpertIslem.HisseYuksek($A88,"s1h")</f>
        <v>27.22</v>
      </c>
    </row>
    <row r="89" spans="1:13" x14ac:dyDescent="0.35">
      <c r="A89" s="93" t="s">
        <v>77</v>
      </c>
      <c r="B89" s="94">
        <f>_xll.AnalizExpert.AnalizExpertIslem.DestekDirencSeviye($A89,"Fibonacci","Sp3")</f>
        <v>34.006666666666668</v>
      </c>
      <c r="C89" s="94">
        <f>_xll.AnalizExpert.AnalizExpertIslem.DestekDirencSeviye($A89,"Fibonacci","Sp2")</f>
        <v>34.503266666666669</v>
      </c>
      <c r="D89" s="94">
        <f>_xll.AnalizExpert.AnalizExpertIslem.DestekDirencSeviye($A89,"Fibonacci","Sp1")</f>
        <v>34.810066666666671</v>
      </c>
      <c r="E89" s="94">
        <f>_xll.AnalizExpert.AnalizExpertIslem.HisseKapanis($A89,O84-1)</f>
        <v>35.74</v>
      </c>
      <c r="F89" s="94">
        <f>_xll.AnalizExpert.AnalizExpertIslem.PivotNoktasi($A89,O84-1)</f>
        <v>35.306666666666672</v>
      </c>
      <c r="G89" s="94">
        <f>_xll.AnalizExpert.AnalizExpertIslem.DestekDirencSeviye($A89,"Fibonacci","Rs1")</f>
        <v>35.803266666666673</v>
      </c>
      <c r="H89" s="94">
        <f>_xll.AnalizExpert.AnalizExpertIslem.DestekDirencSeviye($A89,"Fibonacci","Rs2")</f>
        <v>36.110066666666675</v>
      </c>
      <c r="I89" s="94">
        <f>_xll.AnalizExpert.AnalizExpertIslem.DestekDirencSeviye($A89,"Fibonacci","Rs3")</f>
        <v>36.606666666666676</v>
      </c>
      <c r="J89" s="95">
        <f t="shared" si="6"/>
        <v>-3.4603618727849339E-2</v>
      </c>
      <c r="K89" s="95">
        <f t="shared" si="7"/>
        <v>1.0354411490393733E-2</v>
      </c>
      <c r="L89" s="94">
        <f>_xll.AnalizExpert.AnalizExpertIslem.HisseDusuk($A89,"s1h")</f>
        <v>34.96</v>
      </c>
      <c r="M89" s="96">
        <f>_xll.AnalizExpert.AnalizExpertIslem.HisseYuksek($A89,"s1h")</f>
        <v>36.18</v>
      </c>
    </row>
    <row r="90" spans="1:13" x14ac:dyDescent="0.35">
      <c r="A90" s="93" t="s">
        <v>76</v>
      </c>
      <c r="B90" s="94">
        <f>_xll.AnalizExpert.AnalizExpertIslem.DestekDirencSeviye($A90,"Fibonacci","Sp3")</f>
        <v>2.3233333333333333</v>
      </c>
      <c r="C90" s="94">
        <f>_xll.AnalizExpert.AnalizExpertIslem.DestekDirencSeviye($A90,"Fibonacci","Sp2")</f>
        <v>2.3691733333333334</v>
      </c>
      <c r="D90" s="94">
        <f>_xll.AnalizExpert.AnalizExpertIslem.DestekDirencSeviye($A90,"Fibonacci","Sp1")</f>
        <v>2.3974933333333333</v>
      </c>
      <c r="E90" s="94">
        <f>_xll.AnalizExpert.AnalizExpertIslem.HisseKapanis($A90,O85-1)</f>
        <v>2.4500000000000002</v>
      </c>
      <c r="F90" s="94">
        <f>_xll.AnalizExpert.AnalizExpertIslem.PivotNoktasi($A90,O85-1)</f>
        <v>2.4433333333333334</v>
      </c>
      <c r="G90" s="94">
        <f>_xll.AnalizExpert.AnalizExpertIslem.DestekDirencSeviye($A90,"Fibonacci","Rs1")</f>
        <v>2.4891733333333335</v>
      </c>
      <c r="H90" s="94">
        <f>_xll.AnalizExpert.AnalizExpertIslem.DestekDirencSeviye($A90,"Fibonacci","Rs2")</f>
        <v>2.5174933333333334</v>
      </c>
      <c r="I90" s="94">
        <f>_xll.AnalizExpert.AnalizExpertIslem.DestekDirencSeviye($A90,"Fibonacci","Rs3")</f>
        <v>2.5633333333333335</v>
      </c>
      <c r="J90" s="95">
        <f t="shared" si="6"/>
        <v>-3.2990476190476237E-2</v>
      </c>
      <c r="K90" s="95">
        <f t="shared" si="7"/>
        <v>2.7548299319727798E-2</v>
      </c>
      <c r="L90" s="94">
        <f>_xll.AnalizExpert.AnalizExpertIslem.HisseDusuk($A90,"s1h")</f>
        <v>2.17</v>
      </c>
      <c r="M90" s="96">
        <f>_xll.AnalizExpert.AnalizExpertIslem.HisseYuksek($A90,"s1h")</f>
        <v>2.34</v>
      </c>
    </row>
    <row r="91" spans="1:13" x14ac:dyDescent="0.35">
      <c r="A91" s="93" t="s">
        <v>75</v>
      </c>
      <c r="B91" s="94">
        <f>_xll.AnalizExpert.AnalizExpertIslem.DestekDirencSeviye($A91,"Fibonacci","Sp3")</f>
        <v>2.793333333333333</v>
      </c>
      <c r="C91" s="94">
        <f>_xll.AnalizExpert.AnalizExpertIslem.DestekDirencSeviye($A91,"Fibonacci","Sp2")</f>
        <v>2.8620933333333332</v>
      </c>
      <c r="D91" s="94">
        <f>_xll.AnalizExpert.AnalizExpertIslem.DestekDirencSeviye($A91,"Fibonacci","Sp1")</f>
        <v>2.904573333333333</v>
      </c>
      <c r="E91" s="94">
        <f>_xll.AnalizExpert.AnalizExpertIslem.HisseKapanis($A91,O86-1)</f>
        <v>3.02</v>
      </c>
      <c r="F91" s="94">
        <f>_xll.AnalizExpert.AnalizExpertIslem.PivotNoktasi($A91,O86-1)</f>
        <v>2.9733333333333332</v>
      </c>
      <c r="G91" s="94">
        <f>_xll.AnalizExpert.AnalizExpertIslem.DestekDirencSeviye($A91,"Fibonacci","Rs1")</f>
        <v>3.0420933333333333</v>
      </c>
      <c r="H91" s="94">
        <f>_xll.AnalizExpert.AnalizExpertIslem.DestekDirencSeviye($A91,"Fibonacci","Rs2")</f>
        <v>3.0845733333333332</v>
      </c>
      <c r="I91" s="94">
        <f>_xll.AnalizExpert.AnalizExpertIslem.DestekDirencSeviye($A91,"Fibonacci","Rs3")</f>
        <v>3.1533333333333333</v>
      </c>
      <c r="J91" s="95">
        <f t="shared" si="6"/>
        <v>-5.2286975717439343E-2</v>
      </c>
      <c r="K91" s="95">
        <f t="shared" si="7"/>
        <v>2.1381898454746029E-2</v>
      </c>
      <c r="L91" s="94">
        <f>_xll.AnalizExpert.AnalizExpertIslem.HisseDusuk($A91,"s1h")</f>
        <v>3.81</v>
      </c>
      <c r="M91" s="96">
        <f>_xll.AnalizExpert.AnalizExpertIslem.HisseYuksek($A91,"s1h")</f>
        <v>3.91</v>
      </c>
    </row>
    <row r="92" spans="1:13" x14ac:dyDescent="0.35">
      <c r="A92" s="93" t="s">
        <v>78</v>
      </c>
      <c r="B92" s="94">
        <f>_xll.AnalizExpert.AnalizExpertIslem.DestekDirencSeviye($A92,"Fibonacci","Sp3")</f>
        <v>21.193333333333332</v>
      </c>
      <c r="C92" s="94">
        <f>_xll.AnalizExpert.AnalizExpertIslem.DestekDirencSeviye($A92,"Fibonacci","Sp2")</f>
        <v>21.758693333333333</v>
      </c>
      <c r="D92" s="94">
        <f>_xll.AnalizExpert.AnalizExpertIslem.DestekDirencSeviye($A92,"Fibonacci","Sp1")</f>
        <v>22.10797333333333</v>
      </c>
      <c r="E92" s="94">
        <f>_xll.AnalizExpert.AnalizExpertIslem.HisseKapanis($A92,O87-1)</f>
        <v>22.5</v>
      </c>
      <c r="F92" s="94">
        <f>_xll.AnalizExpert.AnalizExpertIslem.PivotNoktasi($A92,O87-1)</f>
        <v>22.673333333333332</v>
      </c>
      <c r="G92" s="94">
        <f>_xll.AnalizExpert.AnalizExpertIslem.DestekDirencSeviye($A92,"Fibonacci","Rs1")</f>
        <v>23.238693333333334</v>
      </c>
      <c r="H92" s="94">
        <f>_xll.AnalizExpert.AnalizExpertIslem.DestekDirencSeviye($A92,"Fibonacci","Rs2")</f>
        <v>23.587973333333331</v>
      </c>
      <c r="I92" s="94">
        <f>_xll.AnalizExpert.AnalizExpertIslem.DestekDirencSeviye($A92,"Fibonacci","Rs3")</f>
        <v>24.153333333333332</v>
      </c>
      <c r="J92" s="95">
        <f t="shared" si="6"/>
        <v>-3.2946962962962956E-2</v>
      </c>
      <c r="K92" s="95">
        <f t="shared" si="7"/>
        <v>4.8354370370370159E-2</v>
      </c>
      <c r="L92" s="94">
        <f>_xll.AnalizExpert.AnalizExpertIslem.HisseDusuk($A92,"s1h")</f>
        <v>24.16</v>
      </c>
      <c r="M92" s="96">
        <f>_xll.AnalizExpert.AnalizExpertIslem.HisseYuksek($A92,"s1h")</f>
        <v>24.78</v>
      </c>
    </row>
    <row r="93" spans="1:13" x14ac:dyDescent="0.35">
      <c r="A93" s="93" t="s">
        <v>81</v>
      </c>
      <c r="B93" s="94">
        <f>_xll.AnalizExpert.AnalizExpertIslem.DestekDirencSeviye($A93,"Fibonacci","Sp3")</f>
        <v>75.666666666666671</v>
      </c>
      <c r="C93" s="94">
        <f>_xll.AnalizExpert.AnalizExpertIslem.DestekDirencSeviye($A93,"Fibonacci","Sp2")</f>
        <v>76.62166666666667</v>
      </c>
      <c r="D93" s="94">
        <f>_xll.AnalizExpert.AnalizExpertIslem.DestekDirencSeviye($A93,"Fibonacci","Sp1")</f>
        <v>77.211666666666673</v>
      </c>
      <c r="E93" s="94">
        <f>_xll.AnalizExpert.AnalizExpertIslem.HisseKapanis($A93,O88-1)</f>
        <v>79</v>
      </c>
      <c r="F93" s="94">
        <f>_xll.AnalizExpert.AnalizExpertIslem.PivotNoktasi($A93,O88-1)</f>
        <v>78.166666666666671</v>
      </c>
      <c r="G93" s="94">
        <f>_xll.AnalizExpert.AnalizExpertIslem.DestekDirencSeviye($A93,"Fibonacci","Rs1")</f>
        <v>79.12166666666667</v>
      </c>
      <c r="H93" s="94">
        <f>_xll.AnalizExpert.AnalizExpertIslem.DestekDirencSeviye($A93,"Fibonacci","Rs2")</f>
        <v>79.711666666666673</v>
      </c>
      <c r="I93" s="94">
        <f>_xll.AnalizExpert.AnalizExpertIslem.DestekDirencSeviye($A93,"Fibonacci","Rs3")</f>
        <v>80.666666666666671</v>
      </c>
      <c r="J93" s="95">
        <f t="shared" si="6"/>
        <v>-3.0105485232067464E-2</v>
      </c>
      <c r="K93" s="95">
        <f t="shared" si="7"/>
        <v>9.0084388185653896E-3</v>
      </c>
      <c r="L93" s="94">
        <f>_xll.AnalizExpert.AnalizExpertIslem.HisseDusuk($A93,"s1h")</f>
        <v>78.5</v>
      </c>
      <c r="M93" s="96">
        <f>_xll.AnalizExpert.AnalizExpertIslem.HisseYuksek($A93,"s1h")</f>
        <v>79.75</v>
      </c>
    </row>
    <row r="94" spans="1:13" x14ac:dyDescent="0.35">
      <c r="A94" s="93" t="s">
        <v>86</v>
      </c>
      <c r="B94" s="94">
        <f>_xll.AnalizExpert.AnalizExpertIslem.DestekDirencSeviye($A94,"Fibonacci","Sp3")</f>
        <v>30.519999999999996</v>
      </c>
      <c r="C94" s="94">
        <f>_xll.AnalizExpert.AnalizExpertIslem.DestekDirencSeviye($A94,"Fibonacci","Sp2")</f>
        <v>30.879079999999995</v>
      </c>
      <c r="D94" s="94">
        <f>_xll.AnalizExpert.AnalizExpertIslem.DestekDirencSeviye($A94,"Fibonacci","Sp1")</f>
        <v>31.100919999999995</v>
      </c>
      <c r="E94" s="94">
        <f>_xll.AnalizExpert.AnalizExpertIslem.HisseKapanis($A94,O89-1)</f>
        <v>31.68</v>
      </c>
      <c r="F94" s="94">
        <f>_xll.AnalizExpert.AnalizExpertIslem.PivotNoktasi($A94,O89-1)</f>
        <v>31.459999999999997</v>
      </c>
      <c r="G94" s="94">
        <f>_xll.AnalizExpert.AnalizExpertIslem.DestekDirencSeviye($A94,"Fibonacci","Rs1")</f>
        <v>31.81908</v>
      </c>
      <c r="H94" s="94">
        <f>_xll.AnalizExpert.AnalizExpertIslem.DestekDirencSeviye($A94,"Fibonacci","Rs2")</f>
        <v>32.04092</v>
      </c>
      <c r="I94" s="94">
        <f>_xll.AnalizExpert.AnalizExpertIslem.DestekDirencSeviye($A94,"Fibonacci","Rs3")</f>
        <v>32.4</v>
      </c>
      <c r="J94" s="95">
        <f t="shared" si="6"/>
        <v>-2.5281565656565808E-2</v>
      </c>
      <c r="K94" s="95">
        <f t="shared" si="7"/>
        <v>1.1392676767676857E-2</v>
      </c>
      <c r="L94" s="94">
        <f>_xll.AnalizExpert.AnalizExpertIslem.HisseDusuk($A94,"s1h")</f>
        <v>32.5</v>
      </c>
      <c r="M94" s="96">
        <f>_xll.AnalizExpert.AnalizExpertIslem.HisseYuksek($A94,"s1h")</f>
        <v>34.1</v>
      </c>
    </row>
    <row r="95" spans="1:13" x14ac:dyDescent="0.35">
      <c r="A95" s="93" t="s">
        <v>88</v>
      </c>
      <c r="B95" s="94">
        <f>_xll.AnalizExpert.AnalizExpertIslem.DestekDirencSeviye($A95,"Fibonacci","Sp3")</f>
        <v>102.96666666666668</v>
      </c>
      <c r="C95" s="94">
        <f>_xll.AnalizExpert.AnalizExpertIslem.DestekDirencSeviye($A95,"Fibonacci","Sp2")</f>
        <v>104.26546666666668</v>
      </c>
      <c r="D95" s="94">
        <f>_xll.AnalizExpert.AnalizExpertIslem.DestekDirencSeviye($A95,"Fibonacci","Sp1")</f>
        <v>105.06786666666667</v>
      </c>
      <c r="E95" s="94">
        <f>_xll.AnalizExpert.AnalizExpertIslem.HisseKapanis($A95,O90-1)</f>
        <v>106.9</v>
      </c>
      <c r="F95" s="94">
        <f>_xll.AnalizExpert.AnalizExpertIslem.PivotNoktasi($A95,O90-1)</f>
        <v>106.36666666666667</v>
      </c>
      <c r="G95" s="94">
        <f>_xll.AnalizExpert.AnalizExpertIslem.DestekDirencSeviye($A95,"Fibonacci","Rs1")</f>
        <v>107.66546666666667</v>
      </c>
      <c r="H95" s="94">
        <f>_xll.AnalizExpert.AnalizExpertIslem.DestekDirencSeviye($A95,"Fibonacci","Rs2")</f>
        <v>108.46786666666667</v>
      </c>
      <c r="I95" s="94">
        <f>_xll.AnalizExpert.AnalizExpertIslem.DestekDirencSeviye($A95,"Fibonacci","Rs3")</f>
        <v>109.76666666666667</v>
      </c>
      <c r="J95" s="95">
        <f t="shared" si="6"/>
        <v>-2.464483941378226E-2</v>
      </c>
      <c r="K95" s="95">
        <f t="shared" si="7"/>
        <v>1.4666666666666606E-2</v>
      </c>
      <c r="L95" s="94">
        <f>_xll.AnalizExpert.AnalizExpertIslem.HisseDusuk($A95,"s1h")</f>
        <v>107.5</v>
      </c>
      <c r="M95" s="96">
        <f>_xll.AnalizExpert.AnalizExpertIslem.HisseYuksek($A95,"s1h")</f>
        <v>111.7</v>
      </c>
    </row>
    <row r="96" spans="1:13" x14ac:dyDescent="0.35">
      <c r="A96" s="93" t="s">
        <v>82</v>
      </c>
      <c r="B96" s="94">
        <f>_xll.AnalizExpert.AnalizExpertIslem.DestekDirencSeviye($A96,"Fibonacci","Sp3")</f>
        <v>35.426666666666662</v>
      </c>
      <c r="C96" s="94">
        <f>_xll.AnalizExpert.AnalizExpertIslem.DestekDirencSeviye($A96,"Fibonacci","Sp2")</f>
        <v>36.14482666666666</v>
      </c>
      <c r="D96" s="94">
        <f>_xll.AnalizExpert.AnalizExpertIslem.DestekDirencSeviye($A96,"Fibonacci","Sp1")</f>
        <v>36.58850666666666</v>
      </c>
      <c r="E96" s="94">
        <f>_xll.AnalizExpert.AnalizExpertIslem.HisseKapanis($A96,O91-1)</f>
        <v>37.44</v>
      </c>
      <c r="F96" s="94">
        <f>_xll.AnalizExpert.AnalizExpertIslem.PivotNoktasi($A96,O91-1)</f>
        <v>37.306666666666665</v>
      </c>
      <c r="G96" s="94">
        <f>_xll.AnalizExpert.AnalizExpertIslem.DestekDirencSeviye($A96,"Fibonacci","Rs1")</f>
        <v>38.024826666666669</v>
      </c>
      <c r="H96" s="94">
        <f>_xll.AnalizExpert.AnalizExpertIslem.DestekDirencSeviye($A96,"Fibonacci","Rs2")</f>
        <v>38.46850666666667</v>
      </c>
      <c r="I96" s="94">
        <f>_xll.AnalizExpert.AnalizExpertIslem.DestekDirencSeviye($A96,"Fibonacci","Rs3")</f>
        <v>39.186666666666667</v>
      </c>
      <c r="J96" s="95">
        <f t="shared" si="6"/>
        <v>-3.4593304843304917E-2</v>
      </c>
      <c r="K96" s="95">
        <f t="shared" si="7"/>
        <v>2.7470797720797968E-2</v>
      </c>
      <c r="L96" s="94">
        <f>_xll.AnalizExpert.AnalizExpertIslem.HisseDusuk($A96,"s1h")</f>
        <v>36.340000000000003</v>
      </c>
      <c r="M96" s="96">
        <f>_xll.AnalizExpert.AnalizExpertIslem.HisseYuksek($A96,"s1h")</f>
        <v>37.72</v>
      </c>
    </row>
    <row r="97" spans="1:13" x14ac:dyDescent="0.35">
      <c r="A97" s="93" t="s">
        <v>83</v>
      </c>
      <c r="B97" s="94">
        <f>_xll.AnalizExpert.AnalizExpertIslem.DestekDirencSeviye($A97,"Fibonacci","Sp3")</f>
        <v>22.526666666666664</v>
      </c>
      <c r="C97" s="94">
        <f>_xll.AnalizExpert.AnalizExpertIslem.DestekDirencSeviye($A97,"Fibonacci","Sp2")</f>
        <v>23.046186666666664</v>
      </c>
      <c r="D97" s="94">
        <f>_xll.AnalizExpert.AnalizExpertIslem.DestekDirencSeviye($A97,"Fibonacci","Sp1")</f>
        <v>23.367146666666667</v>
      </c>
      <c r="E97" s="94">
        <f>_xll.AnalizExpert.AnalizExpertIslem.HisseKapanis($A97,O92-1)</f>
        <v>23.82</v>
      </c>
      <c r="F97" s="94">
        <f>_xll.AnalizExpert.AnalizExpertIslem.PivotNoktasi($A97,O92-1)</f>
        <v>23.886666666666667</v>
      </c>
      <c r="G97" s="94">
        <f>_xll.AnalizExpert.AnalizExpertIslem.DestekDirencSeviye($A97,"Fibonacci","Rs1")</f>
        <v>24.406186666666667</v>
      </c>
      <c r="H97" s="94">
        <f>_xll.AnalizExpert.AnalizExpertIslem.DestekDirencSeviye($A97,"Fibonacci","Rs2")</f>
        <v>24.72714666666667</v>
      </c>
      <c r="I97" s="94">
        <f>_xll.AnalizExpert.AnalizExpertIslem.DestekDirencSeviye($A97,"Fibonacci","Rs3")</f>
        <v>25.24666666666667</v>
      </c>
      <c r="J97" s="95">
        <f t="shared" si="6"/>
        <v>-3.2485866218863846E-2</v>
      </c>
      <c r="K97" s="95">
        <f t="shared" si="7"/>
        <v>3.8083403302547003E-2</v>
      </c>
      <c r="L97" s="94">
        <f>_xll.AnalizExpert.AnalizExpertIslem.HisseDusuk($A97,"s1h")</f>
        <v>22.6</v>
      </c>
      <c r="M97" s="96">
        <f>_xll.AnalizExpert.AnalizExpertIslem.HisseYuksek($A97,"s1h")</f>
        <v>23.8</v>
      </c>
    </row>
    <row r="98" spans="1:13" x14ac:dyDescent="0.35">
      <c r="A98" s="93" t="s">
        <v>84</v>
      </c>
      <c r="B98" s="94">
        <f>_xll.AnalizExpert.AnalizExpertIslem.DestekDirencSeviye($A98,"Fibonacci","Sp3")</f>
        <v>121.3</v>
      </c>
      <c r="C98" s="94">
        <f>_xll.AnalizExpert.AnalizExpertIslem.DestekDirencSeviye($A98,"Fibonacci","Sp2")</f>
        <v>123.3246</v>
      </c>
      <c r="D98" s="94">
        <f>_xll.AnalizExpert.AnalizExpertIslem.DestekDirencSeviye($A98,"Fibonacci","Sp1")</f>
        <v>124.5754</v>
      </c>
      <c r="E98" s="94">
        <f>_xll.AnalizExpert.AnalizExpertIslem.HisseKapanis($A98,O93-1)</f>
        <v>127.5</v>
      </c>
      <c r="F98" s="94">
        <f>_xll.AnalizExpert.AnalizExpertIslem.PivotNoktasi($A98,O93-1)</f>
        <v>126.60000000000001</v>
      </c>
      <c r="G98" s="94">
        <f>_xll.AnalizExpert.AnalizExpertIslem.DestekDirencSeviye($A98,"Fibonacci","Rs1")</f>
        <v>128.62460000000002</v>
      </c>
      <c r="H98" s="94">
        <f>_xll.AnalizExpert.AnalizExpertIslem.DestekDirencSeviye($A98,"Fibonacci","Rs2")</f>
        <v>129.87540000000001</v>
      </c>
      <c r="I98" s="94">
        <f>_xll.AnalizExpert.AnalizExpertIslem.DestekDirencSeviye($A98,"Fibonacci","Rs3")</f>
        <v>131.90000000000003</v>
      </c>
      <c r="J98" s="95">
        <f t="shared" si="6"/>
        <v>-3.2748235294117634E-2</v>
      </c>
      <c r="K98" s="95">
        <f t="shared" si="7"/>
        <v>1.8630588235294177E-2</v>
      </c>
      <c r="L98" s="94">
        <f>_xll.AnalizExpert.AnalizExpertIslem.HisseDusuk($A98,"s1h")</f>
        <v>108.5</v>
      </c>
      <c r="M98" s="96">
        <f>_xll.AnalizExpert.AnalizExpertIslem.HisseYuksek($A98,"s1h")</f>
        <v>115.7</v>
      </c>
    </row>
    <row r="99" spans="1:13" x14ac:dyDescent="0.35">
      <c r="A99" s="93" t="s">
        <v>85</v>
      </c>
      <c r="B99" s="94">
        <f>_xll.AnalizExpert.AnalizExpertIslem.DestekDirencSeviye($A99,"Fibonacci","Sp3")</f>
        <v>13.213333333333331</v>
      </c>
      <c r="C99" s="94">
        <f>_xll.AnalizExpert.AnalizExpertIslem.DestekDirencSeviye($A99,"Fibonacci","Sp2")</f>
        <v>13.530393333333331</v>
      </c>
      <c r="D99" s="94">
        <f>_xll.AnalizExpert.AnalizExpertIslem.DestekDirencSeviye($A99,"Fibonacci","Sp1")</f>
        <v>13.726273333333332</v>
      </c>
      <c r="E99" s="94">
        <f>_xll.AnalizExpert.AnalizExpertIslem.HisseKapanis($A99,O94-1)</f>
        <v>14.3</v>
      </c>
      <c r="F99" s="94">
        <f>_xll.AnalizExpert.AnalizExpertIslem.PivotNoktasi($A99,O94-1)</f>
        <v>14.043333333333331</v>
      </c>
      <c r="G99" s="94">
        <f>_xll.AnalizExpert.AnalizExpertIslem.DestekDirencSeviye($A99,"Fibonacci","Rs1")</f>
        <v>14.360393333333331</v>
      </c>
      <c r="H99" s="94">
        <f>_xll.AnalizExpert.AnalizExpertIslem.DestekDirencSeviye($A99,"Fibonacci","Rs2")</f>
        <v>14.556273333333332</v>
      </c>
      <c r="I99" s="94">
        <f>_xll.AnalizExpert.AnalizExpertIslem.DestekDirencSeviye($A99,"Fibonacci","Rs3")</f>
        <v>14.873333333333331</v>
      </c>
      <c r="J99" s="95">
        <f t="shared" si="6"/>
        <v>-5.3818648018648219E-2</v>
      </c>
      <c r="K99" s="95">
        <f t="shared" si="7"/>
        <v>1.7921212121212005E-2</v>
      </c>
      <c r="L99" s="94">
        <f>_xll.AnalizExpert.AnalizExpertIslem.HisseDusuk($A99,"s1h")</f>
        <v>13.66</v>
      </c>
      <c r="M99" s="96">
        <f>_xll.AnalizExpert.AnalizExpertIslem.HisseYuksek($A99,"s1h")</f>
        <v>14.4</v>
      </c>
    </row>
    <row r="100" spans="1:13" x14ac:dyDescent="0.35">
      <c r="A100" s="93" t="s">
        <v>89</v>
      </c>
      <c r="B100" s="94">
        <f>_xll.AnalizExpert.AnalizExpertIslem.DestekDirencSeviye($A100,"Fibonacci","Sp3")</f>
        <v>11.013333333333334</v>
      </c>
      <c r="C100" s="94">
        <f>_xll.AnalizExpert.AnalizExpertIslem.DestekDirencSeviye($A100,"Fibonacci","Sp2")</f>
        <v>11.124113333333334</v>
      </c>
      <c r="D100" s="94">
        <f>_xll.AnalizExpert.AnalizExpertIslem.DestekDirencSeviye($A100,"Fibonacci","Sp1")</f>
        <v>11.192553333333333</v>
      </c>
      <c r="E100" s="94">
        <f>_xll.AnalizExpert.AnalizExpertIslem.HisseKapanis($A100,O95-1)</f>
        <v>11.32</v>
      </c>
      <c r="F100" s="94">
        <f>_xll.AnalizExpert.AnalizExpertIslem.PivotNoktasi($A100,O95-1)</f>
        <v>11.303333333333333</v>
      </c>
      <c r="G100" s="94">
        <f>_xll.AnalizExpert.AnalizExpertIslem.DestekDirencSeviye($A100,"Fibonacci","Rs1")</f>
        <v>11.414113333333333</v>
      </c>
      <c r="H100" s="94">
        <f>_xll.AnalizExpert.AnalizExpertIslem.DestekDirencSeviye($A100,"Fibonacci","Rs2")</f>
        <v>11.482553333333332</v>
      </c>
      <c r="I100" s="94">
        <f>_xll.AnalizExpert.AnalizExpertIslem.DestekDirencSeviye($A100,"Fibonacci","Rs3")</f>
        <v>11.593333333333332</v>
      </c>
      <c r="J100" s="95">
        <f t="shared" si="6"/>
        <v>-1.7304475853945789E-2</v>
      </c>
      <c r="K100" s="95">
        <f t="shared" si="7"/>
        <v>1.4359835100117735E-2</v>
      </c>
      <c r="L100" s="94">
        <f>_xll.AnalizExpert.AnalizExpertIslem.HisseDusuk($A100,"s1h")</f>
        <v>12.1</v>
      </c>
      <c r="M100" s="96">
        <f>_xll.AnalizExpert.AnalizExpertIslem.HisseYuksek($A100,"s1h")</f>
        <v>12.27</v>
      </c>
    </row>
    <row r="101" spans="1:13" x14ac:dyDescent="0.35">
      <c r="A101" s="93" t="s">
        <v>80</v>
      </c>
      <c r="B101" s="94">
        <f>_xll.AnalizExpert.AnalizExpertIslem.DestekDirencSeviye($A101,"Fibonacci","Sp3")</f>
        <v>3.2199999999999998</v>
      </c>
      <c r="C101" s="94">
        <f>_xll.AnalizExpert.AnalizExpertIslem.DestekDirencSeviye($A101,"Fibonacci","Sp2")</f>
        <v>3.2887599999999999</v>
      </c>
      <c r="D101" s="94">
        <f>_xll.AnalizExpert.AnalizExpertIslem.DestekDirencSeviye($A101,"Fibonacci","Sp1")</f>
        <v>3.3312399999999998</v>
      </c>
      <c r="E101" s="94">
        <f>_xll.AnalizExpert.AnalizExpertIslem.HisseKapanis($A101,O96-1)</f>
        <v>3.44</v>
      </c>
      <c r="F101" s="94">
        <f>_xll.AnalizExpert.AnalizExpertIslem.PivotNoktasi($A101,O96-1)</f>
        <v>3.4</v>
      </c>
      <c r="G101" s="94">
        <f>_xll.AnalizExpert.AnalizExpertIslem.DestekDirencSeviye($A101,"Fibonacci","Rs1")</f>
        <v>3.4687600000000001</v>
      </c>
      <c r="H101" s="94">
        <f>_xll.AnalizExpert.AnalizExpertIslem.DestekDirencSeviye($A101,"Fibonacci","Rs2")</f>
        <v>3.5112399999999999</v>
      </c>
      <c r="I101" s="94">
        <f>_xll.AnalizExpert.AnalizExpertIslem.DestekDirencSeviye($A101,"Fibonacci","Rs3")</f>
        <v>3.58</v>
      </c>
      <c r="J101" s="95">
        <f t="shared" si="6"/>
        <v>-4.3965116279069738E-2</v>
      </c>
      <c r="K101" s="95">
        <f t="shared" si="7"/>
        <v>2.0709302325581325E-2</v>
      </c>
      <c r="L101" s="94">
        <f>_xll.AnalizExpert.AnalizExpertIslem.HisseDusuk($A101,"s1h")</f>
        <v>3.07</v>
      </c>
      <c r="M101" s="96">
        <f>_xll.AnalizExpert.AnalizExpertIslem.HisseYuksek($A101,"s1h")</f>
        <v>3.21</v>
      </c>
    </row>
    <row r="102" spans="1:13" x14ac:dyDescent="0.35">
      <c r="A102" s="93" t="s">
        <v>90</v>
      </c>
      <c r="B102" s="94">
        <f>_xll.AnalizExpert.AnalizExpertIslem.DestekDirencSeviye($A102,"Fibonacci","Sp3")</f>
        <v>14.026666666666669</v>
      </c>
      <c r="C102" s="94">
        <f>_xll.AnalizExpert.AnalizExpertIslem.DestekDirencSeviye($A102,"Fibonacci","Sp2")</f>
        <v>14.232946666666669</v>
      </c>
      <c r="D102" s="94">
        <f>_xll.AnalizExpert.AnalizExpertIslem.DestekDirencSeviye($A102,"Fibonacci","Sp1")</f>
        <v>14.360386666666669</v>
      </c>
      <c r="E102" s="94">
        <f>_xll.AnalizExpert.AnalizExpertIslem.HisseKapanis($A102,O97-1)</f>
        <v>14.7</v>
      </c>
      <c r="F102" s="94">
        <f>_xll.AnalizExpert.AnalizExpertIslem.PivotNoktasi($A102,O97-1)</f>
        <v>14.566666666666668</v>
      </c>
      <c r="G102" s="94">
        <f>_xll.AnalizExpert.AnalizExpertIslem.DestekDirencSeviye($A102,"Fibonacci","Rs1")</f>
        <v>14.772946666666668</v>
      </c>
      <c r="H102" s="94">
        <f>_xll.AnalizExpert.AnalizExpertIslem.DestekDirencSeviye($A102,"Fibonacci","Rs2")</f>
        <v>14.900386666666668</v>
      </c>
      <c r="I102" s="94">
        <f>_xll.AnalizExpert.AnalizExpertIslem.DestekDirencSeviye($A102,"Fibonacci","Rs3")</f>
        <v>15.106666666666667</v>
      </c>
      <c r="J102" s="95">
        <f t="shared" si="6"/>
        <v>-3.1772335600906865E-2</v>
      </c>
      <c r="K102" s="95">
        <f t="shared" si="7"/>
        <v>1.3631746031746106E-2</v>
      </c>
      <c r="L102" s="94">
        <f>_xll.AnalizExpert.AnalizExpertIslem.HisseDusuk($A102,"s1h")</f>
        <v>14.68</v>
      </c>
      <c r="M102" s="96">
        <f>_xll.AnalizExpert.AnalizExpertIslem.HisseYuksek($A102,"s1h")</f>
        <v>15.11</v>
      </c>
    </row>
    <row r="103" spans="1:13" x14ac:dyDescent="0.35">
      <c r="A103" s="93" t="s">
        <v>91</v>
      </c>
      <c r="B103" s="94">
        <f>_xll.AnalizExpert.AnalizExpertIslem.DestekDirencSeviye($A103,"Fibonacci","Sp3")</f>
        <v>421.46666666666664</v>
      </c>
      <c r="C103" s="94">
        <f>_xll.AnalizExpert.AnalizExpertIslem.DestekDirencSeviye($A103,"Fibonacci","Sp2")</f>
        <v>428.18986666666666</v>
      </c>
      <c r="D103" s="94">
        <f>_xll.AnalizExpert.AnalizExpertIslem.DestekDirencSeviye($A103,"Fibonacci","Sp1")</f>
        <v>432.34346666666664</v>
      </c>
      <c r="E103" s="94">
        <f>_xll.AnalizExpert.AnalizExpertIslem.HisseKapanis($A103,O98-1)</f>
        <v>444.8</v>
      </c>
      <c r="F103" s="94">
        <f>_xll.AnalizExpert.AnalizExpertIslem.PivotNoktasi($A103,O98-1)</f>
        <v>439.06666666666666</v>
      </c>
      <c r="G103" s="94">
        <f>_xll.AnalizExpert.AnalizExpertIslem.DestekDirencSeviye($A103,"Fibonacci","Rs1")</f>
        <v>445.78986666666668</v>
      </c>
      <c r="H103" s="94">
        <f>_xll.AnalizExpert.AnalizExpertIslem.DestekDirencSeviye($A103,"Fibonacci","Rs2")</f>
        <v>449.94346666666667</v>
      </c>
      <c r="I103" s="94">
        <f>_xll.AnalizExpert.AnalizExpertIslem.DestekDirencSeviye($A103,"Fibonacci","Rs3")</f>
        <v>456.66666666666669</v>
      </c>
      <c r="J103" s="95">
        <f t="shared" si="6"/>
        <v>-3.7342925659472503E-2</v>
      </c>
      <c r="K103" s="95">
        <f t="shared" si="7"/>
        <v>1.1563549160671371E-2</v>
      </c>
      <c r="L103" s="94">
        <f>_xll.AnalizExpert.AnalizExpertIslem.HisseDusuk($A103,"s1h")</f>
        <v>438.5</v>
      </c>
      <c r="M103" s="96">
        <f>_xll.AnalizExpert.AnalizExpertIslem.HisseYuksek($A103,"s1h")</f>
        <v>450</v>
      </c>
    </row>
    <row r="104" spans="1:13" x14ac:dyDescent="0.35">
      <c r="A104" s="93" t="s">
        <v>87</v>
      </c>
      <c r="B104" s="94">
        <f>_xll.AnalizExpert.AnalizExpertIslem.DestekDirencSeviye($A104,"Fibonacci","Sp3")</f>
        <v>421.13333333333338</v>
      </c>
      <c r="C104" s="94">
        <f>_xll.AnalizExpert.AnalizExpertIslem.DestekDirencSeviye($A104,"Fibonacci","Sp2")</f>
        <v>425.33533333333338</v>
      </c>
      <c r="D104" s="94">
        <f>_xll.AnalizExpert.AnalizExpertIslem.DestekDirencSeviye($A104,"Fibonacci","Sp1")</f>
        <v>427.93133333333338</v>
      </c>
      <c r="E104" s="94">
        <f>_xll.AnalizExpert.AnalizExpertIslem.HisseKapanis($A104,O99-1)</f>
        <v>432.8</v>
      </c>
      <c r="F104" s="94">
        <f>_xll.AnalizExpert.AnalizExpertIslem.PivotNoktasi($A104,O99-1)</f>
        <v>432.13333333333338</v>
      </c>
      <c r="G104" s="94">
        <f>_xll.AnalizExpert.AnalizExpertIslem.DestekDirencSeviye($A104,"Fibonacci","Rs1")</f>
        <v>436.33533333333338</v>
      </c>
      <c r="H104" s="94">
        <f>_xll.AnalizExpert.AnalizExpertIslem.DestekDirencSeviye($A104,"Fibonacci","Rs2")</f>
        <v>438.93133333333338</v>
      </c>
      <c r="I104" s="94">
        <f>_xll.AnalizExpert.AnalizExpertIslem.DestekDirencSeviye($A104,"Fibonacci","Rs3")</f>
        <v>443.13333333333338</v>
      </c>
      <c r="J104" s="95">
        <f t="shared" si="6"/>
        <v>-1.7247381392482941E-2</v>
      </c>
      <c r="K104" s="95">
        <f t="shared" si="7"/>
        <v>1.4166666666666661E-2</v>
      </c>
      <c r="L104" s="94">
        <f>_xll.AnalizExpert.AnalizExpertIslem.HisseDusuk($A104,"s1h")</f>
        <v>426.4</v>
      </c>
      <c r="M104" s="96">
        <f>_xll.AnalizExpert.AnalizExpertIslem.HisseYuksek($A104,"s1h")</f>
        <v>434.4</v>
      </c>
    </row>
    <row r="105" spans="1:13" x14ac:dyDescent="0.35">
      <c r="A105" s="93" t="s">
        <v>92</v>
      </c>
      <c r="B105" s="94">
        <f>_xll.AnalizExpert.AnalizExpertIslem.DestekDirencSeviye($A105,"Fibonacci","Sp3")</f>
        <v>9.1966666666666672</v>
      </c>
      <c r="C105" s="94">
        <f>_xll.AnalizExpert.AnalizExpertIslem.DestekDirencSeviye($A105,"Fibonacci","Sp2")</f>
        <v>9.3494666666666681</v>
      </c>
      <c r="D105" s="94">
        <f>_xll.AnalizExpert.AnalizExpertIslem.DestekDirencSeviye($A105,"Fibonacci","Sp1")</f>
        <v>9.4438666666666666</v>
      </c>
      <c r="E105" s="94">
        <f>_xll.AnalizExpert.AnalizExpertIslem.HisseKapanis($A105,O100-1)</f>
        <v>9.73</v>
      </c>
      <c r="F105" s="94">
        <f>_xll.AnalizExpert.AnalizExpertIslem.PivotNoktasi($A105,O100-1)</f>
        <v>9.5966666666666676</v>
      </c>
      <c r="G105" s="94">
        <f>_xll.AnalizExpert.AnalizExpertIslem.DestekDirencSeviye($A105,"Fibonacci","Rs1")</f>
        <v>9.7494666666666685</v>
      </c>
      <c r="H105" s="94">
        <f>_xll.AnalizExpert.AnalizExpertIslem.DestekDirencSeviye($A105,"Fibonacci","Rs2")</f>
        <v>9.843866666666667</v>
      </c>
      <c r="I105" s="94">
        <f>_xll.AnalizExpert.AnalizExpertIslem.DestekDirencSeviye($A105,"Fibonacci","Rs3")</f>
        <v>9.9966666666666679</v>
      </c>
      <c r="J105" s="95">
        <f t="shared" si="6"/>
        <v>-3.9109284001370259E-2</v>
      </c>
      <c r="K105" s="95">
        <f t="shared" si="7"/>
        <v>1.1702637889688283E-2</v>
      </c>
      <c r="L105" s="94">
        <f>_xll.AnalizExpert.AnalizExpertIslem.HisseDusuk($A105,"s1h")</f>
        <v>9.25</v>
      </c>
      <c r="M105" s="96">
        <f>_xll.AnalizExpert.AnalizExpertIslem.HisseYuksek($A105,"s1h")</f>
        <v>9.6</v>
      </c>
    </row>
    <row r="106" spans="1:13" x14ac:dyDescent="0.35">
      <c r="A106" s="93" t="s">
        <v>93</v>
      </c>
      <c r="B106" s="94">
        <f>_xll.AnalizExpert.AnalizExpertIslem.DestekDirencSeviye($A106,"Fibonacci","Sp3")</f>
        <v>25.720000000000002</v>
      </c>
      <c r="C106" s="94">
        <f>_xll.AnalizExpert.AnalizExpertIslem.DestekDirencSeviye($A106,"Fibonacci","Sp2")</f>
        <v>26.208960000000001</v>
      </c>
      <c r="D106" s="94">
        <f>_xll.AnalizExpert.AnalizExpertIslem.DestekDirencSeviye($A106,"Fibonacci","Sp1")</f>
        <v>26.511040000000001</v>
      </c>
      <c r="E106" s="94">
        <f>_xll.AnalizExpert.AnalizExpertIslem.HisseKapanis($A106,O101-1)</f>
        <v>26.8</v>
      </c>
      <c r="F106" s="94">
        <f>_xll.AnalizExpert.AnalizExpertIslem.PivotNoktasi($A106,O101-1)</f>
        <v>27</v>
      </c>
      <c r="G106" s="94">
        <f>_xll.AnalizExpert.AnalizExpertIslem.DestekDirencSeviye($A106,"Fibonacci","Rs1")</f>
        <v>27.488959999999999</v>
      </c>
      <c r="H106" s="94">
        <f>_xll.AnalizExpert.AnalizExpertIslem.DestekDirencSeviye($A106,"Fibonacci","Rs2")</f>
        <v>27.791039999999999</v>
      </c>
      <c r="I106" s="94">
        <f>_xll.AnalizExpert.AnalizExpertIslem.DestekDirencSeviye($A106,"Fibonacci","Rs3")</f>
        <v>28.279999999999998</v>
      </c>
      <c r="J106" s="95">
        <f t="shared" si="6"/>
        <v>-2.2053731343283589E-2</v>
      </c>
      <c r="K106" s="95">
        <f t="shared" si="7"/>
        <v>3.6979104477611768E-2</v>
      </c>
      <c r="L106" s="94">
        <f>_xll.AnalizExpert.AnalizExpertIslem.HisseDusuk($A106,"s1h")</f>
        <v>24.12</v>
      </c>
      <c r="M106" s="96">
        <f>_xll.AnalizExpert.AnalizExpertIslem.HisseYuksek($A106,"s1h")</f>
        <v>24.52</v>
      </c>
    </row>
    <row r="107" spans="1:13" x14ac:dyDescent="0.35">
      <c r="A107" s="93" t="s">
        <v>94</v>
      </c>
      <c r="B107" s="94">
        <f>_xll.AnalizExpert.AnalizExpertIslem.DestekDirencSeviye($A107,"Fibonacci","Sp3")</f>
        <v>9.08</v>
      </c>
      <c r="C107" s="94">
        <f>_xll.AnalizExpert.AnalizExpertIslem.DestekDirencSeviye($A107,"Fibonacci","Sp2")</f>
        <v>9.2366200000000003</v>
      </c>
      <c r="D107" s="94">
        <f>_xll.AnalizExpert.AnalizExpertIslem.DestekDirencSeviye($A107,"Fibonacci","Sp1")</f>
        <v>9.33338</v>
      </c>
      <c r="E107" s="94">
        <f>_xll.AnalizExpert.AnalizExpertIslem.HisseKapanis($A107,O102-1)</f>
        <v>9.5399999999999991</v>
      </c>
      <c r="F107" s="94">
        <f>_xll.AnalizExpert.AnalizExpertIslem.PivotNoktasi($A107,O102-1)</f>
        <v>9.49</v>
      </c>
      <c r="G107" s="94">
        <f>_xll.AnalizExpert.AnalizExpertIslem.DestekDirencSeviye($A107,"Fibonacci","Rs1")</f>
        <v>9.6466200000000004</v>
      </c>
      <c r="H107" s="94">
        <f>_xll.AnalizExpert.AnalizExpertIslem.DestekDirencSeviye($A107,"Fibonacci","Rs2")</f>
        <v>9.7433800000000002</v>
      </c>
      <c r="I107" s="94">
        <f>_xll.AnalizExpert.AnalizExpertIslem.DestekDirencSeviye($A107,"Fibonacci","Rs3")</f>
        <v>9.9</v>
      </c>
      <c r="J107" s="95">
        <f t="shared" si="6"/>
        <v>-3.1800838574423396E-2</v>
      </c>
      <c r="K107" s="95">
        <f t="shared" si="7"/>
        <v>2.1318658280922609E-2</v>
      </c>
      <c r="L107" s="94">
        <f>_xll.AnalizExpert.AnalizExpertIslem.HisseDusuk($A107,"s1h")</f>
        <v>9</v>
      </c>
      <c r="M107" s="96">
        <f>_xll.AnalizExpert.AnalizExpertIslem.HisseYuksek($A107,"s1h")</f>
        <v>9.19</v>
      </c>
    </row>
    <row r="108" spans="1:13" x14ac:dyDescent="0.35">
      <c r="A108" s="93" t="s">
        <v>96</v>
      </c>
      <c r="B108" s="94">
        <f>_xll.AnalizExpert.AnalizExpertIslem.DestekDirencSeviye($A108,"Fibonacci","Sp3")</f>
        <v>9.6633333333333322</v>
      </c>
      <c r="C108" s="94">
        <f>_xll.AnalizExpert.AnalizExpertIslem.DestekDirencSeviye($A108,"Fibonacci","Sp2")</f>
        <v>9.7244533333333329</v>
      </c>
      <c r="D108" s="94">
        <f>_xll.AnalizExpert.AnalizExpertIslem.DestekDirencSeviye($A108,"Fibonacci","Sp1")</f>
        <v>9.7622133333333316</v>
      </c>
      <c r="E108" s="94">
        <f>_xll.AnalizExpert.AnalizExpertIslem.HisseKapanis($A108,O103-1)</f>
        <v>9.83</v>
      </c>
      <c r="F108" s="94">
        <f>_xll.AnalizExpert.AnalizExpertIslem.PivotNoktasi($A108,O103-1)</f>
        <v>9.8233333333333324</v>
      </c>
      <c r="G108" s="94">
        <f>_xll.AnalizExpert.AnalizExpertIslem.DestekDirencSeviye($A108,"Fibonacci","Rs1")</f>
        <v>9.8844533333333331</v>
      </c>
      <c r="H108" s="94">
        <f>_xll.AnalizExpert.AnalizExpertIslem.DestekDirencSeviye($A108,"Fibonacci","Rs2")</f>
        <v>9.9222133333333318</v>
      </c>
      <c r="I108" s="94">
        <f>_xll.AnalizExpert.AnalizExpertIslem.DestekDirencSeviye($A108,"Fibonacci","Rs3")</f>
        <v>9.9833333333333325</v>
      </c>
      <c r="J108" s="95">
        <f t="shared" si="6"/>
        <v>-1.0737199050525614E-2</v>
      </c>
      <c r="K108" s="95">
        <f t="shared" si="7"/>
        <v>9.3808070532381826E-3</v>
      </c>
      <c r="L108" s="94">
        <f>_xll.AnalizExpert.AnalizExpertIslem.HisseDusuk($A108,"s1h")</f>
        <v>9.82</v>
      </c>
      <c r="M108" s="96">
        <f>_xll.AnalizExpert.AnalizExpertIslem.HisseYuksek($A108,"s1h")</f>
        <v>10.34</v>
      </c>
    </row>
    <row r="109" spans="1:13" x14ac:dyDescent="0.35">
      <c r="A109" s="93" t="s">
        <v>95</v>
      </c>
      <c r="B109" s="94">
        <f>_xll.AnalizExpert.AnalizExpertIslem.DestekDirencSeviye($A109,"Fibonacci","Sp3")</f>
        <v>42.706666666666671</v>
      </c>
      <c r="C109" s="94">
        <f>_xll.AnalizExpert.AnalizExpertIslem.DestekDirencSeviye($A109,"Fibonacci","Sp2")</f>
        <v>43.111586666666675</v>
      </c>
      <c r="D109" s="94">
        <f>_xll.AnalizExpert.AnalizExpertIslem.DestekDirencSeviye($A109,"Fibonacci","Sp1")</f>
        <v>43.361746666666669</v>
      </c>
      <c r="E109" s="94">
        <f>_xll.AnalizExpert.AnalizExpertIslem.HisseKapanis($A109,O104-1)</f>
        <v>44</v>
      </c>
      <c r="F109" s="94">
        <f>_xll.AnalizExpert.AnalizExpertIslem.PivotNoktasi($A109,O104-1)</f>
        <v>43.766666666666673</v>
      </c>
      <c r="G109" s="94">
        <f>_xll.AnalizExpert.AnalizExpertIslem.DestekDirencSeviye($A109,"Fibonacci","Rs1")</f>
        <v>44.171586666666677</v>
      </c>
      <c r="H109" s="94">
        <f>_xll.AnalizExpert.AnalizExpertIslem.DestekDirencSeviye($A109,"Fibonacci","Rs2")</f>
        <v>44.421746666666671</v>
      </c>
      <c r="I109" s="94">
        <f>_xll.AnalizExpert.AnalizExpertIslem.DestekDirencSeviye($A109,"Fibonacci","Rs3")</f>
        <v>44.826666666666675</v>
      </c>
      <c r="J109" s="95">
        <f t="shared" si="6"/>
        <v>-2.0191212121211888E-2</v>
      </c>
      <c r="K109" s="95">
        <f t="shared" si="7"/>
        <v>9.585151515151713E-3</v>
      </c>
      <c r="L109" s="94">
        <f>_xll.AnalizExpert.AnalizExpertIslem.HisseDusuk($A109,"s1h")</f>
        <v>43</v>
      </c>
      <c r="M109" s="96">
        <f>_xll.AnalizExpert.AnalizExpertIslem.HisseYuksek($A109,"s1h")</f>
        <v>43.86</v>
      </c>
    </row>
    <row r="110" spans="1:13" x14ac:dyDescent="0.35">
      <c r="A110" s="93" t="s">
        <v>98</v>
      </c>
      <c r="B110" s="94">
        <f>_xll.AnalizExpert.AnalizExpertIslem.DestekDirencSeviye($A110,"Fibonacci","Sp3")</f>
        <v>21.866666666666664</v>
      </c>
      <c r="C110" s="94">
        <f>_xll.AnalizExpert.AnalizExpertIslem.DestekDirencSeviye($A110,"Fibonacci","Sp2")</f>
        <v>22.538986666666663</v>
      </c>
      <c r="D110" s="94">
        <f>_xll.AnalizExpert.AnalizExpertIslem.DestekDirencSeviye($A110,"Fibonacci","Sp1")</f>
        <v>22.954346666666666</v>
      </c>
      <c r="E110" s="94">
        <f>_xll.AnalizExpert.AnalizExpertIslem.HisseKapanis($A110,O105-1)</f>
        <v>24</v>
      </c>
      <c r="F110" s="94">
        <f>_xll.AnalizExpert.AnalizExpertIslem.PivotNoktasi($A110,O105-1)</f>
        <v>23.626666666666665</v>
      </c>
      <c r="G110" s="94">
        <f>_xll.AnalizExpert.AnalizExpertIslem.DestekDirencSeviye($A110,"Fibonacci","Rs1")</f>
        <v>24.298986666666664</v>
      </c>
      <c r="H110" s="94">
        <f>_xll.AnalizExpert.AnalizExpertIslem.DestekDirencSeviye($A110,"Fibonacci","Rs2")</f>
        <v>24.714346666666668</v>
      </c>
      <c r="I110" s="94">
        <f>_xll.AnalizExpert.AnalizExpertIslem.DestekDirencSeviye($A110,"Fibonacci","Rs3")</f>
        <v>25.386666666666667</v>
      </c>
      <c r="J110" s="95">
        <f t="shared" si="6"/>
        <v>-6.0875555555555683E-2</v>
      </c>
      <c r="K110" s="95">
        <f t="shared" si="7"/>
        <v>2.9764444444444482E-2</v>
      </c>
      <c r="L110" s="94">
        <f>_xll.AnalizExpert.AnalizExpertIslem.HisseDusuk($A110,"s1h")</f>
        <v>22.1</v>
      </c>
      <c r="M110" s="96">
        <f>_xll.AnalizExpert.AnalizExpertIslem.HisseYuksek($A110,"s1h")</f>
        <v>23.22</v>
      </c>
    </row>
    <row r="111" spans="1:13" x14ac:dyDescent="0.35">
      <c r="A111" s="93" t="s">
        <v>97</v>
      </c>
      <c r="B111" s="94">
        <f>_xll.AnalizExpert.AnalizExpertIslem.DestekDirencSeviye($A111,"Fibonacci","Sp3")</f>
        <v>10.663333333333334</v>
      </c>
      <c r="C111" s="94">
        <f>_xll.AnalizExpert.AnalizExpertIslem.DestekDirencSeviye($A111,"Fibonacci","Sp2")</f>
        <v>10.877253333333334</v>
      </c>
      <c r="D111" s="94">
        <f>_xll.AnalizExpert.AnalizExpertIslem.DestekDirencSeviye($A111,"Fibonacci","Sp1")</f>
        <v>11.009413333333335</v>
      </c>
      <c r="E111" s="94">
        <f>_xll.AnalizExpert.AnalizExpertIslem.HisseKapanis($A111,O106-1)</f>
        <v>11.41</v>
      </c>
      <c r="F111" s="94">
        <f>_xll.AnalizExpert.AnalizExpertIslem.PivotNoktasi($A111,O106-1)</f>
        <v>11.223333333333334</v>
      </c>
      <c r="G111" s="94">
        <f>_xll.AnalizExpert.AnalizExpertIslem.DestekDirencSeviye($A111,"Fibonacci","Rs1")</f>
        <v>11.437253333333334</v>
      </c>
      <c r="H111" s="94">
        <f>_xll.AnalizExpert.AnalizExpertIslem.DestekDirencSeviye($A111,"Fibonacci","Rs2")</f>
        <v>11.569413333333335</v>
      </c>
      <c r="I111" s="94">
        <f>_xll.AnalizExpert.AnalizExpertIslem.DestekDirencSeviye($A111,"Fibonacci","Rs3")</f>
        <v>11.783333333333335</v>
      </c>
      <c r="J111" s="95">
        <f t="shared" si="6"/>
        <v>-4.669120654396719E-2</v>
      </c>
      <c r="K111" s="95">
        <f t="shared" si="7"/>
        <v>1.397137014314942E-2</v>
      </c>
      <c r="L111" s="94">
        <f>_xll.AnalizExpert.AnalizExpertIslem.HisseDusuk($A111,"s1h")</f>
        <v>9.56</v>
      </c>
      <c r="M111" s="96">
        <f>_xll.AnalizExpert.AnalizExpertIslem.HisseYuksek($A111,"s1h")</f>
        <v>9.8699999999999992</v>
      </c>
    </row>
    <row r="112" spans="1:13" x14ac:dyDescent="0.35">
      <c r="A112" s="93" t="s">
        <v>100</v>
      </c>
      <c r="B112" s="94">
        <f>_xll.AnalizExpert.AnalizExpertIslem.DestekDirencSeviye($A112,"Fibonacci","Sp3")</f>
        <v>7.5900000000000007</v>
      </c>
      <c r="C112" s="94">
        <f>_xll.AnalizExpert.AnalizExpertIslem.DestekDirencSeviye($A112,"Fibonacci","Sp2")</f>
        <v>7.7771800000000004</v>
      </c>
      <c r="D112" s="94">
        <f>_xll.AnalizExpert.AnalizExpertIslem.DestekDirencSeviye($A112,"Fibonacci","Sp1")</f>
        <v>7.8928200000000004</v>
      </c>
      <c r="E112" s="94">
        <f>_xll.AnalizExpert.AnalizExpertIslem.HisseKapanis($A112,O107-1)</f>
        <v>8.19</v>
      </c>
      <c r="F112" s="94">
        <f>_xll.AnalizExpert.AnalizExpertIslem.PivotNoktasi($A112,O107-1)</f>
        <v>8.08</v>
      </c>
      <c r="G112" s="94">
        <f>_xll.AnalizExpert.AnalizExpertIslem.DestekDirencSeviye($A112,"Fibonacci","Rs1")</f>
        <v>8.2671799999999998</v>
      </c>
      <c r="H112" s="94">
        <f>_xll.AnalizExpert.AnalizExpertIslem.DestekDirencSeviye($A112,"Fibonacci","Rs2")</f>
        <v>8.3828199999999988</v>
      </c>
      <c r="I112" s="94">
        <f>_xll.AnalizExpert.AnalizExpertIslem.DestekDirencSeviye($A112,"Fibonacci","Rs3")</f>
        <v>8.57</v>
      </c>
      <c r="J112" s="95">
        <f t="shared" si="6"/>
        <v>-5.0405372405372351E-2</v>
      </c>
      <c r="K112" s="95">
        <f t="shared" si="7"/>
        <v>2.3543345543345362E-2</v>
      </c>
      <c r="L112" s="94">
        <f>_xll.AnalizExpert.AnalizExpertIslem.HisseDusuk($A112,"s1h")</f>
        <v>6.9</v>
      </c>
      <c r="M112" s="96">
        <f>_xll.AnalizExpert.AnalizExpertIslem.HisseYuksek($A112,"s1h")</f>
        <v>7.51</v>
      </c>
    </row>
    <row r="113" spans="1:13" ht="15" thickBot="1" x14ac:dyDescent="0.4">
      <c r="A113" s="93" t="s">
        <v>99</v>
      </c>
      <c r="B113" s="94">
        <f>_xll.AnalizExpert.AnalizExpertIslem.DestekDirencSeviye($A113,"Fibonacci","Sp3")</f>
        <v>4.6500000000000004</v>
      </c>
      <c r="C113" s="94">
        <f>_xll.AnalizExpert.AnalizExpertIslem.DestekDirencSeviye($A113,"Fibonacci","Sp2")</f>
        <v>4.7760600000000002</v>
      </c>
      <c r="D113" s="94">
        <f>_xll.AnalizExpert.AnalizExpertIslem.DestekDirencSeviye($A113,"Fibonacci","Sp1")</f>
        <v>4.8539400000000006</v>
      </c>
      <c r="E113" s="94">
        <f>_xll.AnalizExpert.AnalizExpertIslem.HisseKapanis($A113,O108-1)</f>
        <v>5.05</v>
      </c>
      <c r="F113" s="94">
        <f>_xll.AnalizExpert.AnalizExpertIslem.PivotNoktasi($A113,O108-1)</f>
        <v>4.9800000000000004</v>
      </c>
      <c r="G113" s="94">
        <f>_xll.AnalizExpert.AnalizExpertIslem.DestekDirencSeviye($A113,"Fibonacci","Rs1")</f>
        <v>5.1060600000000003</v>
      </c>
      <c r="H113" s="94">
        <f>_xll.AnalizExpert.AnalizExpertIslem.DestekDirencSeviye($A113,"Fibonacci","Rs2")</f>
        <v>5.1839400000000007</v>
      </c>
      <c r="I113" s="94">
        <f>_xll.AnalizExpert.AnalizExpertIslem.DestekDirencSeviye($A113,"Fibonacci","Rs3")</f>
        <v>5.3100000000000005</v>
      </c>
      <c r="J113" s="95">
        <f t="shared" si="6"/>
        <v>-5.4245544554455405E-2</v>
      </c>
      <c r="K113" s="95">
        <f t="shared" si="7"/>
        <v>2.652277227722788E-2</v>
      </c>
      <c r="L113" s="94">
        <f>_xll.AnalizExpert.AnalizExpertIslem.HisseDusuk($A113,"s1h")</f>
        <v>4.5999999999999996</v>
      </c>
      <c r="M113" s="96">
        <f>_xll.AnalizExpert.AnalizExpertIslem.HisseYuksek($A113,"s1h")</f>
        <v>4.74</v>
      </c>
    </row>
    <row r="114" spans="1:13" ht="15" customHeight="1" x14ac:dyDescent="0.35">
      <c r="A114" s="157" t="s">
        <v>134</v>
      </c>
      <c r="B114" s="158"/>
      <c r="C114" s="158"/>
      <c r="D114" s="158"/>
      <c r="E114" s="158"/>
      <c r="F114" s="158"/>
      <c r="G114" s="158"/>
      <c r="H114" s="158"/>
      <c r="I114" s="158"/>
      <c r="J114" s="158"/>
      <c r="K114" s="158"/>
      <c r="L114" s="158"/>
      <c r="M114" s="159"/>
    </row>
    <row r="115" spans="1:13" x14ac:dyDescent="0.35">
      <c r="A115" s="160"/>
      <c r="B115" s="161"/>
      <c r="C115" s="161"/>
      <c r="D115" s="161"/>
      <c r="E115" s="161"/>
      <c r="F115" s="161"/>
      <c r="G115" s="161"/>
      <c r="H115" s="161"/>
      <c r="I115" s="161"/>
      <c r="J115" s="161"/>
      <c r="K115" s="161"/>
      <c r="L115" s="161"/>
      <c r="M115" s="162"/>
    </row>
    <row r="116" spans="1:13" x14ac:dyDescent="0.35">
      <c r="A116" s="160"/>
      <c r="B116" s="161"/>
      <c r="C116" s="161"/>
      <c r="D116" s="161"/>
      <c r="E116" s="161"/>
      <c r="F116" s="161"/>
      <c r="G116" s="161"/>
      <c r="H116" s="161"/>
      <c r="I116" s="161"/>
      <c r="J116" s="161"/>
      <c r="K116" s="161"/>
      <c r="L116" s="161"/>
      <c r="M116" s="162"/>
    </row>
    <row r="117" spans="1:13" x14ac:dyDescent="0.35">
      <c r="A117" s="160"/>
      <c r="B117" s="161"/>
      <c r="C117" s="161"/>
      <c r="D117" s="161"/>
      <c r="E117" s="161"/>
      <c r="F117" s="161"/>
      <c r="G117" s="161"/>
      <c r="H117" s="161"/>
      <c r="I117" s="161"/>
      <c r="J117" s="161"/>
      <c r="K117" s="161"/>
      <c r="L117" s="161"/>
      <c r="M117" s="162"/>
    </row>
    <row r="118" spans="1:13" x14ac:dyDescent="0.35">
      <c r="A118" s="160"/>
      <c r="B118" s="161"/>
      <c r="C118" s="161"/>
      <c r="D118" s="161"/>
      <c r="E118" s="161"/>
      <c r="F118" s="161"/>
      <c r="G118" s="161"/>
      <c r="H118" s="161"/>
      <c r="I118" s="161"/>
      <c r="J118" s="161"/>
      <c r="K118" s="161"/>
      <c r="L118" s="161"/>
      <c r="M118" s="162"/>
    </row>
    <row r="119" spans="1:13" x14ac:dyDescent="0.35">
      <c r="A119" s="160"/>
      <c r="B119" s="161"/>
      <c r="C119" s="161"/>
      <c r="D119" s="161"/>
      <c r="E119" s="161"/>
      <c r="F119" s="161"/>
      <c r="G119" s="161"/>
      <c r="H119" s="161"/>
      <c r="I119" s="161"/>
      <c r="J119" s="161"/>
      <c r="K119" s="161"/>
      <c r="L119" s="161"/>
      <c r="M119" s="162"/>
    </row>
    <row r="120" spans="1:13" x14ac:dyDescent="0.35">
      <c r="A120" s="160"/>
      <c r="B120" s="161"/>
      <c r="C120" s="161"/>
      <c r="D120" s="161"/>
      <c r="E120" s="161"/>
      <c r="F120" s="161"/>
      <c r="G120" s="161"/>
      <c r="H120" s="161"/>
      <c r="I120" s="161"/>
      <c r="J120" s="161"/>
      <c r="K120" s="161"/>
      <c r="L120" s="161"/>
      <c r="M120" s="162"/>
    </row>
    <row r="121" spans="1:13" x14ac:dyDescent="0.35">
      <c r="A121" s="160"/>
      <c r="B121" s="161"/>
      <c r="C121" s="161"/>
      <c r="D121" s="161"/>
      <c r="E121" s="161"/>
      <c r="F121" s="161"/>
      <c r="G121" s="161"/>
      <c r="H121" s="161"/>
      <c r="I121" s="161"/>
      <c r="J121" s="161"/>
      <c r="K121" s="161"/>
      <c r="L121" s="161"/>
      <c r="M121" s="162"/>
    </row>
    <row r="122" spans="1:13" x14ac:dyDescent="0.35">
      <c r="A122" s="160"/>
      <c r="B122" s="161"/>
      <c r="C122" s="161"/>
      <c r="D122" s="161"/>
      <c r="E122" s="161"/>
      <c r="F122" s="161"/>
      <c r="G122" s="161"/>
      <c r="H122" s="161"/>
      <c r="I122" s="161"/>
      <c r="J122" s="161"/>
      <c r="K122" s="161"/>
      <c r="L122" s="161"/>
      <c r="M122" s="162"/>
    </row>
    <row r="123" spans="1:13" x14ac:dyDescent="0.35">
      <c r="A123" s="160"/>
      <c r="B123" s="161"/>
      <c r="C123" s="161"/>
      <c r="D123" s="161"/>
      <c r="E123" s="161"/>
      <c r="F123" s="161"/>
      <c r="G123" s="161"/>
      <c r="H123" s="161"/>
      <c r="I123" s="161"/>
      <c r="J123" s="161"/>
      <c r="K123" s="161"/>
      <c r="L123" s="161"/>
      <c r="M123" s="162"/>
    </row>
    <row r="124" spans="1:13" x14ac:dyDescent="0.35">
      <c r="A124" s="160"/>
      <c r="B124" s="161"/>
      <c r="C124" s="161"/>
      <c r="D124" s="161"/>
      <c r="E124" s="161"/>
      <c r="F124" s="161"/>
      <c r="G124" s="161"/>
      <c r="H124" s="161"/>
      <c r="I124" s="161"/>
      <c r="J124" s="161"/>
      <c r="K124" s="161"/>
      <c r="L124" s="161"/>
      <c r="M124" s="162"/>
    </row>
    <row r="125" spans="1:13" ht="15" thickBot="1" x14ac:dyDescent="0.4">
      <c r="A125" s="163"/>
      <c r="B125" s="164"/>
      <c r="C125" s="164"/>
      <c r="D125" s="164"/>
      <c r="E125" s="164"/>
      <c r="F125" s="164"/>
      <c r="G125" s="164"/>
      <c r="H125" s="164"/>
      <c r="I125" s="164"/>
      <c r="J125" s="164"/>
      <c r="K125" s="164"/>
      <c r="L125" s="164"/>
      <c r="M125" s="165"/>
    </row>
    <row r="126" spans="1:13" x14ac:dyDescent="0.35">
      <c r="A126" s="148"/>
      <c r="B126" s="149"/>
      <c r="C126" s="149"/>
      <c r="D126" s="149"/>
      <c r="E126" s="149"/>
      <c r="F126" s="149"/>
      <c r="G126" s="149"/>
      <c r="H126" s="149"/>
      <c r="I126" s="149"/>
      <c r="J126" s="149"/>
      <c r="K126" s="149"/>
      <c r="L126" s="149"/>
      <c r="M126" s="150"/>
    </row>
    <row r="127" spans="1:13" x14ac:dyDescent="0.35">
      <c r="A127" s="151"/>
      <c r="B127" s="152"/>
      <c r="C127" s="152"/>
      <c r="D127" s="152"/>
      <c r="E127" s="152"/>
      <c r="F127" s="152"/>
      <c r="G127" s="152"/>
      <c r="H127" s="152"/>
      <c r="I127" s="152"/>
      <c r="J127" s="152"/>
      <c r="K127" s="152"/>
      <c r="L127" s="152"/>
      <c r="M127" s="153"/>
    </row>
    <row r="128" spans="1:13" x14ac:dyDescent="0.35">
      <c r="A128" s="151"/>
      <c r="B128" s="152"/>
      <c r="C128" s="152"/>
      <c r="D128" s="152"/>
      <c r="E128" s="152"/>
      <c r="F128" s="152"/>
      <c r="G128" s="152"/>
      <c r="H128" s="152"/>
      <c r="I128" s="152"/>
      <c r="J128" s="152"/>
      <c r="K128" s="152"/>
      <c r="L128" s="152"/>
      <c r="M128" s="153"/>
    </row>
    <row r="129" spans="1:13" ht="15" thickBot="1" x14ac:dyDescent="0.4">
      <c r="A129" s="154"/>
      <c r="B129" s="155"/>
      <c r="C129" s="155"/>
      <c r="D129" s="155"/>
      <c r="E129" s="155"/>
      <c r="F129" s="155"/>
      <c r="G129" s="155"/>
      <c r="H129" s="155"/>
      <c r="I129" s="155"/>
      <c r="J129" s="155"/>
      <c r="K129" s="155"/>
      <c r="L129" s="155"/>
      <c r="M129" s="156"/>
    </row>
  </sheetData>
  <sortState ref="A8:M106">
    <sortCondition ref="A7"/>
  </sortState>
  <mergeCells count="4">
    <mergeCell ref="A126:M129"/>
    <mergeCell ref="A114:M125"/>
    <mergeCell ref="F1:K4"/>
    <mergeCell ref="M1:M4"/>
  </mergeCells>
  <pageMargins left="0.27559055118110237" right="0.23622047244094491" top="0.15748031496062992" bottom="0.15748031496062992" header="0.11811023622047245" footer="0.19685039370078741"/>
  <pageSetup paperSize="9" scale="52" fitToHeight="0" orientation="portrait" r:id="rId1"/>
  <headerFooter>
    <oddFooter xml:space="preserve">&amp;C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9"/>
  <sheetViews>
    <sheetView showGridLines="0" view="pageBreakPreview" zoomScale="115" zoomScaleNormal="100" zoomScaleSheetLayoutView="115" workbookViewId="0">
      <selection activeCell="C5" sqref="C5"/>
    </sheetView>
  </sheetViews>
  <sheetFormatPr defaultColWidth="9.1796875" defaultRowHeight="14.5" x14ac:dyDescent="0.35"/>
  <cols>
    <col min="1" max="1" width="10.453125" style="118" customWidth="1"/>
    <col min="2" max="2" width="12.54296875" style="120" customWidth="1"/>
    <col min="3" max="3" width="15.26953125" style="120" customWidth="1"/>
    <col min="4" max="4" width="17.7265625" style="120" customWidth="1"/>
    <col min="5" max="5" width="16.1796875" style="120" customWidth="1"/>
    <col min="6" max="6" width="14.26953125" style="120" customWidth="1"/>
    <col min="7" max="7" width="13.1796875" style="120" customWidth="1"/>
    <col min="8" max="8" width="14.453125" style="120" customWidth="1"/>
    <col min="9" max="9" width="16.81640625" style="120" customWidth="1"/>
    <col min="10" max="10" width="8.1796875" style="120" customWidth="1"/>
    <col min="11" max="11" width="8.26953125" style="120" customWidth="1"/>
    <col min="12" max="16384" width="9.1796875" style="120"/>
  </cols>
  <sheetData>
    <row r="1" spans="1:9" s="126" customFormat="1" ht="15" customHeight="1" x14ac:dyDescent="0.35">
      <c r="A1" s="110"/>
      <c r="B1" s="111"/>
      <c r="C1" s="166" t="s">
        <v>148</v>
      </c>
      <c r="D1" s="166"/>
      <c r="E1" s="166"/>
      <c r="F1" s="166"/>
      <c r="G1" s="166"/>
      <c r="H1" s="111"/>
      <c r="I1" s="169">
        <f ca="1">TODAY()</f>
        <v>44886</v>
      </c>
    </row>
    <row r="2" spans="1:9" ht="15" customHeight="1" x14ac:dyDescent="0.35">
      <c r="A2" s="112"/>
      <c r="B2" s="113"/>
      <c r="C2" s="167"/>
      <c r="D2" s="167"/>
      <c r="E2" s="167"/>
      <c r="F2" s="167"/>
      <c r="G2" s="167"/>
      <c r="H2" s="109"/>
      <c r="I2" s="170"/>
    </row>
    <row r="3" spans="1:9" ht="15" customHeight="1" x14ac:dyDescent="0.35">
      <c r="A3" s="112"/>
      <c r="B3" s="113"/>
      <c r="C3" s="167"/>
      <c r="D3" s="167"/>
      <c r="E3" s="167"/>
      <c r="F3" s="167"/>
      <c r="G3" s="167"/>
      <c r="H3" s="109"/>
      <c r="I3" s="170"/>
    </row>
    <row r="4" spans="1:9" ht="15.75" customHeight="1" thickBot="1" x14ac:dyDescent="0.4">
      <c r="A4" s="115"/>
      <c r="B4" s="116"/>
      <c r="C4" s="168"/>
      <c r="D4" s="168"/>
      <c r="E4" s="168"/>
      <c r="F4" s="168"/>
      <c r="G4" s="168"/>
      <c r="H4" s="116"/>
      <c r="I4" s="171"/>
    </row>
    <row r="5" spans="1:9" ht="33" customHeight="1" thickBot="1" x14ac:dyDescent="0.4">
      <c r="A5" s="36" t="s">
        <v>130</v>
      </c>
      <c r="B5" s="37" t="s">
        <v>120</v>
      </c>
      <c r="C5" s="38" t="s">
        <v>122</v>
      </c>
      <c r="D5" s="38" t="s">
        <v>121</v>
      </c>
      <c r="E5" s="38" t="s">
        <v>124</v>
      </c>
      <c r="F5" s="38" t="s">
        <v>123</v>
      </c>
      <c r="G5" s="38" t="s">
        <v>126</v>
      </c>
      <c r="H5" s="38" t="s">
        <v>125</v>
      </c>
      <c r="I5" s="39" t="s">
        <v>127</v>
      </c>
    </row>
    <row r="6" spans="1:9" x14ac:dyDescent="0.35">
      <c r="A6" s="9" t="s">
        <v>132</v>
      </c>
      <c r="B6" s="8">
        <f>_xll.AnalizExpert.AnalizExpertIslem.EndeksKapanis($A6)</f>
        <v>4945.37</v>
      </c>
      <c r="C6" s="8">
        <f>_xll.AnalizExpert.AnalizExpertIslem.EndeksGetiri($A6)</f>
        <v>0.54732690176783483</v>
      </c>
      <c r="D6" s="8">
        <f>_xll.AnalizExpert.AnalizExpertIslem.EndeksGetiri($A6,"hb")</f>
        <v>0.54732690176783483</v>
      </c>
      <c r="E6" s="8">
        <f>_xll.AnalizExpert.AnalizExpertIslem.EndeksGetiri($A6,"s1h")</f>
        <v>-0.12622131746781862</v>
      </c>
      <c r="F6" s="8">
        <f>_xll.AnalizExpert.AnalizExpertIslem.EndeksGetiri($A6,"ab")</f>
        <v>14.198855094919978</v>
      </c>
      <c r="G6" s="8">
        <f>_xll.AnalizExpert.AnalizExpertIslem.EndeksGetiri($A6,"s1a")</f>
        <v>15.038032985182264</v>
      </c>
      <c r="H6" s="8">
        <f>_xll.AnalizExpert.AnalizExpertIslem.EndeksGetiri($A6,"yt")</f>
        <v>144.21218451084675</v>
      </c>
      <c r="I6" s="10">
        <f>_xll.AnalizExpert.AnalizExpertIslem.EndeksGetiri($A6,"s1y")</f>
        <v>160.640669551331</v>
      </c>
    </row>
    <row r="7" spans="1:9" x14ac:dyDescent="0.35">
      <c r="A7" s="3" t="s">
        <v>133</v>
      </c>
      <c r="B7" s="2">
        <f>_xll.AnalizExpert.AnalizExpertIslem.EndeksKapanis($A7)</f>
        <v>4008.62</v>
      </c>
      <c r="C7" s="2">
        <f>_xll.AnalizExpert.AnalizExpertIslem.EndeksGetiri($A7)</f>
        <v>0.54352324458546186</v>
      </c>
      <c r="D7" s="2">
        <f>_xll.AnalizExpert.AnalizExpertIslem.EndeksGetiri($A7,"hb")</f>
        <v>0.54352324458546186</v>
      </c>
      <c r="E7" s="2">
        <f>_xll.AnalizExpert.AnalizExpertIslem.EndeksGetiri($A7,"s1h")</f>
        <v>-0.27688289072703798</v>
      </c>
      <c r="F7" s="2">
        <f>_xll.AnalizExpert.AnalizExpertIslem.EndeksGetiri($A7,"ab")</f>
        <v>14.434240463147201</v>
      </c>
      <c r="G7" s="2">
        <f>_xll.AnalizExpert.AnalizExpertIslem.EndeksGetiri($A7,"s1a")</f>
        <v>15.283649394049204</v>
      </c>
      <c r="H7" s="2">
        <f>_xll.AnalizExpert.AnalizExpertIslem.EndeksGetiri($A7,"yt")</f>
        <v>143.51043020811815</v>
      </c>
      <c r="I7" s="4">
        <f>_xll.AnalizExpert.AnalizExpertIslem.EndeksGetiri($A7,"s1y")</f>
        <v>159.97924638433099</v>
      </c>
    </row>
    <row r="8" spans="1:9" x14ac:dyDescent="0.35">
      <c r="A8" s="9" t="s">
        <v>131</v>
      </c>
      <c r="B8" s="8">
        <f>_xll.AnalizExpert.AnalizExpertIslem.EndeksKapanis($A8)</f>
        <v>4570.32</v>
      </c>
      <c r="C8" s="8">
        <f>_xll.AnalizExpert.AnalizExpertIslem.EndeksGetiri($A8)</f>
        <v>0.9629467628950733</v>
      </c>
      <c r="D8" s="8">
        <f>_xll.AnalizExpert.AnalizExpertIslem.EndeksGetiri($A8,"hb")</f>
        <v>0.9629467628950733</v>
      </c>
      <c r="E8" s="8">
        <f>_xll.AnalizExpert.AnalizExpertIslem.EndeksGetiri($A8,"s1h")</f>
        <v>2.6257056583933059E-3</v>
      </c>
      <c r="F8" s="8">
        <f>_xll.AnalizExpert.AnalizExpertIslem.EndeksGetiri($A8,"ab")</f>
        <v>14.862175040714149</v>
      </c>
      <c r="G8" s="8">
        <f>_xll.AnalizExpert.AnalizExpertIslem.EndeksGetiri($A8,"s1a")</f>
        <v>16.156284072454071</v>
      </c>
      <c r="H8" s="8">
        <f>_xll.AnalizExpert.AnalizExpertIslem.EndeksGetiri($A8,"yt")</f>
        <v>146.02696955831289</v>
      </c>
      <c r="I8" s="10">
        <f>_xll.AnalizExpert.AnalizExpertIslem.EndeksGetiri($A8,"s1y")</f>
        <v>163.06573880609903</v>
      </c>
    </row>
    <row r="9" spans="1:9" x14ac:dyDescent="0.35">
      <c r="A9" s="3" t="s">
        <v>135</v>
      </c>
      <c r="B9" s="2">
        <f>_xll.AnalizExpert.AnalizExpertIslem.EndeksKapanis($A9)</f>
        <v>5115.12</v>
      </c>
      <c r="C9" s="2">
        <f>_xll.AnalizExpert.AnalizExpertIslem.EndeksGetiri($A9)</f>
        <v>1.4556511356221047</v>
      </c>
      <c r="D9" s="2">
        <f>_xll.AnalizExpert.AnalizExpertIslem.EndeksGetiri($A9,"hb")</f>
        <v>1.4556511356221047</v>
      </c>
      <c r="E9" s="2">
        <f>_xll.AnalizExpert.AnalizExpertIslem.EndeksGetiri($A9,"s1h")</f>
        <v>0.86089607332010609</v>
      </c>
      <c r="F9" s="2">
        <f>_xll.AnalizExpert.AnalizExpertIslem.EndeksGetiri($A9,"ab")</f>
        <v>15.1550898931548</v>
      </c>
      <c r="G9" s="2">
        <f>_xll.AnalizExpert.AnalizExpertIslem.EndeksGetiri($A9,"s1a")</f>
        <v>17.429423472936769</v>
      </c>
      <c r="H9" s="2">
        <f>_xll.AnalizExpert.AnalizExpertIslem.EndeksGetiri($A9,"yt")</f>
        <v>145.49669319152613</v>
      </c>
      <c r="I9" s="4">
        <f>_xll.AnalizExpert.AnalizExpertIslem.EndeksGetiri($A9,"s1y")</f>
        <v>163.12751739995986</v>
      </c>
    </row>
    <row r="10" spans="1:9" x14ac:dyDescent="0.35">
      <c r="A10" s="9" t="s">
        <v>161</v>
      </c>
      <c r="B10" s="8">
        <f>_xll.AnalizExpert.AnalizExpertIslem.EndeksKapanis($A10)</f>
        <v>4242.25</v>
      </c>
      <c r="C10" s="8">
        <f>_xll.AnalizExpert.AnalizExpertIslem.EndeksGetiri($A10)</f>
        <v>2.2931410727849335</v>
      </c>
      <c r="D10" s="8">
        <f>_xll.AnalizExpert.AnalizExpertIslem.EndeksGetiri($A10,"hb")</f>
        <v>2.2931410727849335</v>
      </c>
      <c r="E10" s="8">
        <f>_xll.AnalizExpert.AnalizExpertIslem.EndeksGetiri($A10,"s1h")</f>
        <v>9.1995593148787815</v>
      </c>
      <c r="F10" s="8">
        <f>_xll.AnalizExpert.AnalizExpertIslem.EndeksGetiri($A10,"ab")</f>
        <v>13.624189116076261</v>
      </c>
      <c r="G10" s="8">
        <f>_xll.AnalizExpert.AnalizExpertIslem.EndeksGetiri($A10,"s1a")</f>
        <v>8.434212275195021</v>
      </c>
      <c r="H10" s="8">
        <f>_xll.AnalizExpert.AnalizExpertIslem.EndeksGetiri($A10,"yt")</f>
        <v>165.84844648877637</v>
      </c>
      <c r="I10" s="10">
        <f>_xll.AnalizExpert.AnalizExpertIslem.EndeksGetiri($A10,"s1y")</f>
        <v>156.65497005263475</v>
      </c>
    </row>
    <row r="11" spans="1:9" ht="15" thickBot="1" x14ac:dyDescent="0.4">
      <c r="A11" s="85" t="s">
        <v>136</v>
      </c>
      <c r="B11" s="86">
        <f>_xll.AnalizExpert.AnalizExpertIslem.EndeksKapanis($A11)</f>
        <v>7528.44</v>
      </c>
      <c r="C11" s="86">
        <f>_xll.AnalizExpert.AnalizExpertIslem.EndeksGetiri($A11)</f>
        <v>9.6660492981803722E-2</v>
      </c>
      <c r="D11" s="86">
        <f>_xll.AnalizExpert.AnalizExpertIslem.EndeksGetiri($A11,"hb")</f>
        <v>9.6660492981803722E-2</v>
      </c>
      <c r="E11" s="86">
        <f>_xll.AnalizExpert.AnalizExpertIslem.EndeksGetiri($A11,"s1h")</f>
        <v>-0.28688361743554075</v>
      </c>
      <c r="F11" s="86">
        <f>_xll.AnalizExpert.AnalizExpertIslem.EndeksGetiri($A11,"ab")</f>
        <v>16.158477314316208</v>
      </c>
      <c r="G11" s="86">
        <f>_xll.AnalizExpert.AnalizExpertIslem.EndeksGetiri($A11,"s1a")</f>
        <v>21.241460610101353</v>
      </c>
      <c r="H11" s="86">
        <f>_xll.AnalizExpert.AnalizExpertIslem.EndeksGetiri($A11,"yt")</f>
        <v>121.15411731528484</v>
      </c>
      <c r="I11" s="87">
        <f>_xll.AnalizExpert.AnalizExpertIslem.EndeksGetiri($A11,"s1y")</f>
        <v>151.10787201184752</v>
      </c>
    </row>
    <row r="12" spans="1:9" ht="15" thickBot="1" x14ac:dyDescent="0.4">
      <c r="A12" s="125" t="s">
        <v>0</v>
      </c>
      <c r="B12" s="34" t="s">
        <v>120</v>
      </c>
      <c r="C12" s="35" t="s">
        <v>122</v>
      </c>
      <c r="D12" s="35" t="s">
        <v>121</v>
      </c>
      <c r="E12" s="35" t="s">
        <v>124</v>
      </c>
      <c r="F12" s="35" t="s">
        <v>123</v>
      </c>
      <c r="G12" s="35" t="s">
        <v>126</v>
      </c>
      <c r="H12" s="35" t="s">
        <v>125</v>
      </c>
      <c r="I12" s="48" t="s">
        <v>127</v>
      </c>
    </row>
    <row r="13" spans="1:9" x14ac:dyDescent="0.35">
      <c r="A13" s="127" t="s">
        <v>9</v>
      </c>
      <c r="B13" s="5">
        <f>_xll.AnalizExpert.AnalizExpertIslem.HisseKapanis($A13)</f>
        <v>58.75</v>
      </c>
      <c r="C13" s="5">
        <f>_xll.AnalizExpert.AnalizExpertIslem.HisseGetiri($A13)</f>
        <v>6.3348416289592757</v>
      </c>
      <c r="D13" s="5">
        <f>_xll.AnalizExpert.AnalizExpertIslem.HisseGetiri($A13,"hb")</f>
        <v>6.3348416289592757</v>
      </c>
      <c r="E13" s="5">
        <f>_xll.AnalizExpert.AnalizExpertIslem.HisseGetiri($A13,"s1h")</f>
        <v>7.699358386801114</v>
      </c>
      <c r="F13" s="5">
        <f>_xll.AnalizExpert.AnalizExpertIslem.HisseGetiri($A13,"ab")</f>
        <v>22.497914929107576</v>
      </c>
      <c r="G13" s="5">
        <f>_xll.AnalizExpert.AnalizExpertIslem.HisseGetiri($A13,"s1a")</f>
        <v>21.635610766045566</v>
      </c>
      <c r="H13" s="5">
        <f>_xll.AnalizExpert.AnalizExpertIslem.HisseGetiri($A13,"yt")</f>
        <v>111.30416380407841</v>
      </c>
      <c r="I13" s="5">
        <f>_xll.AnalizExpert.AnalizExpertIslem.HisseGetiri($A13,"s1y")</f>
        <v>154.42395658035784</v>
      </c>
    </row>
    <row r="14" spans="1:9" x14ac:dyDescent="0.35">
      <c r="A14" s="127" t="s">
        <v>10</v>
      </c>
      <c r="B14" s="5">
        <f>_xll.AnalizExpert.AnalizExpertIslem.HisseKapanis($A14)</f>
        <v>90.5</v>
      </c>
      <c r="C14" s="5">
        <f>_xll.AnalizExpert.AnalizExpertIslem.HisseGetiri($A14)</f>
        <v>0.11061946902655162</v>
      </c>
      <c r="D14" s="5">
        <f>_xll.AnalizExpert.AnalizExpertIslem.HisseGetiri($A14,"hb")</f>
        <v>0.11061946902655162</v>
      </c>
      <c r="E14" s="5">
        <f>_xll.AnalizExpert.AnalizExpertIslem.HisseGetiri($A14,"s1h")</f>
        <v>-3.1049250535331918</v>
      </c>
      <c r="F14" s="5">
        <f>_xll.AnalizExpert.AnalizExpertIslem.HisseGetiri($A14,"ab")</f>
        <v>5.1714119697850114</v>
      </c>
      <c r="G14" s="5">
        <f>_xll.AnalizExpert.AnalizExpertIslem.HisseGetiri($A14,"s1a")</f>
        <v>4.022988505747116</v>
      </c>
      <c r="H14" s="5">
        <f>_xll.AnalizExpert.AnalizExpertIslem.HisseGetiri($A14,"yt")</f>
        <v>131.78137098571025</v>
      </c>
      <c r="I14" s="5">
        <f>_xll.AnalizExpert.AnalizExpertIslem.HisseGetiri($A14,"s1y")</f>
        <v>169.63442328870198</v>
      </c>
    </row>
    <row r="15" spans="1:9" x14ac:dyDescent="0.35">
      <c r="A15" s="127" t="s">
        <v>1</v>
      </c>
      <c r="B15" s="5">
        <f>_xll.AnalizExpert.AnalizExpertIslem.HisseKapanis($A15)</f>
        <v>16.53</v>
      </c>
      <c r="C15" s="5">
        <f>_xll.AnalizExpert.AnalizExpertIslem.HisseGetiri($A15)</f>
        <v>1.7230769230769383</v>
      </c>
      <c r="D15" s="5">
        <f>_xll.AnalizExpert.AnalizExpertIslem.HisseGetiri($A15,"hb")</f>
        <v>1.7230769230769383</v>
      </c>
      <c r="E15" s="5">
        <f>_xll.AnalizExpert.AnalizExpertIslem.HisseGetiri($A15,"s1h")</f>
        <v>8.5357846355876621</v>
      </c>
      <c r="F15" s="5">
        <f>_xll.AnalizExpert.AnalizExpertIslem.HisseGetiri($A15,"ab")</f>
        <v>13.064295485636123</v>
      </c>
      <c r="G15" s="5">
        <f>_xll.AnalizExpert.AnalizExpertIslem.HisseGetiri($A15,"s1a")</f>
        <v>6.3022508038585334</v>
      </c>
      <c r="H15" s="5">
        <f>_xll.AnalizExpert.AnalizExpertIslem.HisseGetiri($A15,"yt")</f>
        <v>137.11012616673685</v>
      </c>
      <c r="I15" s="5">
        <f>_xll.AnalizExpert.AnalizExpertIslem.HisseGetiri($A15,"s1y")</f>
        <v>136.12626672206156</v>
      </c>
    </row>
    <row r="16" spans="1:9" x14ac:dyDescent="0.35">
      <c r="A16" s="127" t="s">
        <v>2</v>
      </c>
      <c r="B16" s="5">
        <f>_xll.AnalizExpert.AnalizExpertIslem.HisseKapanis($A16)</f>
        <v>4.34</v>
      </c>
      <c r="C16" s="5">
        <f>_xll.AnalizExpert.AnalizExpertIslem.HisseGetiri($A16)</f>
        <v>1.1655011655011593</v>
      </c>
      <c r="D16" s="5">
        <f>_xll.AnalizExpert.AnalizExpertIslem.HisseGetiri($A16,"hb")</f>
        <v>1.1655011655011593</v>
      </c>
      <c r="E16" s="5">
        <f>_xll.AnalizExpert.AnalizExpertIslem.HisseGetiri($A16,"s1h")</f>
        <v>-3.3407572383073569</v>
      </c>
      <c r="F16" s="5">
        <f>_xll.AnalizExpert.AnalizExpertIslem.HisseGetiri($A16,"ab")</f>
        <v>-0.45871559633028358</v>
      </c>
      <c r="G16" s="5">
        <f>_xll.AnalizExpert.AnalizExpertIslem.HisseGetiri($A16,"s1a")</f>
        <v>0.46296296296295392</v>
      </c>
      <c r="H16" s="5">
        <f>_xll.AnalizExpert.AnalizExpertIslem.HisseGetiri($A16,"yt")</f>
        <v>-40.952380952380949</v>
      </c>
      <c r="I16" s="5">
        <f>_xll.AnalizExpert.AnalizExpertIslem.HisseGetiri($A16,"s1y")</f>
        <v>12.952949477553855</v>
      </c>
    </row>
    <row r="17" spans="1:9" x14ac:dyDescent="0.35">
      <c r="A17" s="127" t="s">
        <v>3</v>
      </c>
      <c r="B17" s="5">
        <f>_xll.AnalizExpert.AnalizExpertIslem.HisseKapanis($A17)</f>
        <v>78.7</v>
      </c>
      <c r="C17" s="5">
        <f>_xll.AnalizExpert.AnalizExpertIslem.HisseGetiri($A17)</f>
        <v>-0.12690355329948444</v>
      </c>
      <c r="D17" s="5">
        <f>_xll.AnalizExpert.AnalizExpertIslem.HisseGetiri($A17,"hb")</f>
        <v>-0.12690355329948444</v>
      </c>
      <c r="E17" s="5">
        <f>_xll.AnalizExpert.AnalizExpertIslem.HisseGetiri($A17,"s1h")</f>
        <v>-2.8994447871684037</v>
      </c>
      <c r="F17" s="5">
        <f>_xll.AnalizExpert.AnalizExpertIslem.HisseGetiri($A17,"ab")</f>
        <v>12.993539124192388</v>
      </c>
      <c r="G17" s="5">
        <f>_xll.AnalizExpert.AnalizExpertIslem.HisseGetiri($A17,"s1a")</f>
        <v>12.750716332378232</v>
      </c>
      <c r="H17" s="5">
        <f>_xll.AnalizExpert.AnalizExpertIslem.HisseGetiri($A17,"yt")</f>
        <v>138.61850990918447</v>
      </c>
      <c r="I17" s="5">
        <f>_xll.AnalizExpert.AnalizExpertIslem.HisseGetiri($A17,"s1y")</f>
        <v>235.51445938010022</v>
      </c>
    </row>
    <row r="18" spans="1:9" x14ac:dyDescent="0.35">
      <c r="A18" s="127" t="s">
        <v>4</v>
      </c>
      <c r="B18" s="5">
        <f>_xll.AnalizExpert.AnalizExpertIslem.HisseKapanis($A18)</f>
        <v>48.5</v>
      </c>
      <c r="C18" s="5">
        <f>_xll.AnalizExpert.AnalizExpertIslem.HisseGetiri($A18)</f>
        <v>3.6767849508336781</v>
      </c>
      <c r="D18" s="5">
        <f>_xll.AnalizExpert.AnalizExpertIslem.HisseGetiri($A18,"hb")</f>
        <v>3.6767849508336781</v>
      </c>
      <c r="E18" s="5">
        <f>_xll.AnalizExpert.AnalizExpertIslem.HisseGetiri($A18,"s1h")</f>
        <v>0.66417600664177012</v>
      </c>
      <c r="F18" s="5">
        <f>_xll.AnalizExpert.AnalizExpertIslem.HisseGetiri($A18,"ab")</f>
        <v>17.149758454106291</v>
      </c>
      <c r="G18" s="5">
        <f>_xll.AnalizExpert.AnalizExpertIslem.HisseGetiri($A18,"s1a")</f>
        <v>14.171374764595113</v>
      </c>
      <c r="H18" s="5">
        <f>_xll.AnalizExpert.AnalizExpertIslem.HisseGetiri($A18,"yt")</f>
        <v>395.55180026680432</v>
      </c>
      <c r="I18" s="5">
        <f>_xll.AnalizExpert.AnalizExpertIslem.HisseGetiri($A18,"s1y")</f>
        <v>514.97670616961182</v>
      </c>
    </row>
    <row r="19" spans="1:9" x14ac:dyDescent="0.35">
      <c r="A19" s="127" t="s">
        <v>6</v>
      </c>
      <c r="B19" s="5">
        <f>_xll.AnalizExpert.AnalizExpertIslem.HisseKapanis($A19)</f>
        <v>77.95</v>
      </c>
      <c r="C19" s="5">
        <f>_xll.AnalizExpert.AnalizExpertIslem.HisseGetiri($A19)</f>
        <v>-0.44699872286078079</v>
      </c>
      <c r="D19" s="5">
        <f>_xll.AnalizExpert.AnalizExpertIslem.HisseGetiri($A19,"hb")</f>
        <v>-0.44699872286078079</v>
      </c>
      <c r="E19" s="5">
        <f>_xll.AnalizExpert.AnalizExpertIslem.HisseGetiri($A19,"s1h")</f>
        <v>-2.1343377275580666</v>
      </c>
      <c r="F19" s="5">
        <f>_xll.AnalizExpert.AnalizExpertIslem.HisseGetiri($A19,"ab")</f>
        <v>21.417445482866036</v>
      </c>
      <c r="G19" s="5">
        <f>_xll.AnalizExpert.AnalizExpertIslem.HisseGetiri($A19,"s1a")</f>
        <v>24.124203821656053</v>
      </c>
      <c r="H19" s="5">
        <f>_xll.AnalizExpert.AnalizExpertIslem.HisseGetiri($A19,"yt")</f>
        <v>533.99793970034727</v>
      </c>
      <c r="I19" s="5">
        <f>_xll.AnalizExpert.AnalizExpertIslem.HisseGetiri($A19,"s1y")</f>
        <v>617.29693907703518</v>
      </c>
    </row>
    <row r="20" spans="1:9" x14ac:dyDescent="0.35">
      <c r="A20" s="127" t="s">
        <v>7</v>
      </c>
      <c r="B20" s="5">
        <f>_xll.AnalizExpert.AnalizExpertIslem.HisseKapanis($A20)</f>
        <v>3.49</v>
      </c>
      <c r="C20" s="5">
        <f>_xll.AnalizExpert.AnalizExpertIslem.HisseGetiri($A20)</f>
        <v>1.1594202898550732</v>
      </c>
      <c r="D20" s="5">
        <f>_xll.AnalizExpert.AnalizExpertIslem.HisseGetiri($A20,"hb")</f>
        <v>1.1594202898550732</v>
      </c>
      <c r="E20" s="5">
        <f>_xll.AnalizExpert.AnalizExpertIslem.HisseGetiri($A20,"s1h")</f>
        <v>36.862745098039241</v>
      </c>
      <c r="F20" s="5">
        <f>_xll.AnalizExpert.AnalizExpertIslem.HisseGetiri($A20,"ab")</f>
        <v>52.401746724890842</v>
      </c>
      <c r="G20" s="5">
        <f>_xll.AnalizExpert.AnalizExpertIslem.HisseGetiri($A20,"s1a")</f>
        <v>55.111111111111114</v>
      </c>
      <c r="H20" s="5">
        <f>_xll.AnalizExpert.AnalizExpertIslem.HisseGetiri($A20,"yt")</f>
        <v>152.56729288432513</v>
      </c>
      <c r="I20" s="5">
        <f>_xll.AnalizExpert.AnalizExpertIslem.HisseGetiri($A20,"s1y")</f>
        <v>113.33353864986688</v>
      </c>
    </row>
    <row r="21" spans="1:9" x14ac:dyDescent="0.35">
      <c r="A21" s="127" t="s">
        <v>5</v>
      </c>
      <c r="B21" s="5">
        <f>_xll.AnalizExpert.AnalizExpertIslem.HisseKapanis($A21)</f>
        <v>69.900000000000006</v>
      </c>
      <c r="C21" s="5">
        <f>_xll.AnalizExpert.AnalizExpertIslem.HisseGetiri($A21)</f>
        <v>-0.71022727272727071</v>
      </c>
      <c r="D21" s="5">
        <f>_xll.AnalizExpert.AnalizExpertIslem.HisseGetiri($A21,"hb")</f>
        <v>-0.71022727272727071</v>
      </c>
      <c r="E21" s="5">
        <f>_xll.AnalizExpert.AnalizExpertIslem.HisseGetiri($A21,"s1h")</f>
        <v>-7.1479628305926024E-2</v>
      </c>
      <c r="F21" s="5">
        <f>_xll.AnalizExpert.AnalizExpertIslem.HisseGetiri($A21,"ab")</f>
        <v>16.016597510373455</v>
      </c>
      <c r="G21" s="5">
        <f>_xll.AnalizExpert.AnalizExpertIslem.HisseGetiri($A21,"s1a")</f>
        <v>18.877551020408177</v>
      </c>
      <c r="H21" s="5">
        <f>_xll.AnalizExpert.AnalizExpertIslem.HisseGetiri($A21,"yt")</f>
        <v>121.63341495062726</v>
      </c>
      <c r="I21" s="5">
        <f>_xll.AnalizExpert.AnalizExpertIslem.HisseGetiri($A21,"s1y")</f>
        <v>175.32724604432636</v>
      </c>
    </row>
    <row r="22" spans="1:9" x14ac:dyDescent="0.35">
      <c r="A22" s="127" t="s">
        <v>8</v>
      </c>
      <c r="B22" s="5">
        <f>_xll.AnalizExpert.AnalizExpertIslem.HisseKapanis($A22)</f>
        <v>38.119999999999997</v>
      </c>
      <c r="C22" s="5">
        <f>_xll.AnalizExpert.AnalizExpertIslem.HisseGetiri($A22)</f>
        <v>1.382978723404249</v>
      </c>
      <c r="D22" s="5">
        <f>_xll.AnalizExpert.AnalizExpertIslem.HisseGetiri($A22,"hb")</f>
        <v>1.382978723404249</v>
      </c>
      <c r="E22" s="5">
        <f>_xll.AnalizExpert.AnalizExpertIslem.HisseGetiri($A22,"s1h")</f>
        <v>-7.1150097465886963</v>
      </c>
      <c r="F22" s="5">
        <f>_xll.AnalizExpert.AnalizExpertIslem.HisseGetiri($A22,"ab")</f>
        <v>-2.3565573770491843</v>
      </c>
      <c r="G22" s="5">
        <f>_xll.AnalizExpert.AnalizExpertIslem.HisseGetiri($A22,"s1a")</f>
        <v>-4.7952047952047998</v>
      </c>
      <c r="H22" s="5">
        <f>_xll.AnalizExpert.AnalizExpertIslem.HisseGetiri($A22,"yt")</f>
        <v>133.9207163132873</v>
      </c>
      <c r="I22" s="5">
        <f>_xll.AnalizExpert.AnalizExpertIslem.HisseGetiri($A22,"s1y")</f>
        <v>118.62839247673995</v>
      </c>
    </row>
    <row r="23" spans="1:9" x14ac:dyDescent="0.35">
      <c r="A23" s="127" t="s">
        <v>11</v>
      </c>
      <c r="B23" s="5">
        <f>_xll.AnalizExpert.AnalizExpertIslem.HisseKapanis($A23)</f>
        <v>88.8</v>
      </c>
      <c r="C23" s="5">
        <f>_xll.AnalizExpert.AnalizExpertIslem.HisseGetiri($A23)</f>
        <v>6.474820143884874</v>
      </c>
      <c r="D23" s="5">
        <f>_xll.AnalizExpert.AnalizExpertIslem.HisseGetiri($A23,"hb")</f>
        <v>6.474820143884874</v>
      </c>
      <c r="E23" s="5">
        <f>_xll.AnalizExpert.AnalizExpertIslem.HisseGetiri($A23,"s1h")</f>
        <v>8.6903304773561665</v>
      </c>
      <c r="F23" s="5">
        <f>_xll.AnalizExpert.AnalizExpertIslem.HisseGetiri($A23,"ab")</f>
        <v>12.905276541640177</v>
      </c>
      <c r="G23" s="5">
        <f>_xll.AnalizExpert.AnalizExpertIslem.HisseGetiri($A23,"s1a")</f>
        <v>21.228668941979521</v>
      </c>
      <c r="H23" s="5">
        <f>_xll.AnalizExpert.AnalizExpertIslem.HisseGetiri($A23,"yt")</f>
        <v>90.798761556426783</v>
      </c>
      <c r="I23" s="5">
        <f>_xll.AnalizExpert.AnalizExpertIslem.HisseGetiri($A23,"s1y")</f>
        <v>124.90647976938764</v>
      </c>
    </row>
    <row r="24" spans="1:9" x14ac:dyDescent="0.35">
      <c r="A24" s="127" t="s">
        <v>12</v>
      </c>
      <c r="B24" s="5">
        <f>_xll.AnalizExpert.AnalizExpertIslem.HisseKapanis($A24)</f>
        <v>9.35</v>
      </c>
      <c r="C24" s="5">
        <f>_xll.AnalizExpert.AnalizExpertIslem.HisseGetiri($A24)</f>
        <v>9.9999999999999858</v>
      </c>
      <c r="D24" s="5">
        <f>_xll.AnalizExpert.AnalizExpertIslem.HisseGetiri($A24,"hb")</f>
        <v>9.9999999999999858</v>
      </c>
      <c r="E24" s="5">
        <f>_xll.AnalizExpert.AnalizExpertIslem.HisseGetiri($A24,"s1h")</f>
        <v>15.432098765432102</v>
      </c>
      <c r="F24" s="5">
        <f>_xll.AnalizExpert.AnalizExpertIslem.HisseGetiri($A24,"ab")</f>
        <v>21.113989637305707</v>
      </c>
      <c r="G24" s="5">
        <f>_xll.AnalizExpert.AnalizExpertIslem.HisseGetiri($A24,"s1a")</f>
        <v>28.787878787878785</v>
      </c>
      <c r="H24" s="5">
        <f>_xll.AnalizExpert.AnalizExpertIslem.HisseGetiri($A24,"yt")</f>
        <v>27.557980900409262</v>
      </c>
      <c r="I24" s="5">
        <f>_xll.AnalizExpert.AnalizExpertIslem.HisseGetiri($A24,"s1y")</f>
        <v>29.058942302784541</v>
      </c>
    </row>
    <row r="25" spans="1:9" x14ac:dyDescent="0.35">
      <c r="A25" s="127" t="s">
        <v>13</v>
      </c>
      <c r="B25" s="5">
        <f>_xll.AnalizExpert.AnalizExpertIslem.HisseKapanis($A25)</f>
        <v>41.58</v>
      </c>
      <c r="C25" s="5">
        <f>_xll.AnalizExpert.AnalizExpertIslem.HisseGetiri($A25)</f>
        <v>4.6827794561933533</v>
      </c>
      <c r="D25" s="5">
        <f>_xll.AnalizExpert.AnalizExpertIslem.HisseGetiri($A25,"hb")</f>
        <v>4.6827794561933533</v>
      </c>
      <c r="E25" s="5">
        <f>_xll.AnalizExpert.AnalizExpertIslem.HisseGetiri($A25,"s1h")</f>
        <v>0.20363796582425486</v>
      </c>
      <c r="F25" s="5">
        <f>_xll.AnalizExpert.AnalizExpertIslem.HisseGetiri($A25,"ab")</f>
        <v>29.686272600089136</v>
      </c>
      <c r="G25" s="5">
        <f>_xll.AnalizExpert.AnalizExpertIslem.HisseGetiri($A25,"s1a")</f>
        <v>31.234035903733393</v>
      </c>
      <c r="H25" s="5">
        <f>_xll.AnalizExpert.AnalizExpertIslem.HisseGetiri($A25,"yt")</f>
        <v>100.11933444324099</v>
      </c>
      <c r="I25" s="5">
        <f>_xll.AnalizExpert.AnalizExpertIslem.HisseGetiri($A25,"s1y")</f>
        <v>122.97180913419807</v>
      </c>
    </row>
    <row r="26" spans="1:9" x14ac:dyDescent="0.35">
      <c r="A26" s="127" t="s">
        <v>14</v>
      </c>
      <c r="B26" s="5">
        <f>_xll.AnalizExpert.AnalizExpertIslem.HisseKapanis($A26)</f>
        <v>18.55</v>
      </c>
      <c r="C26" s="5">
        <f>_xll.AnalizExpert.AnalizExpertIslem.HisseGetiri($A26)</f>
        <v>6.3646788990825653</v>
      </c>
      <c r="D26" s="5">
        <f>_xll.AnalizExpert.AnalizExpertIslem.HisseGetiri($A26,"hb")</f>
        <v>6.3646788990825653</v>
      </c>
      <c r="E26" s="5">
        <f>_xll.AnalizExpert.AnalizExpertIslem.HisseGetiri($A26,"s1h")</f>
        <v>2.7131782945736482</v>
      </c>
      <c r="F26" s="5">
        <f>_xll.AnalizExpert.AnalizExpertIslem.HisseGetiri($A26,"ab")</f>
        <v>11.011370436864155</v>
      </c>
      <c r="G26" s="5">
        <f>_xll.AnalizExpert.AnalizExpertIslem.HisseGetiri($A26,"s1a")</f>
        <v>3.6312849162011274</v>
      </c>
      <c r="H26" s="5">
        <f>_xll.AnalizExpert.AnalizExpertIslem.HisseGetiri($A26,"yt")</f>
        <v>211.76470588235296</v>
      </c>
      <c r="I26" s="5">
        <f>_xll.AnalizExpert.AnalizExpertIslem.HisseGetiri($A26,"s1y")</f>
        <v>181.91489361702128</v>
      </c>
    </row>
    <row r="27" spans="1:9" x14ac:dyDescent="0.35">
      <c r="A27" s="127" t="s">
        <v>15</v>
      </c>
      <c r="B27" s="5">
        <f>_xll.AnalizExpert.AnalizExpertIslem.HisseKapanis($A27)</f>
        <v>41.06</v>
      </c>
      <c r="C27" s="5">
        <f>_xll.AnalizExpert.AnalizExpertIslem.HisseGetiri($A27)</f>
        <v>-0.33980582524272274</v>
      </c>
      <c r="D27" s="5">
        <f>_xll.AnalizExpert.AnalizExpertIslem.HisseGetiri($A27,"hb")</f>
        <v>-0.33980582524272274</v>
      </c>
      <c r="E27" s="5">
        <f>_xll.AnalizExpert.AnalizExpertIslem.HisseGetiri($A27,"s1h")</f>
        <v>-6.0841720036596492</v>
      </c>
      <c r="F27" s="5">
        <f>_xll.AnalizExpert.AnalizExpertIslem.HisseGetiri($A27,"ab")</f>
        <v>12.431544359255199</v>
      </c>
      <c r="G27" s="5">
        <f>_xll.AnalizExpert.AnalizExpertIslem.HisseGetiri($A27,"s1a")</f>
        <v>22.860562537402764</v>
      </c>
      <c r="H27" s="5">
        <f>_xll.AnalizExpert.AnalizExpertIslem.HisseGetiri($A27,"yt")</f>
        <v>134.62857142857146</v>
      </c>
      <c r="I27" s="5">
        <f>_xll.AnalizExpert.AnalizExpertIslem.HisseGetiri($A27,"s1y")</f>
        <v>345.22780391363364</v>
      </c>
    </row>
    <row r="28" spans="1:9" x14ac:dyDescent="0.35">
      <c r="A28" s="127" t="s">
        <v>16</v>
      </c>
      <c r="B28" s="5">
        <f>_xll.AnalizExpert.AnalizExpertIslem.HisseKapanis($A28)</f>
        <v>17.420000000000002</v>
      </c>
      <c r="C28" s="5">
        <f>_xll.AnalizExpert.AnalizExpertIslem.HisseGetiri($A28)</f>
        <v>2.110199296600257</v>
      </c>
      <c r="D28" s="5">
        <f>_xll.AnalizExpert.AnalizExpertIslem.HisseGetiri($A28,"hb")</f>
        <v>2.110199296600257</v>
      </c>
      <c r="E28" s="5">
        <f>_xll.AnalizExpert.AnalizExpertIslem.HisseGetiri($A28,"s1h")</f>
        <v>-0.22909507445589838</v>
      </c>
      <c r="F28" s="5">
        <f>_xll.AnalizExpert.AnalizExpertIslem.HisseGetiri($A28,"ab")</f>
        <v>1.2790697674418761</v>
      </c>
      <c r="G28" s="5">
        <f>_xll.AnalizExpert.AnalizExpertIslem.HisseGetiri($A28,"s1a")</f>
        <v>-3.3832501386577896</v>
      </c>
      <c r="H28" s="5">
        <f>_xll.AnalizExpert.AnalizExpertIslem.HisseGetiri($A28,"yt")</f>
        <v>58.861225980648847</v>
      </c>
      <c r="I28" s="5">
        <f>_xll.AnalizExpert.AnalizExpertIslem.HisseGetiri($A28,"s1y")</f>
        <v>37.012117536318897</v>
      </c>
    </row>
    <row r="29" spans="1:9" x14ac:dyDescent="0.35">
      <c r="A29" s="127" t="s">
        <v>17</v>
      </c>
      <c r="B29" s="5">
        <f>_xll.AnalizExpert.AnalizExpertIslem.HisseKapanis($A29)</f>
        <v>28.98</v>
      </c>
      <c r="C29" s="5">
        <f>_xll.AnalizExpert.AnalizExpertIslem.HisseGetiri($A29)</f>
        <v>2.6931254429482632</v>
      </c>
      <c r="D29" s="5">
        <f>_xll.AnalizExpert.AnalizExpertIslem.HisseGetiri($A29,"hb")</f>
        <v>2.6931254429482632</v>
      </c>
      <c r="E29" s="5">
        <f>_xll.AnalizExpert.AnalizExpertIslem.HisseGetiri($A29,"s1h")</f>
        <v>-0.27529249827941138</v>
      </c>
      <c r="F29" s="5">
        <f>_xll.AnalizExpert.AnalizExpertIslem.HisseGetiri($A29,"ab")</f>
        <v>26.329555361813426</v>
      </c>
      <c r="G29" s="5">
        <f>_xll.AnalizExpert.AnalizExpertIslem.HisseGetiri($A29,"s1a")</f>
        <v>23.952095808383245</v>
      </c>
      <c r="H29" s="5">
        <f>_xll.AnalizExpert.AnalizExpertIslem.HisseGetiri($A29,"yt")</f>
        <v>200.20576131698925</v>
      </c>
      <c r="I29" s="5">
        <f>_xll.AnalizExpert.AnalizExpertIslem.HisseGetiri($A29,"s1y")</f>
        <v>156.64028144249218</v>
      </c>
    </row>
    <row r="30" spans="1:9" x14ac:dyDescent="0.35">
      <c r="A30" s="127" t="s">
        <v>18</v>
      </c>
      <c r="B30" s="5">
        <f>_xll.AnalizExpert.AnalizExpertIslem.HisseKapanis($A30)</f>
        <v>128.19999999999999</v>
      </c>
      <c r="C30" s="5">
        <f>_xll.AnalizExpert.AnalizExpertIslem.HisseGetiri($A30)</f>
        <v>-1.912777352716144</v>
      </c>
      <c r="D30" s="5">
        <f>_xll.AnalizExpert.AnalizExpertIslem.HisseGetiri($A30,"hb")</f>
        <v>-1.912777352716144</v>
      </c>
      <c r="E30" s="5">
        <f>_xll.AnalizExpert.AnalizExpertIslem.HisseGetiri($A30,"s1h")</f>
        <v>-5.2475979305247726</v>
      </c>
      <c r="F30" s="5">
        <f>_xll.AnalizExpert.AnalizExpertIslem.HisseGetiri($A30,"ab")</f>
        <v>-4.3283582089552297</v>
      </c>
      <c r="G30" s="5">
        <f>_xll.AnalizExpert.AnalizExpertIslem.HisseGetiri($A30,"s1a")</f>
        <v>-9.7183098591549388</v>
      </c>
      <c r="H30" s="5">
        <f>_xll.AnalizExpert.AnalizExpertIslem.HisseGetiri($A30,"yt")</f>
        <v>112.9540618710557</v>
      </c>
      <c r="I30" s="5">
        <f>_xll.AnalizExpert.AnalizExpertIslem.HisseGetiri($A30,"s1y")</f>
        <v>95.566801388699858</v>
      </c>
    </row>
    <row r="31" spans="1:9" x14ac:dyDescent="0.35">
      <c r="A31" s="127" t="s">
        <v>19</v>
      </c>
      <c r="B31" s="5">
        <f>_xll.AnalizExpert.AnalizExpertIslem.HisseKapanis($A31)</f>
        <v>956</v>
      </c>
      <c r="C31" s="5">
        <f>_xll.AnalizExpert.AnalizExpertIslem.HisseGetiri($A31)</f>
        <v>-2.9934043632673824</v>
      </c>
      <c r="D31" s="5">
        <f>_xll.AnalizExpert.AnalizExpertIslem.HisseGetiri($A31,"hb")</f>
        <v>-2.9934043632673824</v>
      </c>
      <c r="E31" s="5">
        <f>_xll.AnalizExpert.AnalizExpertIslem.HisseGetiri($A31,"s1h")</f>
        <v>-1.3314067499225923</v>
      </c>
      <c r="F31" s="5">
        <f>_xll.AnalizExpert.AnalizExpertIslem.HisseGetiri($A31,"ab")</f>
        <v>28.684883564409745</v>
      </c>
      <c r="G31" s="5">
        <f>_xll.AnalizExpert.AnalizExpertIslem.HisseGetiri($A31,"s1a")</f>
        <v>27.178395636557127</v>
      </c>
      <c r="H31" s="5">
        <f>_xll.AnalizExpert.AnalizExpertIslem.HisseGetiri($A31,"yt")</f>
        <v>155.14564613278128</v>
      </c>
      <c r="I31" s="5">
        <f>_xll.AnalizExpert.AnalizExpertIslem.HisseGetiri($A31,"s1y")</f>
        <v>169.17865667008431</v>
      </c>
    </row>
    <row r="32" spans="1:9" x14ac:dyDescent="0.35">
      <c r="A32" s="127" t="s">
        <v>20</v>
      </c>
      <c r="B32" s="5">
        <f>_xll.AnalizExpert.AnalizExpertIslem.HisseKapanis($A32)</f>
        <v>5.43</v>
      </c>
      <c r="C32" s="5">
        <f>_xll.AnalizExpert.AnalizExpertIslem.HisseGetiri($A32)</f>
        <v>2.4528301886792336</v>
      </c>
      <c r="D32" s="5">
        <f>_xll.AnalizExpert.AnalizExpertIslem.HisseGetiri($A32,"hb")</f>
        <v>2.4528301886792336</v>
      </c>
      <c r="E32" s="5">
        <f>_xll.AnalizExpert.AnalizExpertIslem.HisseGetiri($A32,"s1h")</f>
        <v>5.436893203883475</v>
      </c>
      <c r="F32" s="5">
        <f>_xll.AnalizExpert.AnalizExpertIslem.HisseGetiri($A32,"ab")</f>
        <v>15.042372881355925</v>
      </c>
      <c r="G32" s="5">
        <f>_xll.AnalizExpert.AnalizExpertIslem.HisseGetiri($A32,"s1a")</f>
        <v>18.043478260869563</v>
      </c>
      <c r="H32" s="5">
        <f>_xll.AnalizExpert.AnalizExpertIslem.HisseGetiri($A32,"yt")</f>
        <v>159.62830723260987</v>
      </c>
      <c r="I32" s="5">
        <f>_xll.AnalizExpert.AnalizExpertIslem.HisseGetiri($A32,"s1y")</f>
        <v>140.03371800750716</v>
      </c>
    </row>
    <row r="33" spans="1:9" x14ac:dyDescent="0.35">
      <c r="A33" s="127" t="s">
        <v>21</v>
      </c>
      <c r="B33" s="5">
        <f>_xll.AnalizExpert.AnalizExpertIslem.HisseKapanis($A33)</f>
        <v>173.4</v>
      </c>
      <c r="C33" s="5">
        <f>_xll.AnalizExpert.AnalizExpertIslem.HisseGetiri($A33)</f>
        <v>0.52173913043478404</v>
      </c>
      <c r="D33" s="5">
        <f>_xll.AnalizExpert.AnalizExpertIslem.HisseGetiri($A33,"hb")</f>
        <v>0.52173913043478404</v>
      </c>
      <c r="E33" s="5">
        <f>_xll.AnalizExpert.AnalizExpertIslem.HisseGetiri($A33,"s1h")</f>
        <v>-2.3098591549295722</v>
      </c>
      <c r="F33" s="5">
        <f>_xll.AnalizExpert.AnalizExpertIslem.HisseGetiri($A33,"ab")</f>
        <v>0.81395348837209891</v>
      </c>
      <c r="G33" s="5">
        <f>_xll.AnalizExpert.AnalizExpertIslem.HisseGetiri($A33,"s1a")</f>
        <v>4.1441441441441462</v>
      </c>
      <c r="H33" s="5">
        <f>_xll.AnalizExpert.AnalizExpertIslem.HisseGetiri($A33,"yt")</f>
        <v>99.562373398269585</v>
      </c>
      <c r="I33" s="5">
        <f>_xll.AnalizExpert.AnalizExpertIslem.HisseGetiri($A33,"s1y")</f>
        <v>88.092050712259436</v>
      </c>
    </row>
    <row r="34" spans="1:9" x14ac:dyDescent="0.35">
      <c r="A34" s="127" t="s">
        <v>22</v>
      </c>
      <c r="B34" s="5">
        <f>_xll.AnalizExpert.AnalizExpertIslem.HisseKapanis($A34)</f>
        <v>47.86</v>
      </c>
      <c r="C34" s="5">
        <f>_xll.AnalizExpert.AnalizExpertIslem.HisseGetiri($A34)</f>
        <v>3.4587116299178655</v>
      </c>
      <c r="D34" s="5">
        <f>_xll.AnalizExpert.AnalizExpertIslem.HisseGetiri($A34,"hb")</f>
        <v>3.4587116299178655</v>
      </c>
      <c r="E34" s="5">
        <f>_xll.AnalizExpert.AnalizExpertIslem.HisseGetiri($A34,"s1h")</f>
        <v>-4.3756243756243762</v>
      </c>
      <c r="F34" s="5">
        <f>_xll.AnalizExpert.AnalizExpertIslem.HisseGetiri($A34,"ab")</f>
        <v>5.4649625385632339</v>
      </c>
      <c r="G34" s="5">
        <f>_xll.AnalizExpert.AnalizExpertIslem.HisseGetiri($A34,"s1a")</f>
        <v>16.731707317073162</v>
      </c>
      <c r="H34" s="5">
        <f>_xll.AnalizExpert.AnalizExpertIslem.HisseGetiri($A34,"yt")</f>
        <v>158.53727945577032</v>
      </c>
      <c r="I34" s="5">
        <f>_xll.AnalizExpert.AnalizExpertIslem.HisseGetiri($A34,"s1y")</f>
        <v>201.43866207288511</v>
      </c>
    </row>
    <row r="35" spans="1:9" x14ac:dyDescent="0.35">
      <c r="A35" s="127" t="s">
        <v>23</v>
      </c>
      <c r="B35" s="5">
        <f>_xll.AnalizExpert.AnalizExpertIslem.HisseKapanis($A35)</f>
        <v>80.7</v>
      </c>
      <c r="C35" s="5">
        <f>_xll.AnalizExpert.AnalizExpertIslem.HisseGetiri($A35)</f>
        <v>3.7942122186495286</v>
      </c>
      <c r="D35" s="5">
        <f>_xll.AnalizExpert.AnalizExpertIslem.HisseGetiri($A35,"hb")</f>
        <v>3.7942122186495286</v>
      </c>
      <c r="E35" s="5">
        <f>_xll.AnalizExpert.AnalizExpertIslem.HisseGetiri($A35,"s1h")</f>
        <v>2.0227560050569027</v>
      </c>
      <c r="F35" s="5">
        <f>_xll.AnalizExpert.AnalizExpertIslem.HisseGetiri($A35,"ab")</f>
        <v>5.2837573385518644</v>
      </c>
      <c r="G35" s="5">
        <f>_xll.AnalizExpert.AnalizExpertIslem.HisseGetiri($A35,"s1a")</f>
        <v>18.676470588235293</v>
      </c>
      <c r="H35" s="5">
        <f>_xll.AnalizExpert.AnalizExpertIslem.HisseGetiri($A35,"yt")</f>
        <v>173.2248639650953</v>
      </c>
      <c r="I35" s="5">
        <f>_xll.AnalizExpert.AnalizExpertIslem.HisseGetiri($A35,"s1y")</f>
        <v>180.88537416972414</v>
      </c>
    </row>
    <row r="36" spans="1:9" x14ac:dyDescent="0.35">
      <c r="A36" s="127" t="s">
        <v>24</v>
      </c>
      <c r="B36" s="5">
        <f>_xll.AnalizExpert.AnalizExpertIslem.HisseKapanis($A36)</f>
        <v>47.8</v>
      </c>
      <c r="C36" s="5">
        <f>_xll.AnalizExpert.AnalizExpertIslem.HisseGetiri($A36)</f>
        <v>1.8755328218243772</v>
      </c>
      <c r="D36" s="5">
        <f>_xll.AnalizExpert.AnalizExpertIslem.HisseGetiri($A36,"hb")</f>
        <v>1.8755328218243772</v>
      </c>
      <c r="E36" s="5">
        <f>_xll.AnalizExpert.AnalizExpertIslem.HisseGetiri($A36,"s1h")</f>
        <v>-0.78870900788710063</v>
      </c>
      <c r="F36" s="5">
        <f>_xll.AnalizExpert.AnalizExpertIslem.HisseGetiri($A36,"ab")</f>
        <v>6.4587973273942056</v>
      </c>
      <c r="G36" s="5">
        <f>_xll.AnalizExpert.AnalizExpertIslem.HisseGetiri($A36,"s1a")</f>
        <v>14.135625596943635</v>
      </c>
      <c r="H36" s="5">
        <f>_xll.AnalizExpert.AnalizExpertIslem.HisseGetiri($A36,"yt")</f>
        <v>67.108957373278272</v>
      </c>
      <c r="I36" s="5">
        <f>_xll.AnalizExpert.AnalizExpertIslem.HisseGetiri($A36,"s1y")</f>
        <v>82.058811027597315</v>
      </c>
    </row>
    <row r="37" spans="1:9" x14ac:dyDescent="0.35">
      <c r="A37" s="127" t="s">
        <v>26</v>
      </c>
      <c r="B37" s="5">
        <f>_xll.AnalizExpert.AnalizExpertIslem.HisseKapanis($A37)</f>
        <v>148.1</v>
      </c>
      <c r="C37" s="5">
        <f>_xll.AnalizExpert.AnalizExpertIslem.HisseGetiri($A37)</f>
        <v>4.590395480225995</v>
      </c>
      <c r="D37" s="5">
        <f>_xll.AnalizExpert.AnalizExpertIslem.HisseGetiri($A37,"hb")</f>
        <v>4.590395480225995</v>
      </c>
      <c r="E37" s="5">
        <f>_xll.AnalizExpert.AnalizExpertIslem.HisseGetiri($A37,"s1h")</f>
        <v>-4.7588424437299048</v>
      </c>
      <c r="F37" s="5">
        <f>_xll.AnalizExpert.AnalizExpertIslem.HisseGetiri($A37,"ab")</f>
        <v>24.294024753250596</v>
      </c>
      <c r="G37" s="5">
        <f>_xll.AnalizExpert.AnalizExpertIslem.HisseGetiri($A37,"s1a")</f>
        <v>40.188108875331395</v>
      </c>
      <c r="H37" s="5">
        <f>_xll.AnalizExpert.AnalizExpertIslem.HisseGetiri($A37,"yt")</f>
        <v>278.12704558763568</v>
      </c>
      <c r="I37" s="5">
        <f>_xll.AnalizExpert.AnalizExpertIslem.HisseGetiri($A37,"s1y")</f>
        <v>277.09391158329782</v>
      </c>
    </row>
    <row r="38" spans="1:9" x14ac:dyDescent="0.35">
      <c r="A38" s="127" t="s">
        <v>25</v>
      </c>
      <c r="B38" s="5">
        <f>_xll.AnalizExpert.AnalizExpertIslem.HisseKapanis($A38)</f>
        <v>6.85</v>
      </c>
      <c r="C38" s="5">
        <f>_xll.AnalizExpert.AnalizExpertIslem.HisseGetiri($A38)</f>
        <v>1.4814814814814836</v>
      </c>
      <c r="D38" s="5">
        <f>_xll.AnalizExpert.AnalizExpertIslem.HisseGetiri($A38,"hb")</f>
        <v>1.4814814814814836</v>
      </c>
      <c r="E38" s="5">
        <f>_xll.AnalizExpert.AnalizExpertIslem.HisseGetiri($A38,"s1h")</f>
        <v>2.5449101796407136</v>
      </c>
      <c r="F38" s="5">
        <f>_xll.AnalizExpert.AnalizExpertIslem.HisseGetiri($A38,"ab")</f>
        <v>14.932885906040273</v>
      </c>
      <c r="G38" s="5">
        <f>_xll.AnalizExpert.AnalizExpertIslem.HisseGetiri($A38,"s1a")</f>
        <v>10.483870967741925</v>
      </c>
      <c r="H38" s="5">
        <f>_xll.AnalizExpert.AnalizExpertIslem.HisseGetiri($A38,"yt")</f>
        <v>157.19921065656118</v>
      </c>
      <c r="I38" s="5">
        <f>_xll.AnalizExpert.AnalizExpertIslem.HisseGetiri($A38,"s1y")</f>
        <v>129.6421523719296</v>
      </c>
    </row>
    <row r="39" spans="1:9" x14ac:dyDescent="0.35">
      <c r="A39" s="127" t="s">
        <v>27</v>
      </c>
      <c r="B39" s="5">
        <f>_xll.AnalizExpert.AnalizExpertIslem.HisseKapanis($A39)</f>
        <v>22.8</v>
      </c>
      <c r="C39" s="5">
        <f>_xll.AnalizExpert.AnalizExpertIslem.HisseGetiri($A39)</f>
        <v>0.4405286343612369</v>
      </c>
      <c r="D39" s="5">
        <f>_xll.AnalizExpert.AnalizExpertIslem.HisseGetiri($A39,"hb")</f>
        <v>0.4405286343612369</v>
      </c>
      <c r="E39" s="5">
        <f>_xll.AnalizExpert.AnalizExpertIslem.HisseGetiri($A39,"s1h")</f>
        <v>-0.52356020942408987</v>
      </c>
      <c r="F39" s="5">
        <f>_xll.AnalizExpert.AnalizExpertIslem.HisseGetiri($A39,"ab")</f>
        <v>14.400401404917208</v>
      </c>
      <c r="G39" s="5">
        <f>_xll.AnalizExpert.AnalizExpertIslem.HisseGetiri($A39,"s1a")</f>
        <v>17.223650385604117</v>
      </c>
      <c r="H39" s="5">
        <f>_xll.AnalizExpert.AnalizExpertIslem.HisseGetiri($A39,"yt")</f>
        <v>213.95534972008986</v>
      </c>
      <c r="I39" s="5">
        <f>_xll.AnalizExpert.AnalizExpertIslem.HisseGetiri($A39,"s1y")</f>
        <v>252.55255913095547</v>
      </c>
    </row>
    <row r="40" spans="1:9" x14ac:dyDescent="0.35">
      <c r="A40" s="127" t="s">
        <v>28</v>
      </c>
      <c r="B40" s="5">
        <f>_xll.AnalizExpert.AnalizExpertIslem.HisseKapanis($A40)</f>
        <v>3476.3</v>
      </c>
      <c r="C40" s="5">
        <f>_xll.AnalizExpert.AnalizExpertIslem.HisseGetiri($A40)</f>
        <v>1.4978102189781017</v>
      </c>
      <c r="D40" s="5">
        <f>_xll.AnalizExpert.AnalizExpertIslem.HisseGetiri($A40,"hb")</f>
        <v>1.4978102189781017</v>
      </c>
      <c r="E40" s="5">
        <f>_xll.AnalizExpert.AnalizExpertIslem.HisseGetiri($A40,"s1h")</f>
        <v>5.8492174654406037</v>
      </c>
      <c r="F40" s="5">
        <f>_xll.AnalizExpert.AnalizExpertIslem.HisseGetiri($A40,"ab")</f>
        <v>5.3424242424242374</v>
      </c>
      <c r="G40" s="5">
        <f>_xll.AnalizExpert.AnalizExpertIslem.HisseGetiri($A40,"s1a")</f>
        <v>16.666107326240919</v>
      </c>
      <c r="H40" s="5">
        <f>_xll.AnalizExpert.AnalizExpertIslem.HisseGetiri($A40,"yt")</f>
        <v>105.93656217371614</v>
      </c>
      <c r="I40" s="5">
        <f>_xll.AnalizExpert.AnalizExpertIslem.HisseGetiri($A40,"s1y")</f>
        <v>134.29748660457741</v>
      </c>
    </row>
    <row r="41" spans="1:9" x14ac:dyDescent="0.35">
      <c r="A41" s="127" t="s">
        <v>29</v>
      </c>
      <c r="B41" s="5">
        <f>_xll.AnalizExpert.AnalizExpertIslem.HisseKapanis($A41)</f>
        <v>5.78</v>
      </c>
      <c r="C41" s="5">
        <f>_xll.AnalizExpert.AnalizExpertIslem.HisseGetiri($A41)</f>
        <v>5.2823315118396996</v>
      </c>
      <c r="D41" s="5">
        <f>_xll.AnalizExpert.AnalizExpertIslem.HisseGetiri($A41,"hb")</f>
        <v>5.2823315118396996</v>
      </c>
      <c r="E41" s="5">
        <f>_xll.AnalizExpert.AnalizExpertIslem.HisseGetiri($A41,"s1h")</f>
        <v>2.1201413427561766</v>
      </c>
      <c r="F41" s="5">
        <f>_xll.AnalizExpert.AnalizExpertIslem.HisseGetiri($A41,"ab")</f>
        <v>31.065759637188208</v>
      </c>
      <c r="G41" s="5">
        <f>_xll.AnalizExpert.AnalizExpertIslem.HisseGetiri($A41,"s1a")</f>
        <v>24.568965517241391</v>
      </c>
      <c r="H41" s="5">
        <f>_xll.AnalizExpert.AnalizExpertIslem.HisseGetiri($A41,"yt")</f>
        <v>179.97433926437446</v>
      </c>
      <c r="I41" s="5">
        <f>_xll.AnalizExpert.AnalizExpertIslem.HisseGetiri($A41,"s1y")</f>
        <v>174.83719542466116</v>
      </c>
    </row>
    <row r="42" spans="1:9" x14ac:dyDescent="0.35">
      <c r="A42" s="127" t="s">
        <v>30</v>
      </c>
      <c r="B42" s="5">
        <f>_xll.AnalizExpert.AnalizExpertIslem.HisseKapanis($A42)</f>
        <v>26.2</v>
      </c>
      <c r="C42" s="5">
        <f>_xll.AnalizExpert.AnalizExpertIslem.HisseGetiri($A42)</f>
        <v>4.8839071257005484</v>
      </c>
      <c r="D42" s="5">
        <f>_xll.AnalizExpert.AnalizExpertIslem.HisseGetiri($A42,"hb")</f>
        <v>4.8839071257005484</v>
      </c>
      <c r="E42" s="5">
        <f>_xll.AnalizExpert.AnalizExpertIslem.HisseGetiri($A42,"s1h")</f>
        <v>1.2364760432766575</v>
      </c>
      <c r="F42" s="5">
        <f>_xll.AnalizExpert.AnalizExpertIslem.HisseGetiri($A42,"ab")</f>
        <v>27.804878048780491</v>
      </c>
      <c r="G42" s="5">
        <f>_xll.AnalizExpert.AnalizExpertIslem.HisseGetiri($A42,"s1a")</f>
        <v>35.751295336787557</v>
      </c>
      <c r="H42" s="5">
        <f>_xll.AnalizExpert.AnalizExpertIslem.HisseGetiri($A42,"yt")</f>
        <v>119.22041127668273</v>
      </c>
      <c r="I42" s="5">
        <f>_xll.AnalizExpert.AnalizExpertIslem.HisseGetiri($A42,"s1y")</f>
        <v>120.59053884716198</v>
      </c>
    </row>
    <row r="43" spans="1:9" x14ac:dyDescent="0.35">
      <c r="A43" s="127" t="s">
        <v>31</v>
      </c>
      <c r="B43" s="5">
        <f>_xll.AnalizExpert.AnalizExpertIslem.HisseKapanis($A43)</f>
        <v>21.18</v>
      </c>
      <c r="C43" s="5">
        <f>_xll.AnalizExpert.AnalizExpertIslem.HisseGetiri($A43)</f>
        <v>0.28409090909089496</v>
      </c>
      <c r="D43" s="5">
        <f>_xll.AnalizExpert.AnalizExpertIslem.HisseGetiri($A43,"hb")</f>
        <v>0.28409090909089496</v>
      </c>
      <c r="E43" s="5">
        <f>_xll.AnalizExpert.AnalizExpertIslem.HisseGetiri($A43,"s1h")</f>
        <v>-3.9891205802357166</v>
      </c>
      <c r="F43" s="5">
        <f>_xll.AnalizExpert.AnalizExpertIslem.HisseGetiri($A43,"ab")</f>
        <v>13.020277481323372</v>
      </c>
      <c r="G43" s="5">
        <f>_xll.AnalizExpert.AnalizExpertIslem.HisseGetiri($A43,"s1a")</f>
        <v>17.275747508305649</v>
      </c>
      <c r="H43" s="5">
        <f>_xll.AnalizExpert.AnalizExpertIslem.HisseGetiri($A43,"yt")</f>
        <v>57.471162188729672</v>
      </c>
      <c r="I43" s="5">
        <f>_xll.AnalizExpert.AnalizExpertIslem.HisseGetiri($A43,"s1y")</f>
        <v>85.855462583249917</v>
      </c>
    </row>
    <row r="44" spans="1:9" x14ac:dyDescent="0.35">
      <c r="A44" s="127" t="s">
        <v>32</v>
      </c>
      <c r="B44" s="5">
        <f>_xll.AnalizExpert.AnalizExpertIslem.HisseKapanis($A44)</f>
        <v>155.6</v>
      </c>
      <c r="C44" s="5">
        <f>_xll.AnalizExpert.AnalizExpertIslem.HisseGetiri($A44)</f>
        <v>2.978160158835208</v>
      </c>
      <c r="D44" s="5">
        <f>_xll.AnalizExpert.AnalizExpertIslem.HisseGetiri($A44,"hb")</f>
        <v>2.978160158835208</v>
      </c>
      <c r="E44" s="5">
        <f>_xll.AnalizExpert.AnalizExpertIslem.HisseGetiri($A44,"s1h")</f>
        <v>-2.810743285446593</v>
      </c>
      <c r="F44" s="5">
        <f>_xll.AnalizExpert.AnalizExpertIslem.HisseGetiri($A44,"ab")</f>
        <v>-5.6969696969697008</v>
      </c>
      <c r="G44" s="5">
        <f>_xll.AnalizExpert.AnalizExpertIslem.HisseGetiri($A44,"s1a")</f>
        <v>-1.2690355329949221</v>
      </c>
      <c r="H44" s="5">
        <f>_xll.AnalizExpert.AnalizExpertIslem.HisseGetiri($A44,"yt")</f>
        <v>40.899407395298404</v>
      </c>
      <c r="I44" s="5">
        <f>_xll.AnalizExpert.AnalizExpertIslem.HisseGetiri($A44,"s1y")</f>
        <v>32.499862537980029</v>
      </c>
    </row>
    <row r="45" spans="1:9" x14ac:dyDescent="0.35">
      <c r="A45" s="127" t="s">
        <v>33</v>
      </c>
      <c r="B45" s="5">
        <f>_xll.AnalizExpert.AnalizExpertIslem.HisseKapanis($A45)</f>
        <v>37.700000000000003</v>
      </c>
      <c r="C45" s="5">
        <f>_xll.AnalizExpert.AnalizExpertIslem.HisseGetiri($A45)</f>
        <v>2.168021680216814</v>
      </c>
      <c r="D45" s="5">
        <f>_xll.AnalizExpert.AnalizExpertIslem.HisseGetiri($A45,"hb")</f>
        <v>2.168021680216814</v>
      </c>
      <c r="E45" s="5">
        <f>_xll.AnalizExpert.AnalizExpertIslem.HisseGetiri($A45,"s1h")</f>
        <v>0.96411355115157971</v>
      </c>
      <c r="F45" s="5">
        <f>_xll.AnalizExpert.AnalizExpertIslem.HisseGetiri($A45,"ab")</f>
        <v>26.936026936026948</v>
      </c>
      <c r="G45" s="5">
        <f>_xll.AnalizExpert.AnalizExpertIslem.HisseGetiri($A45,"s1a")</f>
        <v>27.623561272850395</v>
      </c>
      <c r="H45" s="5">
        <f>_xll.AnalizExpert.AnalizExpertIslem.HisseGetiri($A45,"yt")</f>
        <v>52.594661268650931</v>
      </c>
      <c r="I45" s="5">
        <f>_xll.AnalizExpert.AnalizExpertIslem.HisseGetiri($A45,"s1y")</f>
        <v>102.31005938442608</v>
      </c>
    </row>
    <row r="46" spans="1:9" x14ac:dyDescent="0.35">
      <c r="A46" s="127" t="s">
        <v>34</v>
      </c>
      <c r="B46" s="5">
        <f>_xll.AnalizExpert.AnalizExpertIslem.HisseKapanis($A46)</f>
        <v>434.6</v>
      </c>
      <c r="C46" s="5">
        <f>_xll.AnalizExpert.AnalizExpertIslem.HisseGetiri($A46)</f>
        <v>2.1146616541353414</v>
      </c>
      <c r="D46" s="5">
        <f>_xll.AnalizExpert.AnalizExpertIslem.HisseGetiri($A46,"hb")</f>
        <v>2.1146616541353414</v>
      </c>
      <c r="E46" s="5">
        <f>_xll.AnalizExpert.AnalizExpertIslem.HisseGetiri($A46,"s1h")</f>
        <v>10.444726810673455</v>
      </c>
      <c r="F46" s="5">
        <f>_xll.AnalizExpert.AnalizExpertIslem.HisseGetiri($A46,"ab")</f>
        <v>19.724517906336093</v>
      </c>
      <c r="G46" s="5">
        <f>_xll.AnalizExpert.AnalizExpertIslem.HisseGetiri($A46,"s1a")</f>
        <v>19.955837703560597</v>
      </c>
      <c r="H46" s="5">
        <f>_xll.AnalizExpert.AnalizExpertIslem.HisseGetiri($A46,"yt")</f>
        <v>90.359598748553793</v>
      </c>
      <c r="I46" s="5">
        <f>_xll.AnalizExpert.AnalizExpertIslem.HisseGetiri($A46,"s1y")</f>
        <v>103.24941911224505</v>
      </c>
    </row>
    <row r="47" spans="1:9" x14ac:dyDescent="0.35">
      <c r="A47" s="127" t="s">
        <v>36</v>
      </c>
      <c r="B47" s="5">
        <f>_xll.AnalizExpert.AnalizExpertIslem.HisseKapanis($A47)</f>
        <v>26.16</v>
      </c>
      <c r="C47" s="5">
        <f>_xll.AnalizExpert.AnalizExpertIslem.HisseGetiri($A47)</f>
        <v>3.0732860520094718</v>
      </c>
      <c r="D47" s="5">
        <f>_xll.AnalizExpert.AnalizExpertIslem.HisseGetiri($A47,"hb")</f>
        <v>3.0732860520094718</v>
      </c>
      <c r="E47" s="5">
        <f>_xll.AnalizExpert.AnalizExpertIslem.HisseGetiri($A47,"s1h")</f>
        <v>6.3414634146341298</v>
      </c>
      <c r="F47" s="5">
        <f>_xll.AnalizExpert.AnalizExpertIslem.HisseGetiri($A47,"ab")</f>
        <v>11.319148936170208</v>
      </c>
      <c r="G47" s="5">
        <f>_xll.AnalizExpert.AnalizExpertIslem.HisseGetiri($A47,"s1a")</f>
        <v>4.8076923076923128</v>
      </c>
      <c r="H47" s="5">
        <f>_xll.AnalizExpert.AnalizExpertIslem.HisseGetiri($A47,"yt")</f>
        <v>136.99968914788911</v>
      </c>
      <c r="I47" s="5">
        <f>_xll.AnalizExpert.AnalizExpertIslem.HisseGetiri($A47,"s1y")</f>
        <v>121.65863043126221</v>
      </c>
    </row>
    <row r="48" spans="1:9" x14ac:dyDescent="0.35">
      <c r="A48" s="127" t="s">
        <v>37</v>
      </c>
      <c r="B48" s="5">
        <f>_xll.AnalizExpert.AnalizExpertIslem.HisseKapanis($A48)</f>
        <v>35.799999999999997</v>
      </c>
      <c r="C48" s="5">
        <f>_xll.AnalizExpert.AnalizExpertIslem.HisseGetiri($A48)</f>
        <v>8.8807785888077575</v>
      </c>
      <c r="D48" s="5">
        <f>_xll.AnalizExpert.AnalizExpertIslem.HisseGetiri($A48,"hb")</f>
        <v>8.8807785888077575</v>
      </c>
      <c r="E48" s="5">
        <f>_xll.AnalizExpert.AnalizExpertIslem.HisseGetiri($A48,"s1h")</f>
        <v>15.260785576303926</v>
      </c>
      <c r="F48" s="5">
        <f>_xll.AnalizExpert.AnalizExpertIslem.HisseGetiri($A48,"ab")</f>
        <v>26.056338028169002</v>
      </c>
      <c r="G48" s="5">
        <f>_xll.AnalizExpert.AnalizExpertIslem.HisseGetiri($A48,"s1a")</f>
        <v>30.847953216374258</v>
      </c>
      <c r="H48" s="5">
        <f>_xll.AnalizExpert.AnalizExpertIslem.HisseGetiri($A48,"yt")</f>
        <v>138.61553493022129</v>
      </c>
      <c r="I48" s="5">
        <f>_xll.AnalizExpert.AnalizExpertIslem.HisseGetiri($A48,"s1y")</f>
        <v>180.88561818856576</v>
      </c>
    </row>
    <row r="49" spans="1:9" x14ac:dyDescent="0.35">
      <c r="A49" s="127" t="s">
        <v>38</v>
      </c>
      <c r="B49" s="5">
        <f>_xll.AnalizExpert.AnalizExpertIslem.HisseKapanis($A49)</f>
        <v>9.07</v>
      </c>
      <c r="C49" s="5">
        <f>_xll.AnalizExpert.AnalizExpertIslem.HisseGetiri($A49)</f>
        <v>0.55432372505543892</v>
      </c>
      <c r="D49" s="5">
        <f>_xll.AnalizExpert.AnalizExpertIslem.HisseGetiri($A49,"hb")</f>
        <v>0.55432372505543892</v>
      </c>
      <c r="E49" s="5">
        <f>_xll.AnalizExpert.AnalizExpertIslem.HisseGetiri($A49,"s1h")</f>
        <v>2.4858757062147019</v>
      </c>
      <c r="F49" s="5">
        <f>_xll.AnalizExpert.AnalizExpertIslem.HisseGetiri($A49,"ab")</f>
        <v>33.775811209439532</v>
      </c>
      <c r="G49" s="5">
        <f>_xll.AnalizExpert.AnalizExpertIslem.HisseGetiri($A49,"s1a")</f>
        <v>40.402476780185758</v>
      </c>
      <c r="H49" s="5">
        <f>_xll.AnalizExpert.AnalizExpertIslem.HisseGetiri($A49,"yt")</f>
        <v>358.08080808080814</v>
      </c>
      <c r="I49" s="5">
        <f>_xll.AnalizExpert.AnalizExpertIslem.HisseGetiri($A49,"s1y")</f>
        <v>329.85781990521332</v>
      </c>
    </row>
    <row r="50" spans="1:9" x14ac:dyDescent="0.35">
      <c r="A50" s="127" t="s">
        <v>39</v>
      </c>
      <c r="B50" s="5">
        <f>_xll.AnalizExpert.AnalizExpertIslem.HisseKapanis($A50)</f>
        <v>13.93</v>
      </c>
      <c r="C50" s="5">
        <f>_xll.AnalizExpert.AnalizExpertIslem.HisseGetiri($A50)</f>
        <v>5.3706505295007423</v>
      </c>
      <c r="D50" s="5">
        <f>_xll.AnalizExpert.AnalizExpertIslem.HisseGetiri($A50,"hb")</f>
        <v>5.3706505295007423</v>
      </c>
      <c r="E50" s="5">
        <f>_xll.AnalizExpert.AnalizExpertIslem.HisseGetiri($A50,"s1h")</f>
        <v>0.72306579898770984</v>
      </c>
      <c r="F50" s="5">
        <f>_xll.AnalizExpert.AnalizExpertIslem.HisseGetiri($A50,"ab")</f>
        <v>11.440000000000005</v>
      </c>
      <c r="G50" s="5">
        <f>_xll.AnalizExpert.AnalizExpertIslem.HisseGetiri($A50,"s1a")</f>
        <v>12.338709677419345</v>
      </c>
      <c r="H50" s="5">
        <f>_xll.AnalizExpert.AnalizExpertIslem.HisseGetiri($A50,"yt")</f>
        <v>53.922651933701651</v>
      </c>
      <c r="I50" s="5">
        <f>_xll.AnalizExpert.AnalizExpertIslem.HisseGetiri($A50,"s1y")</f>
        <v>56.341189674522994</v>
      </c>
    </row>
    <row r="51" spans="1:9" x14ac:dyDescent="0.35">
      <c r="A51" s="127" t="s">
        <v>40</v>
      </c>
      <c r="B51" s="5">
        <f>_xll.AnalizExpert.AnalizExpertIslem.HisseKapanis($A51)</f>
        <v>3.01</v>
      </c>
      <c r="C51" s="5">
        <f>_xll.AnalizExpert.AnalizExpertIslem.HisseGetiri($A51)</f>
        <v>1.3468013468013407</v>
      </c>
      <c r="D51" s="5">
        <f>_xll.AnalizExpert.AnalizExpertIslem.HisseGetiri($A51,"hb")</f>
        <v>1.3468013468013407</v>
      </c>
      <c r="E51" s="5">
        <f>_xll.AnalizExpert.AnalizExpertIslem.HisseGetiri($A51,"s1h")</f>
        <v>-0.98684210526316374</v>
      </c>
      <c r="F51" s="5">
        <f>_xll.AnalizExpert.AnalizExpertIslem.HisseGetiri($A51,"ab")</f>
        <v>12.987986858108114</v>
      </c>
      <c r="G51" s="5">
        <f>_xll.AnalizExpert.AnalizExpertIslem.HisseGetiri($A51,"s1a")</f>
        <v>16.126542048611103</v>
      </c>
      <c r="H51" s="5">
        <f>_xll.AnalizExpert.AnalizExpertIslem.HisseGetiri($A51,"yt")</f>
        <v>135.68449438339925</v>
      </c>
      <c r="I51" s="5">
        <f>_xll.AnalizExpert.AnalizExpertIslem.HisseGetiri($A51,"s1y")</f>
        <v>160.03565985474677</v>
      </c>
    </row>
    <row r="52" spans="1:9" x14ac:dyDescent="0.35">
      <c r="A52" s="127" t="s">
        <v>41</v>
      </c>
      <c r="B52" s="5">
        <f>_xll.AnalizExpert.AnalizExpertIslem.HisseKapanis($A52)</f>
        <v>169.4</v>
      </c>
      <c r="C52" s="5">
        <f>_xll.AnalizExpert.AnalizExpertIslem.HisseGetiri($A52)</f>
        <v>5.5451713395638702</v>
      </c>
      <c r="D52" s="5">
        <f>_xll.AnalizExpert.AnalizExpertIslem.HisseGetiri($A52,"hb")</f>
        <v>5.5451713395638702</v>
      </c>
      <c r="E52" s="5">
        <f>_xll.AnalizExpert.AnalizExpertIslem.HisseGetiri($A52,"s1h")</f>
        <v>5.9066745422331479E-2</v>
      </c>
      <c r="F52" s="5">
        <f>_xll.AnalizExpert.AnalizExpertIslem.HisseGetiri($A52,"ab")</f>
        <v>16.426116838487982</v>
      </c>
      <c r="G52" s="5">
        <f>_xll.AnalizExpert.AnalizExpertIslem.HisseGetiri($A52,"s1a")</f>
        <v>19.464033850493646</v>
      </c>
      <c r="H52" s="5">
        <f>_xll.AnalizExpert.AnalizExpertIslem.HisseGetiri($A52,"yt")</f>
        <v>120.42940793754067</v>
      </c>
      <c r="I52" s="5">
        <f>_xll.AnalizExpert.AnalizExpertIslem.HisseGetiri($A52,"s1y")</f>
        <v>134.95145631067965</v>
      </c>
    </row>
    <row r="53" spans="1:9" x14ac:dyDescent="0.35">
      <c r="A53" s="127" t="s">
        <v>35</v>
      </c>
      <c r="B53" s="5">
        <f>_xll.AnalizExpert.AnalizExpertIslem.HisseKapanis($A53)</f>
        <v>25.7</v>
      </c>
      <c r="C53" s="5">
        <f>_xll.AnalizExpert.AnalizExpertIslem.HisseGetiri($A53)</f>
        <v>5.6743421052631637</v>
      </c>
      <c r="D53" s="5">
        <f>_xll.AnalizExpert.AnalizExpertIslem.HisseGetiri($A53,"hb")</f>
        <v>5.6743421052631637</v>
      </c>
      <c r="E53" s="5">
        <f>_xll.AnalizExpert.AnalizExpertIslem.HisseGetiri($A53,"s1h")</f>
        <v>13.116197183098599</v>
      </c>
      <c r="F53" s="5">
        <f>_xll.AnalizExpert.AnalizExpertIslem.HisseGetiri($A53,"ab")</f>
        <v>39.673913043478272</v>
      </c>
      <c r="G53" s="5">
        <f>_xll.AnalizExpert.AnalizExpertIslem.HisseGetiri($A53,"s1a")</f>
        <v>36.050820539968221</v>
      </c>
      <c r="H53" s="5">
        <f>_xll.AnalizExpert.AnalizExpertIslem.HisseGetiri($A53,"yt")</f>
        <v>358.03653616836851</v>
      </c>
      <c r="I53" s="5">
        <f>_xll.AnalizExpert.AnalizExpertIslem.HisseGetiri($A53,"s1y")</f>
        <v>443.68564455757564</v>
      </c>
    </row>
    <row r="54" spans="1:9" x14ac:dyDescent="0.35">
      <c r="A54" s="127" t="s">
        <v>79</v>
      </c>
      <c r="B54" s="5">
        <f>_xll.AnalizExpert.AnalizExpertIslem.HisseKapanis($A54)</f>
        <v>9.59</v>
      </c>
      <c r="C54" s="5">
        <f>_xll.AnalizExpert.AnalizExpertIslem.HisseGetiri($A54)</f>
        <v>0.10438413361169019</v>
      </c>
      <c r="D54" s="5">
        <f>_xll.AnalizExpert.AnalizExpertIslem.HisseGetiri($A54,"hb")</f>
        <v>0.10438413361169019</v>
      </c>
      <c r="E54" s="5">
        <f>_xll.AnalizExpert.AnalizExpertIslem.HisseGetiri($A54,"s1h")</f>
        <v>7.1508379888268303</v>
      </c>
      <c r="F54" s="5">
        <f>_xll.AnalizExpert.AnalizExpertIslem.HisseGetiri($A54,"ab")</f>
        <v>16.383495145631066</v>
      </c>
      <c r="G54" s="5">
        <f>_xll.AnalizExpert.AnalizExpertIslem.HisseGetiri($A54,"s1a")</f>
        <v>9.7254004576659003</v>
      </c>
      <c r="H54" s="5">
        <f>_xll.AnalizExpert.AnalizExpertIslem.HisseGetiri($A54,"yt")</f>
        <v>112.63858093126386</v>
      </c>
      <c r="I54" s="5">
        <f>_xll.AnalizExpert.AnalizExpertIslem.HisseGetiri($A54,"s1y")</f>
        <v>102.32067510548521</v>
      </c>
    </row>
    <row r="55" spans="1:9" x14ac:dyDescent="0.35">
      <c r="A55" s="127" t="s">
        <v>42</v>
      </c>
      <c r="B55" s="5">
        <f>_xll.AnalizExpert.AnalizExpertIslem.HisseKapanis($A55)</f>
        <v>37.4</v>
      </c>
      <c r="C55" s="5">
        <f>_xll.AnalizExpert.AnalizExpertIslem.HisseGetiri($A55)</f>
        <v>-9.9662975445353847</v>
      </c>
      <c r="D55" s="5">
        <f>_xll.AnalizExpert.AnalizExpertIslem.HisseGetiri($A55,"hb")</f>
        <v>-9.9662975445353847</v>
      </c>
      <c r="E55" s="5">
        <f>_xll.AnalizExpert.AnalizExpertIslem.HisseGetiri($A55,"s1h")</f>
        <v>-11.75082586125532</v>
      </c>
      <c r="F55" s="5">
        <f>_xll.AnalizExpert.AnalizExpertIslem.HisseGetiri($A55,"ab")</f>
        <v>30.586592178770932</v>
      </c>
      <c r="G55" s="5">
        <f>_xll.AnalizExpert.AnalizExpertIslem.HisseGetiri($A55,"s1a")</f>
        <v>26.779661016949152</v>
      </c>
      <c r="H55" s="5">
        <f>_xll.AnalizExpert.AnalizExpertIslem.HisseGetiri($A55,"yt")</f>
        <v>622.97181716779596</v>
      </c>
      <c r="I55" s="5">
        <f>_xll.AnalizExpert.AnalizExpertIslem.HisseGetiri($A55,"s1y")</f>
        <v>1011.7467343624743</v>
      </c>
    </row>
    <row r="56" spans="1:9" x14ac:dyDescent="0.35">
      <c r="A56" s="127" t="s">
        <v>44</v>
      </c>
      <c r="B56" s="5">
        <f>_xll.AnalizExpert.AnalizExpertIslem.HisseKapanis($A56)</f>
        <v>17.86</v>
      </c>
      <c r="C56" s="5">
        <f>_xll.AnalizExpert.AnalizExpertIslem.HisseGetiri($A56)</f>
        <v>1.0180995475113086</v>
      </c>
      <c r="D56" s="5">
        <f>_xll.AnalizExpert.AnalizExpertIslem.HisseGetiri($A56,"hb")</f>
        <v>1.0180995475113086</v>
      </c>
      <c r="E56" s="5">
        <f>_xll.AnalizExpert.AnalizExpertIslem.HisseGetiri($A56,"s1h")</f>
        <v>7.9154078549848794</v>
      </c>
      <c r="F56" s="5">
        <f>_xll.AnalizExpert.AnalizExpertIslem.HisseGetiri($A56,"ab")</f>
        <v>23.855755894590835</v>
      </c>
      <c r="G56" s="5">
        <f>_xll.AnalizExpert.AnalizExpertIslem.HisseGetiri($A56,"s1a")</f>
        <v>34.69079939668174</v>
      </c>
      <c r="H56" s="5">
        <f>_xll.AnalizExpert.AnalizExpertIslem.HisseGetiri($A56,"yt")</f>
        <v>185.68396501049759</v>
      </c>
      <c r="I56" s="5">
        <f>_xll.AnalizExpert.AnalizExpertIslem.HisseGetiri($A56,"s1y")</f>
        <v>169.83521019483698</v>
      </c>
    </row>
    <row r="57" spans="1:9" x14ac:dyDescent="0.35">
      <c r="A57" s="127" t="s">
        <v>43</v>
      </c>
      <c r="B57" s="5">
        <f>_xll.AnalizExpert.AnalizExpertIslem.HisseKapanis($A57)</f>
        <v>71.599999999999994</v>
      </c>
      <c r="C57" s="5">
        <f>_xll.AnalizExpert.AnalizExpertIslem.HisseGetiri($A57)</f>
        <v>-1.9178082191780854</v>
      </c>
      <c r="D57" s="5">
        <f>_xll.AnalizExpert.AnalizExpertIslem.HisseGetiri($A57,"hb")</f>
        <v>-1.9178082191780854</v>
      </c>
      <c r="E57" s="5">
        <f>_xll.AnalizExpert.AnalizExpertIslem.HisseGetiri($A57,"s1h")</f>
        <v>18.936877076411939</v>
      </c>
      <c r="F57" s="5">
        <f>_xll.AnalizExpert.AnalizExpertIslem.HisseGetiri($A57,"ab")</f>
        <v>27.857142857142847</v>
      </c>
      <c r="G57" s="5">
        <f>_xll.AnalizExpert.AnalizExpertIslem.HisseGetiri($A57,"s1a")</f>
        <v>44.939271255060717</v>
      </c>
      <c r="H57" s="5">
        <f>_xll.AnalizExpert.AnalizExpertIslem.HisseGetiri($A57,"yt")</f>
        <v>0</v>
      </c>
      <c r="I57" s="5">
        <f>_xll.AnalizExpert.AnalizExpertIslem.HisseGetiri($A57,"s1y")</f>
        <v>0</v>
      </c>
    </row>
    <row r="58" spans="1:9" x14ac:dyDescent="0.35">
      <c r="A58" s="127" t="s">
        <v>45</v>
      </c>
      <c r="B58" s="5">
        <f>_xll.AnalizExpert.AnalizExpertIslem.HisseKapanis($A58)</f>
        <v>31.54</v>
      </c>
      <c r="C58" s="5">
        <f>_xll.AnalizExpert.AnalizExpertIslem.HisseGetiri($A58)</f>
        <v>4.923486360612106</v>
      </c>
      <c r="D58" s="5">
        <f>_xll.AnalizExpert.AnalizExpertIslem.HisseGetiri($A58,"hb")</f>
        <v>4.923486360612106</v>
      </c>
      <c r="E58" s="5">
        <f>_xll.AnalizExpert.AnalizExpertIslem.HisseGetiri($A58,"s1h")</f>
        <v>2.0051746442431906</v>
      </c>
      <c r="F58" s="5">
        <f>_xll.AnalizExpert.AnalizExpertIslem.HisseGetiri($A58,"ab")</f>
        <v>15.277777777777768</v>
      </c>
      <c r="G58" s="5">
        <f>_xll.AnalizExpert.AnalizExpertIslem.HisseGetiri($A58,"s1a")</f>
        <v>19.108761329305125</v>
      </c>
      <c r="H58" s="5">
        <f>_xll.AnalizExpert.AnalizExpertIslem.HisseGetiri($A58,"yt")</f>
        <v>131.40132061628756</v>
      </c>
      <c r="I58" s="5">
        <f>_xll.AnalizExpert.AnalizExpertIslem.HisseGetiri($A58,"s1y")</f>
        <v>125.28571428571426</v>
      </c>
    </row>
    <row r="59" spans="1:9" x14ac:dyDescent="0.35">
      <c r="A59" s="127" t="s">
        <v>47</v>
      </c>
      <c r="B59" s="5">
        <f>_xll.AnalizExpert.AnalizExpertIslem.HisseKapanis($A59)</f>
        <v>9.75</v>
      </c>
      <c r="C59" s="5">
        <f>_xll.AnalizExpert.AnalizExpertIslem.HisseGetiri($A59)</f>
        <v>2.0942408376963373</v>
      </c>
      <c r="D59" s="5">
        <f>_xll.AnalizExpert.AnalizExpertIslem.HisseGetiri($A59,"hb")</f>
        <v>2.0942408376963373</v>
      </c>
      <c r="E59" s="5">
        <f>_xll.AnalizExpert.AnalizExpertIslem.HisseGetiri($A59,"s1h")</f>
        <v>5.291576673866083</v>
      </c>
      <c r="F59" s="5">
        <f>_xll.AnalizExpert.AnalizExpertIslem.HisseGetiri($A59,"ab")</f>
        <v>4.613733905579398</v>
      </c>
      <c r="G59" s="5">
        <f>_xll.AnalizExpert.AnalizExpertIslem.HisseGetiri($A59,"s1a")</f>
        <v>-0.81383519837232576</v>
      </c>
      <c r="H59" s="5">
        <f>_xll.AnalizExpert.AnalizExpertIslem.HisseGetiri($A59,"yt")</f>
        <v>212.25747235720135</v>
      </c>
      <c r="I59" s="5">
        <f>_xll.AnalizExpert.AnalizExpertIslem.HisseGetiri($A59,"s1y")</f>
        <v>214.44414933449272</v>
      </c>
    </row>
    <row r="60" spans="1:9" x14ac:dyDescent="0.35">
      <c r="A60" s="127" t="s">
        <v>46</v>
      </c>
      <c r="B60" s="5">
        <f>_xll.AnalizExpert.AnalizExpertIslem.HisseKapanis($A60)</f>
        <v>29.56</v>
      </c>
      <c r="C60" s="5">
        <f>_xll.AnalizExpert.AnalizExpertIslem.HisseGetiri($A60)</f>
        <v>1.6506189821182904</v>
      </c>
      <c r="D60" s="5">
        <f>_xll.AnalizExpert.AnalizExpertIslem.HisseGetiri($A60,"hb")</f>
        <v>1.6506189821182904</v>
      </c>
      <c r="E60" s="5">
        <f>_xll.AnalizExpert.AnalizExpertIslem.HisseGetiri($A60,"s1h")</f>
        <v>-0.40431266846361336</v>
      </c>
      <c r="F60" s="5">
        <f>_xll.AnalizExpert.AnalizExpertIslem.HisseGetiri($A60,"ab")</f>
        <v>16.103692065985854</v>
      </c>
      <c r="G60" s="5">
        <f>_xll.AnalizExpert.AnalizExpertIslem.HisseGetiri($A60,"s1a")</f>
        <v>17.022961203483767</v>
      </c>
      <c r="H60" s="5">
        <f>_xll.AnalizExpert.AnalizExpertIslem.HisseGetiri($A60,"yt")</f>
        <v>41.758747092998696</v>
      </c>
      <c r="I60" s="5">
        <f>_xll.AnalizExpert.AnalizExpertIslem.HisseGetiri($A60,"s1y")</f>
        <v>106.05658049522879</v>
      </c>
    </row>
    <row r="61" spans="1:9" x14ac:dyDescent="0.35">
      <c r="A61" s="127" t="s">
        <v>48</v>
      </c>
      <c r="B61" s="5">
        <f>_xll.AnalizExpert.AnalizExpertIslem.HisseKapanis($A61)</f>
        <v>8.92</v>
      </c>
      <c r="C61" s="5">
        <f>_xll.AnalizExpert.AnalizExpertIslem.HisseGetiri($A61)</f>
        <v>1.1337868480725488</v>
      </c>
      <c r="D61" s="5">
        <f>_xll.AnalizExpert.AnalizExpertIslem.HisseGetiri($A61,"hb")</f>
        <v>1.1337868480725488</v>
      </c>
      <c r="E61" s="5">
        <f>_xll.AnalizExpert.AnalizExpertIslem.HisseGetiri($A61,"s1h")</f>
        <v>-3.4632034632034681</v>
      </c>
      <c r="F61" s="5">
        <f>_xll.AnalizExpert.AnalizExpertIslem.HisseGetiri($A61,"ab")</f>
        <v>4.9411764705882266</v>
      </c>
      <c r="G61" s="5">
        <f>_xll.AnalizExpert.AnalizExpertIslem.HisseGetiri($A61,"s1a")</f>
        <v>10.396039603960405</v>
      </c>
      <c r="H61" s="5">
        <f>_xll.AnalizExpert.AnalizExpertIslem.HisseGetiri($A61,"yt")</f>
        <v>187.74193548387098</v>
      </c>
      <c r="I61" s="5">
        <f>_xll.AnalizExpert.AnalizExpertIslem.HisseGetiri($A61,"s1y")</f>
        <v>166.26865671641789</v>
      </c>
    </row>
    <row r="62" spans="1:9" x14ac:dyDescent="0.35">
      <c r="A62" s="127" t="s">
        <v>49</v>
      </c>
      <c r="B62" s="5">
        <f>_xll.AnalizExpert.AnalizExpertIslem.HisseKapanis($A62)</f>
        <v>8.84</v>
      </c>
      <c r="C62" s="5">
        <f>_xll.AnalizExpert.AnalizExpertIslem.HisseGetiri($A62)</f>
        <v>5.1129607609988081</v>
      </c>
      <c r="D62" s="5">
        <f>_xll.AnalizExpert.AnalizExpertIslem.HisseGetiri($A62,"hb")</f>
        <v>5.1129607609988081</v>
      </c>
      <c r="E62" s="5">
        <f>_xll.AnalizExpert.AnalizExpertIslem.HisseGetiri($A62,"s1h")</f>
        <v>8.466257668711652</v>
      </c>
      <c r="F62" s="5">
        <f>_xll.AnalizExpert.AnalizExpertIslem.HisseGetiri($A62,"ab")</f>
        <v>16.010498687664043</v>
      </c>
      <c r="G62" s="5">
        <f>_xll.AnalizExpert.AnalizExpertIslem.HisseGetiri($A62,"s1a")</f>
        <v>21.262002743484221</v>
      </c>
      <c r="H62" s="5">
        <f>_xll.AnalizExpert.AnalizExpertIslem.HisseGetiri($A62,"yt")</f>
        <v>191.74917491749176</v>
      </c>
      <c r="I62" s="5">
        <f>_xll.AnalizExpert.AnalizExpertIslem.HisseGetiri($A62,"s1y")</f>
        <v>268.33333333333337</v>
      </c>
    </row>
    <row r="63" spans="1:9" x14ac:dyDescent="0.35">
      <c r="A63" s="127" t="s">
        <v>50</v>
      </c>
      <c r="B63" s="5">
        <f>_xll.AnalizExpert.AnalizExpertIslem.HisseKapanis($A63)</f>
        <v>40.799999999999997</v>
      </c>
      <c r="C63" s="5">
        <f>_xll.AnalizExpert.AnalizExpertIslem.HisseGetiri($A63)</f>
        <v>4.2411854879918165</v>
      </c>
      <c r="D63" s="5">
        <f>_xll.AnalizExpert.AnalizExpertIslem.HisseGetiri($A63,"hb")</f>
        <v>4.2411854879918165</v>
      </c>
      <c r="E63" s="5">
        <f>_xll.AnalizExpert.AnalizExpertIslem.HisseGetiri($A63,"s1h")</f>
        <v>-0.97087378640777766</v>
      </c>
      <c r="F63" s="5">
        <f>_xll.AnalizExpert.AnalizExpertIslem.HisseGetiri($A63,"ab")</f>
        <v>13.019390581717438</v>
      </c>
      <c r="G63" s="5">
        <f>_xll.AnalizExpert.AnalizExpertIslem.HisseGetiri($A63,"s1a")</f>
        <v>21.645796064400713</v>
      </c>
      <c r="H63" s="5">
        <f>_xll.AnalizExpert.AnalizExpertIslem.HisseGetiri($A63,"yt")</f>
        <v>84.974100890024062</v>
      </c>
      <c r="I63" s="5">
        <f>_xll.AnalizExpert.AnalizExpertIslem.HisseGetiri($A63,"s1y")</f>
        <v>126.03641438602935</v>
      </c>
    </row>
    <row r="64" spans="1:9" x14ac:dyDescent="0.35">
      <c r="A64" s="127" t="s">
        <v>51</v>
      </c>
      <c r="B64" s="5">
        <f>_xll.AnalizExpert.AnalizExpertIslem.HisseKapanis($A64)</f>
        <v>136.9</v>
      </c>
      <c r="C64" s="5">
        <f>_xll.AnalizExpert.AnalizExpertIslem.HisseGetiri($A64)</f>
        <v>-4.399441340782106</v>
      </c>
      <c r="D64" s="5">
        <f>_xll.AnalizExpert.AnalizExpertIslem.HisseGetiri($A64,"hb")</f>
        <v>-4.399441340782106</v>
      </c>
      <c r="E64" s="5">
        <f>_xll.AnalizExpert.AnalizExpertIslem.HisseGetiri($A64,"s1h")</f>
        <v>8.910103420843285</v>
      </c>
      <c r="F64" s="5">
        <f>_xll.AnalizExpert.AnalizExpertIslem.HisseGetiri($A64,"ab")</f>
        <v>38.7031408308004</v>
      </c>
      <c r="G64" s="5">
        <f>_xll.AnalizExpert.AnalizExpertIslem.HisseGetiri($A64,"s1a")</f>
        <v>42.233766233766247</v>
      </c>
      <c r="H64" s="5">
        <f>_xll.AnalizExpert.AnalizExpertIslem.HisseGetiri($A64,"yt")</f>
        <v>113.57023802380324</v>
      </c>
      <c r="I64" s="5">
        <f>_xll.AnalizExpert.AnalizExpertIslem.HisseGetiri($A64,"s1y")</f>
        <v>130.40772566883339</v>
      </c>
    </row>
    <row r="65" spans="1:9" x14ac:dyDescent="0.35">
      <c r="A65" s="127" t="s">
        <v>53</v>
      </c>
      <c r="B65" s="5">
        <f>_xll.AnalizExpert.AnalizExpertIslem.HisseKapanis($A65)</f>
        <v>12.85</v>
      </c>
      <c r="C65" s="5">
        <f>_xll.AnalizExpert.AnalizExpertIslem.HisseGetiri($A65)</f>
        <v>0.4691164972634887</v>
      </c>
      <c r="D65" s="5">
        <f>_xll.AnalizExpert.AnalizExpertIslem.HisseGetiri($A65,"hb")</f>
        <v>0.4691164972634887</v>
      </c>
      <c r="E65" s="5">
        <f>_xll.AnalizExpert.AnalizExpertIslem.HisseGetiri($A65,"s1h")</f>
        <v>15.453728661275811</v>
      </c>
      <c r="F65" s="5">
        <f>_xll.AnalizExpert.AnalizExpertIslem.HisseGetiri($A65,"ab")</f>
        <v>43.255295429208452</v>
      </c>
      <c r="G65" s="5">
        <f>_xll.AnalizExpert.AnalizExpertIslem.HisseGetiri($A65,"s1a")</f>
        <v>39.825897714907519</v>
      </c>
      <c r="H65" s="5">
        <f>_xll.AnalizExpert.AnalizExpertIslem.HisseGetiri($A65,"yt")</f>
        <v>273.54651162790697</v>
      </c>
      <c r="I65" s="5">
        <f>_xll.AnalizExpert.AnalizExpertIslem.HisseGetiri($A65,"s1y")</f>
        <v>212.65206812652067</v>
      </c>
    </row>
    <row r="66" spans="1:9" x14ac:dyDescent="0.35">
      <c r="A66" s="127" t="s">
        <v>54</v>
      </c>
      <c r="B66" s="5">
        <f>_xll.AnalizExpert.AnalizExpertIslem.HisseKapanis($A66)</f>
        <v>65.8</v>
      </c>
      <c r="C66" s="5">
        <f>_xll.AnalizExpert.AnalizExpertIslem.HisseGetiri($A66)</f>
        <v>4.5274027005559825</v>
      </c>
      <c r="D66" s="5">
        <f>_xll.AnalizExpert.AnalizExpertIslem.HisseGetiri($A66,"hb")</f>
        <v>4.5274027005559825</v>
      </c>
      <c r="E66" s="5">
        <f>_xll.AnalizExpert.AnalizExpertIslem.HisseGetiri($A66,"s1h")</f>
        <v>4.1139240506329111</v>
      </c>
      <c r="F66" s="5">
        <f>_xll.AnalizExpert.AnalizExpertIslem.HisseGetiri($A66,"ab")</f>
        <v>18.345323741007192</v>
      </c>
      <c r="G66" s="5">
        <f>_xll.AnalizExpert.AnalizExpertIslem.HisseGetiri($A66,"s1a")</f>
        <v>15.743183817062434</v>
      </c>
      <c r="H66" s="5">
        <f>_xll.AnalizExpert.AnalizExpertIslem.HisseGetiri($A66,"yt")</f>
        <v>137.22983270137289</v>
      </c>
      <c r="I66" s="5">
        <f>_xll.AnalizExpert.AnalizExpertIslem.HisseGetiri($A66,"s1y")</f>
        <v>143.58113791841393</v>
      </c>
    </row>
    <row r="67" spans="1:9" x14ac:dyDescent="0.35">
      <c r="A67" s="127" t="s">
        <v>55</v>
      </c>
      <c r="B67" s="5">
        <f>_xll.AnalizExpert.AnalizExpertIslem.HisseKapanis($A67)</f>
        <v>192.1</v>
      </c>
      <c r="C67" s="5">
        <f>_xll.AnalizExpert.AnalizExpertIslem.HisseGetiri($A67)</f>
        <v>9.9599313108185594</v>
      </c>
      <c r="D67" s="5">
        <f>_xll.AnalizExpert.AnalizExpertIslem.HisseGetiri($A67,"hb")</f>
        <v>9.9599313108185594</v>
      </c>
      <c r="E67" s="5">
        <f>_xll.AnalizExpert.AnalizExpertIslem.HisseGetiri($A67,"s1h")</f>
        <v>7.800224466891148</v>
      </c>
      <c r="F67" s="5">
        <f>_xll.AnalizExpert.AnalizExpertIslem.HisseGetiri($A67,"ab")</f>
        <v>95.720835455934775</v>
      </c>
      <c r="G67" s="5">
        <f>_xll.AnalizExpert.AnalizExpertIslem.HisseGetiri($A67,"s1a")</f>
        <v>112.73532668881505</v>
      </c>
      <c r="H67" s="5">
        <f>_xll.AnalizExpert.AnalizExpertIslem.HisseGetiri($A67,"yt")</f>
        <v>1456.2681792524104</v>
      </c>
      <c r="I67" s="5">
        <f>_xll.AnalizExpert.AnalizExpertIslem.HisseGetiri($A67,"s1y")</f>
        <v>1333.840278545807</v>
      </c>
    </row>
    <row r="68" spans="1:9" x14ac:dyDescent="0.35">
      <c r="A68" s="127" t="s">
        <v>56</v>
      </c>
      <c r="B68" s="5">
        <f>_xll.AnalizExpert.AnalizExpertIslem.HisseKapanis($A68)</f>
        <v>68.849999999999994</v>
      </c>
      <c r="C68" s="5">
        <f>_xll.AnalizExpert.AnalizExpertIslem.HisseGetiri($A68)</f>
        <v>3.0688622754490913</v>
      </c>
      <c r="D68" s="5">
        <f>_xll.AnalizExpert.AnalizExpertIslem.HisseGetiri($A68,"hb")</f>
        <v>3.0688622754490913</v>
      </c>
      <c r="E68" s="5">
        <f>_xll.AnalizExpert.AnalizExpertIslem.HisseGetiri($A68,"s1h")</f>
        <v>-1.6428571428571459</v>
      </c>
      <c r="F68" s="5">
        <f>_xll.AnalizExpert.AnalizExpertIslem.HisseGetiri($A68,"ab")</f>
        <v>7.4102964118564651</v>
      </c>
      <c r="G68" s="5">
        <f>_xll.AnalizExpert.AnalizExpertIslem.HisseGetiri($A68,"s1a")</f>
        <v>14.273858921161819</v>
      </c>
      <c r="H68" s="5">
        <f>_xll.AnalizExpert.AnalizExpertIslem.HisseGetiri($A68,"yt")</f>
        <v>123.72884946067782</v>
      </c>
      <c r="I68" s="5">
        <f>_xll.AnalizExpert.AnalizExpertIslem.HisseGetiri($A68,"s1y")</f>
        <v>128.51682094719038</v>
      </c>
    </row>
    <row r="69" spans="1:9" x14ac:dyDescent="0.35">
      <c r="A69" s="127" t="s">
        <v>58</v>
      </c>
      <c r="B69" s="5">
        <f>_xll.AnalizExpert.AnalizExpertIslem.HisseKapanis($A69)</f>
        <v>38.76</v>
      </c>
      <c r="C69" s="5">
        <f>_xll.AnalizExpert.AnalizExpertIslem.HisseGetiri($A69)</f>
        <v>3.3599999999999852</v>
      </c>
      <c r="D69" s="5">
        <f>_xll.AnalizExpert.AnalizExpertIslem.HisseGetiri($A69,"hb")</f>
        <v>3.3599999999999852</v>
      </c>
      <c r="E69" s="5">
        <f>_xll.AnalizExpert.AnalizExpertIslem.HisseGetiri($A69,"s1h")</f>
        <v>2.3771790808240878</v>
      </c>
      <c r="F69" s="5">
        <f>_xll.AnalizExpert.AnalizExpertIslem.HisseGetiri($A69,"ab")</f>
        <v>21.580928481806772</v>
      </c>
      <c r="G69" s="5">
        <f>_xll.AnalizExpert.AnalizExpertIslem.HisseGetiri($A69,"s1a")</f>
        <v>19.777503090234848</v>
      </c>
      <c r="H69" s="5">
        <f>_xll.AnalizExpert.AnalizExpertIslem.HisseGetiri($A69,"yt")</f>
        <v>115.09433962264151</v>
      </c>
      <c r="I69" s="5">
        <f>_xll.AnalizExpert.AnalizExpertIslem.HisseGetiri($A69,"s1y")</f>
        <v>107.05128205128207</v>
      </c>
    </row>
    <row r="70" spans="1:9" x14ac:dyDescent="0.35">
      <c r="A70" s="127" t="s">
        <v>57</v>
      </c>
      <c r="B70" s="5">
        <f>_xll.AnalizExpert.AnalizExpertIslem.HisseKapanis($A70)</f>
        <v>265</v>
      </c>
      <c r="C70" s="5">
        <f>_xll.AnalizExpert.AnalizExpertIslem.HisseGetiri($A70)</f>
        <v>3.7181996086105729</v>
      </c>
      <c r="D70" s="5">
        <f>_xll.AnalizExpert.AnalizExpertIslem.HisseGetiri($A70,"hb")</f>
        <v>3.7181996086105729</v>
      </c>
      <c r="E70" s="5">
        <f>_xll.AnalizExpert.AnalizExpertIslem.HisseGetiri($A70,"s1h")</f>
        <v>9.9585062240663991</v>
      </c>
      <c r="F70" s="5">
        <f>_xll.AnalizExpert.AnalizExpertIslem.HisseGetiri($A70,"ab")</f>
        <v>36.387030365414304</v>
      </c>
      <c r="G70" s="5">
        <f>_xll.AnalizExpert.AnalizExpertIslem.HisseGetiri($A70,"s1a")</f>
        <v>32.499999999999993</v>
      </c>
      <c r="H70" s="5">
        <f>_xll.AnalizExpert.AnalizExpertIslem.HisseGetiri($A70,"yt")</f>
        <v>152.78946143535634</v>
      </c>
      <c r="I70" s="5">
        <f>_xll.AnalizExpert.AnalizExpertIslem.HisseGetiri($A70,"s1y")</f>
        <v>143.32562968444864</v>
      </c>
    </row>
    <row r="71" spans="1:9" x14ac:dyDescent="0.35">
      <c r="A71" s="127" t="s">
        <v>52</v>
      </c>
      <c r="B71" s="5">
        <f>_xll.AnalizExpert.AnalizExpertIslem.HisseKapanis($A71)</f>
        <v>13.15</v>
      </c>
      <c r="C71" s="5">
        <f>_xll.AnalizExpert.AnalizExpertIslem.HisseGetiri($A71)</f>
        <v>2.3346303501945664</v>
      </c>
      <c r="D71" s="5">
        <f>_xll.AnalizExpert.AnalizExpertIslem.HisseGetiri($A71,"hb")</f>
        <v>2.3346303501945664</v>
      </c>
      <c r="E71" s="5">
        <f>_xll.AnalizExpert.AnalizExpertIslem.HisseGetiri($A71,"s1h")</f>
        <v>0.99846390168971677</v>
      </c>
      <c r="F71" s="5">
        <f>_xll.AnalizExpert.AnalizExpertIslem.HisseGetiri($A71,"ab")</f>
        <v>9.857978279030899</v>
      </c>
      <c r="G71" s="5">
        <f>_xll.AnalizExpert.AnalizExpertIslem.HisseGetiri($A71,"s1a")</f>
        <v>6.7370129870129913</v>
      </c>
      <c r="H71" s="5">
        <f>_xll.AnalizExpert.AnalizExpertIslem.HisseGetiri($A71,"yt")</f>
        <v>47.7057654775884</v>
      </c>
      <c r="I71" s="5">
        <f>_xll.AnalizExpert.AnalizExpertIslem.HisseGetiri($A71,"s1y")</f>
        <v>66.484982604323406</v>
      </c>
    </row>
    <row r="72" spans="1:9" x14ac:dyDescent="0.35">
      <c r="A72" s="127" t="s">
        <v>59</v>
      </c>
      <c r="B72" s="5">
        <f>_xll.AnalizExpert.AnalizExpertIslem.HisseKapanis($A72)</f>
        <v>57.4</v>
      </c>
      <c r="C72" s="5">
        <f>_xll.AnalizExpert.AnalizExpertIslem.HisseGetiri($A72)</f>
        <v>0.34965034965033226</v>
      </c>
      <c r="D72" s="5">
        <f>_xll.AnalizExpert.AnalizExpertIslem.HisseGetiri($A72,"hb")</f>
        <v>0.34965034965033226</v>
      </c>
      <c r="E72" s="5">
        <f>_xll.AnalizExpert.AnalizExpertIslem.HisseGetiri($A72,"s1h")</f>
        <v>6.1979648473635462</v>
      </c>
      <c r="F72" s="5">
        <f>_xll.AnalizExpert.AnalizExpertIslem.HisseGetiri($A72,"ab")</f>
        <v>9.2293054234062755</v>
      </c>
      <c r="G72" s="5">
        <f>_xll.AnalizExpert.AnalizExpertIslem.HisseGetiri($A72,"s1a")</f>
        <v>5.5147058823529438</v>
      </c>
      <c r="H72" s="5">
        <f>_xll.AnalizExpert.AnalizExpertIslem.HisseGetiri($A72,"yt")</f>
        <v>40.86135446057839</v>
      </c>
      <c r="I72" s="5">
        <f>_xll.AnalizExpert.AnalizExpertIslem.HisseGetiri($A72,"s1y")</f>
        <v>37.944695827041699</v>
      </c>
    </row>
    <row r="73" spans="1:9" x14ac:dyDescent="0.35">
      <c r="A73" s="127" t="s">
        <v>60</v>
      </c>
      <c r="B73" s="5">
        <f>_xll.AnalizExpert.AnalizExpertIslem.HisseKapanis($A73)</f>
        <v>97.05</v>
      </c>
      <c r="C73" s="5">
        <f>_xll.AnalizExpert.AnalizExpertIslem.HisseGetiri($A73)</f>
        <v>4.6925566343041902</v>
      </c>
      <c r="D73" s="5">
        <f>_xll.AnalizExpert.AnalizExpertIslem.HisseGetiri($A73,"hb")</f>
        <v>4.6925566343041902</v>
      </c>
      <c r="E73" s="5">
        <f>_xll.AnalizExpert.AnalizExpertIslem.HisseGetiri($A73,"s1h")</f>
        <v>4.6925566343041902</v>
      </c>
      <c r="F73" s="5">
        <f>_xll.AnalizExpert.AnalizExpertIslem.HisseGetiri($A73,"ab")</f>
        <v>11.359724612736644</v>
      </c>
      <c r="G73" s="5">
        <f>_xll.AnalizExpert.AnalizExpertIslem.HisseGetiri($A73,"s1a")</f>
        <v>10.661345496009123</v>
      </c>
      <c r="H73" s="5">
        <f>_xll.AnalizExpert.AnalizExpertIslem.HisseGetiri($A73,"yt")</f>
        <v>183.71565258021923</v>
      </c>
      <c r="I73" s="5">
        <f>_xll.AnalizExpert.AnalizExpertIslem.HisseGetiri($A73,"s1y")</f>
        <v>155.32577126973894</v>
      </c>
    </row>
    <row r="74" spans="1:9" x14ac:dyDescent="0.35">
      <c r="A74" s="127" t="s">
        <v>61</v>
      </c>
      <c r="B74" s="5">
        <f>_xll.AnalizExpert.AnalizExpertIslem.HisseKapanis($A74)</f>
        <v>127.3</v>
      </c>
      <c r="C74" s="5">
        <f>_xll.AnalizExpert.AnalizExpertIslem.HisseGetiri($A74)</f>
        <v>-4.9290515309932896</v>
      </c>
      <c r="D74" s="5">
        <f>_xll.AnalizExpert.AnalizExpertIslem.HisseGetiri($A74,"hb")</f>
        <v>-4.9290515309932896</v>
      </c>
      <c r="E74" s="5">
        <f>_xll.AnalizExpert.AnalizExpertIslem.HisseGetiri($A74,"s1h")</f>
        <v>-10.22566995768689</v>
      </c>
      <c r="F74" s="5">
        <f>_xll.AnalizExpert.AnalizExpertIslem.HisseGetiri($A74,"ab")</f>
        <v>5.2066115702479321</v>
      </c>
      <c r="G74" s="5">
        <f>_xll.AnalizExpert.AnalizExpertIslem.HisseGetiri($A74,"s1a")</f>
        <v>3.1604538087520284</v>
      </c>
      <c r="H74" s="5">
        <f>_xll.AnalizExpert.AnalizExpertIslem.HisseGetiri($A74,"yt")</f>
        <v>235.52978386926728</v>
      </c>
      <c r="I74" s="5">
        <f>_xll.AnalizExpert.AnalizExpertIslem.HisseGetiri($A74,"s1y")</f>
        <v>202.08827717133363</v>
      </c>
    </row>
    <row r="75" spans="1:9" x14ac:dyDescent="0.35">
      <c r="A75" s="127" t="s">
        <v>62</v>
      </c>
      <c r="B75" s="5">
        <f>_xll.AnalizExpert.AnalizExpertIslem.HisseKapanis($A75)</f>
        <v>12.96</v>
      </c>
      <c r="C75" s="5">
        <f>_xll.AnalizExpert.AnalizExpertIslem.HisseGetiri($A75)</f>
        <v>-1.0687022900763288</v>
      </c>
      <c r="D75" s="5">
        <f>_xll.AnalizExpert.AnalizExpertIslem.HisseGetiri($A75,"hb")</f>
        <v>-1.0687022900763288</v>
      </c>
      <c r="E75" s="5">
        <f>_xll.AnalizExpert.AnalizExpertIslem.HisseGetiri($A75,"s1h")</f>
        <v>-7.3624017155110799</v>
      </c>
      <c r="F75" s="5">
        <f>_xll.AnalizExpert.AnalizExpertIslem.HisseGetiri($A75,"ab")</f>
        <v>-10.743801652892548</v>
      </c>
      <c r="G75" s="5">
        <f>_xll.AnalizExpert.AnalizExpertIslem.HisseGetiri($A75,"s1a")</f>
        <v>-0.15408320493065508</v>
      </c>
      <c r="H75" s="5">
        <f>_xll.AnalizExpert.AnalizExpertIslem.HisseGetiri($A75,"yt")</f>
        <v>94.011976047904213</v>
      </c>
      <c r="I75" s="5">
        <f>_xll.AnalizExpert.AnalizExpertIslem.HisseGetiri($A75,"s1y")</f>
        <v>148.75239923224569</v>
      </c>
    </row>
    <row r="76" spans="1:9" x14ac:dyDescent="0.35">
      <c r="A76" s="127" t="s">
        <v>63</v>
      </c>
      <c r="B76" s="5">
        <f>_xll.AnalizExpert.AnalizExpertIslem.HisseKapanis($A76)</f>
        <v>6.35</v>
      </c>
      <c r="C76" s="5">
        <f>_xll.AnalizExpert.AnalizExpertIslem.HisseGetiri($A76)</f>
        <v>3.7581699346405095</v>
      </c>
      <c r="D76" s="5">
        <f>_xll.AnalizExpert.AnalizExpertIslem.HisseGetiri($A76,"hb")</f>
        <v>3.7581699346405095</v>
      </c>
      <c r="E76" s="5">
        <f>_xll.AnalizExpert.AnalizExpertIslem.HisseGetiri($A76,"s1h")</f>
        <v>-0.31397174254317317</v>
      </c>
      <c r="F76" s="5">
        <f>_xll.AnalizExpert.AnalizExpertIslem.HisseGetiri($A76,"ab")</f>
        <v>5.306799336650081</v>
      </c>
      <c r="G76" s="5">
        <f>_xll.AnalizExpert.AnalizExpertIslem.HisseGetiri($A76,"s1a")</f>
        <v>5.1324503311258152</v>
      </c>
      <c r="H76" s="5">
        <f>_xll.AnalizExpert.AnalizExpertIslem.HisseGetiri($A76,"yt")</f>
        <v>9.4827586206896584</v>
      </c>
      <c r="I76" s="5">
        <f>_xll.AnalizExpert.AnalizExpertIslem.HisseGetiri($A76,"s1y")</f>
        <v>-37.745098039215684</v>
      </c>
    </row>
    <row r="77" spans="1:9" x14ac:dyDescent="0.35">
      <c r="A77" s="127" t="s">
        <v>64</v>
      </c>
      <c r="B77" s="5">
        <f>_xll.AnalizExpert.AnalizExpertIslem.HisseKapanis($A77)</f>
        <v>10.78</v>
      </c>
      <c r="C77" s="5">
        <f>_xll.AnalizExpert.AnalizExpertIslem.HisseGetiri($A77)</f>
        <v>-3.4050179211469578</v>
      </c>
      <c r="D77" s="5">
        <f>_xll.AnalizExpert.AnalizExpertIslem.HisseGetiri($A77,"hb")</f>
        <v>-3.4050179211469578</v>
      </c>
      <c r="E77" s="5">
        <f>_xll.AnalizExpert.AnalizExpertIslem.HisseGetiri($A77,"s1h")</f>
        <v>-9.3355761143818388</v>
      </c>
      <c r="F77" s="5">
        <f>_xll.AnalizExpert.AnalizExpertIslem.HisseGetiri($A77,"ab")</f>
        <v>40.731070496083532</v>
      </c>
      <c r="G77" s="5">
        <f>_xll.AnalizExpert.AnalizExpertIslem.HisseGetiri($A77,"s1a")</f>
        <v>35.939470365699869</v>
      </c>
      <c r="H77" s="5">
        <f>_xll.AnalizExpert.AnalizExpertIslem.HisseGetiri($A77,"yt")</f>
        <v>704.4776119402984</v>
      </c>
      <c r="I77" s="5">
        <f>_xll.AnalizExpert.AnalizExpertIslem.HisseGetiri($A77,"s1y")</f>
        <v>573.74999999999989</v>
      </c>
    </row>
    <row r="78" spans="1:9" x14ac:dyDescent="0.35">
      <c r="A78" s="127" t="s">
        <v>65</v>
      </c>
      <c r="B78" s="5">
        <f>_xll.AnalizExpert.AnalizExpertIslem.HisseKapanis($A78)</f>
        <v>762.1</v>
      </c>
      <c r="C78" s="5">
        <f>_xll.AnalizExpert.AnalizExpertIslem.HisseGetiri($A78)</f>
        <v>-1.3845755693581707</v>
      </c>
      <c r="D78" s="5">
        <f>_xll.AnalizExpert.AnalizExpertIslem.HisseGetiri($A78,"hb")</f>
        <v>-1.3845755693581707</v>
      </c>
      <c r="E78" s="5">
        <f>_xll.AnalizExpert.AnalizExpertIslem.HisseGetiri($A78,"s1h")</f>
        <v>4.397260273972603</v>
      </c>
      <c r="F78" s="5">
        <f>_xll.AnalizExpert.AnalizExpertIslem.HisseGetiri($A78,"ab")</f>
        <v>44.064272211720223</v>
      </c>
      <c r="G78" s="5">
        <f>_xll.AnalizExpert.AnalizExpertIslem.HisseGetiri($A78,"s1a")</f>
        <v>40.479262672811053</v>
      </c>
      <c r="H78" s="5">
        <f>_xll.AnalizExpert.AnalizExpertIslem.HisseGetiri($A78,"yt")</f>
        <v>125.04407542353211</v>
      </c>
      <c r="I78" s="5">
        <f>_xll.AnalizExpert.AnalizExpertIslem.HisseGetiri($A78,"s1y")</f>
        <v>110.07269727939497</v>
      </c>
    </row>
    <row r="79" spans="1:9" x14ac:dyDescent="0.35">
      <c r="A79" s="127" t="s">
        <v>66</v>
      </c>
      <c r="B79" s="5">
        <f>_xll.AnalizExpert.AnalizExpertIslem.HisseKapanis($A79)</f>
        <v>17.27</v>
      </c>
      <c r="C79" s="5">
        <f>_xll.AnalizExpert.AnalizExpertIslem.HisseGetiri($A79)</f>
        <v>1.887905604719764</v>
      </c>
      <c r="D79" s="5">
        <f>_xll.AnalizExpert.AnalizExpertIslem.HisseGetiri($A79,"hb")</f>
        <v>1.887905604719764</v>
      </c>
      <c r="E79" s="5">
        <f>_xll.AnalizExpert.AnalizExpertIslem.HisseGetiri($A79,"s1h")</f>
        <v>-2.5944726452340694</v>
      </c>
      <c r="F79" s="5">
        <f>_xll.AnalizExpert.AnalizExpertIslem.HisseGetiri($A79,"ab")</f>
        <v>2.7976190476190377</v>
      </c>
      <c r="G79" s="5">
        <f>_xll.AnalizExpert.AnalizExpertIslem.HisseGetiri($A79,"s1a")</f>
        <v>10.847240051347873</v>
      </c>
      <c r="H79" s="5">
        <f>_xll.AnalizExpert.AnalizExpertIslem.HisseGetiri($A79,"yt")</f>
        <v>118.60759493670882</v>
      </c>
      <c r="I79" s="5">
        <f>_xll.AnalizExpert.AnalizExpertIslem.HisseGetiri($A79,"s1y")</f>
        <v>137.22527472527472</v>
      </c>
    </row>
    <row r="80" spans="1:9" x14ac:dyDescent="0.35">
      <c r="A80" s="127" t="s">
        <v>67</v>
      </c>
      <c r="B80" s="5">
        <f>_xll.AnalizExpert.AnalizExpertIslem.HisseKapanis($A80)</f>
        <v>64.099999999999994</v>
      </c>
      <c r="C80" s="5">
        <f>_xll.AnalizExpert.AnalizExpertIslem.HisseGetiri($A80)</f>
        <v>0.94488188976376009</v>
      </c>
      <c r="D80" s="5">
        <f>_xll.AnalizExpert.AnalizExpertIslem.HisseGetiri($A80,"hb")</f>
        <v>0.94488188976376009</v>
      </c>
      <c r="E80" s="5">
        <f>_xll.AnalizExpert.AnalizExpertIslem.HisseGetiri($A80,"s1h")</f>
        <v>-6.8313953488372103</v>
      </c>
      <c r="F80" s="5">
        <f>_xll.AnalizExpert.AnalizExpertIslem.HisseGetiri($A80,"ab")</f>
        <v>13.854351687388977</v>
      </c>
      <c r="G80" s="5">
        <f>_xll.AnalizExpert.AnalizExpertIslem.HisseGetiri($A80,"s1a")</f>
        <v>14.669051878354189</v>
      </c>
      <c r="H80" s="5">
        <f>_xll.AnalizExpert.AnalizExpertIslem.HisseGetiri($A80,"yt")</f>
        <v>102.33585858585856</v>
      </c>
      <c r="I80" s="5">
        <f>_xll.AnalizExpert.AnalizExpertIslem.HisseGetiri($A80,"s1y")</f>
        <v>93.30518697225574</v>
      </c>
    </row>
    <row r="81" spans="1:9" x14ac:dyDescent="0.35">
      <c r="A81" s="127" t="s">
        <v>70</v>
      </c>
      <c r="B81" s="5">
        <f>_xll.AnalizExpert.AnalizExpertIslem.HisseKapanis($A81)</f>
        <v>15.29</v>
      </c>
      <c r="C81" s="5">
        <f>_xll.AnalizExpert.AnalizExpertIslem.HisseGetiri($A81)</f>
        <v>1.9333333333333202</v>
      </c>
      <c r="D81" s="5">
        <f>_xll.AnalizExpert.AnalizExpertIslem.HisseGetiri($A81,"hb")</f>
        <v>1.9333333333333202</v>
      </c>
      <c r="E81" s="5">
        <f>_xll.AnalizExpert.AnalizExpertIslem.HisseGetiri($A81,"s1h")</f>
        <v>0.19659239842726439</v>
      </c>
      <c r="F81" s="5">
        <f>_xll.AnalizExpert.AnalizExpertIslem.HisseGetiri($A81,"ab")</f>
        <v>13.764880952380953</v>
      </c>
      <c r="G81" s="5">
        <f>_xll.AnalizExpert.AnalizExpertIslem.HisseGetiri($A81,"s1a")</f>
        <v>14.617691154422774</v>
      </c>
      <c r="H81" s="5">
        <f>_xll.AnalizExpert.AnalizExpertIslem.HisseGetiri($A81,"yt")</f>
        <v>96.025641025641022</v>
      </c>
      <c r="I81" s="5">
        <f>_xll.AnalizExpert.AnalizExpertIslem.HisseGetiri($A81,"s1y")</f>
        <v>98.056994818652839</v>
      </c>
    </row>
    <row r="82" spans="1:9" x14ac:dyDescent="0.35">
      <c r="A82" s="127" t="s">
        <v>69</v>
      </c>
      <c r="B82" s="5">
        <f>_xll.AnalizExpert.AnalizExpertIslem.HisseKapanis($A82)</f>
        <v>340.2</v>
      </c>
      <c r="C82" s="5">
        <f>_xll.AnalizExpert.AnalizExpertIslem.HisseGetiri($A82)</f>
        <v>-1.7614784868611122</v>
      </c>
      <c r="D82" s="5">
        <f>_xll.AnalizExpert.AnalizExpertIslem.HisseGetiri($A82,"hb")</f>
        <v>-1.7614784868611122</v>
      </c>
      <c r="E82" s="5">
        <f>_xll.AnalizExpert.AnalizExpertIslem.HisseGetiri($A82,"s1h")</f>
        <v>-9.3766648907831591</v>
      </c>
      <c r="F82" s="5">
        <f>_xll.AnalizExpert.AnalizExpertIslem.HisseGetiri($A82,"ab")</f>
        <v>6.2460961898813228</v>
      </c>
      <c r="G82" s="5">
        <f>_xll.AnalizExpert.AnalizExpertIslem.HisseGetiri($A82,"s1a")</f>
        <v>3.5616438356164348</v>
      </c>
      <c r="H82" s="5">
        <f>_xll.AnalizExpert.AnalizExpertIslem.HisseGetiri($A82,"yt")</f>
        <v>300.4708652148322</v>
      </c>
      <c r="I82" s="5">
        <f>_xll.AnalizExpert.AnalizExpertIslem.HisseGetiri($A82,"s1y")</f>
        <v>266.99029126213588</v>
      </c>
    </row>
    <row r="83" spans="1:9" x14ac:dyDescent="0.35">
      <c r="A83" s="127" t="s">
        <v>68</v>
      </c>
      <c r="B83" s="5">
        <f>_xll.AnalizExpert.AnalizExpertIslem.HisseKapanis($A83)</f>
        <v>9.08</v>
      </c>
      <c r="C83" s="5">
        <f>_xll.AnalizExpert.AnalizExpertIslem.HisseGetiri($A83)</f>
        <v>6.6980023501762576</v>
      </c>
      <c r="D83" s="5">
        <f>_xll.AnalizExpert.AnalizExpertIslem.HisseGetiri($A83,"hb")</f>
        <v>6.6980023501762576</v>
      </c>
      <c r="E83" s="5">
        <f>_xll.AnalizExpert.AnalizExpertIslem.HisseGetiri($A83,"s1h")</f>
        <v>6.4478311840562741</v>
      </c>
      <c r="F83" s="5">
        <f>_xll.AnalizExpert.AnalizExpertIslem.HisseGetiri($A83,"ab")</f>
        <v>40.340030911901081</v>
      </c>
      <c r="G83" s="5">
        <f>_xll.AnalizExpert.AnalizExpertIslem.HisseGetiri($A83,"s1a")</f>
        <v>29.344729344729359</v>
      </c>
      <c r="H83" s="5">
        <f>_xll.AnalizExpert.AnalizExpertIslem.HisseGetiri($A83,"yt")</f>
        <v>141.07901076738347</v>
      </c>
      <c r="I83" s="5">
        <f>_xll.AnalizExpert.AnalizExpertIslem.HisseGetiri($A83,"s1y")</f>
        <v>0</v>
      </c>
    </row>
    <row r="84" spans="1:9" x14ac:dyDescent="0.35">
      <c r="A84" s="127" t="s">
        <v>71</v>
      </c>
      <c r="B84" s="5">
        <f>_xll.AnalizExpert.AnalizExpertIslem.HisseKapanis($A84)</f>
        <v>56.4</v>
      </c>
      <c r="C84" s="5">
        <f>_xll.AnalizExpert.AnalizExpertIslem.HisseGetiri($A84)</f>
        <v>1.6216216216216273</v>
      </c>
      <c r="D84" s="5">
        <f>_xll.AnalizExpert.AnalizExpertIslem.HisseGetiri($A84,"hb")</f>
        <v>1.6216216216216273</v>
      </c>
      <c r="E84" s="5">
        <f>_xll.AnalizExpert.AnalizExpertIslem.HisseGetiri($A84,"s1h")</f>
        <v>0.17761989342806039</v>
      </c>
      <c r="F84" s="5">
        <f>_xll.AnalizExpert.AnalizExpertIslem.HisseGetiri($A84,"ab")</f>
        <v>12.350597609561742</v>
      </c>
      <c r="G84" s="5">
        <f>_xll.AnalizExpert.AnalizExpertIslem.HisseGetiri($A84,"s1a")</f>
        <v>34.799235181644342</v>
      </c>
      <c r="H84" s="5">
        <f>_xll.AnalizExpert.AnalizExpertIslem.HisseGetiri($A84,"yt")</f>
        <v>363.43467543138865</v>
      </c>
      <c r="I84" s="5">
        <f>_xll.AnalizExpert.AnalizExpertIslem.HisseGetiri($A84,"s1y")</f>
        <v>403.57142857142856</v>
      </c>
    </row>
    <row r="85" spans="1:9" x14ac:dyDescent="0.35">
      <c r="A85" s="127" t="s">
        <v>72</v>
      </c>
      <c r="B85" s="5">
        <f>_xll.AnalizExpert.AnalizExpertIslem.HisseKapanis($A85)</f>
        <v>38.5</v>
      </c>
      <c r="C85" s="5">
        <f>_xll.AnalizExpert.AnalizExpertIslem.HisseGetiri($A85)</f>
        <v>5.7692307692307709</v>
      </c>
      <c r="D85" s="5">
        <f>_xll.AnalizExpert.AnalizExpertIslem.HisseGetiri($A85,"hb")</f>
        <v>5.7692307692307709</v>
      </c>
      <c r="E85" s="5">
        <f>_xll.AnalizExpert.AnalizExpertIslem.HisseGetiri($A85,"s1h")</f>
        <v>4.6195652173913082</v>
      </c>
      <c r="F85" s="5">
        <f>_xll.AnalizExpert.AnalizExpertIslem.HisseGetiri($A85,"ab")</f>
        <v>14.788312462731067</v>
      </c>
      <c r="G85" s="5">
        <f>_xll.AnalizExpert.AnalizExpertIslem.HisseGetiri($A85,"s1a")</f>
        <v>14.651578320428825</v>
      </c>
      <c r="H85" s="5">
        <f>_xll.AnalizExpert.AnalizExpertIslem.HisseGetiri($A85,"yt")</f>
        <v>203.99659863944217</v>
      </c>
      <c r="I85" s="5">
        <f>_xll.AnalizExpert.AnalizExpertIslem.HisseGetiri($A85,"s1y")</f>
        <v>190.59790462426446</v>
      </c>
    </row>
    <row r="86" spans="1:9" x14ac:dyDescent="0.35">
      <c r="A86" s="127" t="s">
        <v>73</v>
      </c>
      <c r="B86" s="5">
        <f>_xll.AnalizExpert.AnalizExpertIslem.HisseKapanis($A86)</f>
        <v>135.9</v>
      </c>
      <c r="C86" s="5">
        <f>_xll.AnalizExpert.AnalizExpertIslem.HisseGetiri($A86)</f>
        <v>-9.9999999999999982</v>
      </c>
      <c r="D86" s="5">
        <f>_xll.AnalizExpert.AnalizExpertIslem.HisseGetiri($A86,"hb")</f>
        <v>-9.9999999999999982</v>
      </c>
      <c r="E86" s="5">
        <f>_xll.AnalizExpert.AnalizExpertIslem.HisseGetiri($A86,"s1h")</f>
        <v>-11.924821775761508</v>
      </c>
      <c r="F86" s="5">
        <f>_xll.AnalizExpert.AnalizExpertIslem.HisseGetiri($A86,"ab")</f>
        <v>13.061564059900178</v>
      </c>
      <c r="G86" s="5">
        <f>_xll.AnalizExpert.AnalizExpertIslem.HisseGetiri($A86,"s1a")</f>
        <v>45.893719806763286</v>
      </c>
      <c r="H86" s="5">
        <f>_xll.AnalizExpert.AnalizExpertIslem.HisseGetiri($A86,"yt")</f>
        <v>414.28571428571433</v>
      </c>
      <c r="I86" s="5">
        <f>_xll.AnalizExpert.AnalizExpertIslem.HisseGetiri($A86,"s1y")</f>
        <v>712.3132098027495</v>
      </c>
    </row>
    <row r="87" spans="1:9" x14ac:dyDescent="0.35">
      <c r="A87" s="127" t="s">
        <v>74</v>
      </c>
      <c r="B87" s="5">
        <f>_xll.AnalizExpert.AnalizExpertIslem.HisseKapanis($A87)</f>
        <v>26.42</v>
      </c>
      <c r="C87" s="5">
        <f>_xll.AnalizExpert.AnalizExpertIslem.HisseGetiri($A87)</f>
        <v>3.3646322378716897</v>
      </c>
      <c r="D87" s="5">
        <f>_xll.AnalizExpert.AnalizExpertIslem.HisseGetiri($A87,"hb")</f>
        <v>3.3646322378716897</v>
      </c>
      <c r="E87" s="5">
        <f>_xll.AnalizExpert.AnalizExpertIslem.HisseGetiri($A87,"s1h")</f>
        <v>-0.30188679245282124</v>
      </c>
      <c r="F87" s="5">
        <f>_xll.AnalizExpert.AnalizExpertIslem.HisseGetiri($A87,"ab")</f>
        <v>14.37229437229437</v>
      </c>
      <c r="G87" s="5">
        <f>_xll.AnalizExpert.AnalizExpertIslem.HisseGetiri($A87,"s1a")</f>
        <v>9.7176079734219378</v>
      </c>
      <c r="H87" s="5">
        <f>_xll.AnalizExpert.AnalizExpertIslem.HisseGetiri($A87,"yt")</f>
        <v>132.79728382415718</v>
      </c>
      <c r="I87" s="5">
        <f>_xll.AnalizExpert.AnalizExpertIslem.HisseGetiri($A87,"s1y")</f>
        <v>167.47886554284861</v>
      </c>
    </row>
    <row r="88" spans="1:9" x14ac:dyDescent="0.35">
      <c r="A88" s="127" t="s">
        <v>77</v>
      </c>
      <c r="B88" s="5">
        <f>_xll.AnalizExpert.AnalizExpertIslem.HisseKapanis($A88)</f>
        <v>35.74</v>
      </c>
      <c r="C88" s="5">
        <f>_xll.AnalizExpert.AnalizExpertIslem.HisseGetiri($A88)</f>
        <v>3.1159838430467657</v>
      </c>
      <c r="D88" s="5">
        <f>_xll.AnalizExpert.AnalizExpertIslem.HisseGetiri($A88,"hb")</f>
        <v>3.1159838430467657</v>
      </c>
      <c r="E88" s="5">
        <f>_xll.AnalizExpert.AnalizExpertIslem.HisseGetiri($A88,"s1h")</f>
        <v>-0.722222222222213</v>
      </c>
      <c r="F88" s="5">
        <f>_xll.AnalizExpert.AnalizExpertIslem.HisseGetiri($A88,"ab")</f>
        <v>7.5857916917519752</v>
      </c>
      <c r="G88" s="5">
        <f>_xll.AnalizExpert.AnalizExpertIslem.HisseGetiri($A88,"s1a")</f>
        <v>11.687500000000007</v>
      </c>
      <c r="H88" s="5">
        <f>_xll.AnalizExpert.AnalizExpertIslem.HisseGetiri($A88,"yt")</f>
        <v>172.39310944007818</v>
      </c>
      <c r="I88" s="5">
        <f>_xll.AnalizExpert.AnalizExpertIslem.HisseGetiri($A88,"s1y")</f>
        <v>223.96620482739968</v>
      </c>
    </row>
    <row r="89" spans="1:9" x14ac:dyDescent="0.35">
      <c r="A89" s="127" t="s">
        <v>76</v>
      </c>
      <c r="B89" s="5">
        <f>_xll.AnalizExpert.AnalizExpertIslem.HisseKapanis($A89)</f>
        <v>2.4500000000000002</v>
      </c>
      <c r="C89" s="5">
        <f>_xll.AnalizExpert.AnalizExpertIslem.HisseGetiri($A89)</f>
        <v>0.82304526748970819</v>
      </c>
      <c r="D89" s="5">
        <f>_xll.AnalizExpert.AnalizExpertIslem.HisseGetiri($A89,"hb")</f>
        <v>0.82304526748970819</v>
      </c>
      <c r="E89" s="5">
        <f>_xll.AnalizExpert.AnalizExpertIslem.HisseGetiri($A89,"s1h")</f>
        <v>6.0606060606060552</v>
      </c>
      <c r="F89" s="5">
        <f>_xll.AnalizExpert.AnalizExpertIslem.HisseGetiri($A89,"ab")</f>
        <v>20.689655172413811</v>
      </c>
      <c r="G89" s="5">
        <f>_xll.AnalizExpert.AnalizExpertIslem.HisseGetiri($A89,"s1a")</f>
        <v>25.000000000000021</v>
      </c>
      <c r="H89" s="5">
        <f>_xll.AnalizExpert.AnalizExpertIslem.HisseGetiri($A89,"yt")</f>
        <v>142.57425742574256</v>
      </c>
      <c r="I89" s="5">
        <f>_xll.AnalizExpert.AnalizExpertIslem.HisseGetiri($A89,"s1y")</f>
        <v>114.91228070175441</v>
      </c>
    </row>
    <row r="90" spans="1:9" x14ac:dyDescent="0.35">
      <c r="A90" s="127" t="s">
        <v>75</v>
      </c>
      <c r="B90" s="5">
        <f>_xll.AnalizExpert.AnalizExpertIslem.HisseKapanis($A90)</f>
        <v>3.02</v>
      </c>
      <c r="C90" s="5">
        <f>_xll.AnalizExpert.AnalizExpertIslem.HisseGetiri($A90)</f>
        <v>4.4982698961937739</v>
      </c>
      <c r="D90" s="5">
        <f>_xll.AnalizExpert.AnalizExpertIslem.HisseGetiri($A90,"hb")</f>
        <v>4.4982698961937739</v>
      </c>
      <c r="E90" s="5">
        <f>_xll.AnalizExpert.AnalizExpertIslem.HisseGetiri($A90,"s1h")</f>
        <v>-20.734908136482943</v>
      </c>
      <c r="F90" s="5">
        <f>_xll.AnalizExpert.AnalizExpertIslem.HisseGetiri($A90,"ab")</f>
        <v>-44.177449168207026</v>
      </c>
      <c r="G90" s="5">
        <f>_xll.AnalizExpert.AnalizExpertIslem.HisseGetiri($A90,"s1a")</f>
        <v>-44.280442804428041</v>
      </c>
      <c r="H90" s="5">
        <f>_xll.AnalizExpert.AnalizExpertIslem.HisseGetiri($A90,"yt")</f>
        <v>21.49540627636717</v>
      </c>
      <c r="I90" s="5">
        <f>_xll.AnalizExpert.AnalizExpertIslem.HisseGetiri($A90,"s1y")</f>
        <v>26.533020682948248</v>
      </c>
    </row>
    <row r="91" spans="1:9" x14ac:dyDescent="0.35">
      <c r="A91" s="127" t="s">
        <v>78</v>
      </c>
      <c r="B91" s="5">
        <f>_xll.AnalizExpert.AnalizExpertIslem.HisseKapanis($A91)</f>
        <v>22.5</v>
      </c>
      <c r="C91" s="5">
        <f>_xll.AnalizExpert.AnalizExpertIslem.HisseGetiri($A91)</f>
        <v>-2.4284475281873275</v>
      </c>
      <c r="D91" s="5">
        <f>_xll.AnalizExpert.AnalizExpertIslem.HisseGetiri($A91,"hb")</f>
        <v>-2.4284475281873275</v>
      </c>
      <c r="E91" s="5">
        <f>_xll.AnalizExpert.AnalizExpertIslem.HisseGetiri($A91,"s1h")</f>
        <v>-7.3311367380560206</v>
      </c>
      <c r="F91" s="5">
        <f>_xll.AnalizExpert.AnalizExpertIslem.HisseGetiri($A91,"ab")</f>
        <v>-4.822335025380708</v>
      </c>
      <c r="G91" s="5">
        <f>_xll.AnalizExpert.AnalizExpertIslem.HisseGetiri($A91,"s1a")</f>
        <v>-8.2381729200652565</v>
      </c>
      <c r="H91" s="5">
        <f>_xll.AnalizExpert.AnalizExpertIslem.HisseGetiri($A91,"yt")</f>
        <v>71.633978966317741</v>
      </c>
      <c r="I91" s="5">
        <f>_xll.AnalizExpert.AnalizExpertIslem.HisseGetiri($A91,"s1y")</f>
        <v>54.058465583467409</v>
      </c>
    </row>
    <row r="92" spans="1:9" x14ac:dyDescent="0.35">
      <c r="A92" s="127" t="s">
        <v>81</v>
      </c>
      <c r="B92" s="5">
        <f>_xll.AnalizExpert.AnalizExpertIslem.HisseKapanis($A92)</f>
        <v>79</v>
      </c>
      <c r="C92" s="5">
        <f>_xll.AnalizExpert.AnalizExpertIslem.HisseGetiri($A92)</f>
        <v>1.5424164524421524</v>
      </c>
      <c r="D92" s="5">
        <f>_xll.AnalizExpert.AnalizExpertIslem.HisseGetiri($A92,"hb")</f>
        <v>1.5424164524421524</v>
      </c>
      <c r="E92" s="5">
        <f>_xll.AnalizExpert.AnalizExpertIslem.HisseGetiri($A92,"s1h")</f>
        <v>-0.3154574132492094</v>
      </c>
      <c r="F92" s="5">
        <f>_xll.AnalizExpert.AnalizExpertIslem.HisseGetiri($A92,"ab")</f>
        <v>0.76530612244898322</v>
      </c>
      <c r="G92" s="5">
        <f>_xll.AnalizExpert.AnalizExpertIslem.HisseGetiri($A92,"s1a")</f>
        <v>-3.0079803560466578</v>
      </c>
      <c r="H92" s="5">
        <f>_xll.AnalizExpert.AnalizExpertIslem.HisseGetiri($A92,"yt")</f>
        <v>141.59021406727828</v>
      </c>
      <c r="I92" s="5">
        <f>_xll.AnalizExpert.AnalizExpertIslem.HisseGetiri($A92,"s1y")</f>
        <v>184.78731074260995</v>
      </c>
    </row>
    <row r="93" spans="1:9" x14ac:dyDescent="0.35">
      <c r="A93" s="127" t="s">
        <v>86</v>
      </c>
      <c r="B93" s="5">
        <f>_xll.AnalizExpert.AnalizExpertIslem.HisseKapanis($A93)</f>
        <v>31.68</v>
      </c>
      <c r="C93" s="5">
        <f>_xll.AnalizExpert.AnalizExpertIslem.HisseGetiri($A93)</f>
        <v>1.1494252873563093</v>
      </c>
      <c r="D93" s="5">
        <f>_xll.AnalizExpert.AnalizExpertIslem.HisseGetiri($A93,"hb")</f>
        <v>1.1494252873563093</v>
      </c>
      <c r="E93" s="5">
        <f>_xll.AnalizExpert.AnalizExpertIslem.HisseGetiri($A93,"s1h")</f>
        <v>-4.2321644498186206</v>
      </c>
      <c r="F93" s="5">
        <f>_xll.AnalizExpert.AnalizExpertIslem.HisseGetiri($A93,"ab")</f>
        <v>23.556942277691096</v>
      </c>
      <c r="G93" s="5">
        <f>_xll.AnalizExpert.AnalizExpertIslem.HisseGetiri($A93,"s1a")</f>
        <v>25.614591593973035</v>
      </c>
      <c r="H93" s="5">
        <f>_xll.AnalizExpert.AnalizExpertIslem.HisseGetiri($A93,"yt")</f>
        <v>77.315891694578681</v>
      </c>
      <c r="I93" s="5">
        <f>_xll.AnalizExpert.AnalizExpertIslem.HisseGetiri($A93,"s1y")</f>
        <v>81.645469516199938</v>
      </c>
    </row>
    <row r="94" spans="1:9" x14ac:dyDescent="0.35">
      <c r="A94" s="127" t="s">
        <v>88</v>
      </c>
      <c r="B94" s="5">
        <f>_xll.AnalizExpert.AnalizExpertIslem.HisseKapanis($A94)</f>
        <v>106.9</v>
      </c>
      <c r="C94" s="5">
        <f>_xll.AnalizExpert.AnalizExpertIslem.HisseGetiri($A94)</f>
        <v>0.28142589118200778</v>
      </c>
      <c r="D94" s="5">
        <f>_xll.AnalizExpert.AnalizExpertIslem.HisseGetiri($A94,"hb")</f>
        <v>0.28142589118200778</v>
      </c>
      <c r="E94" s="5">
        <f>_xll.AnalizExpert.AnalizExpertIslem.HisseGetiri($A94,"s1h")</f>
        <v>-2.5524156791248864</v>
      </c>
      <c r="F94" s="5">
        <f>_xll.AnalizExpert.AnalizExpertIslem.HisseGetiri($A94,"ab")</f>
        <v>5.5281342546890544</v>
      </c>
      <c r="G94" s="5">
        <f>_xll.AnalizExpert.AnalizExpertIslem.HisseGetiri($A94,"s1a")</f>
        <v>9.1373149566105205</v>
      </c>
      <c r="H94" s="5">
        <f>_xll.AnalizExpert.AnalizExpertIslem.HisseGetiri($A94,"yt")</f>
        <v>433.96603396603399</v>
      </c>
      <c r="I94" s="5">
        <f>_xll.AnalizExpert.AnalizExpertIslem.HisseGetiri($A94,"s1y")</f>
        <v>525.51199531889995</v>
      </c>
    </row>
    <row r="95" spans="1:9" x14ac:dyDescent="0.35">
      <c r="A95" s="127" t="s">
        <v>82</v>
      </c>
      <c r="B95" s="5">
        <f>_xll.AnalizExpert.AnalizExpertIslem.HisseKapanis($A95)</f>
        <v>37.44</v>
      </c>
      <c r="C95" s="5">
        <f>_xll.AnalizExpert.AnalizExpertIslem.HisseGetiri($A95)</f>
        <v>0.69930069930068672</v>
      </c>
      <c r="D95" s="5">
        <f>_xll.AnalizExpert.AnalizExpertIslem.HisseGetiri($A95,"hb")</f>
        <v>0.69930069930068672</v>
      </c>
      <c r="E95" s="5">
        <f>_xll.AnalizExpert.AnalizExpertIslem.HisseGetiri($A95,"s1h")</f>
        <v>2.3510114816839733</v>
      </c>
      <c r="F95" s="5">
        <f>_xll.AnalizExpert.AnalizExpertIslem.HisseGetiri($A95,"ab")</f>
        <v>13.592233009708732</v>
      </c>
      <c r="G95" s="5">
        <f>_xll.AnalizExpert.AnalizExpertIslem.HisseGetiri($A95,"s1a")</f>
        <v>17.366771159874617</v>
      </c>
      <c r="H95" s="5">
        <f>_xll.AnalizExpert.AnalizExpertIslem.HisseGetiri($A95,"yt")</f>
        <v>90.73333503140644</v>
      </c>
      <c r="I95" s="5">
        <f>_xll.AnalizExpert.AnalizExpertIslem.HisseGetiri($A95,"s1y")</f>
        <v>117.12276158805773</v>
      </c>
    </row>
    <row r="96" spans="1:9" x14ac:dyDescent="0.35">
      <c r="A96" s="127" t="s">
        <v>83</v>
      </c>
      <c r="B96" s="5">
        <f>_xll.AnalizExpert.AnalizExpertIslem.HisseKapanis($A96)</f>
        <v>23.82</v>
      </c>
      <c r="C96" s="5">
        <f>_xll.AnalizExpert.AnalizExpertIslem.HisseGetiri($A96)</f>
        <v>2.5839793281653867</v>
      </c>
      <c r="D96" s="5">
        <f>_xll.AnalizExpert.AnalizExpertIslem.HisseGetiri($A96,"hb")</f>
        <v>2.5839793281653867</v>
      </c>
      <c r="E96" s="5">
        <f>_xll.AnalizExpert.AnalizExpertIslem.HisseGetiri($A96,"s1h")</f>
        <v>2.1440823327615766</v>
      </c>
      <c r="F96" s="5">
        <f>_xll.AnalizExpert.AnalizExpertIslem.HisseGetiri($A96,"ab")</f>
        <v>27.721179624664892</v>
      </c>
      <c r="G96" s="5">
        <f>_xll.AnalizExpert.AnalizExpertIslem.HisseGetiri($A96,"s1a")</f>
        <v>39.461358313817342</v>
      </c>
      <c r="H96" s="5">
        <f>_xll.AnalizExpert.AnalizExpertIslem.HisseGetiri($A96,"yt")</f>
        <v>276.89873417721515</v>
      </c>
      <c r="I96" s="5">
        <f>_xll.AnalizExpert.AnalizExpertIslem.HisseGetiri($A96,"s1y")</f>
        <v>275.1181102362205</v>
      </c>
    </row>
    <row r="97" spans="1:9" x14ac:dyDescent="0.35">
      <c r="A97" s="127" t="s">
        <v>84</v>
      </c>
      <c r="B97" s="5">
        <f>_xll.AnalizExpert.AnalizExpertIslem.HisseKapanis($A97)</f>
        <v>127.5</v>
      </c>
      <c r="C97" s="5">
        <f>_xll.AnalizExpert.AnalizExpertIslem.HisseGetiri($A97)</f>
        <v>2.0816653322658141</v>
      </c>
      <c r="D97" s="5">
        <f>_xll.AnalizExpert.AnalizExpertIslem.HisseGetiri($A97,"hb")</f>
        <v>2.0816653322658141</v>
      </c>
      <c r="E97" s="5">
        <f>_xll.AnalizExpert.AnalizExpertIslem.HisseGetiri($A97,"s1h")</f>
        <v>10.581092801387681</v>
      </c>
      <c r="F97" s="5">
        <f>_xll.AnalizExpert.AnalizExpertIslem.HisseGetiri($A97,"ab")</f>
        <v>29.573170731707311</v>
      </c>
      <c r="G97" s="5">
        <f>_xll.AnalizExpert.AnalizExpertIslem.HisseGetiri($A97,"s1a")</f>
        <v>31.105398457583554</v>
      </c>
      <c r="H97" s="5">
        <f>_xll.AnalizExpert.AnalizExpertIslem.HisseGetiri($A97,"yt")</f>
        <v>82.984915936445105</v>
      </c>
      <c r="I97" s="5">
        <f>_xll.AnalizExpert.AnalizExpertIslem.HisseGetiri($A97,"s1y")</f>
        <v>114.92564990518063</v>
      </c>
    </row>
    <row r="98" spans="1:9" x14ac:dyDescent="0.35">
      <c r="A98" s="127" t="s">
        <v>85</v>
      </c>
      <c r="B98" s="5">
        <f>_xll.AnalizExpert.AnalizExpertIslem.HisseKapanis($A98)</f>
        <v>14.3</v>
      </c>
      <c r="C98" s="5">
        <f>_xll.AnalizExpert.AnalizExpertIslem.HisseGetiri($A98)</f>
        <v>4.9156272927366018</v>
      </c>
      <c r="D98" s="5">
        <f>_xll.AnalizExpert.AnalizExpertIslem.HisseGetiri($A98,"hb")</f>
        <v>4.9156272927366018</v>
      </c>
      <c r="E98" s="5">
        <f>_xll.AnalizExpert.AnalizExpertIslem.HisseGetiri($A98,"s1h")</f>
        <v>1.1315417256011262</v>
      </c>
      <c r="F98" s="5">
        <f>_xll.AnalizExpert.AnalizExpertIslem.HisseGetiri($A98,"ab")</f>
        <v>20.168067226890752</v>
      </c>
      <c r="G98" s="5">
        <f>_xll.AnalizExpert.AnalizExpertIslem.HisseGetiri($A98,"s1a")</f>
        <v>25.769569041336872</v>
      </c>
      <c r="H98" s="5">
        <f>_xll.AnalizExpert.AnalizExpertIslem.HisseGetiri($A98,"yt")</f>
        <v>264.79591836734693</v>
      </c>
      <c r="I98" s="5">
        <f>_xll.AnalizExpert.AnalizExpertIslem.HisseGetiri($A98,"s1y")</f>
        <v>259.2964824120603</v>
      </c>
    </row>
    <row r="99" spans="1:9" x14ac:dyDescent="0.35">
      <c r="A99" s="127" t="s">
        <v>89</v>
      </c>
      <c r="B99" s="5">
        <f>_xll.AnalizExpert.AnalizExpertIslem.HisseKapanis($A99)</f>
        <v>11.32</v>
      </c>
      <c r="C99" s="5">
        <f>_xll.AnalizExpert.AnalizExpertIslem.HisseGetiri($A99)</f>
        <v>1.2522361359570633</v>
      </c>
      <c r="D99" s="5">
        <f>_xll.AnalizExpert.AnalizExpertIslem.HisseGetiri($A99,"hb")</f>
        <v>1.2522361359570633</v>
      </c>
      <c r="E99" s="5">
        <f>_xll.AnalizExpert.AnalizExpertIslem.HisseGetiri($A99,"s1h")</f>
        <v>-6.6006600660065917</v>
      </c>
      <c r="F99" s="5">
        <f>_xll.AnalizExpert.AnalizExpertIslem.HisseGetiri($A99,"ab")</f>
        <v>-9.3674939951961527</v>
      </c>
      <c r="G99" s="5">
        <f>_xll.AnalizExpert.AnalizExpertIslem.HisseGetiri($A99,"s1a")</f>
        <v>-5.271966527196648</v>
      </c>
      <c r="H99" s="5">
        <f>_xll.AnalizExpert.AnalizExpertIslem.HisseGetiri($A99,"yt")</f>
        <v>-3.2478632478632363</v>
      </c>
      <c r="I99" s="5">
        <f>_xll.AnalizExpert.AnalizExpertIslem.HisseGetiri($A99,"s1y")</f>
        <v>15.392456676860334</v>
      </c>
    </row>
    <row r="100" spans="1:9" x14ac:dyDescent="0.35">
      <c r="A100" s="127" t="s">
        <v>80</v>
      </c>
      <c r="B100" s="5">
        <f>_xll.AnalizExpert.AnalizExpertIslem.HisseKapanis($A100)</f>
        <v>3.44</v>
      </c>
      <c r="C100" s="5">
        <f>_xll.AnalizExpert.AnalizExpertIslem.HisseGetiri($A100)</f>
        <v>1.7751479289940919</v>
      </c>
      <c r="D100" s="5">
        <f>_xll.AnalizExpert.AnalizExpertIslem.HisseGetiri($A100,"hb")</f>
        <v>1.7751479289940919</v>
      </c>
      <c r="E100" s="5">
        <f>_xll.AnalizExpert.AnalizExpertIslem.HisseGetiri($A100,"s1h")</f>
        <v>8.1761006289308149</v>
      </c>
      <c r="F100" s="5">
        <f>_xll.AnalizExpert.AnalizExpertIslem.HisseGetiri($A100,"ab")</f>
        <v>14.285714285714302</v>
      </c>
      <c r="G100" s="5">
        <f>_xll.AnalizExpert.AnalizExpertIslem.HisseGetiri($A100,"s1a")</f>
        <v>18.620689655172406</v>
      </c>
      <c r="H100" s="5">
        <f>_xll.AnalizExpert.AnalizExpertIslem.HisseGetiri($A100,"yt")</f>
        <v>138.88888888888889</v>
      </c>
      <c r="I100" s="5">
        <f>_xll.AnalizExpert.AnalizExpertIslem.HisseGetiri($A100,"s1y")</f>
        <v>121.93548387096773</v>
      </c>
    </row>
    <row r="101" spans="1:9" x14ac:dyDescent="0.35">
      <c r="A101" s="127" t="s">
        <v>90</v>
      </c>
      <c r="B101" s="5">
        <f>_xll.AnalizExpert.AnalizExpertIslem.HisseKapanis($A101)</f>
        <v>14.7</v>
      </c>
      <c r="C101" s="5">
        <f>_xll.AnalizExpert.AnalizExpertIslem.HisseGetiri($A101)</f>
        <v>2.0124913254684129</v>
      </c>
      <c r="D101" s="5">
        <f>_xll.AnalizExpert.AnalizExpertIslem.HisseGetiri($A101,"hb")</f>
        <v>2.0124913254684129</v>
      </c>
      <c r="E101" s="5">
        <f>_xll.AnalizExpert.AnalizExpertIslem.HisseGetiri($A101,"s1h")</f>
        <v>-1.2760241773002057</v>
      </c>
      <c r="F101" s="5">
        <f>_xll.AnalizExpert.AnalizExpertIslem.HisseGetiri($A101,"ab")</f>
        <v>18.644067796610166</v>
      </c>
      <c r="G101" s="5">
        <f>_xll.AnalizExpert.AnalizExpertIslem.HisseGetiri($A101,"s1a")</f>
        <v>18.932038834951449</v>
      </c>
      <c r="H101" s="5">
        <f>_xll.AnalizExpert.AnalizExpertIslem.HisseGetiri($A101,"yt")</f>
        <v>72.230983778865436</v>
      </c>
      <c r="I101" s="5">
        <f>_xll.AnalizExpert.AnalizExpertIslem.HisseGetiri($A101,"s1y")</f>
        <v>83.268991579057911</v>
      </c>
    </row>
    <row r="102" spans="1:9" x14ac:dyDescent="0.35">
      <c r="A102" s="127" t="s">
        <v>91</v>
      </c>
      <c r="B102" s="5">
        <f>_xll.AnalizExpert.AnalizExpertIslem.HisseKapanis($A102)</f>
        <v>444.8</v>
      </c>
      <c r="C102" s="5">
        <f>_xll.AnalizExpert.AnalizExpertIslem.HisseGetiri($A102)</f>
        <v>2.2293725580326385</v>
      </c>
      <c r="D102" s="5">
        <f>_xll.AnalizExpert.AnalizExpertIslem.HisseGetiri($A102,"hb")</f>
        <v>2.2293725580326385</v>
      </c>
      <c r="E102" s="5">
        <f>_xll.AnalizExpert.AnalizExpertIslem.HisseGetiri($A102,"s1h")</f>
        <v>1.0449795547478491</v>
      </c>
      <c r="F102" s="5">
        <f>_xll.AnalizExpert.AnalizExpertIslem.HisseGetiri($A102,"ab")</f>
        <v>16.806722689075638</v>
      </c>
      <c r="G102" s="5">
        <f>_xll.AnalizExpert.AnalizExpertIslem.HisseGetiri($A102,"s1a")</f>
        <v>28.964917367352871</v>
      </c>
      <c r="H102" s="5">
        <f>_xll.AnalizExpert.AnalizExpertIslem.HisseGetiri($A102,"yt")</f>
        <v>116.53763013336436</v>
      </c>
      <c r="I102" s="5">
        <f>_xll.AnalizExpert.AnalizExpertIslem.HisseGetiri($A102,"s1y")</f>
        <v>164.18534395355996</v>
      </c>
    </row>
    <row r="103" spans="1:9" x14ac:dyDescent="0.35">
      <c r="A103" s="127" t="s">
        <v>87</v>
      </c>
      <c r="B103" s="5">
        <f>_xll.AnalizExpert.AnalizExpertIslem.HisseKapanis($A103)</f>
        <v>432.8</v>
      </c>
      <c r="C103" s="5">
        <f>_xll.AnalizExpert.AnalizExpertIslem.HisseGetiri($A103)</f>
        <v>1.6917293233082775</v>
      </c>
      <c r="D103" s="5">
        <f>_xll.AnalizExpert.AnalizExpertIslem.HisseGetiri($A103,"hb")</f>
        <v>1.6917293233082775</v>
      </c>
      <c r="E103" s="5">
        <f>_xll.AnalizExpert.AnalizExpertIslem.HisseGetiri($A103,"s1h")</f>
        <v>0.74487895716945918</v>
      </c>
      <c r="F103" s="5">
        <f>_xll.AnalizExpert.AnalizExpertIslem.HisseGetiri($A103,"ab")</f>
        <v>14.195250659630609</v>
      </c>
      <c r="G103" s="5">
        <f>_xll.AnalizExpert.AnalizExpertIslem.HisseGetiri($A103,"s1a")</f>
        <v>13.894736842105271</v>
      </c>
      <c r="H103" s="5">
        <f>_xll.AnalizExpert.AnalizExpertIslem.HisseGetiri($A103,"yt")</f>
        <v>180.31088082901556</v>
      </c>
      <c r="I103" s="5">
        <f>_xll.AnalizExpert.AnalizExpertIslem.HisseGetiri($A103,"s1y")</f>
        <v>179.04577691811738</v>
      </c>
    </row>
    <row r="104" spans="1:9" x14ac:dyDescent="0.35">
      <c r="A104" s="127" t="s">
        <v>92</v>
      </c>
      <c r="B104" s="5">
        <f>_xll.AnalizExpert.AnalizExpertIslem.HisseKapanis($A104)</f>
        <v>9.73</v>
      </c>
      <c r="C104" s="5">
        <f>_xll.AnalizExpert.AnalizExpertIslem.HisseGetiri($A104)</f>
        <v>4.2872454448017239</v>
      </c>
      <c r="D104" s="5">
        <f>_xll.AnalizExpert.AnalizExpertIslem.HisseGetiri($A104,"hb")</f>
        <v>4.2872454448017239</v>
      </c>
      <c r="E104" s="5">
        <f>_xll.AnalizExpert.AnalizExpertIslem.HisseGetiri($A104,"s1h")</f>
        <v>5.0755939524838034</v>
      </c>
      <c r="F104" s="5">
        <f>_xll.AnalizExpert.AnalizExpertIslem.HisseGetiri($A104,"ab")</f>
        <v>22.389937106918232</v>
      </c>
      <c r="G104" s="5">
        <f>_xll.AnalizExpert.AnalizExpertIslem.HisseGetiri($A104,"s1a")</f>
        <v>33.105335157318748</v>
      </c>
      <c r="H104" s="5">
        <f>_xll.AnalizExpert.AnalizExpertIslem.HisseGetiri($A104,"yt")</f>
        <v>109.27463464354896</v>
      </c>
      <c r="I104" s="5">
        <f>_xll.AnalizExpert.AnalizExpertIslem.HisseGetiri($A104,"s1y")</f>
        <v>106.40785882651404</v>
      </c>
    </row>
    <row r="105" spans="1:9" x14ac:dyDescent="0.35">
      <c r="A105" s="127" t="s">
        <v>93</v>
      </c>
      <c r="B105" s="5">
        <f>_xll.AnalizExpert.AnalizExpertIslem.HisseKapanis($A105)</f>
        <v>26.8</v>
      </c>
      <c r="C105" s="5">
        <f>_xll.AnalizExpert.AnalizExpertIslem.HisseGetiri($A105)</f>
        <v>-0.29761904761904656</v>
      </c>
      <c r="D105" s="5">
        <f>_xll.AnalizExpert.AnalizExpertIslem.HisseGetiri($A105,"hb")</f>
        <v>-0.29761904761904656</v>
      </c>
      <c r="E105" s="5">
        <f>_xll.AnalizExpert.AnalizExpertIslem.HisseGetiri($A105,"s1h")</f>
        <v>9.8360655737705027</v>
      </c>
      <c r="F105" s="5">
        <f>_xll.AnalizExpert.AnalizExpertIslem.HisseGetiri($A105,"ab")</f>
        <v>1.9011406844106515</v>
      </c>
      <c r="G105" s="5">
        <f>_xll.AnalizExpert.AnalizExpertIslem.HisseGetiri($A105,"s1a")</f>
        <v>16.724738675958186</v>
      </c>
      <c r="H105" s="5">
        <f>_xll.AnalizExpert.AnalizExpertIslem.HisseGetiri($A105,"yt")</f>
        <v>53.757888697647751</v>
      </c>
      <c r="I105" s="5">
        <f>_xll.AnalizExpert.AnalizExpertIslem.HisseGetiri($A105,"s1y")</f>
        <v>37.860082304526756</v>
      </c>
    </row>
    <row r="106" spans="1:9" x14ac:dyDescent="0.35">
      <c r="A106" s="127" t="s">
        <v>94</v>
      </c>
      <c r="B106" s="5">
        <f>_xll.AnalizExpert.AnalizExpertIslem.HisseKapanis($A106)</f>
        <v>9.5399999999999991</v>
      </c>
      <c r="C106" s="5">
        <f>_xll.AnalizExpert.AnalizExpertIslem.HisseGetiri($A106)</f>
        <v>0.21008403361344463</v>
      </c>
      <c r="D106" s="5">
        <f>_xll.AnalizExpert.AnalizExpertIslem.HisseGetiri($A106,"hb")</f>
        <v>0.21008403361344463</v>
      </c>
      <c r="E106" s="5">
        <f>_xll.AnalizExpert.AnalizExpertIslem.HisseGetiri($A106,"s1h")</f>
        <v>4.3763676148796282</v>
      </c>
      <c r="F106" s="5">
        <f>_xll.AnalizExpert.AnalizExpertIslem.HisseGetiri($A106,"ab")</f>
        <v>11.318553092182015</v>
      </c>
      <c r="G106" s="5">
        <f>_xll.AnalizExpert.AnalizExpertIslem.HisseGetiri($A106,"s1a")</f>
        <v>7.0707070707070496</v>
      </c>
      <c r="H106" s="5">
        <f>_xll.AnalizExpert.AnalizExpertIslem.HisseGetiri($A106,"yt")</f>
        <v>159.23913043478257</v>
      </c>
      <c r="I106" s="5">
        <f>_xll.AnalizExpert.AnalizExpertIslem.HisseGetiri($A106,"s1y")</f>
        <v>142.74809160305341</v>
      </c>
    </row>
    <row r="107" spans="1:9" x14ac:dyDescent="0.35">
      <c r="A107" s="127" t="s">
        <v>96</v>
      </c>
      <c r="B107" s="5">
        <f>_xll.AnalizExpert.AnalizExpertIslem.HisseKapanis($A107)</f>
        <v>9.83</v>
      </c>
      <c r="C107" s="5">
        <f>_xll.AnalizExpert.AnalizExpertIslem.HisseGetiri($A107)</f>
        <v>0.71721311475410054</v>
      </c>
      <c r="D107" s="5">
        <f>_xll.AnalizExpert.AnalizExpertIslem.HisseGetiri($A107,"hb")</f>
        <v>0.71721311475410054</v>
      </c>
      <c r="E107" s="5">
        <f>_xll.AnalizExpert.AnalizExpertIslem.HisseGetiri($A107,"s1h")</f>
        <v>-3.627450980392144</v>
      </c>
      <c r="F107" s="5">
        <f>_xll.AnalizExpert.AnalizExpertIslem.HisseGetiri($A107,"ab")</f>
        <v>4.7974413646055369</v>
      </c>
      <c r="G107" s="5">
        <f>_xll.AnalizExpert.AnalizExpertIslem.HisseGetiri($A107,"s1a")</f>
        <v>2.0768431983385183</v>
      </c>
      <c r="H107" s="5">
        <f>_xll.AnalizExpert.AnalizExpertIslem.HisseGetiri($A107,"yt")</f>
        <v>30.623482002168135</v>
      </c>
      <c r="I107" s="5">
        <f>_xll.AnalizExpert.AnalizExpertIslem.HisseGetiri($A107,"s1y")</f>
        <v>46.209238377426857</v>
      </c>
    </row>
    <row r="108" spans="1:9" x14ac:dyDescent="0.35">
      <c r="A108" s="127" t="s">
        <v>95</v>
      </c>
      <c r="B108" s="5">
        <f>_xll.AnalizExpert.AnalizExpertIslem.HisseKapanis($A108)</f>
        <v>44</v>
      </c>
      <c r="C108" s="5">
        <f>_xll.AnalizExpert.AnalizExpertIslem.HisseGetiri($A108)</f>
        <v>1.8518518518518379</v>
      </c>
      <c r="D108" s="5">
        <f>_xll.AnalizExpert.AnalizExpertIslem.HisseGetiri($A108,"hb")</f>
        <v>1.8518518518518379</v>
      </c>
      <c r="E108" s="5">
        <f>_xll.AnalizExpert.AnalizExpertIslem.HisseGetiri($A108,"s1h")</f>
        <v>2.088167053364276</v>
      </c>
      <c r="F108" s="5">
        <f>_xll.AnalizExpert.AnalizExpertIslem.HisseGetiri($A108,"ab")</f>
        <v>-4.5553145336225676</v>
      </c>
      <c r="G108" s="5">
        <f>_xll.AnalizExpert.AnalizExpertIslem.HisseGetiri($A108,"s1a")</f>
        <v>1.8518518518518379</v>
      </c>
      <c r="H108" s="5">
        <f>_xll.AnalizExpert.AnalizExpertIslem.HisseGetiri($A108,"yt")</f>
        <v>75.718849840255587</v>
      </c>
      <c r="I108" s="5">
        <f>_xll.AnalizExpert.AnalizExpertIslem.HisseGetiri($A108,"s1y")</f>
        <v>63.029461270300111</v>
      </c>
    </row>
    <row r="109" spans="1:9" x14ac:dyDescent="0.35">
      <c r="A109" s="127" t="s">
        <v>98</v>
      </c>
      <c r="B109" s="5">
        <f>_xll.AnalizExpert.AnalizExpertIslem.HisseKapanis($A109)</f>
        <v>24</v>
      </c>
      <c r="C109" s="5">
        <f>_xll.AnalizExpert.AnalizExpertIslem.HisseGetiri($A109)</f>
        <v>5.8201058201058142</v>
      </c>
      <c r="D109" s="5">
        <f>_xll.AnalizExpert.AnalizExpertIslem.HisseGetiri($A109,"hb")</f>
        <v>5.8201058201058142</v>
      </c>
      <c r="E109" s="5">
        <f>_xll.AnalizExpert.AnalizExpertIslem.HisseGetiri($A109,"s1h")</f>
        <v>6.1946902654867131</v>
      </c>
      <c r="F109" s="5">
        <f>_xll.AnalizExpert.AnalizExpertIslem.HisseGetiri($A109,"ab")</f>
        <v>18.343195266272172</v>
      </c>
      <c r="G109" s="5">
        <f>_xll.AnalizExpert.AnalizExpertIslem.HisseGetiri($A109,"s1a")</f>
        <v>27.051349920592905</v>
      </c>
      <c r="H109" s="5">
        <f>_xll.AnalizExpert.AnalizExpertIslem.HisseGetiri($A109,"yt")</f>
        <v>124.99118374318128</v>
      </c>
      <c r="I109" s="5">
        <f>_xll.AnalizExpert.AnalizExpertIslem.HisseGetiri($A109,"s1y")</f>
        <v>94.096350909555909</v>
      </c>
    </row>
    <row r="110" spans="1:9" ht="15" customHeight="1" x14ac:dyDescent="0.35">
      <c r="A110" s="127" t="s">
        <v>97</v>
      </c>
      <c r="B110" s="5">
        <f>_xll.AnalizExpert.AnalizExpertIslem.HisseKapanis($A110)</f>
        <v>11.41</v>
      </c>
      <c r="C110" s="5">
        <f>_xll.AnalizExpert.AnalizExpertIslem.HisseGetiri($A110)</f>
        <v>4.20091324200913</v>
      </c>
      <c r="D110" s="5">
        <f>_xll.AnalizExpert.AnalizExpertIslem.HisseGetiri($A110,"hb")</f>
        <v>4.20091324200913</v>
      </c>
      <c r="E110" s="5">
        <f>_xll.AnalizExpert.AnalizExpertIslem.HisseGetiri($A110,"s1h")</f>
        <v>16.3098878695209</v>
      </c>
      <c r="F110" s="5">
        <f>_xll.AnalizExpert.AnalizExpertIslem.HisseGetiri($A110,"ab")</f>
        <v>23.887079261672085</v>
      </c>
      <c r="G110" s="5">
        <f>_xll.AnalizExpert.AnalizExpertIslem.HisseGetiri($A110,"s1a")</f>
        <v>20.358649789029528</v>
      </c>
      <c r="H110" s="5">
        <f>_xll.AnalizExpert.AnalizExpertIslem.HisseGetiri($A110,"yt")</f>
        <v>245.46937358130126</v>
      </c>
      <c r="I110" s="5">
        <f>_xll.AnalizExpert.AnalizExpertIslem.HisseGetiri($A110,"s1y")</f>
        <v>228.92576977599956</v>
      </c>
    </row>
    <row r="111" spans="1:9" x14ac:dyDescent="0.35">
      <c r="A111" s="127" t="s">
        <v>100</v>
      </c>
      <c r="B111" s="5">
        <f>_xll.AnalizExpert.AnalizExpertIslem.HisseKapanis($A111)</f>
        <v>8.19</v>
      </c>
      <c r="C111" s="5">
        <f>_xll.AnalizExpert.AnalizExpertIslem.HisseGetiri($A111)</f>
        <v>5.6774193548386975</v>
      </c>
      <c r="D111" s="5">
        <f>_xll.AnalizExpert.AnalizExpertIslem.HisseGetiri($A111,"hb")</f>
        <v>5.6774193548386975</v>
      </c>
      <c r="E111" s="5">
        <f>_xll.AnalizExpert.AnalizExpertIslem.HisseGetiri($A111,"s1h")</f>
        <v>9.0545938748335608</v>
      </c>
      <c r="F111" s="5">
        <f>_xll.AnalizExpert.AnalizExpertIslem.HisseGetiri($A111,"ab")</f>
        <v>73.150105708245235</v>
      </c>
      <c r="G111" s="5">
        <f>_xll.AnalizExpert.AnalizExpertIslem.HisseGetiri($A111,"s1a")</f>
        <v>81.596452328159643</v>
      </c>
      <c r="H111" s="5">
        <f>_xll.AnalizExpert.AnalizExpertIslem.HisseGetiri($A111,"yt")</f>
        <v>393.37349397590361</v>
      </c>
      <c r="I111" s="5">
        <f>_xll.AnalizExpert.AnalizExpertIslem.HisseGetiri($A111,"s1y")</f>
        <v>384.61538461538458</v>
      </c>
    </row>
    <row r="112" spans="1:9" ht="15" thickBot="1" x14ac:dyDescent="0.4">
      <c r="A112" s="127" t="s">
        <v>99</v>
      </c>
      <c r="B112" s="5">
        <f>_xll.AnalizExpert.AnalizExpertIslem.HisseKapanis($A112)</f>
        <v>5.05</v>
      </c>
      <c r="C112" s="5">
        <f>_xll.AnalizExpert.AnalizExpertIslem.HisseGetiri($A112)</f>
        <v>6.0924369747899165</v>
      </c>
      <c r="D112" s="5">
        <f>_xll.AnalizExpert.AnalizExpertIslem.HisseGetiri($A112,"hb")</f>
        <v>6.0924369747899165</v>
      </c>
      <c r="E112" s="5">
        <f>_xll.AnalizExpert.AnalizExpertIslem.HisseGetiri($A112,"s1h")</f>
        <v>8.1370449678800796</v>
      </c>
      <c r="F112" s="5">
        <f>_xll.AnalizExpert.AnalizExpertIslem.HisseGetiri($A112,"ab")</f>
        <v>15.560640732265441</v>
      </c>
      <c r="G112" s="5">
        <f>_xll.AnalizExpert.AnalizExpertIslem.HisseGetiri($A112,"s1a")</f>
        <v>24.078624078624067</v>
      </c>
      <c r="H112" s="5">
        <f>_xll.AnalizExpert.AnalizExpertIslem.HisseGetiri($A112,"yt")</f>
        <v>108.02319851745921</v>
      </c>
      <c r="I112" s="5">
        <f>_xll.AnalizExpert.AnalizExpertIslem.HisseGetiri($A112,"s1y")</f>
        <v>117.8863674126836</v>
      </c>
    </row>
    <row r="113" spans="1:9" ht="15" customHeight="1" x14ac:dyDescent="0.35">
      <c r="A113" s="172" t="s">
        <v>134</v>
      </c>
      <c r="B113" s="173"/>
      <c r="C113" s="173"/>
      <c r="D113" s="173"/>
      <c r="E113" s="173"/>
      <c r="F113" s="173"/>
      <c r="G113" s="173"/>
      <c r="H113" s="173"/>
      <c r="I113" s="174"/>
    </row>
    <row r="114" spans="1:9" ht="15" customHeight="1" x14ac:dyDescent="0.35">
      <c r="A114" s="175"/>
      <c r="B114" s="176"/>
      <c r="C114" s="176"/>
      <c r="D114" s="176"/>
      <c r="E114" s="176"/>
      <c r="F114" s="176"/>
      <c r="G114" s="176"/>
      <c r="H114" s="176"/>
      <c r="I114" s="177"/>
    </row>
    <row r="115" spans="1:9" x14ac:dyDescent="0.35">
      <c r="A115" s="175"/>
      <c r="B115" s="176"/>
      <c r="C115" s="176"/>
      <c r="D115" s="176"/>
      <c r="E115" s="176"/>
      <c r="F115" s="176"/>
      <c r="G115" s="176"/>
      <c r="H115" s="176"/>
      <c r="I115" s="177"/>
    </row>
    <row r="116" spans="1:9" x14ac:dyDescent="0.35">
      <c r="A116" s="175"/>
      <c r="B116" s="176"/>
      <c r="C116" s="176"/>
      <c r="D116" s="176"/>
      <c r="E116" s="176"/>
      <c r="F116" s="176"/>
      <c r="G116" s="176"/>
      <c r="H116" s="176"/>
      <c r="I116" s="177"/>
    </row>
    <row r="117" spans="1:9" x14ac:dyDescent="0.35">
      <c r="A117" s="175"/>
      <c r="B117" s="176"/>
      <c r="C117" s="176"/>
      <c r="D117" s="176"/>
      <c r="E117" s="176"/>
      <c r="F117" s="176"/>
      <c r="G117" s="176"/>
      <c r="H117" s="176"/>
      <c r="I117" s="177"/>
    </row>
    <row r="118" spans="1:9" x14ac:dyDescent="0.35">
      <c r="A118" s="175"/>
      <c r="B118" s="176"/>
      <c r="C118" s="176"/>
      <c r="D118" s="176"/>
      <c r="E118" s="176"/>
      <c r="F118" s="176"/>
      <c r="G118" s="176"/>
      <c r="H118" s="176"/>
      <c r="I118" s="177"/>
    </row>
    <row r="119" spans="1:9" x14ac:dyDescent="0.35">
      <c r="A119" s="175"/>
      <c r="B119" s="176"/>
      <c r="C119" s="176"/>
      <c r="D119" s="176"/>
      <c r="E119" s="176"/>
      <c r="F119" s="176"/>
      <c r="G119" s="176"/>
      <c r="H119" s="176"/>
      <c r="I119" s="177"/>
    </row>
    <row r="120" spans="1:9" x14ac:dyDescent="0.35">
      <c r="A120" s="175"/>
      <c r="B120" s="176"/>
      <c r="C120" s="176"/>
      <c r="D120" s="176"/>
      <c r="E120" s="176"/>
      <c r="F120" s="176"/>
      <c r="G120" s="176"/>
      <c r="H120" s="176"/>
      <c r="I120" s="177"/>
    </row>
    <row r="121" spans="1:9" x14ac:dyDescent="0.35">
      <c r="A121" s="175"/>
      <c r="B121" s="176"/>
      <c r="C121" s="176"/>
      <c r="D121" s="176"/>
      <c r="E121" s="176"/>
      <c r="F121" s="176"/>
      <c r="G121" s="176"/>
      <c r="H121" s="176"/>
      <c r="I121" s="177"/>
    </row>
    <row r="122" spans="1:9" x14ac:dyDescent="0.35">
      <c r="A122" s="175"/>
      <c r="B122" s="176"/>
      <c r="C122" s="176"/>
      <c r="D122" s="176"/>
      <c r="E122" s="176"/>
      <c r="F122" s="176"/>
      <c r="G122" s="176"/>
      <c r="H122" s="176"/>
      <c r="I122" s="177"/>
    </row>
    <row r="123" spans="1:9" x14ac:dyDescent="0.35">
      <c r="A123" s="175"/>
      <c r="B123" s="176"/>
      <c r="C123" s="176"/>
      <c r="D123" s="176"/>
      <c r="E123" s="176"/>
      <c r="F123" s="176"/>
      <c r="G123" s="176"/>
      <c r="H123" s="176"/>
      <c r="I123" s="177"/>
    </row>
    <row r="124" spans="1:9" x14ac:dyDescent="0.35">
      <c r="A124" s="175"/>
      <c r="B124" s="176"/>
      <c r="C124" s="176"/>
      <c r="D124" s="176"/>
      <c r="E124" s="176"/>
      <c r="F124" s="176"/>
      <c r="G124" s="176"/>
      <c r="H124" s="176"/>
      <c r="I124" s="177"/>
    </row>
    <row r="125" spans="1:9" ht="15" thickBot="1" x14ac:dyDescent="0.4">
      <c r="A125" s="178"/>
      <c r="B125" s="179"/>
      <c r="C125" s="179"/>
      <c r="D125" s="179"/>
      <c r="E125" s="179"/>
      <c r="F125" s="179"/>
      <c r="G125" s="179"/>
      <c r="H125" s="179"/>
      <c r="I125" s="180"/>
    </row>
    <row r="126" spans="1:9" x14ac:dyDescent="0.35">
      <c r="A126" s="101"/>
      <c r="B126" s="102"/>
      <c r="C126" s="102"/>
      <c r="D126" s="102"/>
      <c r="E126" s="102"/>
      <c r="F126" s="102"/>
      <c r="G126" s="102"/>
      <c r="H126" s="102"/>
      <c r="I126" s="102"/>
    </row>
    <row r="127" spans="1:9" x14ac:dyDescent="0.35">
      <c r="A127" s="103"/>
      <c r="B127" s="104"/>
      <c r="C127" s="104"/>
      <c r="D127" s="104"/>
      <c r="E127" s="104"/>
      <c r="F127" s="104"/>
      <c r="G127" s="104"/>
      <c r="H127" s="104"/>
      <c r="I127" s="105"/>
    </row>
    <row r="128" spans="1:9" x14ac:dyDescent="0.35">
      <c r="A128" s="103"/>
      <c r="B128" s="104"/>
      <c r="C128" s="104"/>
      <c r="D128" s="104"/>
      <c r="E128" s="104"/>
      <c r="F128" s="104"/>
      <c r="G128" s="104"/>
      <c r="H128" s="104"/>
      <c r="I128" s="105"/>
    </row>
    <row r="129" spans="1:9" ht="15" thickBot="1" x14ac:dyDescent="0.4">
      <c r="A129" s="106"/>
      <c r="B129" s="107"/>
      <c r="C129" s="107"/>
      <c r="D129" s="107"/>
      <c r="E129" s="107"/>
      <c r="F129" s="107"/>
      <c r="G129" s="107"/>
      <c r="H129" s="107"/>
      <c r="I129" s="108"/>
    </row>
  </sheetData>
  <mergeCells count="3">
    <mergeCell ref="C1:G4"/>
    <mergeCell ref="I1:I4"/>
    <mergeCell ref="A113:I125"/>
  </mergeCells>
  <pageMargins left="0.23622047244094491" right="0.23622047244094491" top="0.19685039370078741" bottom="0.19685039370078741" header="0.11811023622047245" footer="0.11811023622047245"/>
  <pageSetup paperSize="9" scale="75" fitToHeight="0"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30"/>
  <sheetViews>
    <sheetView showGridLines="0" view="pageBreakPreview" zoomScale="70" zoomScaleNormal="85" zoomScaleSheetLayoutView="70" workbookViewId="0">
      <selection activeCell="L9" sqref="L9"/>
    </sheetView>
  </sheetViews>
  <sheetFormatPr defaultColWidth="9.1796875" defaultRowHeight="14.5" x14ac:dyDescent="0.35"/>
  <cols>
    <col min="1" max="1" width="13" style="1" customWidth="1"/>
    <col min="2" max="2" width="13.7265625" style="1" bestFit="1" customWidth="1"/>
    <col min="3" max="3" width="29.81640625" style="1" bestFit="1" customWidth="1"/>
    <col min="4" max="4" width="30.1796875" style="1" bestFit="1" customWidth="1"/>
    <col min="5" max="5" width="32.7265625" style="1" bestFit="1" customWidth="1"/>
    <col min="6" max="6" width="9.1796875" style="1" bestFit="1" customWidth="1"/>
    <col min="7" max="7" width="10" style="1" bestFit="1" customWidth="1"/>
    <col min="8" max="8" width="24.7265625" style="1" bestFit="1" customWidth="1"/>
    <col min="9" max="9" width="25" style="1" bestFit="1" customWidth="1"/>
    <col min="10" max="10" width="19.26953125" style="1" bestFit="1" customWidth="1"/>
    <col min="11" max="11" width="4.1796875" style="1" customWidth="1"/>
    <col min="12" max="16384" width="9.1796875" style="1"/>
  </cols>
  <sheetData>
    <row r="1" spans="1:10" x14ac:dyDescent="0.35">
      <c r="A1" s="12"/>
      <c r="B1" s="13"/>
      <c r="C1" s="166" t="s">
        <v>147</v>
      </c>
      <c r="D1" s="166"/>
      <c r="E1" s="166"/>
      <c r="F1" s="166"/>
      <c r="G1" s="166"/>
      <c r="H1" s="166"/>
      <c r="I1" s="13"/>
      <c r="J1" s="169">
        <f ca="1">TODAY()</f>
        <v>44886</v>
      </c>
    </row>
    <row r="2" spans="1:10" ht="15" customHeight="1" x14ac:dyDescent="0.35">
      <c r="A2" s="15"/>
      <c r="B2" s="16"/>
      <c r="C2" s="167"/>
      <c r="D2" s="167"/>
      <c r="E2" s="167"/>
      <c r="F2" s="167"/>
      <c r="G2" s="167"/>
      <c r="H2" s="167"/>
      <c r="I2" s="20"/>
      <c r="J2" s="170"/>
    </row>
    <row r="3" spans="1:10" ht="15" customHeight="1" x14ac:dyDescent="0.35">
      <c r="A3" s="15"/>
      <c r="B3" s="16"/>
      <c r="C3" s="167"/>
      <c r="D3" s="167"/>
      <c r="E3" s="167"/>
      <c r="F3" s="167"/>
      <c r="G3" s="167"/>
      <c r="H3" s="167"/>
      <c r="I3" s="20"/>
      <c r="J3" s="170"/>
    </row>
    <row r="4" spans="1:10" x14ac:dyDescent="0.35">
      <c r="A4" s="15"/>
      <c r="B4" s="16"/>
      <c r="C4" s="167"/>
      <c r="D4" s="167"/>
      <c r="E4" s="167"/>
      <c r="F4" s="167"/>
      <c r="G4" s="167"/>
      <c r="H4" s="167"/>
      <c r="I4" s="16"/>
      <c r="J4" s="170"/>
    </row>
    <row r="5" spans="1:10" ht="16" thickBot="1" x14ac:dyDescent="0.4">
      <c r="A5" s="42" t="s">
        <v>138</v>
      </c>
      <c r="B5" s="42" t="s">
        <v>104</v>
      </c>
      <c r="C5" s="42" t="s">
        <v>114</v>
      </c>
      <c r="D5" s="42" t="s">
        <v>115</v>
      </c>
      <c r="E5" s="42" t="s">
        <v>116</v>
      </c>
      <c r="F5" s="42" t="s">
        <v>113</v>
      </c>
      <c r="G5" s="42" t="s">
        <v>117</v>
      </c>
      <c r="H5" s="42" t="s">
        <v>118</v>
      </c>
      <c r="I5" s="42" t="s">
        <v>119</v>
      </c>
      <c r="J5" s="42" t="s">
        <v>170</v>
      </c>
    </row>
    <row r="6" spans="1:10" x14ac:dyDescent="0.35">
      <c r="A6" s="98" t="s">
        <v>169</v>
      </c>
      <c r="B6" s="99">
        <f>_xll.AnalizExpert.AnalizExpertIslem.EndeksKapanis($A6)</f>
        <v>4945.37</v>
      </c>
      <c r="C6" s="99">
        <f>_xll.AnalizExpert.AnalizExpertIslem.IndMov($A6,14,"S",0,"",,"G")</f>
        <v>4808.9621428571436</v>
      </c>
      <c r="D6" s="99">
        <f>_xll.AnalizExpert.AnalizExpertIslem.IndMov($A6,14,"E",0,"",,"G")</f>
        <v>4827.5123585711644</v>
      </c>
      <c r="E6" s="99">
        <f>_xll.AnalizExpert.AnalizExpertIslem.IndMov($A6,14,"W",0,"",,"G")</f>
        <v>4902.4349523809524</v>
      </c>
      <c r="F6" s="99">
        <f>_xll.AnalizExpert.AnalizExpertIslem.IndRSI($A6,14,"",,"G")</f>
        <v>76.485121280320115</v>
      </c>
      <c r="G6" s="99">
        <f>_xll.AnalizExpert.AnalizExpertIslem.IndAtr($A6,14,"",,"G")</f>
        <v>146.3281632653061</v>
      </c>
      <c r="H6" s="99">
        <f>_xll.AnalizExpert.AnalizExpertIslem.IndBBandBot($A6,20,"S","",,"G",,2)</f>
        <v>4100.5380873848844</v>
      </c>
      <c r="I6" s="99">
        <f>_xll.AnalizExpert.AnalizExpertIslem.IndBBandTop($A6,20,"S","",,"G",,2)</f>
        <v>5225.5749126151131</v>
      </c>
      <c r="J6" s="99">
        <f>_xll.AnalizExpert.AnalizExpertIslem.IndMOM($A6,12,"S",0,"",,"G")</f>
        <v>111.33832385883942</v>
      </c>
    </row>
    <row r="7" spans="1:10" x14ac:dyDescent="0.35">
      <c r="A7" s="43" t="s">
        <v>133</v>
      </c>
      <c r="B7" s="100">
        <f>_xll.AnalizExpert.AnalizExpertIslem.EndeksKapanis($A7)</f>
        <v>4008.62</v>
      </c>
      <c r="C7" s="100">
        <f>_xll.AnalizExpert.AnalizExpertIslem.IndMov($A7,14,"S",0,"",,"G")</f>
        <v>3894.838571428571</v>
      </c>
      <c r="D7" s="100">
        <f>_xll.AnalizExpert.AnalizExpertIslem.IndMov($A7,14,"E",0,"",,"G")</f>
        <v>3907.963764317497</v>
      </c>
      <c r="E7" s="100">
        <f>_xll.AnalizExpert.AnalizExpertIslem.IndMov($A7,14,"W",0,"",,"G")</f>
        <v>3969.2992380952378</v>
      </c>
      <c r="F7" s="100">
        <f>_xll.AnalizExpert.AnalizExpertIslem.IndRSI($A7,14,"",,"G")</f>
        <v>78.431752678582896</v>
      </c>
      <c r="G7" s="100">
        <f>_xll.AnalizExpert.AnalizExpertIslem.IndAtr($A7,14,"",,"G")</f>
        <v>110.39959183673463</v>
      </c>
      <c r="H7" s="100">
        <f>_xll.AnalizExpert.AnalizExpertIslem.IndBBandBot($A7,20,"S","",,"G",,2)</f>
        <v>3321.3222222527088</v>
      </c>
      <c r="I7" s="100">
        <f>_xll.AnalizExpert.AnalizExpertIslem.IndBBandTop($A7,20,"S","",,"G",,2)</f>
        <v>4229.7517777472913</v>
      </c>
      <c r="J7" s="100">
        <f>_xll.AnalizExpert.AnalizExpertIslem.IndMOM($A7,12,"S",0,"",,"G")</f>
        <v>111.04918041869702</v>
      </c>
    </row>
    <row r="8" spans="1:10" x14ac:dyDescent="0.35">
      <c r="A8" s="43" t="s">
        <v>165</v>
      </c>
      <c r="B8" s="100">
        <f>_xll.AnalizExpert.AnalizExpertIslem.EndeksKapanis($A8)</f>
        <v>4570.32</v>
      </c>
      <c r="C8" s="100">
        <f>_xll.AnalizExpert.AnalizExpertIslem.IndMov($A8,14,"S",0,"",,"G")</f>
        <v>4419.2749999999996</v>
      </c>
      <c r="D8" s="100">
        <f>_xll.AnalizExpert.AnalizExpertIslem.IndMov($A8,14,"E",0,"",,"G")</f>
        <v>4437.4620524312377</v>
      </c>
      <c r="E8" s="100">
        <f>_xll.AnalizExpert.AnalizExpertIslem.IndMov($A8,14,"W",0,"",,"G")</f>
        <v>4505.8651428571429</v>
      </c>
      <c r="F8" s="100">
        <f>_xll.AnalizExpert.AnalizExpertIslem.IndRSI($A8,14,"",,"G")</f>
        <v>79.93266384164383</v>
      </c>
      <c r="G8" s="100">
        <f>_xll.AnalizExpert.AnalizExpertIslem.IndAtr($A8,14,"",,"G")</f>
        <v>120.20785714285708</v>
      </c>
      <c r="H8" s="100">
        <f>_xll.AnalizExpert.AnalizExpertIslem.IndBBandBot($A8,20,"S","",,"G",,2)</f>
        <v>3765.752329532661</v>
      </c>
      <c r="I8" s="100">
        <f>_xll.AnalizExpert.AnalizExpertIslem.IndBBandTop($A8,20,"S","",,"G",,2)</f>
        <v>4801.0826704673382</v>
      </c>
      <c r="J8" s="100">
        <f>_xll.AnalizExpert.AnalizExpertIslem.IndMOM($A8,12,"S",0,"",,"G")</f>
        <v>111.3229698986228</v>
      </c>
    </row>
    <row r="9" spans="1:10" x14ac:dyDescent="0.35">
      <c r="A9" s="43" t="s">
        <v>161</v>
      </c>
      <c r="B9" s="100">
        <f>_xll.AnalizExpert.AnalizExpertIslem.EndeksKapanis($A9)</f>
        <v>4242.25</v>
      </c>
      <c r="C9" s="100">
        <f>_xll.AnalizExpert.AnalizExpertIslem.IndMov($A9,14,"S",0,"",,"G")</f>
        <v>3914.1950000000006</v>
      </c>
      <c r="D9" s="100">
        <f>_xll.AnalizExpert.AnalizExpertIslem.IndMov($A9,14,"E",0,"",,"G")</f>
        <v>3975.1157476137087</v>
      </c>
      <c r="E9" s="100">
        <f>_xll.AnalizExpert.AnalizExpertIslem.IndMov($A9,14,"W",0,"",,"G")</f>
        <v>4011.2566666666671</v>
      </c>
      <c r="F9" s="100">
        <f>_xll.AnalizExpert.AnalizExpertIslem.IndRSI($A9,14,"",,"G")</f>
        <v>65.49639886509685</v>
      </c>
      <c r="G9" s="100">
        <f>_xll.AnalizExpert.AnalizExpertIslem.IndAtr($A9,14,"",,"G")</f>
        <v>190.35122448979581</v>
      </c>
      <c r="H9" s="100">
        <f>_xll.AnalizExpert.AnalizExpertIslem.IndBBandBot($A9,20,"S","",,"G",,2)</f>
        <v>3515.3752628914162</v>
      </c>
      <c r="I9" s="100">
        <f>_xll.AnalizExpert.AnalizExpertIslem.IndBBandTop($A9,20,"S","",,"G",,2)</f>
        <v>4245.8667371085839</v>
      </c>
      <c r="J9" s="100">
        <f>_xll.AnalizExpert.AnalizExpertIslem.IndMOM($A9,12,"S",0,"",,"G")</f>
        <v>117.91561275259195</v>
      </c>
    </row>
    <row r="10" spans="1:10" x14ac:dyDescent="0.35">
      <c r="A10" s="43" t="s">
        <v>166</v>
      </c>
      <c r="B10" s="100">
        <f>_xll.AnalizExpert.AnalizExpertIslem.EndeksKapanis($A10)</f>
        <v>7528.44</v>
      </c>
      <c r="C10" s="100">
        <f>_xll.AnalizExpert.AnalizExpertIslem.IndMov($A10,14,"S",0,"",,"G")</f>
        <v>7276.347142857142</v>
      </c>
      <c r="D10" s="100">
        <f>_xll.AnalizExpert.AnalizExpertIslem.IndMov($A10,14,"E",0,"",,"G")</f>
        <v>7323.15095871835</v>
      </c>
      <c r="E10" s="100">
        <f>_xll.AnalizExpert.AnalizExpertIslem.IndMov($A10,14,"W",0,"",,"G")</f>
        <v>7446.8853333333318</v>
      </c>
      <c r="F10" s="100">
        <f>_xll.AnalizExpert.AnalizExpertIslem.IndRSI($A10,14,"",,"G")</f>
        <v>78.438961457829379</v>
      </c>
      <c r="G10" s="100">
        <f>_xll.AnalizExpert.AnalizExpertIslem.IndAtr($A10,14,"",,"G")</f>
        <v>198.83515306122445</v>
      </c>
      <c r="H10" s="100">
        <f>_xll.AnalizExpert.AnalizExpertIslem.IndBBandBot($A10,20,"S","",,"G",,2)</f>
        <v>6000.608782921785</v>
      </c>
      <c r="I10" s="100">
        <f>_xll.AnalizExpert.AnalizExpertIslem.IndBBandTop($A10,20,"S","",,"G",,2)</f>
        <v>8021.8112170782188</v>
      </c>
      <c r="J10" s="100">
        <f>_xll.AnalizExpert.AnalizExpertIslem.IndMOM($A10,12,"S",0,"",,"G")</f>
        <v>111.73157494022678</v>
      </c>
    </row>
    <row r="11" spans="1:10" x14ac:dyDescent="0.35">
      <c r="A11" s="43" t="s">
        <v>167</v>
      </c>
      <c r="B11" s="100">
        <f>_xll.AnalizExpert.AnalizExpertIslem.EndeksKapanis($A11)</f>
        <v>2299.5300000000002</v>
      </c>
      <c r="C11" s="100">
        <f>_xll.AnalizExpert.AnalizExpertIslem.IndMov($A11,14,"S",0,"",,"G")</f>
        <v>2110.508571428571</v>
      </c>
      <c r="D11" s="100">
        <f>_xll.AnalizExpert.AnalizExpertIslem.IndMov($A11,14,"E",0,"",,"G")</f>
        <v>2132.8429497983534</v>
      </c>
      <c r="E11" s="100">
        <f>_xll.AnalizExpert.AnalizExpertIslem.IndMov($A11,14,"W",0,"",,"G")</f>
        <v>2160.2187619047618</v>
      </c>
      <c r="F11" s="100">
        <f>_xll.AnalizExpert.AnalizExpertIslem.IndRSI($A11,14,"",,"G")</f>
        <v>83.234141653112573</v>
      </c>
      <c r="G11" s="100">
        <f>_xll.AnalizExpert.AnalizExpertIslem.IndAtr($A11,14,"",,"G")</f>
        <v>64.03535714285718</v>
      </c>
      <c r="H11" s="100">
        <f>_xll.AnalizExpert.AnalizExpertIslem.IndBBandBot($A11,20,"S","",,"G",,2)</f>
        <v>1823.5119454692162</v>
      </c>
      <c r="I11" s="100">
        <f>_xll.AnalizExpert.AnalizExpertIslem.IndBBandTop($A11,20,"S","",,"G",,2)</f>
        <v>2291.2660545307849</v>
      </c>
      <c r="J11" s="100">
        <f>_xll.AnalizExpert.AnalizExpertIslem.IndMOM($A11,12,"S",0,"",,"G")</f>
        <v>115.00237553449529</v>
      </c>
    </row>
    <row r="12" spans="1:10" x14ac:dyDescent="0.35">
      <c r="A12" s="43" t="s">
        <v>168</v>
      </c>
      <c r="B12" s="100">
        <f>_xll.AnalizExpert.AnalizExpertIslem.EndeksKapanis($A12)</f>
        <v>4496.8100000000004</v>
      </c>
      <c r="C12" s="100">
        <f>_xll.AnalizExpert.AnalizExpertIslem.IndMov($A12,14,"S",0,"",,"G")</f>
        <v>4320.8721428571425</v>
      </c>
      <c r="D12" s="100">
        <f>_xll.AnalizExpert.AnalizExpertIslem.IndMov($A12,14,"E",0,"",,"G")</f>
        <v>4324.8342342761953</v>
      </c>
      <c r="E12" s="100">
        <f>_xll.AnalizExpert.AnalizExpertIslem.IndMov($A12,14,"W",0,"",,"G")</f>
        <v>4345.1619047619042</v>
      </c>
      <c r="F12" s="100">
        <f>_xll.AnalizExpert.AnalizExpertIslem.IndRSI($A12,14,"",,"G")</f>
        <v>68.694800024499301</v>
      </c>
      <c r="G12" s="100">
        <f>_xll.AnalizExpert.AnalizExpertIslem.IndAtr($A12,14,"",,"G")</f>
        <v>103.2603571428572</v>
      </c>
      <c r="H12" s="100">
        <f>_xll.AnalizExpert.AnalizExpertIslem.IndBBandBot($A12,20,"S","",,"G",,2)</f>
        <v>4070.9352807605087</v>
      </c>
      <c r="I12" s="100">
        <f>_xll.AnalizExpert.AnalizExpertIslem.IndBBandTop($A12,20,"S","",,"G",,2)</f>
        <v>4473.5957192394926</v>
      </c>
      <c r="J12" s="100">
        <f>_xll.AnalizExpert.AnalizExpertIslem.IndMOM($A12,12,"S",0,"",,"G")</f>
        <v>105.76125686465892</v>
      </c>
    </row>
    <row r="13" spans="1:10" ht="16" thickBot="1" x14ac:dyDescent="0.4">
      <c r="A13" s="42" t="s">
        <v>138</v>
      </c>
      <c r="B13" s="42" t="s">
        <v>104</v>
      </c>
      <c r="C13" s="42" t="s">
        <v>114</v>
      </c>
      <c r="D13" s="42" t="s">
        <v>115</v>
      </c>
      <c r="E13" s="42" t="s">
        <v>116</v>
      </c>
      <c r="F13" s="42" t="s">
        <v>113</v>
      </c>
      <c r="G13" s="42" t="s">
        <v>117</v>
      </c>
      <c r="H13" s="42" t="s">
        <v>118</v>
      </c>
      <c r="I13" s="42" t="s">
        <v>119</v>
      </c>
      <c r="J13" s="42" t="s">
        <v>170</v>
      </c>
    </row>
    <row r="14" spans="1:10" x14ac:dyDescent="0.35">
      <c r="A14" s="128" t="s">
        <v>9</v>
      </c>
      <c r="B14" s="129">
        <f>_xll.AnalizExpert.AnalizExpertIslem.HisseKapanis($A14)</f>
        <v>58.75</v>
      </c>
      <c r="C14" s="129">
        <f>_xll.AnalizExpert.AnalizExpertIslem.IndMov($A14,14,"S",0,"",,"G")</f>
        <v>53.132142857142846</v>
      </c>
      <c r="D14" s="129">
        <f>_xll.AnalizExpert.AnalizExpertIslem.IndMov($A14,14,"E",0,"",,"G")</f>
        <v>53.493486185712513</v>
      </c>
      <c r="E14" s="129">
        <f>_xll.AnalizExpert.AnalizExpertIslem.IndMov($A14,14,"W",0,"",,"G")</f>
        <v>54.378285714285717</v>
      </c>
      <c r="F14" s="130">
        <f>_xll.AnalizExpert.AnalizExpertIslem.IndRSI($A14,14,"",,"G")</f>
        <v>73.507297655904466</v>
      </c>
      <c r="G14" s="130">
        <f>_xll.AnalizExpert.AnalizExpertIslem.IndAtr($A14,14,"",,"G")</f>
        <v>2.6555102040816307</v>
      </c>
      <c r="H14" s="130">
        <f>_xll.AnalizExpert.AnalizExpertIslem.IndBBandBot($A14,20,"S","",,"G",,2)</f>
        <v>44.839271641006412</v>
      </c>
      <c r="I14" s="130">
        <f>_xll.AnalizExpert.AnalizExpertIslem.IndBBandTop($A14,20,"S","",,"G",,2)</f>
        <v>58.265728358993591</v>
      </c>
      <c r="J14" s="131">
        <f>_xll.AnalizExpert.AnalizExpertIslem.IndMOM($A14,12,"S",0,"",,"G")</f>
        <v>117.9245283018868</v>
      </c>
    </row>
    <row r="15" spans="1:10" x14ac:dyDescent="0.35">
      <c r="A15" s="132" t="s">
        <v>10</v>
      </c>
      <c r="B15" s="33">
        <f>_xll.AnalizExpert.AnalizExpertIslem.HisseKapanis($A15)</f>
        <v>90.5</v>
      </c>
      <c r="C15" s="33">
        <f>_xll.AnalizExpert.AnalizExpertIslem.IndMov($A15,14,"S",0,"",,"G")</f>
        <v>90.45714285714287</v>
      </c>
      <c r="D15" s="33">
        <f>_xll.AnalizExpert.AnalizExpertIslem.IndMov($A15,14,"E",0,"",,"G")</f>
        <v>89.747569967059221</v>
      </c>
      <c r="E15" s="33">
        <f>_xll.AnalizExpert.AnalizExpertIslem.IndMov($A15,14,"W",0,"",,"G")</f>
        <v>90.660952380952395</v>
      </c>
      <c r="F15" s="6">
        <f>_xll.AnalizExpert.AnalizExpertIslem.IndRSI($A15,14,"",,"G")</f>
        <v>57.122905027932944</v>
      </c>
      <c r="G15" s="6">
        <f>_xll.AnalizExpert.AnalizExpertIslem.IndAtr($A15,14,"",,"G")</f>
        <v>4.1232142857142859</v>
      </c>
      <c r="H15" s="6">
        <f>_xll.AnalizExpert.AnalizExpertIslem.IndBBandBot($A15,20,"S","",,"G",,2)</f>
        <v>82.769500019529815</v>
      </c>
      <c r="I15" s="6">
        <f>_xll.AnalizExpert.AnalizExpertIslem.IndBBandTop($A15,20,"S","",,"G",,2)</f>
        <v>95.570499980470217</v>
      </c>
      <c r="J15" s="133">
        <f>_xll.AnalizExpert.AnalizExpertIslem.IndMOM($A15,12,"S",0,"",,"G")</f>
        <v>103.0751708428246</v>
      </c>
    </row>
    <row r="16" spans="1:10" x14ac:dyDescent="0.35">
      <c r="A16" s="132" t="s">
        <v>1</v>
      </c>
      <c r="B16" s="33">
        <f>_xll.AnalizExpert.AnalizExpertIslem.HisseKapanis($A16)</f>
        <v>16.53</v>
      </c>
      <c r="C16" s="33">
        <f>_xll.AnalizExpert.AnalizExpertIslem.IndMov($A16,14,"S",0,"",,"G")</f>
        <v>15.384285714285713</v>
      </c>
      <c r="D16" s="33">
        <f>_xll.AnalizExpert.AnalizExpertIslem.IndMov($A16,14,"E",0,"",,"G")</f>
        <v>15.580236077771668</v>
      </c>
      <c r="E16" s="33">
        <f>_xll.AnalizExpert.AnalizExpertIslem.IndMov($A16,14,"W",0,"",,"G")</f>
        <v>15.736666666666666</v>
      </c>
      <c r="F16" s="6">
        <f>_xll.AnalizExpert.AnalizExpertIslem.IndRSI($A16,14,"",,"G")</f>
        <v>65.137614678899084</v>
      </c>
      <c r="G16" s="6">
        <f>_xll.AnalizExpert.AnalizExpertIslem.IndAtr($A16,14,"",,"G")</f>
        <v>0.74989795918367286</v>
      </c>
      <c r="H16" s="6">
        <f>_xll.AnalizExpert.AnalizExpertIslem.IndBBandBot($A16,20,"S","",,"G",,2)</f>
        <v>13.900302626650882</v>
      </c>
      <c r="I16" s="6">
        <f>_xll.AnalizExpert.AnalizExpertIslem.IndBBandTop($A16,20,"S","",,"G",,2)</f>
        <v>16.675697373349117</v>
      </c>
      <c r="J16" s="133">
        <f>_xll.AnalizExpert.AnalizExpertIslem.IndMOM($A16,12,"S",0,"",,"G")</f>
        <v>116.49048625792813</v>
      </c>
    </row>
    <row r="17" spans="1:10" x14ac:dyDescent="0.35">
      <c r="A17" s="132" t="s">
        <v>2</v>
      </c>
      <c r="B17" s="33">
        <f>_xll.AnalizExpert.AnalizExpertIslem.HisseKapanis($A17)</f>
        <v>4.34</v>
      </c>
      <c r="C17" s="33">
        <f>_xll.AnalizExpert.AnalizExpertIslem.IndMov($A17,14,"S",0,"",,"G")</f>
        <v>4.5157142857142851</v>
      </c>
      <c r="D17" s="33">
        <f>_xll.AnalizExpert.AnalizExpertIslem.IndMov($A17,14,"E",0,"",,"G")</f>
        <v>4.414700225125749</v>
      </c>
      <c r="E17" s="33">
        <f>_xll.AnalizExpert.AnalizExpertIslem.IndMov($A17,14,"W",0,"",,"G")</f>
        <v>4.429904761904762</v>
      </c>
      <c r="F17" s="6">
        <f>_xll.AnalizExpert.AnalizExpertIslem.IndRSI($A17,14,"",,"G")</f>
        <v>50.399999999999991</v>
      </c>
      <c r="G17" s="6">
        <f>_xll.AnalizExpert.AnalizExpertIslem.IndAtr($A17,14,"",,"G")</f>
        <v>0.23607142857142868</v>
      </c>
      <c r="H17" s="6">
        <f>_xll.AnalizExpert.AnalizExpertIslem.IndBBandBot($A17,20,"S","",,"G",,2)</f>
        <v>4.0697895319694615</v>
      </c>
      <c r="I17" s="6">
        <f>_xll.AnalizExpert.AnalizExpertIslem.IndBBandTop($A17,20,"S","",,"G",,2)</f>
        <v>4.8302104680305389</v>
      </c>
      <c r="J17" s="133">
        <f>_xll.AnalizExpert.AnalizExpertIslem.IndMOM($A17,12,"S",0,"",,"G")</f>
        <v>90.22869022869024</v>
      </c>
    </row>
    <row r="18" spans="1:10" x14ac:dyDescent="0.35">
      <c r="A18" s="132" t="s">
        <v>3</v>
      </c>
      <c r="B18" s="33">
        <f>_xll.AnalizExpert.AnalizExpertIslem.HisseKapanis($A18)</f>
        <v>78.7</v>
      </c>
      <c r="C18" s="33">
        <f>_xll.AnalizExpert.AnalizExpertIslem.IndMov($A18,14,"S",0,"",,"G")</f>
        <v>77.767857142857125</v>
      </c>
      <c r="D18" s="33">
        <f>_xll.AnalizExpert.AnalizExpertIslem.IndMov($A18,14,"E",0,"",,"G")</f>
        <v>77.482361612817343</v>
      </c>
      <c r="E18" s="33">
        <f>_xll.AnalizExpert.AnalizExpertIslem.IndMov($A18,14,"W",0,"",,"G")</f>
        <v>78.56047619047618</v>
      </c>
      <c r="F18" s="6">
        <f>_xll.AnalizExpert.AnalizExpertIslem.IndRSI($A18,14,"",,"G")</f>
        <v>65.938864628820966</v>
      </c>
      <c r="G18" s="6">
        <f>_xll.AnalizExpert.AnalizExpertIslem.IndAtr($A18,14,"",,"G")</f>
        <v>3.6770408163265311</v>
      </c>
      <c r="H18" s="6">
        <f>_xll.AnalizExpert.AnalizExpertIslem.IndBBandBot($A18,20,"S","",,"G",,2)</f>
        <v>67.058229917909188</v>
      </c>
      <c r="I18" s="6">
        <f>_xll.AnalizExpert.AnalizExpertIslem.IndBBandTop($A18,20,"S","",,"G",,2)</f>
        <v>83.711770082090794</v>
      </c>
      <c r="J18" s="133">
        <f>_xll.AnalizExpert.AnalizExpertIslem.IndMOM($A18,12,"S",0,"",,"G")</f>
        <v>103.07793058284219</v>
      </c>
    </row>
    <row r="19" spans="1:10" x14ac:dyDescent="0.35">
      <c r="A19" s="132" t="s">
        <v>4</v>
      </c>
      <c r="B19" s="33">
        <f>_xll.AnalizExpert.AnalizExpertIslem.HisseKapanis($A19)</f>
        <v>48.5</v>
      </c>
      <c r="C19" s="33">
        <f>_xll.AnalizExpert.AnalizExpertIslem.IndMov($A19,14,"S",0,"",,"G")</f>
        <v>47.080714285714279</v>
      </c>
      <c r="D19" s="33">
        <f>_xll.AnalizExpert.AnalizExpertIslem.IndMov($A19,14,"E",0,"",,"G")</f>
        <v>47.019195623133186</v>
      </c>
      <c r="E19" s="33">
        <f>_xll.AnalizExpert.AnalizExpertIslem.IndMov($A19,14,"W",0,"",,"G")</f>
        <v>47.473142857142854</v>
      </c>
      <c r="F19" s="6">
        <f>_xll.AnalizExpert.AnalizExpertIslem.IndRSI($A19,14,"",,"G")</f>
        <v>61.081370449678801</v>
      </c>
      <c r="G19" s="6">
        <f>_xll.AnalizExpert.AnalizExpertIslem.IndAtr($A19,14,"",,"G")</f>
        <v>2.3967346938775518</v>
      </c>
      <c r="H19" s="6">
        <f>_xll.AnalizExpert.AnalizExpertIslem.IndBBandBot($A19,20,"S","",,"G",,2)</f>
        <v>39.988962911838591</v>
      </c>
      <c r="I19" s="6">
        <f>_xll.AnalizExpert.AnalizExpertIslem.IndBBandTop($A19,20,"S","",,"G",,2)</f>
        <v>51.010037088161404</v>
      </c>
      <c r="J19" s="133">
        <f>_xll.AnalizExpert.AnalizExpertIslem.IndMOM($A19,12,"S",0,"",,"G")</f>
        <v>107.53880266075389</v>
      </c>
    </row>
    <row r="20" spans="1:10" x14ac:dyDescent="0.35">
      <c r="A20" s="132" t="s">
        <v>6</v>
      </c>
      <c r="B20" s="33">
        <f>_xll.AnalizExpert.AnalizExpertIslem.HisseKapanis($A20)</f>
        <v>77.95</v>
      </c>
      <c r="C20" s="33">
        <f>_xll.AnalizExpert.AnalizExpertIslem.IndMov($A20,14,"S",0,"",,"G")</f>
        <v>77.135714285714286</v>
      </c>
      <c r="D20" s="33">
        <f>_xll.AnalizExpert.AnalizExpertIslem.IndMov($A20,14,"E",0,"",,"G")</f>
        <v>75.973547611944809</v>
      </c>
      <c r="E20" s="33">
        <f>_xll.AnalizExpert.AnalizExpertIslem.IndMov($A20,14,"W",0,"",,"G")</f>
        <v>77.536666666666676</v>
      </c>
      <c r="F20" s="6">
        <f>_xll.AnalizExpert.AnalizExpertIslem.IndRSI($A20,14,"",,"G")</f>
        <v>68.341708542713562</v>
      </c>
      <c r="G20" s="6">
        <f>_xll.AnalizExpert.AnalizExpertIslem.IndAtr($A20,14,"",,"G")</f>
        <v>4.7403061224489784</v>
      </c>
      <c r="H20" s="6">
        <f>_xll.AnalizExpert.AnalizExpertIslem.IndBBandBot($A20,20,"S","",,"G",,2)</f>
        <v>60.155161663823407</v>
      </c>
      <c r="I20" s="6">
        <f>_xll.AnalizExpert.AnalizExpertIslem.IndBBandTop($A20,20,"S","",,"G",,2)</f>
        <v>86.134838336176557</v>
      </c>
      <c r="J20" s="133">
        <f>_xll.AnalizExpert.AnalizExpertIslem.IndMOM($A20,12,"S",0,"",,"G")</f>
        <v>107.44314266023434</v>
      </c>
    </row>
    <row r="21" spans="1:10" x14ac:dyDescent="0.35">
      <c r="A21" s="132" t="s">
        <v>7</v>
      </c>
      <c r="B21" s="33">
        <f>_xll.AnalizExpert.AnalizExpertIslem.HisseKapanis($A21)</f>
        <v>3.49</v>
      </c>
      <c r="C21" s="33">
        <f>_xll.AnalizExpert.AnalizExpertIslem.IndMov($A21,14,"S",0,"",,"G")</f>
        <v>2.6949999999999998</v>
      </c>
      <c r="D21" s="33">
        <f>_xll.AnalizExpert.AnalizExpertIslem.IndMov($A21,14,"E",0,"",,"G")</f>
        <v>2.8314677069102574</v>
      </c>
      <c r="E21" s="33">
        <f>_xll.AnalizExpert.AnalizExpertIslem.IndMov($A21,14,"W",0,"",,"G")</f>
        <v>2.894190476190476</v>
      </c>
      <c r="F21" s="6">
        <f>_xll.AnalizExpert.AnalizExpertIslem.IndRSI($A21,14,"",,"G")</f>
        <v>91.095890410958916</v>
      </c>
      <c r="G21" s="6">
        <f>_xll.AnalizExpert.AnalizExpertIslem.IndAtr($A21,14,"",,"G")</f>
        <v>0.20076530612244897</v>
      </c>
      <c r="H21" s="6">
        <f>_xll.AnalizExpert.AnalizExpertIslem.IndBBandBot($A21,20,"S","",,"G",,2)</f>
        <v>1.7926989984598074</v>
      </c>
      <c r="I21" s="6">
        <f>_xll.AnalizExpert.AnalizExpertIslem.IndBBandTop($A21,20,"S","",,"G",,2)</f>
        <v>3.3503010015401924</v>
      </c>
      <c r="J21" s="133">
        <f>_xll.AnalizExpert.AnalizExpertIslem.IndMOM($A21,12,"S",0,"",,"G")</f>
        <v>152.40174672489084</v>
      </c>
    </row>
    <row r="22" spans="1:10" x14ac:dyDescent="0.35">
      <c r="A22" s="132" t="s">
        <v>5</v>
      </c>
      <c r="B22" s="33">
        <f>_xll.AnalizExpert.AnalizExpertIslem.HisseKapanis($A22)</f>
        <v>69.900000000000006</v>
      </c>
      <c r="C22" s="33">
        <f>_xll.AnalizExpert.AnalizExpertIslem.IndMov($A22,14,"S",0,"",,"G")</f>
        <v>64.967857142857156</v>
      </c>
      <c r="D22" s="33">
        <f>_xll.AnalizExpert.AnalizExpertIslem.IndMov($A22,14,"E",0,"",,"G")</f>
        <v>65.773074809601184</v>
      </c>
      <c r="E22" s="33">
        <f>_xll.AnalizExpert.AnalizExpertIslem.IndMov($A22,14,"W",0,"",,"G")</f>
        <v>66.607619047619053</v>
      </c>
      <c r="F22" s="6">
        <f>_xll.AnalizExpert.AnalizExpertIslem.IndRSI($A22,14,"",,"G")</f>
        <v>69.854469854469869</v>
      </c>
      <c r="G22" s="6">
        <f>_xll.AnalizExpert.AnalizExpertIslem.IndAtr($A22,14,"",,"G")</f>
        <v>3.527551020408163</v>
      </c>
      <c r="H22" s="6">
        <f>_xll.AnalizExpert.AnalizExpertIslem.IndBBandBot($A22,20,"S","",,"G",,2)</f>
        <v>55.228493906944607</v>
      </c>
      <c r="I22" s="6">
        <f>_xll.AnalizExpert.AnalizExpertIslem.IndBBandTop($A22,20,"S","",,"G",,2)</f>
        <v>71.476506093055406</v>
      </c>
      <c r="J22" s="133">
        <f>_xll.AnalizExpert.AnalizExpertIslem.IndMOM($A22,12,"S",0,"",,"G")</f>
        <v>113.290113452188</v>
      </c>
    </row>
    <row r="23" spans="1:10" x14ac:dyDescent="0.35">
      <c r="A23" s="132" t="s">
        <v>8</v>
      </c>
      <c r="B23" s="33">
        <f>_xll.AnalizExpert.AnalizExpertIslem.HisseKapanis($A23)</f>
        <v>38.119999999999997</v>
      </c>
      <c r="C23" s="33">
        <f>_xll.AnalizExpert.AnalizExpertIslem.IndMov($A23,14,"S",0,"",,"G")</f>
        <v>40.51285714285715</v>
      </c>
      <c r="D23" s="33">
        <f>_xll.AnalizExpert.AnalizExpertIslem.IndMov($A23,14,"E",0,"",,"G")</f>
        <v>39.551889381615446</v>
      </c>
      <c r="E23" s="33">
        <f>_xll.AnalizExpert.AnalizExpertIslem.IndMov($A23,14,"W",0,"",,"G")</f>
        <v>39.795809523809531</v>
      </c>
      <c r="F23" s="6">
        <f>_xll.AnalizExpert.AnalizExpertIslem.IndRSI($A23,14,"",,"G")</f>
        <v>47.79771615008157</v>
      </c>
      <c r="G23" s="6">
        <f>_xll.AnalizExpert.AnalizExpertIslem.IndAtr($A23,14,"",,"G")</f>
        <v>1.7576530612244903</v>
      </c>
      <c r="H23" s="6">
        <f>_xll.AnalizExpert.AnalizExpertIslem.IndBBandBot($A23,20,"S","",,"G",,2)</f>
        <v>36.028829294640296</v>
      </c>
      <c r="I23" s="6">
        <f>_xll.AnalizExpert.AnalizExpertIslem.IndBBandTop($A23,20,"S","",,"G",,2)</f>
        <v>43.615170705359695</v>
      </c>
      <c r="J23" s="133">
        <f>_xll.AnalizExpert.AnalizExpertIslem.IndMOM($A23,12,"S",0,"",,"G")</f>
        <v>93.431372549019613</v>
      </c>
    </row>
    <row r="24" spans="1:10" x14ac:dyDescent="0.35">
      <c r="A24" s="132" t="s">
        <v>11</v>
      </c>
      <c r="B24" s="33">
        <f>_xll.AnalizExpert.AnalizExpertIslem.HisseKapanis($A24)</f>
        <v>88.8</v>
      </c>
      <c r="C24" s="33">
        <f>_xll.AnalizExpert.AnalizExpertIslem.IndMov($A24,14,"S",0,"",,"G")</f>
        <v>81.585714285714303</v>
      </c>
      <c r="D24" s="33">
        <f>_xll.AnalizExpert.AnalizExpertIslem.IndMov($A24,14,"E",0,"",,"G")</f>
        <v>82.247278689509002</v>
      </c>
      <c r="E24" s="33">
        <f>_xll.AnalizExpert.AnalizExpertIslem.IndMov($A24,14,"W",0,"",,"G")</f>
        <v>82.858571428571423</v>
      </c>
      <c r="F24" s="6">
        <f>_xll.AnalizExpert.AnalizExpertIslem.IndRSI($A24,14,"",,"G")</f>
        <v>71.676300578034713</v>
      </c>
      <c r="G24" s="6">
        <f>_xll.AnalizExpert.AnalizExpertIslem.IndAtr($A24,14,"",,"G")</f>
        <v>2.9627551020408172</v>
      </c>
      <c r="H24" s="6">
        <f>_xll.AnalizExpert.AnalizExpertIslem.IndBBandBot($A24,20,"S","",,"G",,2)</f>
        <v>71.246483594795293</v>
      </c>
      <c r="I24" s="6">
        <f>_xll.AnalizExpert.AnalizExpertIslem.IndBBandTop($A24,20,"S","",,"G",,2)</f>
        <v>87.948516405204671</v>
      </c>
      <c r="J24" s="133">
        <f>_xll.AnalizExpert.AnalizExpertIslem.IndMOM($A24,12,"S",0,"",,"G")</f>
        <v>111.27819548872179</v>
      </c>
    </row>
    <row r="25" spans="1:10" x14ac:dyDescent="0.35">
      <c r="A25" s="132" t="s">
        <v>12</v>
      </c>
      <c r="B25" s="33">
        <f>_xll.AnalizExpert.AnalizExpertIslem.HisseKapanis($A25)</f>
        <v>9.35</v>
      </c>
      <c r="C25" s="33">
        <f>_xll.AnalizExpert.AnalizExpertIslem.IndMov($A25,14,"S",0,"",,"G")</f>
        <v>7.9742857142857142</v>
      </c>
      <c r="D25" s="33">
        <f>_xll.AnalizExpert.AnalizExpertIslem.IndMov($A25,14,"E",0,"",,"G")</f>
        <v>8.0943562937474383</v>
      </c>
      <c r="E25" s="33">
        <f>_xll.AnalizExpert.AnalizExpertIslem.IndMov($A25,14,"W",0,"",,"G")</f>
        <v>8.1281904761904755</v>
      </c>
      <c r="F25" s="6">
        <f>_xll.AnalizExpert.AnalizExpertIslem.IndRSI($A25,14,"",,"G")</f>
        <v>73.69863013698631</v>
      </c>
      <c r="G25" s="6">
        <f>_xll.AnalizExpert.AnalizExpertIslem.IndAtr($A25,14,"",,"G")</f>
        <v>0.42882653061224474</v>
      </c>
      <c r="H25" s="6">
        <f>_xll.AnalizExpert.AnalizExpertIslem.IndBBandBot($A25,20,"S","",,"G",,2)</f>
        <v>6.9725781733283023</v>
      </c>
      <c r="I25" s="6">
        <f>_xll.AnalizExpert.AnalizExpertIslem.IndBBandTop($A25,20,"S","",,"G",,2)</f>
        <v>8.7154218266716974</v>
      </c>
      <c r="J25" s="133">
        <f>_xll.AnalizExpert.AnalizExpertIslem.IndMOM($A25,12,"S",0,"",,"G")</f>
        <v>121.42857142857142</v>
      </c>
    </row>
    <row r="26" spans="1:10" x14ac:dyDescent="0.35">
      <c r="A26" s="132" t="s">
        <v>13</v>
      </c>
      <c r="B26" s="33">
        <f>_xll.AnalizExpert.AnalizExpertIslem.HisseKapanis($A26)</f>
        <v>41.58</v>
      </c>
      <c r="C26" s="33">
        <f>_xll.AnalizExpert.AnalizExpertIslem.IndMov($A26,14,"S",0,"",,"G")</f>
        <v>38.160132046106334</v>
      </c>
      <c r="D26" s="33">
        <f>_xll.AnalizExpert.AnalizExpertIslem.IndMov($A26,14,"E",0,"",,"G")</f>
        <v>38.484763139620924</v>
      </c>
      <c r="E26" s="33">
        <f>_xll.AnalizExpert.AnalizExpertIslem.IndMov($A26,14,"W",0,"",,"G")</f>
        <v>39.350698272209627</v>
      </c>
      <c r="F26" s="6">
        <f>_xll.AnalizExpert.AnalizExpertIslem.IndRSI($A26,14,"",,"G")</f>
        <v>77.532668757524476</v>
      </c>
      <c r="G26" s="6">
        <f>_xll.AnalizExpert.AnalizExpertIslem.IndAtr($A26,14,"",,"G")</f>
        <v>2.2381813689704617</v>
      </c>
      <c r="H26" s="6">
        <f>_xll.AnalizExpert.AnalizExpertIslem.IndBBandBot($A26,20,"S","",,"G",,2)</f>
        <v>29.640709565639504</v>
      </c>
      <c r="I26" s="6">
        <f>_xll.AnalizExpert.AnalizExpertIslem.IndBBandTop($A26,20,"S","",,"G",,2)</f>
        <v>43.171923991638415</v>
      </c>
      <c r="J26" s="133">
        <f>_xll.AnalizExpert.AnalizExpertIslem.IndMOM($A26,12,"S",0,"",,"G")</f>
        <v>121.11570154130065</v>
      </c>
    </row>
    <row r="27" spans="1:10" x14ac:dyDescent="0.35">
      <c r="A27" s="132" t="s">
        <v>14</v>
      </c>
      <c r="B27" s="33">
        <f>_xll.AnalizExpert.AnalizExpertIslem.HisseKapanis($A27)</f>
        <v>18.55</v>
      </c>
      <c r="C27" s="33">
        <f>_xll.AnalizExpert.AnalizExpertIslem.IndMov($A27,14,"S",0,"",,"G")</f>
        <v>17.793571428571429</v>
      </c>
      <c r="D27" s="33">
        <f>_xll.AnalizExpert.AnalizExpertIslem.IndMov($A27,14,"E",0,"",,"G")</f>
        <v>17.687669024456117</v>
      </c>
      <c r="E27" s="33">
        <f>_xll.AnalizExpert.AnalizExpertIslem.IndMov($A27,14,"W",0,"",,"G")</f>
        <v>17.749809523809521</v>
      </c>
      <c r="F27" s="6">
        <f>_xll.AnalizExpert.AnalizExpertIslem.IndRSI($A27,14,"",,"G")</f>
        <v>59.107806691449824</v>
      </c>
      <c r="G27" s="6">
        <f>_xll.AnalizExpert.AnalizExpertIslem.IndAtr($A27,14,"",,"G")</f>
        <v>0.88617346938775576</v>
      </c>
      <c r="H27" s="6">
        <f>_xll.AnalizExpert.AnalizExpertIslem.IndBBandBot($A27,20,"S","",,"G",,2)</f>
        <v>16.139365110614957</v>
      </c>
      <c r="I27" s="6">
        <f>_xll.AnalizExpert.AnalizExpertIslem.IndBBandTop($A27,20,"S","",,"G",,2)</f>
        <v>18.880634889385039</v>
      </c>
      <c r="J27" s="133">
        <f>_xll.AnalizExpert.AnalizExpertIslem.IndMOM($A27,12,"S",0,"",,"G")</f>
        <v>99.091880341880355</v>
      </c>
    </row>
    <row r="28" spans="1:10" x14ac:dyDescent="0.35">
      <c r="A28" s="132" t="s">
        <v>15</v>
      </c>
      <c r="B28" s="33">
        <f>_xll.AnalizExpert.AnalizExpertIslem.HisseKapanis($A28)</f>
        <v>41.06</v>
      </c>
      <c r="C28" s="33">
        <f>_xll.AnalizExpert.AnalizExpertIslem.IndMov($A28,14,"S",0,"",,"G")</f>
        <v>41.038571428571423</v>
      </c>
      <c r="D28" s="33">
        <f>_xll.AnalizExpert.AnalizExpertIslem.IndMov($A28,14,"E",0,"",,"G")</f>
        <v>40.986436037088907</v>
      </c>
      <c r="E28" s="33">
        <f>_xll.AnalizExpert.AnalizExpertIslem.IndMov($A28,14,"W",0,"",,"G")</f>
        <v>41.42285714285714</v>
      </c>
      <c r="F28" s="6">
        <f>_xll.AnalizExpert.AnalizExpertIslem.IndRSI($A28,14,"",,"G")</f>
        <v>57.489878542510112</v>
      </c>
      <c r="G28" s="6">
        <f>_xll.AnalizExpert.AnalizExpertIslem.IndAtr($A28,14,"",,"G")</f>
        <v>2.5519387755102034</v>
      </c>
      <c r="H28" s="6">
        <f>_xll.AnalizExpert.AnalizExpertIslem.IndBBandBot($A28,20,"S","",,"G",,2)</f>
        <v>32.903883093468671</v>
      </c>
      <c r="I28" s="6">
        <f>_xll.AnalizExpert.AnalizExpertIslem.IndBBandTop($A28,20,"S","",,"G",,2)</f>
        <v>45.63211690653133</v>
      </c>
      <c r="J28" s="133">
        <f>_xll.AnalizExpert.AnalizExpertIslem.IndMOM($A28,12,"S",0,"",,"G")</f>
        <v>106.04338842975207</v>
      </c>
    </row>
    <row r="29" spans="1:10" x14ac:dyDescent="0.35">
      <c r="A29" s="132" t="s">
        <v>16</v>
      </c>
      <c r="B29" s="33">
        <f>_xll.AnalizExpert.AnalizExpertIslem.HisseKapanis($A29)</f>
        <v>17.420000000000002</v>
      </c>
      <c r="C29" s="33">
        <f>_xll.AnalizExpert.AnalizExpertIslem.IndMov($A29,14,"S",0,"",,"G")</f>
        <v>17.249285714285712</v>
      </c>
      <c r="D29" s="33">
        <f>_xll.AnalizExpert.AnalizExpertIslem.IndMov($A29,14,"E",0,"",,"G")</f>
        <v>17.154338906484824</v>
      </c>
      <c r="E29" s="33">
        <f>_xll.AnalizExpert.AnalizExpertIslem.IndMov($A29,14,"W",0,"",,"G")</f>
        <v>17.206857142857142</v>
      </c>
      <c r="F29" s="6">
        <f>_xll.AnalizExpert.AnalizExpertIslem.IndRSI($A29,14,"",,"G")</f>
        <v>56.726457399103154</v>
      </c>
      <c r="G29" s="6">
        <f>_xll.AnalizExpert.AnalizExpertIslem.IndAtr($A29,14,"",,"G")</f>
        <v>0.59040816326530587</v>
      </c>
      <c r="H29" s="6">
        <f>_xll.AnalizExpert.AnalizExpertIslem.IndBBandBot($A29,20,"S","",,"G",,2)</f>
        <v>16.464272698117526</v>
      </c>
      <c r="I29" s="6">
        <f>_xll.AnalizExpert.AnalizExpertIslem.IndBBandTop($A29,20,"S","",,"G",,2)</f>
        <v>17.810727301882466</v>
      </c>
      <c r="J29" s="133">
        <f>_xll.AnalizExpert.AnalizExpertIslem.IndMOM($A29,12,"S",0,"",,"G")</f>
        <v>99.942627653471035</v>
      </c>
    </row>
    <row r="30" spans="1:10" x14ac:dyDescent="0.35">
      <c r="A30" s="132" t="s">
        <v>17</v>
      </c>
      <c r="B30" s="33">
        <f>_xll.AnalizExpert.AnalizExpertIslem.HisseKapanis($A30)</f>
        <v>28.98</v>
      </c>
      <c r="C30" s="33">
        <f>_xll.AnalizExpert.AnalizExpertIslem.IndMov($A30,14,"S",0,"",,"G")</f>
        <v>27.687142857142859</v>
      </c>
      <c r="D30" s="33">
        <f>_xll.AnalizExpert.AnalizExpertIslem.IndMov($A30,14,"E",0,"",,"G")</f>
        <v>27.499933753396537</v>
      </c>
      <c r="E30" s="33">
        <f>_xll.AnalizExpert.AnalizExpertIslem.IndMov($A30,14,"W",0,"",,"G")</f>
        <v>28.091999999999999</v>
      </c>
      <c r="F30" s="6">
        <f>_xll.AnalizExpert.AnalizExpertIslem.IndRSI($A30,14,"",,"G")</f>
        <v>72.007366482504622</v>
      </c>
      <c r="G30" s="6">
        <f>_xll.AnalizExpert.AnalizExpertIslem.IndAtr($A30,14,"",,"G")</f>
        <v>1.7896938775510205</v>
      </c>
      <c r="H30" s="6">
        <f>_xll.AnalizExpert.AnalizExpertIslem.IndBBandBot($A30,20,"S","",,"G",,2)</f>
        <v>21.976862474035329</v>
      </c>
      <c r="I30" s="6">
        <f>_xll.AnalizExpert.AnalizExpertIslem.IndBBandTop($A30,20,"S","",,"G",,2)</f>
        <v>30.877137525964692</v>
      </c>
      <c r="J30" s="133">
        <f>_xll.AnalizExpert.AnalizExpertIslem.IndMOM($A30,12,"S",0,"",,"G")</f>
        <v>111.46153846153845</v>
      </c>
    </row>
    <row r="31" spans="1:10" x14ac:dyDescent="0.35">
      <c r="A31" s="132" t="s">
        <v>18</v>
      </c>
      <c r="B31" s="33">
        <f>_xll.AnalizExpert.AnalizExpertIslem.HisseKapanis($A31)</f>
        <v>128.19999999999999</v>
      </c>
      <c r="C31" s="33">
        <f>_xll.AnalizExpert.AnalizExpertIslem.IndMov($A31,14,"S",0,"",,"G")</f>
        <v>137.24285714285713</v>
      </c>
      <c r="D31" s="33">
        <f>_xll.AnalizExpert.AnalizExpertIslem.IndMov($A31,14,"E",0,"",,"G")</f>
        <v>134.54754452142083</v>
      </c>
      <c r="E31" s="33">
        <f>_xll.AnalizExpert.AnalizExpertIslem.IndMov($A31,14,"W",0,"",,"G")</f>
        <v>134.16952380952381</v>
      </c>
      <c r="F31" s="6">
        <f>_xll.AnalizExpert.AnalizExpertIslem.IndRSI($A31,14,"",,"G")</f>
        <v>38.461538461538453</v>
      </c>
      <c r="G31" s="6">
        <f>_xll.AnalizExpert.AnalizExpertIslem.IndAtr($A31,14,"",,"G")</f>
        <v>5.8489795918367378</v>
      </c>
      <c r="H31" s="6">
        <f>_xll.AnalizExpert.AnalizExpertIslem.IndBBandBot($A31,20,"S","",,"G",,2)</f>
        <v>125.17511175021237</v>
      </c>
      <c r="I31" s="6">
        <f>_xll.AnalizExpert.AnalizExpertIslem.IndBBandTop($A31,20,"S","",,"G",,2)</f>
        <v>148.66488824978765</v>
      </c>
      <c r="J31" s="133">
        <f>_xll.AnalizExpert.AnalizExpertIslem.IndMOM($A31,12,"S",0,"",,"G")</f>
        <v>91.636883488205839</v>
      </c>
    </row>
    <row r="32" spans="1:10" x14ac:dyDescent="0.35">
      <c r="A32" s="132" t="s">
        <v>19</v>
      </c>
      <c r="B32" s="33">
        <f>_xll.AnalizExpert.AnalizExpertIslem.HisseKapanis($A32)</f>
        <v>956</v>
      </c>
      <c r="C32" s="33">
        <f>_xll.AnalizExpert.AnalizExpertIslem.IndMov($A32,14,"S",0,"",,"G")</f>
        <v>880.52857142857147</v>
      </c>
      <c r="D32" s="33">
        <f>_xll.AnalizExpert.AnalizExpertIslem.IndMov($A32,14,"E",0,"",,"G")</f>
        <v>899.98999568106228</v>
      </c>
      <c r="E32" s="33">
        <f>_xll.AnalizExpert.AnalizExpertIslem.IndMov($A32,14,"W",0,"",,"G")</f>
        <v>919.76666666666665</v>
      </c>
      <c r="F32" s="6">
        <f>_xll.AnalizExpert.AnalizExpertIslem.IndRSI($A32,14,"",,"G")</f>
        <v>72.532076459806234</v>
      </c>
      <c r="G32" s="6">
        <f>_xll.AnalizExpert.AnalizExpertIslem.IndAtr($A32,14,"",,"G")</f>
        <v>57.000000000000007</v>
      </c>
      <c r="H32" s="6">
        <f>_xll.AnalizExpert.AnalizExpertIslem.IndBBandBot($A32,20,"S","",,"G",,2)</f>
        <v>660.51918521097832</v>
      </c>
      <c r="I32" s="6">
        <f>_xll.AnalizExpert.AnalizExpertIslem.IndBBandTop($A32,20,"S","",,"G",,2)</f>
        <v>1023.6508147890213</v>
      </c>
      <c r="J32" s="133">
        <f>_xll.AnalizExpert.AnalizExpertIslem.IndMOM($A32,12,"S",0,"",,"G")</f>
        <v>121.78343949044586</v>
      </c>
    </row>
    <row r="33" spans="1:10" x14ac:dyDescent="0.35">
      <c r="A33" s="132" t="s">
        <v>20</v>
      </c>
      <c r="B33" s="33">
        <f>_xll.AnalizExpert.AnalizExpertIslem.HisseKapanis($A33)</f>
        <v>5.43</v>
      </c>
      <c r="C33" s="33">
        <f>_xll.AnalizExpert.AnalizExpertIslem.IndMov($A33,14,"S",0,"",,"G")</f>
        <v>5.129999999999999</v>
      </c>
      <c r="D33" s="33">
        <f>_xll.AnalizExpert.AnalizExpertIslem.IndMov($A33,14,"E",0,"",,"G")</f>
        <v>5.1432677950077981</v>
      </c>
      <c r="E33" s="33">
        <f>_xll.AnalizExpert.AnalizExpertIslem.IndMov($A33,14,"W",0,"",,"G")</f>
        <v>5.1783809523809525</v>
      </c>
      <c r="F33" s="6">
        <f>_xll.AnalizExpert.AnalizExpertIslem.IndRSI($A33,14,"",,"G")</f>
        <v>78.350515463917532</v>
      </c>
      <c r="G33" s="6">
        <f>_xll.AnalizExpert.AnalizExpertIslem.IndAtr($A33,14,"",,"G")</f>
        <v>0.2003571428571429</v>
      </c>
      <c r="H33" s="6">
        <f>_xll.AnalizExpert.AnalizExpertIslem.IndBBandBot($A33,20,"S","",,"G",,2)</f>
        <v>4.4988743764393577</v>
      </c>
      <c r="I33" s="6">
        <f>_xll.AnalizExpert.AnalizExpertIslem.IndBBandTop($A33,20,"S","",,"G",,2)</f>
        <v>5.4761256235606419</v>
      </c>
      <c r="J33" s="133">
        <f>_xll.AnalizExpert.AnalizExpertIslem.IndMOM($A33,12,"S",0,"",,"G")</f>
        <v>107.10059171597632</v>
      </c>
    </row>
    <row r="34" spans="1:10" x14ac:dyDescent="0.35">
      <c r="A34" s="132" t="s">
        <v>21</v>
      </c>
      <c r="B34" s="33">
        <f>_xll.AnalizExpert.AnalizExpertIslem.HisseKapanis($A34)</f>
        <v>173.4</v>
      </c>
      <c r="C34" s="33">
        <f>_xll.AnalizExpert.AnalizExpertIslem.IndMov($A34,14,"S",0,"",,"G")</f>
        <v>173.10000000000002</v>
      </c>
      <c r="D34" s="33">
        <f>_xll.AnalizExpert.AnalizExpertIslem.IndMov($A34,14,"E",0,"",,"G")</f>
        <v>172.59963331650255</v>
      </c>
      <c r="E34" s="33">
        <f>_xll.AnalizExpert.AnalizExpertIslem.IndMov($A34,14,"W",0,"",,"G")</f>
        <v>173.23142857142855</v>
      </c>
      <c r="F34" s="6">
        <f>_xll.AnalizExpert.AnalizExpertIslem.IndRSI($A34,14,"",,"G")</f>
        <v>58.844765342960294</v>
      </c>
      <c r="G34" s="6">
        <f>_xll.AnalizExpert.AnalizExpertIslem.IndAtr($A34,14,"",,"G")</f>
        <v>5.2892857142857155</v>
      </c>
      <c r="H34" s="6">
        <f>_xll.AnalizExpert.AnalizExpertIslem.IndBBandBot($A34,20,"S","",,"G",,2)</f>
        <v>163.97310107775508</v>
      </c>
      <c r="I34" s="6">
        <f>_xll.AnalizExpert.AnalizExpertIslem.IndBBandTop($A34,20,"S","",,"G",,2)</f>
        <v>178.45689892224487</v>
      </c>
      <c r="J34" s="133">
        <f>_xll.AnalizExpert.AnalizExpertIslem.IndMOM($A34,12,"S",0,"",,"G")</f>
        <v>99.426605504587144</v>
      </c>
    </row>
    <row r="35" spans="1:10" x14ac:dyDescent="0.35">
      <c r="A35" s="132" t="s">
        <v>22</v>
      </c>
      <c r="B35" s="33">
        <f>_xll.AnalizExpert.AnalizExpertIslem.HisseKapanis($A35)</f>
        <v>47.86</v>
      </c>
      <c r="C35" s="33">
        <f>_xll.AnalizExpert.AnalizExpertIslem.IndMov($A35,14,"S",0,"",,"G")</f>
        <v>46.517857142857132</v>
      </c>
      <c r="D35" s="33">
        <f>_xll.AnalizExpert.AnalizExpertIslem.IndMov($A35,14,"E",0,"",,"G")</f>
        <v>46.507689369442382</v>
      </c>
      <c r="E35" s="33">
        <f>_xll.AnalizExpert.AnalizExpertIslem.IndMov($A35,14,"W",0,"",,"G")</f>
        <v>46.776285714285713</v>
      </c>
      <c r="F35" s="6">
        <f>_xll.AnalizExpert.AnalizExpertIslem.IndRSI($A35,14,"",,"G")</f>
        <v>58.606557377049178</v>
      </c>
      <c r="G35" s="6">
        <f>_xll.AnalizExpert.AnalizExpertIslem.IndAtr($A35,14,"",,"G")</f>
        <v>2.2330102040816322</v>
      </c>
      <c r="H35" s="6">
        <f>_xll.AnalizExpert.AnalizExpertIslem.IndBBandBot($A35,20,"S","",,"G",,2)</f>
        <v>41.541891952864908</v>
      </c>
      <c r="I35" s="6">
        <f>_xll.AnalizExpert.AnalizExpertIslem.IndBBandTop($A35,20,"S","",,"G",,2)</f>
        <v>49.823108047135086</v>
      </c>
      <c r="J35" s="133">
        <f>_xll.AnalizExpert.AnalizExpertIslem.IndMOM($A35,12,"S",0,"",,"G")</f>
        <v>104.04347826086958</v>
      </c>
    </row>
    <row r="36" spans="1:10" x14ac:dyDescent="0.35">
      <c r="A36" s="132" t="s">
        <v>23</v>
      </c>
      <c r="B36" s="33">
        <f>_xll.AnalizExpert.AnalizExpertIslem.HisseKapanis($A36)</f>
        <v>80.7</v>
      </c>
      <c r="C36" s="33">
        <f>_xll.AnalizExpert.AnalizExpertIslem.IndMov($A36,14,"S",0,"",,"G")</f>
        <v>76.617857142857176</v>
      </c>
      <c r="D36" s="33">
        <f>_xll.AnalizExpert.AnalizExpertIslem.IndMov($A36,14,"E",0,"",,"G")</f>
        <v>77.43263991471963</v>
      </c>
      <c r="E36" s="33">
        <f>_xll.AnalizExpert.AnalizExpertIslem.IndMov($A36,14,"W",0,"",,"G")</f>
        <v>76.87</v>
      </c>
      <c r="F36" s="6">
        <f>_xll.AnalizExpert.AnalizExpertIslem.IndRSI($A36,14,"",,"G")</f>
        <v>50.649350649350644</v>
      </c>
      <c r="G36" s="6">
        <f>_xll.AnalizExpert.AnalizExpertIslem.IndAtr($A36,14,"",,"G")</f>
        <v>3.8232142857142875</v>
      </c>
      <c r="H36" s="6">
        <f>_xll.AnalizExpert.AnalizExpertIslem.IndBBandBot($A36,20,"S","",,"G",,2)</f>
        <v>69.713779283198193</v>
      </c>
      <c r="I36" s="6">
        <f>_xll.AnalizExpert.AnalizExpertIslem.IndBBandTop($A36,20,"S","",,"G",,2)</f>
        <v>82.146220716801821</v>
      </c>
      <c r="J36" s="133">
        <f>_xll.AnalizExpert.AnalizExpertIslem.IndMOM($A36,12,"S",0,"",,"G")</f>
        <v>105.28375733855187</v>
      </c>
    </row>
    <row r="37" spans="1:10" x14ac:dyDescent="0.35">
      <c r="A37" s="132" t="s">
        <v>24</v>
      </c>
      <c r="B37" s="33">
        <f>_xll.AnalizExpert.AnalizExpertIslem.HisseKapanis($A37)</f>
        <v>47.8</v>
      </c>
      <c r="C37" s="33">
        <f>_xll.AnalizExpert.AnalizExpertIslem.IndMov($A37,14,"S",0,"",,"G")</f>
        <v>45.994285714285709</v>
      </c>
      <c r="D37" s="33">
        <f>_xll.AnalizExpert.AnalizExpertIslem.IndMov($A37,14,"E",0,"",,"G")</f>
        <v>46.10812851536771</v>
      </c>
      <c r="E37" s="33">
        <f>_xll.AnalizExpert.AnalizExpertIslem.IndMov($A37,14,"W",0,"",,"G")</f>
        <v>46.421142857142854</v>
      </c>
      <c r="F37" s="6">
        <f>_xll.AnalizExpert.AnalizExpertIslem.IndRSI($A37,14,"",,"G")</f>
        <v>63.10013717421127</v>
      </c>
      <c r="G37" s="6">
        <f>_xll.AnalizExpert.AnalizExpertIslem.IndAtr($A37,14,"",,"G")</f>
        <v>1.9389795918367336</v>
      </c>
      <c r="H37" s="6">
        <f>_xll.AnalizExpert.AnalizExpertIslem.IndBBandBot($A37,20,"S","",,"G",,2)</f>
        <v>41.936316089691637</v>
      </c>
      <c r="I37" s="6">
        <f>_xll.AnalizExpert.AnalizExpertIslem.IndBBandTop($A37,20,"S","",,"G",,2)</f>
        <v>48.579683910308354</v>
      </c>
      <c r="J37" s="133">
        <f>_xll.AnalizExpert.AnalizExpertIslem.IndMOM($A37,12,"S",0,"",,"G")</f>
        <v>103.91304347826087</v>
      </c>
    </row>
    <row r="38" spans="1:10" x14ac:dyDescent="0.35">
      <c r="A38" s="132" t="s">
        <v>26</v>
      </c>
      <c r="B38" s="33">
        <f>_xll.AnalizExpert.AnalizExpertIslem.HisseKapanis($A38)</f>
        <v>148.1</v>
      </c>
      <c r="C38" s="33">
        <f>_xll.AnalizExpert.AnalizExpertIslem.IndMov($A38,14,"S",0,"",,"G")</f>
        <v>133.06320797170457</v>
      </c>
      <c r="D38" s="33">
        <f>_xll.AnalizExpert.AnalizExpertIslem.IndMov($A38,14,"E",0,"",,"G")</f>
        <v>136.46328158391705</v>
      </c>
      <c r="E38" s="33">
        <f>_xll.AnalizExpert.AnalizExpertIslem.IndMov($A38,14,"W",0,"",,"G")</f>
        <v>138.77078505065538</v>
      </c>
      <c r="F38" s="6">
        <f>_xll.AnalizExpert.AnalizExpertIslem.IndRSI($A38,14,"",,"G")</f>
        <v>66.442590780468464</v>
      </c>
      <c r="G38" s="6">
        <f>_xll.AnalizExpert.AnalizExpertIslem.IndAtr($A38,14,"",,"G")</f>
        <v>8.3521364460737253</v>
      </c>
      <c r="H38" s="6">
        <f>_xll.AnalizExpert.AnalizExpertIslem.IndBBandBot($A38,20,"S","",,"G",,2)</f>
        <v>100.69651282091542</v>
      </c>
      <c r="I38" s="6">
        <f>_xll.AnalizExpert.AnalizExpertIslem.IndBBandTop($A38,20,"S","",,"G",,2)</f>
        <v>154.90673002417444</v>
      </c>
      <c r="J38" s="133">
        <f>_xll.AnalizExpert.AnalizExpertIslem.IndMOM($A38,12,"S",0,"",,"G")</f>
        <v>125.41932045060513</v>
      </c>
    </row>
    <row r="39" spans="1:10" x14ac:dyDescent="0.35">
      <c r="A39" s="132" t="s">
        <v>25</v>
      </c>
      <c r="B39" s="33">
        <f>_xll.AnalizExpert.AnalizExpertIslem.HisseKapanis($A39)</f>
        <v>6.85</v>
      </c>
      <c r="C39" s="33">
        <f>_xll.AnalizExpert.AnalizExpertIslem.IndMov($A39,14,"S",0,"",,"G")</f>
        <v>6.4300000000000006</v>
      </c>
      <c r="D39" s="33">
        <f>_xll.AnalizExpert.AnalizExpertIslem.IndMov($A39,14,"E",0,"",,"G")</f>
        <v>6.4952916608324154</v>
      </c>
      <c r="E39" s="33">
        <f>_xll.AnalizExpert.AnalizExpertIslem.IndMov($A39,14,"W",0,"",,"G")</f>
        <v>6.550761904761905</v>
      </c>
      <c r="F39" s="6">
        <f>_xll.AnalizExpert.AnalizExpertIslem.IndRSI($A39,14,"",,"G")</f>
        <v>68.041237113402062</v>
      </c>
      <c r="G39" s="6">
        <f>_xll.AnalizExpert.AnalizExpertIslem.IndAtr($A39,14,"",,"G")</f>
        <v>0.28964285714285687</v>
      </c>
      <c r="H39" s="6">
        <f>_xll.AnalizExpert.AnalizExpertIslem.IndBBandBot($A39,20,"S","",,"G",,2)</f>
        <v>5.781036901625237</v>
      </c>
      <c r="I39" s="6">
        <f>_xll.AnalizExpert.AnalizExpertIslem.IndBBandTop($A39,20,"S","",,"G",,2)</f>
        <v>6.8649630983747656</v>
      </c>
      <c r="J39" s="133">
        <f>_xll.AnalizExpert.AnalizExpertIslem.IndMOM($A39,12,"S",0,"",,"G")</f>
        <v>114.93288590604027</v>
      </c>
    </row>
    <row r="40" spans="1:10" x14ac:dyDescent="0.35">
      <c r="A40" s="132" t="s">
        <v>27</v>
      </c>
      <c r="B40" s="33">
        <f>_xll.AnalizExpert.AnalizExpertIslem.HisseKapanis($A40)</f>
        <v>22.8</v>
      </c>
      <c r="C40" s="33">
        <f>_xll.AnalizExpert.AnalizExpertIslem.IndMov($A40,14,"S",0,"",,"G")</f>
        <v>21.812857142857144</v>
      </c>
      <c r="D40" s="33">
        <f>_xll.AnalizExpert.AnalizExpertIslem.IndMov($A40,14,"E",0,"",,"G")</f>
        <v>21.816420928513026</v>
      </c>
      <c r="E40" s="33">
        <f>_xll.AnalizExpert.AnalizExpertIslem.IndMov($A40,14,"W",0,"",,"G")</f>
        <v>22.127809523809528</v>
      </c>
      <c r="F40" s="6">
        <f>_xll.AnalizExpert.AnalizExpertIslem.IndRSI($A40,14,"",,"G")</f>
        <v>66.265060240963834</v>
      </c>
      <c r="G40" s="6">
        <f>_xll.AnalizExpert.AnalizExpertIslem.IndAtr($A40,14,"",,"G")</f>
        <v>1.0917857142857139</v>
      </c>
      <c r="H40" s="6">
        <f>_xll.AnalizExpert.AnalizExpertIslem.IndBBandBot($A40,20,"S","",,"G",,2)</f>
        <v>18.739071545423453</v>
      </c>
      <c r="I40" s="6">
        <f>_xll.AnalizExpert.AnalizExpertIslem.IndBBandTop($A40,20,"S","",,"G",,2)</f>
        <v>23.672928454576553</v>
      </c>
      <c r="J40" s="133">
        <f>_xll.AnalizExpert.AnalizExpertIslem.IndMOM($A40,12,"S",0,"",,"G")</f>
        <v>109.19540229885058</v>
      </c>
    </row>
    <row r="41" spans="1:10" x14ac:dyDescent="0.35">
      <c r="A41" s="132" t="s">
        <v>28</v>
      </c>
      <c r="B41" s="33">
        <f>_xll.AnalizExpert.AnalizExpertIslem.HisseKapanis($A41)</f>
        <v>3476.3</v>
      </c>
      <c r="C41" s="33">
        <f>_xll.AnalizExpert.AnalizExpertIslem.IndMov($A41,14,"S",0,"",,"G")</f>
        <v>3245.1142857142854</v>
      </c>
      <c r="D41" s="33">
        <f>_xll.AnalizExpert.AnalizExpertIslem.IndMov($A41,14,"E",0,"",,"G")</f>
        <v>3271.299728720302</v>
      </c>
      <c r="E41" s="33">
        <f>_xll.AnalizExpert.AnalizExpertIslem.IndMov($A41,14,"W",0,"",,"G")</f>
        <v>3270.1657142857134</v>
      </c>
      <c r="F41" s="6">
        <f>_xll.AnalizExpert.AnalizExpertIslem.IndRSI($A41,14,"",,"G")</f>
        <v>65.406836783822797</v>
      </c>
      <c r="G41" s="6">
        <f>_xll.AnalizExpert.AnalizExpertIslem.IndAtr($A41,14,"",,"G")</f>
        <v>151.83214285714291</v>
      </c>
      <c r="H41" s="6">
        <f>_xll.AnalizExpert.AnalizExpertIslem.IndBBandBot($A41,20,"S","",,"G",,2)</f>
        <v>3024.7726286966845</v>
      </c>
      <c r="I41" s="6">
        <f>_xll.AnalizExpert.AnalizExpertIslem.IndBBandTop($A41,20,"S","",,"G",,2)</f>
        <v>3430.0373713033141</v>
      </c>
      <c r="J41" s="133">
        <f>_xll.AnalizExpert.AnalizExpertIslem.IndMOM($A41,12,"S",0,"",,"G")</f>
        <v>108.19820100220984</v>
      </c>
    </row>
    <row r="42" spans="1:10" x14ac:dyDescent="0.35">
      <c r="A42" s="132" t="s">
        <v>29</v>
      </c>
      <c r="B42" s="33">
        <f>_xll.AnalizExpert.AnalizExpertIslem.HisseKapanis($A42)</f>
        <v>5.78</v>
      </c>
      <c r="C42" s="33">
        <f>_xll.AnalizExpert.AnalizExpertIslem.IndMov($A42,14,"S",0,"",,"G")</f>
        <v>5.1999999999999984</v>
      </c>
      <c r="D42" s="33">
        <f>_xll.AnalizExpert.AnalizExpertIslem.IndMov($A42,14,"E",0,"",,"G")</f>
        <v>5.2706610815622357</v>
      </c>
      <c r="E42" s="33">
        <f>_xll.AnalizExpert.AnalizExpertIslem.IndMov($A42,14,"W",0,"",,"G")</f>
        <v>5.4019047619047598</v>
      </c>
      <c r="F42" s="6">
        <f>_xll.AnalizExpert.AnalizExpertIslem.IndRSI($A42,14,"",,"G")</f>
        <v>77.729257641921393</v>
      </c>
      <c r="G42" s="6">
        <f>_xll.AnalizExpert.AnalizExpertIslem.IndAtr($A42,14,"",,"G")</f>
        <v>0.26030612244897949</v>
      </c>
      <c r="H42" s="6">
        <f>_xll.AnalizExpert.AnalizExpertIslem.IndBBandBot($A42,20,"S","",,"G",,2)</f>
        <v>4.0397890530056335</v>
      </c>
      <c r="I42" s="6">
        <f>_xll.AnalizExpert.AnalizExpertIslem.IndBBandTop($A42,20,"S","",,"G",,2)</f>
        <v>5.9362109469943674</v>
      </c>
      <c r="J42" s="133">
        <f>_xll.AnalizExpert.AnalizExpertIslem.IndMOM($A42,12,"S",0,"",,"G")</f>
        <v>127.59381898454747</v>
      </c>
    </row>
    <row r="43" spans="1:10" x14ac:dyDescent="0.35">
      <c r="A43" s="132" t="s">
        <v>30</v>
      </c>
      <c r="B43" s="33">
        <f>_xll.AnalizExpert.AnalizExpertIslem.HisseKapanis($A43)</f>
        <v>26.2</v>
      </c>
      <c r="C43" s="33">
        <f>_xll.AnalizExpert.AnalizExpertIslem.IndMov($A43,14,"S",0,"",,"G")</f>
        <v>23.958571428571428</v>
      </c>
      <c r="D43" s="33">
        <f>_xll.AnalizExpert.AnalizExpertIslem.IndMov($A43,14,"E",0,"",,"G")</f>
        <v>24.311462303685779</v>
      </c>
      <c r="E43" s="33">
        <f>_xll.AnalizExpert.AnalizExpertIslem.IndMov($A43,14,"W",0,"",,"G")</f>
        <v>24.836571428571428</v>
      </c>
      <c r="F43" s="6">
        <f>_xll.AnalizExpert.AnalizExpertIslem.IndRSI($A43,14,"",,"G")</f>
        <v>72.72727272727272</v>
      </c>
      <c r="G43" s="6">
        <f>_xll.AnalizExpert.AnalizExpertIslem.IndAtr($A43,14,"",,"G")</f>
        <v>1.4487755102040816</v>
      </c>
      <c r="H43" s="6">
        <f>_xll.AnalizExpert.AnalizExpertIslem.IndBBandBot($A43,20,"S","",,"G",,2)</f>
        <v>17.91501143254861</v>
      </c>
      <c r="I43" s="6">
        <f>_xll.AnalizExpert.AnalizExpertIslem.IndBBandTop($A43,20,"S","",,"G",,2)</f>
        <v>27.645988567451383</v>
      </c>
      <c r="J43" s="133">
        <f>_xll.AnalizExpert.AnalizExpertIslem.IndMOM($A43,12,"S",0,"",,"G")</f>
        <v>119.4165907019143</v>
      </c>
    </row>
    <row r="44" spans="1:10" x14ac:dyDescent="0.35">
      <c r="A44" s="132" t="s">
        <v>31</v>
      </c>
      <c r="B44" s="33">
        <f>_xll.AnalizExpert.AnalizExpertIslem.HisseKapanis($A44)</f>
        <v>21.18</v>
      </c>
      <c r="C44" s="33">
        <f>_xll.AnalizExpert.AnalizExpertIslem.IndMov($A44,14,"S",0,"",,"G")</f>
        <v>20.643571428571434</v>
      </c>
      <c r="D44" s="33">
        <f>_xll.AnalizExpert.AnalizExpertIslem.IndMov($A44,14,"E",0,"",,"G")</f>
        <v>20.739803386580533</v>
      </c>
      <c r="E44" s="33">
        <f>_xll.AnalizExpert.AnalizExpertIslem.IndMov($A44,14,"W",0,"",,"G")</f>
        <v>21.134190476190472</v>
      </c>
      <c r="F44" s="6">
        <f>_xll.AnalizExpert.AnalizExpertIslem.IndRSI($A44,14,"",,"G")</f>
        <v>72.695035460992926</v>
      </c>
      <c r="G44" s="6">
        <f>_xll.AnalizExpert.AnalizExpertIslem.IndAtr($A44,14,"",,"G")</f>
        <v>0.85913265306122444</v>
      </c>
      <c r="H44" s="6">
        <f>_xll.AnalizExpert.AnalizExpertIslem.IndBBandBot($A44,20,"S","",,"G",,2)</f>
        <v>17.127477152991606</v>
      </c>
      <c r="I44" s="6">
        <f>_xll.AnalizExpert.AnalizExpertIslem.IndBBandTop($A44,20,"S","",,"G",,2)</f>
        <v>22.817522847008401</v>
      </c>
      <c r="J44" s="133">
        <f>_xll.AnalizExpert.AnalizExpertIslem.IndMOM($A44,12,"S",0,"",,"G")</f>
        <v>108.67111339148281</v>
      </c>
    </row>
    <row r="45" spans="1:10" x14ac:dyDescent="0.35">
      <c r="A45" s="132" t="s">
        <v>32</v>
      </c>
      <c r="B45" s="33">
        <f>_xll.AnalizExpert.AnalizExpertIslem.HisseKapanis($A45)</f>
        <v>155.6</v>
      </c>
      <c r="C45" s="33">
        <f>_xll.AnalizExpert.AnalizExpertIslem.IndMov($A45,14,"S",0,"",,"G")</f>
        <v>153.85</v>
      </c>
      <c r="D45" s="33">
        <f>_xll.AnalizExpert.AnalizExpertIslem.IndMov($A45,14,"E",0,"",,"G")</f>
        <v>156.14241705522878</v>
      </c>
      <c r="E45" s="33">
        <f>_xll.AnalizExpert.AnalizExpertIslem.IndMov($A45,14,"W",0,"",,"G")</f>
        <v>153.49714285714288</v>
      </c>
      <c r="F45" s="6">
        <f>_xll.AnalizExpert.AnalizExpertIslem.IndRSI($A45,14,"",,"G")</f>
        <v>33.584905660377345</v>
      </c>
      <c r="G45" s="6">
        <f>_xll.AnalizExpert.AnalizExpertIslem.IndAtr($A45,14,"",,"G")</f>
        <v>7.0035714285714326</v>
      </c>
      <c r="H45" s="6">
        <f>_xll.AnalizExpert.AnalizExpertIslem.IndBBandBot($A45,20,"S","",,"G",,2)</f>
        <v>143.9603743923102</v>
      </c>
      <c r="I45" s="6">
        <f>_xll.AnalizExpert.AnalizExpertIslem.IndBBandTop($A45,20,"S","",,"G",,2)</f>
        <v>170.46962560768975</v>
      </c>
      <c r="J45" s="133">
        <f>_xll.AnalizExpert.AnalizExpertIslem.IndMOM($A45,12,"S",0,"",,"G")</f>
        <v>100.06430868167202</v>
      </c>
    </row>
    <row r="46" spans="1:10" x14ac:dyDescent="0.35">
      <c r="A46" s="132" t="s">
        <v>33</v>
      </c>
      <c r="B46" s="33">
        <f>_xll.AnalizExpert.AnalizExpertIslem.HisseKapanis($A46)</f>
        <v>37.700000000000003</v>
      </c>
      <c r="C46" s="33">
        <f>_xll.AnalizExpert.AnalizExpertIslem.IndMov($A46,14,"S",0,"",,"G")</f>
        <v>35.628571428571433</v>
      </c>
      <c r="D46" s="33">
        <f>_xll.AnalizExpert.AnalizExpertIslem.IndMov($A46,14,"E",0,"",,"G")</f>
        <v>35.602741134244241</v>
      </c>
      <c r="E46" s="33">
        <f>_xll.AnalizExpert.AnalizExpertIslem.IndMov($A46,14,"W",0,"",,"G")</f>
        <v>36.658666666666669</v>
      </c>
      <c r="F46" s="6">
        <f>_xll.AnalizExpert.AnalizExpertIslem.IndRSI($A46,14,"",,"G")</f>
        <v>75.093867334167726</v>
      </c>
      <c r="G46" s="6">
        <f>_xll.AnalizExpert.AnalizExpertIslem.IndAtr($A46,14,"",,"G")</f>
        <v>2.0598979591836732</v>
      </c>
      <c r="H46" s="6">
        <f>_xll.AnalizExpert.AnalizExpertIslem.IndBBandBot($A46,20,"S","",,"G",,2)</f>
        <v>27.398149314678985</v>
      </c>
      <c r="I46" s="6">
        <f>_xll.AnalizExpert.AnalizExpertIslem.IndBBandTop($A46,20,"S","",,"G",,2)</f>
        <v>40.497850685320998</v>
      </c>
      <c r="J46" s="133">
        <f>_xll.AnalizExpert.AnalizExpertIslem.IndMOM($A46,12,"S",0,"",,"G")</f>
        <v>124.50462351387056</v>
      </c>
    </row>
    <row r="47" spans="1:10" x14ac:dyDescent="0.35">
      <c r="A47" s="132" t="s">
        <v>34</v>
      </c>
      <c r="B47" s="33">
        <f>_xll.AnalizExpert.AnalizExpertIslem.HisseKapanis($A47)</f>
        <v>434.6</v>
      </c>
      <c r="C47" s="33">
        <f>_xll.AnalizExpert.AnalizExpertIslem.IndMov($A47,14,"S",0,"",,"G")</f>
        <v>385.80714285714282</v>
      </c>
      <c r="D47" s="33">
        <f>_xll.AnalizExpert.AnalizExpertIslem.IndMov($A47,14,"E",0,"",,"G")</f>
        <v>395.04041917150147</v>
      </c>
      <c r="E47" s="33">
        <f>_xll.AnalizExpert.AnalizExpertIslem.IndMov($A47,14,"W",0,"",,"G")</f>
        <v>398.1514285714286</v>
      </c>
      <c r="F47" s="6">
        <f>_xll.AnalizExpert.AnalizExpertIslem.IndRSI($A47,14,"",,"G")</f>
        <v>72.416107382550308</v>
      </c>
      <c r="G47" s="6">
        <f>_xll.AnalizExpert.AnalizExpertIslem.IndAtr($A47,14,"",,"G")</f>
        <v>16.363775510204075</v>
      </c>
      <c r="H47" s="6">
        <f>_xll.AnalizExpert.AnalizExpertIslem.IndBBandBot($A47,20,"S","",,"G",,2)</f>
        <v>331.5929798621101</v>
      </c>
      <c r="I47" s="6">
        <f>_xll.AnalizExpert.AnalizExpertIslem.IndBBandTop($A47,20,"S","",,"G",,2)</f>
        <v>426.73702013788994</v>
      </c>
      <c r="J47" s="133">
        <f>_xll.AnalizExpert.AnalizExpertIslem.IndMOM($A47,12,"S",0,"",,"G")</f>
        <v>122.69904009034445</v>
      </c>
    </row>
    <row r="48" spans="1:10" x14ac:dyDescent="0.35">
      <c r="A48" s="132" t="s">
        <v>36</v>
      </c>
      <c r="B48" s="33">
        <f>_xll.AnalizExpert.AnalizExpertIslem.HisseKapanis($A48)</f>
        <v>26.16</v>
      </c>
      <c r="C48" s="33">
        <f>_xll.AnalizExpert.AnalizExpertIslem.IndMov($A48,14,"S",0,"",,"G")</f>
        <v>24.747142857142851</v>
      </c>
      <c r="D48" s="33">
        <f>_xll.AnalizExpert.AnalizExpertIslem.IndMov($A48,14,"E",0,"",,"G")</f>
        <v>24.920840384663073</v>
      </c>
      <c r="E48" s="33">
        <f>_xll.AnalizExpert.AnalizExpertIslem.IndMov($A48,14,"W",0,"",,"G")</f>
        <v>25.169142857142859</v>
      </c>
      <c r="F48" s="6">
        <f>_xll.AnalizExpert.AnalizExpertIslem.IndRSI($A48,14,"",,"G")</f>
        <v>65.825688073394517</v>
      </c>
      <c r="G48" s="6">
        <f>_xll.AnalizExpert.AnalizExpertIslem.IndAtr($A48,14,"",,"G")</f>
        <v>1.2884693877551019</v>
      </c>
      <c r="H48" s="6">
        <f>_xll.AnalizExpert.AnalizExpertIslem.IndBBandBot($A48,20,"S","",,"G",,2)</f>
        <v>22.639316595005788</v>
      </c>
      <c r="I48" s="6">
        <f>_xll.AnalizExpert.AnalizExpertIslem.IndBBandTop($A48,20,"S","",,"G",,2)</f>
        <v>26.3566834049942</v>
      </c>
      <c r="J48" s="133">
        <f>_xll.AnalizExpert.AnalizExpertIslem.IndMOM($A48,12,"S",0,"",,"G")</f>
        <v>112.95336787564767</v>
      </c>
    </row>
    <row r="49" spans="1:10" x14ac:dyDescent="0.35">
      <c r="A49" s="132" t="s">
        <v>37</v>
      </c>
      <c r="B49" s="33">
        <f>_xll.AnalizExpert.AnalizExpertIslem.HisseKapanis($A49)</f>
        <v>35.799999999999997</v>
      </c>
      <c r="C49" s="33">
        <f>_xll.AnalizExpert.AnalizExpertIslem.IndMov($A49,14,"S",0,"",,"G")</f>
        <v>30.332857142857137</v>
      </c>
      <c r="D49" s="33">
        <f>_xll.AnalizExpert.AnalizExpertIslem.IndMov($A49,14,"E",0,"",,"G")</f>
        <v>31.043976046555247</v>
      </c>
      <c r="E49" s="33">
        <f>_xll.AnalizExpert.AnalizExpertIslem.IndMov($A49,14,"W",0,"",,"G")</f>
        <v>31.381333333333334</v>
      </c>
      <c r="F49" s="6">
        <f>_xll.AnalizExpert.AnalizExpertIslem.IndRSI($A49,14,"",,"G")</f>
        <v>87.279843444226984</v>
      </c>
      <c r="G49" s="6">
        <f>_xll.AnalizExpert.AnalizExpertIslem.IndAtr($A49,14,"",,"G")</f>
        <v>1.4984693877551023</v>
      </c>
      <c r="H49" s="6">
        <f>_xll.AnalizExpert.AnalizExpertIslem.IndBBandBot($A49,20,"S","",,"G",,2)</f>
        <v>25.459792565931007</v>
      </c>
      <c r="I49" s="6">
        <f>_xll.AnalizExpert.AnalizExpertIslem.IndBBandTop($A49,20,"S","",,"G",,2)</f>
        <v>33.848207434068989</v>
      </c>
      <c r="J49" s="133">
        <f>_xll.AnalizExpert.AnalizExpertIslem.IndMOM($A49,12,"S",0,"",,"G")</f>
        <v>123.87543252595154</v>
      </c>
    </row>
    <row r="50" spans="1:10" x14ac:dyDescent="0.35">
      <c r="A50" s="132" t="s">
        <v>38</v>
      </c>
      <c r="B50" s="33">
        <f>_xll.AnalizExpert.AnalizExpertIslem.HisseKapanis($A50)</f>
        <v>9.07</v>
      </c>
      <c r="C50" s="33">
        <f>_xll.AnalizExpert.AnalizExpertIslem.IndMov($A50,14,"S",0,"",,"G")</f>
        <v>8.1964285714285694</v>
      </c>
      <c r="D50" s="33">
        <f>_xll.AnalizExpert.AnalizExpertIslem.IndMov($A50,14,"E",0,"",,"G")</f>
        <v>8.265790018205351</v>
      </c>
      <c r="E50" s="33">
        <f>_xll.AnalizExpert.AnalizExpertIslem.IndMov($A50,14,"W",0,"",,"G")</f>
        <v>8.4510476190476176</v>
      </c>
      <c r="F50" s="6">
        <f>_xll.AnalizExpert.AnalizExpertIslem.IndRSI($A50,14,"",,"G")</f>
        <v>71.739130434782624</v>
      </c>
      <c r="G50" s="6">
        <f>_xll.AnalizExpert.AnalizExpertIslem.IndAtr($A50,14,"",,"G")</f>
        <v>0.52249999999999996</v>
      </c>
      <c r="H50" s="6">
        <f>_xll.AnalizExpert.AnalizExpertIslem.IndBBandBot($A50,20,"S","",,"G",,2)</f>
        <v>5.7496186377840175</v>
      </c>
      <c r="I50" s="6">
        <f>_xll.AnalizExpert.AnalizExpertIslem.IndBBandTop($A50,20,"S","",,"G",,2)</f>
        <v>9.5783813622159819</v>
      </c>
      <c r="J50" s="133">
        <f>_xll.AnalizExpert.AnalizExpertIslem.IndMOM($A50,12,"S",0,"",,"G")</f>
        <v>119.97354497354497</v>
      </c>
    </row>
    <row r="51" spans="1:10" x14ac:dyDescent="0.35">
      <c r="A51" s="132" t="s">
        <v>39</v>
      </c>
      <c r="B51" s="33">
        <f>_xll.AnalizExpert.AnalizExpertIslem.HisseKapanis($A51)</f>
        <v>13.93</v>
      </c>
      <c r="C51" s="33">
        <f>_xll.AnalizExpert.AnalizExpertIslem.IndMov($A51,14,"S",0,"",,"G")</f>
        <v>12.944999999999999</v>
      </c>
      <c r="D51" s="33">
        <f>_xll.AnalizExpert.AnalizExpertIslem.IndMov($A51,14,"E",0,"",,"G")</f>
        <v>13.036749724284233</v>
      </c>
      <c r="E51" s="33">
        <f>_xll.AnalizExpert.AnalizExpertIslem.IndMov($A51,14,"W",0,"",,"G")</f>
        <v>13.13238095238095</v>
      </c>
      <c r="F51" s="6">
        <f>_xll.AnalizExpert.AnalizExpertIslem.IndRSI($A51,14,"",,"G")</f>
        <v>64.259259259259252</v>
      </c>
      <c r="G51" s="6">
        <f>_xll.AnalizExpert.AnalizExpertIslem.IndAtr($A51,14,"",,"G")</f>
        <v>0.50704081632653097</v>
      </c>
      <c r="H51" s="6">
        <f>_xll.AnalizExpert.AnalizExpertIslem.IndBBandBot($A51,20,"S","",,"G",,2)</f>
        <v>11.963184634115239</v>
      </c>
      <c r="I51" s="6">
        <f>_xll.AnalizExpert.AnalizExpertIslem.IndBBandTop($A51,20,"S","",,"G",,2)</f>
        <v>13.782815365884764</v>
      </c>
      <c r="J51" s="133">
        <f>_xll.AnalizExpert.AnalizExpertIslem.IndMOM($A51,12,"S",0,"",,"G")</f>
        <v>109.77147360126082</v>
      </c>
    </row>
    <row r="52" spans="1:10" x14ac:dyDescent="0.35">
      <c r="A52" s="132" t="s">
        <v>40</v>
      </c>
      <c r="B52" s="33">
        <f>_xll.AnalizExpert.AnalizExpertIslem.HisseKapanis($A52)</f>
        <v>3.01</v>
      </c>
      <c r="C52" s="33">
        <f>_xll.AnalizExpert.AnalizExpertIslem.IndMov($A52,14,"S",0,"",,"G")</f>
        <v>2.9263571591921425</v>
      </c>
      <c r="D52" s="33">
        <f>_xll.AnalizExpert.AnalizExpertIslem.IndMov($A52,14,"E",0,"",,"G")</f>
        <v>2.9346359652173382</v>
      </c>
      <c r="E52" s="33">
        <f>_xll.AnalizExpert.AnalizExpertIslem.IndMov($A52,14,"W",0,"",,"G")</f>
        <v>2.9723571528064281</v>
      </c>
      <c r="F52" s="6">
        <f>_xll.AnalizExpert.AnalizExpertIslem.IndRSI($A52,14,"",,"G")</f>
        <v>61.4548480148922</v>
      </c>
      <c r="G52" s="6">
        <f>_xll.AnalizExpert.AnalizExpertIslem.IndAtr($A52,14,"",,"G")</f>
        <v>0.16683928652910709</v>
      </c>
      <c r="H52" s="6">
        <f>_xll.AnalizExpert.AnalizExpertIslem.IndBBandBot($A52,20,"S","",,"G",,2)</f>
        <v>2.5346747754770256</v>
      </c>
      <c r="I52" s="6">
        <f>_xll.AnalizExpert.AnalizExpertIslem.IndBBandTop($A52,20,"S","",,"G",,2)</f>
        <v>3.169175263461474</v>
      </c>
      <c r="J52" s="133">
        <f>_xll.AnalizExpert.AnalizExpertIslem.IndMOM($A52,12,"S",0,"",,"G")</f>
        <v>108.7624198699187</v>
      </c>
    </row>
    <row r="53" spans="1:10" x14ac:dyDescent="0.35">
      <c r="A53" s="132" t="s">
        <v>41</v>
      </c>
      <c r="B53" s="33">
        <f>_xll.AnalizExpert.AnalizExpertIslem.HisseKapanis($A53)</f>
        <v>169.4</v>
      </c>
      <c r="C53" s="33">
        <f>_xll.AnalizExpert.AnalizExpertIslem.IndMov($A53,14,"S",0,"",,"G")</f>
        <v>158.24285714285713</v>
      </c>
      <c r="D53" s="33">
        <f>_xll.AnalizExpert.AnalizExpertIslem.IndMov($A53,14,"E",0,"",,"G")</f>
        <v>159.48667790601638</v>
      </c>
      <c r="E53" s="33">
        <f>_xll.AnalizExpert.AnalizExpertIslem.IndMov($A53,14,"W",0,"",,"G")</f>
        <v>161.93523809523808</v>
      </c>
      <c r="F53" s="6">
        <f>_xll.AnalizExpert.AnalizExpertIslem.IndRSI($A53,14,"",,"G")</f>
        <v>69.020866773675749</v>
      </c>
      <c r="G53" s="6">
        <f>_xll.AnalizExpert.AnalizExpertIslem.IndAtr($A53,14,"",,"G")</f>
        <v>8.4107142857142936</v>
      </c>
      <c r="H53" s="6">
        <f>_xll.AnalizExpert.AnalizExpertIslem.IndBBandBot($A53,20,"S","",,"G",,2)</f>
        <v>133.2368824690875</v>
      </c>
      <c r="I53" s="6">
        <f>_xll.AnalizExpert.AnalizExpertIslem.IndBBandTop($A53,20,"S","",,"G",,2)</f>
        <v>173.87311753091245</v>
      </c>
      <c r="J53" s="133">
        <f>_xll.AnalizExpert.AnalizExpertIslem.IndMOM($A53,12,"S",0,"",,"G")</f>
        <v>114.61434370771313</v>
      </c>
    </row>
    <row r="54" spans="1:10" x14ac:dyDescent="0.35">
      <c r="A54" s="132" t="s">
        <v>35</v>
      </c>
      <c r="B54" s="33">
        <f>_xll.AnalizExpert.AnalizExpertIslem.HisseKapanis($A54)</f>
        <v>25.7</v>
      </c>
      <c r="C54" s="33">
        <f>_xll.AnalizExpert.AnalizExpertIslem.IndMov($A54,14,"S",0,"",,"G")</f>
        <v>22.228571428571428</v>
      </c>
      <c r="D54" s="33">
        <f>_xll.AnalizExpert.AnalizExpertIslem.IndMov($A54,14,"E",0,"",,"G")</f>
        <v>22.837337947230751</v>
      </c>
      <c r="E54" s="33">
        <f>_xll.AnalizExpert.AnalizExpertIslem.IndMov($A54,14,"W",0,"",,"G")</f>
        <v>23.224761904761898</v>
      </c>
      <c r="F54" s="6">
        <f>_xll.AnalizExpert.AnalizExpertIslem.IndRSI($A54,14,"",,"G")</f>
        <v>71.514242878560708</v>
      </c>
      <c r="G54" s="6">
        <f>_xll.AnalizExpert.AnalizExpertIslem.IndAtr($A54,14,"",,"G")</f>
        <v>1.7818367346938777</v>
      </c>
      <c r="H54" s="6">
        <f>_xll.AnalizExpert.AnalizExpertIslem.IndBBandBot($A54,20,"S","",,"G",,2)</f>
        <v>16.30647018451732</v>
      </c>
      <c r="I54" s="6">
        <f>_xll.AnalizExpert.AnalizExpertIslem.IndBBandTop($A54,20,"S","",,"G",,2)</f>
        <v>26.066529815482685</v>
      </c>
      <c r="J54" s="133">
        <f>_xll.AnalizExpert.AnalizExpertIslem.IndMOM($A54,12,"S",0,"",,"G")</f>
        <v>123.55769230769229</v>
      </c>
    </row>
    <row r="55" spans="1:10" x14ac:dyDescent="0.35">
      <c r="A55" s="132" t="s">
        <v>79</v>
      </c>
      <c r="B55" s="33">
        <f>_xll.AnalizExpert.AnalizExpertIslem.HisseKapanis($A55)</f>
        <v>9.59</v>
      </c>
      <c r="C55" s="33">
        <f>_xll.AnalizExpert.AnalizExpertIslem.IndMov($A55,14,"S",0,"",,"G")</f>
        <v>8.9949999999999992</v>
      </c>
      <c r="D55" s="33">
        <f>_xll.AnalizExpert.AnalizExpertIslem.IndMov($A55,14,"E",0,"",,"G")</f>
        <v>9.1123988215924427</v>
      </c>
      <c r="E55" s="33">
        <f>_xll.AnalizExpert.AnalizExpertIslem.IndMov($A55,14,"W",0,"",,"G")</f>
        <v>9.2502857142857149</v>
      </c>
      <c r="F55" s="6">
        <f>_xll.AnalizExpert.AnalizExpertIslem.IndRSI($A55,14,"",,"G")</f>
        <v>67.088607594936718</v>
      </c>
      <c r="G55" s="6">
        <f>_xll.AnalizExpert.AnalizExpertIslem.IndAtr($A55,14,"",,"G")</f>
        <v>0.52091836734693897</v>
      </c>
      <c r="H55" s="6">
        <f>_xll.AnalizExpert.AnalizExpertIslem.IndBBandBot($A55,20,"S","",,"G",,2)</f>
        <v>7.7165041284482125</v>
      </c>
      <c r="I55" s="6">
        <f>_xll.AnalizExpert.AnalizExpertIslem.IndBBandTop($A55,20,"S","",,"G",,2)</f>
        <v>9.896495871551787</v>
      </c>
      <c r="J55" s="133">
        <f>_xll.AnalizExpert.AnalizExpertIslem.IndMOM($A55,12,"S",0,"",,"G")</f>
        <v>116.80876979293544</v>
      </c>
    </row>
    <row r="56" spans="1:10" x14ac:dyDescent="0.35">
      <c r="A56" s="132" t="s">
        <v>42</v>
      </c>
      <c r="B56" s="33">
        <f>_xll.AnalizExpert.AnalizExpertIslem.HisseKapanis($A56)</f>
        <v>37.4</v>
      </c>
      <c r="C56" s="33">
        <f>_xll.AnalizExpert.AnalizExpertIslem.IndMov($A56,14,"S",0,"",,"G")</f>
        <v>37.64928571428571</v>
      </c>
      <c r="D56" s="33">
        <f>_xll.AnalizExpert.AnalizExpertIslem.IndMov($A56,14,"E",0,"",,"G")</f>
        <v>38.896386204276745</v>
      </c>
      <c r="E56" s="33">
        <f>_xll.AnalizExpert.AnalizExpertIslem.IndMov($A56,14,"W",0,"",,"G")</f>
        <v>40.685809523809525</v>
      </c>
      <c r="F56" s="6">
        <f>_xll.AnalizExpert.AnalizExpertIslem.IndRSI($A56,14,"",,"G")</f>
        <v>60.687229437229433</v>
      </c>
      <c r="G56" s="6">
        <f>_xll.AnalizExpert.AnalizExpertIslem.IndAtr($A56,14,"",,"G")</f>
        <v>3.1683163265306122</v>
      </c>
      <c r="H56" s="6">
        <f>_xll.AnalizExpert.AnalizExpertIslem.IndBBandBot($A56,20,"S","",,"G",,2)</f>
        <v>20.540630471679833</v>
      </c>
      <c r="I56" s="6">
        <f>_xll.AnalizExpert.AnalizExpertIslem.IndBBandTop($A56,20,"S","",,"G",,2)</f>
        <v>49.28236952832016</v>
      </c>
      <c r="J56" s="133">
        <f>_xll.AnalizExpert.AnalizExpertIslem.IndMOM($A56,12,"S",0,"",,"G")</f>
        <v>128.61072902338378</v>
      </c>
    </row>
    <row r="57" spans="1:10" x14ac:dyDescent="0.35">
      <c r="A57" s="132" t="s">
        <v>44</v>
      </c>
      <c r="B57" s="33">
        <f>_xll.AnalizExpert.AnalizExpertIslem.HisseKapanis($A57)</f>
        <v>17.86</v>
      </c>
      <c r="C57" s="33">
        <f>_xll.AnalizExpert.AnalizExpertIslem.IndMov($A57,14,"S",0,"",,"G")</f>
        <v>16.21857142857143</v>
      </c>
      <c r="D57" s="33">
        <f>_xll.AnalizExpert.AnalizExpertIslem.IndMov($A57,14,"E",0,"",,"G")</f>
        <v>16.308287085214612</v>
      </c>
      <c r="E57" s="33">
        <f>_xll.AnalizExpert.AnalizExpertIslem.IndMov($A57,14,"W",0,"",,"G")</f>
        <v>16.609809523809524</v>
      </c>
      <c r="F57" s="6">
        <f>_xll.AnalizExpert.AnalizExpertIslem.IndRSI($A57,14,"",,"G")</f>
        <v>81.786941580756036</v>
      </c>
      <c r="G57" s="6">
        <f>_xll.AnalizExpert.AnalizExpertIslem.IndAtr($A57,14,"",,"G")</f>
        <v>0.9090306122448979</v>
      </c>
      <c r="H57" s="6">
        <f>_xll.AnalizExpert.AnalizExpertIslem.IndBBandBot($A57,20,"S","",,"G",,2)</f>
        <v>13.189014902786525</v>
      </c>
      <c r="I57" s="6">
        <f>_xll.AnalizExpert.AnalizExpertIslem.IndBBandTop($A57,20,"S","",,"G",,2)</f>
        <v>17.969985097213478</v>
      </c>
      <c r="J57" s="133">
        <f>_xll.AnalizExpert.AnalizExpertIslem.IndMOM($A57,12,"S",0,"",,"G")</f>
        <v>117.65480895915678</v>
      </c>
    </row>
    <row r="58" spans="1:10" x14ac:dyDescent="0.35">
      <c r="A58" s="132" t="s">
        <v>43</v>
      </c>
      <c r="B58" s="33">
        <f>_xll.AnalizExpert.AnalizExpertIslem.HisseKapanis($A58)</f>
        <v>71.599999999999994</v>
      </c>
      <c r="C58" s="33">
        <f>_xll.AnalizExpert.AnalizExpertIslem.IndMov($A58,14,"S",0,"",,"G")</f>
        <v>60.971428571428568</v>
      </c>
      <c r="D58" s="33">
        <f>_xll.AnalizExpert.AnalizExpertIslem.IndMov($A58,14,"E",0,"",,"G")</f>
        <v>63.06536143493139</v>
      </c>
      <c r="E58" s="33">
        <f>_xll.AnalizExpert.AnalizExpertIslem.IndMov($A58,14,"W",0,"",,"G")</f>
        <v>63.935714285714297</v>
      </c>
      <c r="F58" s="6">
        <f>_xll.AnalizExpert.AnalizExpertIslem.IndRSI($A58,14,"",,"G")</f>
        <v>85.307017543859615</v>
      </c>
      <c r="G58" s="6">
        <f>_xll.AnalizExpert.AnalizExpertIslem.IndAtr($A58,14,"",,"G")</f>
        <v>3.2864795918367351</v>
      </c>
      <c r="H58" s="6">
        <f>_xll.AnalizExpert.AnalizExpertIslem.IndBBandBot($A58,20,"S","",,"G",,2)</f>
        <v>47.164824562689041</v>
      </c>
      <c r="I58" s="6">
        <f>_xll.AnalizExpert.AnalizExpertIslem.IndBBandTop($A58,20,"S","",,"G",,2)</f>
        <v>71.105175437310947</v>
      </c>
      <c r="J58" s="133">
        <f>_xll.AnalizExpert.AnalizExpertIslem.IndMOM($A58,12,"S",0,"",,"G")</f>
        <v>130.18181818181819</v>
      </c>
    </row>
    <row r="59" spans="1:10" x14ac:dyDescent="0.35">
      <c r="A59" s="132" t="s">
        <v>45</v>
      </c>
      <c r="B59" s="33">
        <f>_xll.AnalizExpert.AnalizExpertIslem.HisseKapanis($A59)</f>
        <v>31.54</v>
      </c>
      <c r="C59" s="33">
        <f>_xll.AnalizExpert.AnalizExpertIslem.IndMov($A59,14,"S",0,"",,"G")</f>
        <v>29.897142857142853</v>
      </c>
      <c r="D59" s="33">
        <f>_xll.AnalizExpert.AnalizExpertIslem.IndMov($A59,14,"E",0,"",,"G")</f>
        <v>29.866295810049856</v>
      </c>
      <c r="E59" s="33">
        <f>_xll.AnalizExpert.AnalizExpertIslem.IndMov($A59,14,"W",0,"",,"G")</f>
        <v>30.345333333333333</v>
      </c>
      <c r="F59" s="6">
        <f>_xll.AnalizExpert.AnalizExpertIslem.IndRSI($A59,14,"",,"G")</f>
        <v>70.318021201413416</v>
      </c>
      <c r="G59" s="6">
        <f>_xll.AnalizExpert.AnalizExpertIslem.IndAtr($A59,14,"",,"G")</f>
        <v>1.7896938775510209</v>
      </c>
      <c r="H59" s="6">
        <f>_xll.AnalizExpert.AnalizExpertIslem.IndBBandBot($A59,20,"S","",,"G",,2)</f>
        <v>24.442970198780515</v>
      </c>
      <c r="I59" s="6">
        <f>_xll.AnalizExpert.AnalizExpertIslem.IndBBandTop($A59,20,"S","",,"G",,2)</f>
        <v>32.899029801219484</v>
      </c>
      <c r="J59" s="133">
        <f>_xll.AnalizExpert.AnalizExpertIslem.IndMOM($A59,12,"S",0,"",,"G")</f>
        <v>111.44876325088337</v>
      </c>
    </row>
    <row r="60" spans="1:10" x14ac:dyDescent="0.35">
      <c r="A60" s="132" t="s">
        <v>47</v>
      </c>
      <c r="B60" s="33">
        <f>_xll.AnalizExpert.AnalizExpertIslem.HisseKapanis($A60)</f>
        <v>9.75</v>
      </c>
      <c r="C60" s="33">
        <f>_xll.AnalizExpert.AnalizExpertIslem.IndMov($A60,14,"S",0,"",,"G")</f>
        <v>9.2914285714285736</v>
      </c>
      <c r="D60" s="33">
        <f>_xll.AnalizExpert.AnalizExpertIslem.IndMov($A60,14,"E",0,"",,"G")</f>
        <v>9.4298585705695128</v>
      </c>
      <c r="E60" s="33">
        <f>_xll.AnalizExpert.AnalizExpertIslem.IndMov($A60,14,"W",0,"",,"G")</f>
        <v>9.4393333333333338</v>
      </c>
      <c r="F60" s="6">
        <f>_xll.AnalizExpert.AnalizExpertIslem.IndRSI($A60,14,"",,"G")</f>
        <v>54.881266490765164</v>
      </c>
      <c r="G60" s="6">
        <f>_xll.AnalizExpert.AnalizExpertIslem.IndAtr($A60,14,"",,"G")</f>
        <v>0.47678571428571426</v>
      </c>
      <c r="H60" s="6">
        <f>_xll.AnalizExpert.AnalizExpertIslem.IndBBandBot($A60,20,"S","",,"G",,2)</f>
        <v>8.687887452271795</v>
      </c>
      <c r="I60" s="6">
        <f>_xll.AnalizExpert.AnalizExpertIslem.IndBBandTop($A60,20,"S","",,"G",,2)</f>
        <v>9.9941125477282071</v>
      </c>
      <c r="J60" s="133">
        <f>_xll.AnalizExpert.AnalizExpertIslem.IndMOM($A60,12,"S",0,"",,"G")</f>
        <v>112.06896551724139</v>
      </c>
    </row>
    <row r="61" spans="1:10" x14ac:dyDescent="0.35">
      <c r="A61" s="132" t="s">
        <v>46</v>
      </c>
      <c r="B61" s="33">
        <f>_xll.AnalizExpert.AnalizExpertIslem.HisseKapanis($A61)</f>
        <v>29.56</v>
      </c>
      <c r="C61" s="33">
        <f>_xll.AnalizExpert.AnalizExpertIslem.IndMov($A61,14,"S",0,"",,"G")</f>
        <v>28.74</v>
      </c>
      <c r="D61" s="33">
        <f>_xll.AnalizExpert.AnalizExpertIslem.IndMov($A61,14,"E",0,"",,"G")</f>
        <v>28.584216381713365</v>
      </c>
      <c r="E61" s="33">
        <f>_xll.AnalizExpert.AnalizExpertIslem.IndMov($A61,14,"W",0,"",,"G")</f>
        <v>29.183428571428568</v>
      </c>
      <c r="F61" s="6">
        <f>_xll.AnalizExpert.AnalizExpertIslem.IndRSI($A61,14,"",,"G")</f>
        <v>66.825396825396837</v>
      </c>
      <c r="G61" s="6">
        <f>_xll.AnalizExpert.AnalizExpertIslem.IndAtr($A61,14,"",,"G")</f>
        <v>1.5968367346938774</v>
      </c>
      <c r="H61" s="6">
        <f>_xll.AnalizExpert.AnalizExpertIslem.IndBBandBot($A61,20,"S","",,"G",,2)</f>
        <v>24.16657928569477</v>
      </c>
      <c r="I61" s="6">
        <f>_xll.AnalizExpert.AnalizExpertIslem.IndBBandTop($A61,20,"S","",,"G",,2)</f>
        <v>31.535420714305236</v>
      </c>
      <c r="J61" s="133">
        <f>_xll.AnalizExpert.AnalizExpertIslem.IndMOM($A61,12,"S",0,"",,"G")</f>
        <v>116.28638867033831</v>
      </c>
    </row>
    <row r="62" spans="1:10" x14ac:dyDescent="0.35">
      <c r="A62" s="132" t="s">
        <v>48</v>
      </c>
      <c r="B62" s="33">
        <f>_xll.AnalizExpert.AnalizExpertIslem.HisseKapanis($A62)</f>
        <v>8.92</v>
      </c>
      <c r="C62" s="33">
        <f>_xll.AnalizExpert.AnalizExpertIslem.IndMov($A62,14,"S",0,"",,"G")</f>
        <v>8.9364285714285696</v>
      </c>
      <c r="D62" s="33">
        <f>_xll.AnalizExpert.AnalizExpertIslem.IndMov($A62,14,"E",0,"",,"G")</f>
        <v>8.9888317299754377</v>
      </c>
      <c r="E62" s="33">
        <f>_xll.AnalizExpert.AnalizExpertIslem.IndMov($A62,14,"W",0,"",,"G")</f>
        <v>9.0424761904761883</v>
      </c>
      <c r="F62" s="6">
        <f>_xll.AnalizExpert.AnalizExpertIslem.IndRSI($A62,14,"",,"G")</f>
        <v>51.529411764705898</v>
      </c>
      <c r="G62" s="6">
        <f>_xll.AnalizExpert.AnalizExpertIslem.IndAtr($A62,14,"",,"G")</f>
        <v>0.55653061224489786</v>
      </c>
      <c r="H62" s="6">
        <f>_xll.AnalizExpert.AnalizExpertIslem.IndBBandBot($A62,20,"S","",,"G",,2)</f>
        <v>7.9425145688880976</v>
      </c>
      <c r="I62" s="6">
        <f>_xll.AnalizExpert.AnalizExpertIslem.IndBBandTop($A62,20,"S","",,"G",,2)</f>
        <v>9.6584854311119006</v>
      </c>
      <c r="J62" s="133">
        <f>_xll.AnalizExpert.AnalizExpertIslem.IndMOM($A62,12,"S",0,"",,"G")</f>
        <v>105.18867924528301</v>
      </c>
    </row>
    <row r="63" spans="1:10" x14ac:dyDescent="0.35">
      <c r="A63" s="132" t="s">
        <v>49</v>
      </c>
      <c r="B63" s="33">
        <f>_xll.AnalizExpert.AnalizExpertIslem.HisseKapanis($A63)</f>
        <v>8.84</v>
      </c>
      <c r="C63" s="33">
        <f>_xll.AnalizExpert.AnalizExpertIslem.IndMov($A63,14,"S",0,"",,"G")</f>
        <v>8.0635714285714268</v>
      </c>
      <c r="D63" s="33">
        <f>_xll.AnalizExpert.AnalizExpertIslem.IndMov($A63,14,"E",0,"",,"G")</f>
        <v>8.112837906483545</v>
      </c>
      <c r="E63" s="33">
        <f>_xll.AnalizExpert.AnalizExpertIslem.IndMov($A63,14,"W",0,"",,"G")</f>
        <v>8.1951428571428568</v>
      </c>
      <c r="F63" s="6">
        <f>_xll.AnalizExpert.AnalizExpertIslem.IndRSI($A63,14,"",,"G")</f>
        <v>75.289575289575282</v>
      </c>
      <c r="G63" s="6">
        <f>_xll.AnalizExpert.AnalizExpertIslem.IndAtr($A63,14,"",,"G")</f>
        <v>0.44255102040816346</v>
      </c>
      <c r="H63" s="6">
        <f>_xll.AnalizExpert.AnalizExpertIslem.IndBBandBot($A63,20,"S","",,"G",,2)</f>
        <v>7.3348252893304853</v>
      </c>
      <c r="I63" s="6">
        <f>_xll.AnalizExpert.AnalizExpertIslem.IndBBandTop($A63,20,"S","",,"G",,2)</f>
        <v>8.823174710669516</v>
      </c>
      <c r="J63" s="133">
        <f>_xll.AnalizExpert.AnalizExpertIslem.IndMOM($A63,12,"S",0,"",,"G")</f>
        <v>117.39707835325363</v>
      </c>
    </row>
    <row r="64" spans="1:10" x14ac:dyDescent="0.35">
      <c r="A64" s="132" t="s">
        <v>50</v>
      </c>
      <c r="B64" s="33">
        <f>_xll.AnalizExpert.AnalizExpertIslem.HisseKapanis($A64)</f>
        <v>40.799999999999997</v>
      </c>
      <c r="C64" s="33">
        <f>_xll.AnalizExpert.AnalizExpertIslem.IndMov($A64,14,"S",0,"",,"G")</f>
        <v>37.182857142857138</v>
      </c>
      <c r="D64" s="33">
        <f>_xll.AnalizExpert.AnalizExpertIslem.IndMov($A64,14,"E",0,"",,"G")</f>
        <v>37.884504647530008</v>
      </c>
      <c r="E64" s="33">
        <f>_xll.AnalizExpert.AnalizExpertIslem.IndMov($A64,14,"W",0,"",,"G")</f>
        <v>38.310095238095244</v>
      </c>
      <c r="F64" s="6">
        <f>_xll.AnalizExpert.AnalizExpertIslem.IndRSI($A64,14,"",,"G")</f>
        <v>67.766497461928907</v>
      </c>
      <c r="G64" s="6">
        <f>_xll.AnalizExpert.AnalizExpertIslem.IndAtr($A64,14,"",,"G")</f>
        <v>1.9388775510204082</v>
      </c>
      <c r="H64" s="6">
        <f>_xll.AnalizExpert.AnalizExpertIslem.IndBBandBot($A64,20,"S","",,"G",,2)</f>
        <v>31.525117381978813</v>
      </c>
      <c r="I64" s="6">
        <f>_xll.AnalizExpert.AnalizExpertIslem.IndBBandTop($A64,20,"S","",,"G",,2)</f>
        <v>41.236882618021191</v>
      </c>
      <c r="J64" s="133">
        <f>_xll.AnalizExpert.AnalizExpertIslem.IndMOM($A64,12,"S",0,"",,"G")</f>
        <v>120</v>
      </c>
    </row>
    <row r="65" spans="1:10" x14ac:dyDescent="0.35">
      <c r="A65" s="132" t="s">
        <v>51</v>
      </c>
      <c r="B65" s="33">
        <f>_xll.AnalizExpert.AnalizExpertIslem.HisseKapanis($A65)</f>
        <v>136.9</v>
      </c>
      <c r="C65" s="33">
        <f>_xll.AnalizExpert.AnalizExpertIslem.IndMov($A65,14,"S",0,"",,"G")</f>
        <v>120.5</v>
      </c>
      <c r="D65" s="33">
        <f>_xll.AnalizExpert.AnalizExpertIslem.IndMov($A65,14,"E",0,"",,"G")</f>
        <v>125.85279476954013</v>
      </c>
      <c r="E65" s="33">
        <f>_xll.AnalizExpert.AnalizExpertIslem.IndMov($A65,14,"W",0,"",,"G")</f>
        <v>129.04095238095235</v>
      </c>
      <c r="F65" s="6">
        <f>_xll.AnalizExpert.AnalizExpertIslem.IndRSI($A65,14,"",,"G")</f>
        <v>69.203329369797871</v>
      </c>
      <c r="G65" s="6">
        <f>_xll.AnalizExpert.AnalizExpertIslem.IndAtr($A65,14,"",,"G")</f>
        <v>9.8278061224489779</v>
      </c>
      <c r="H65" s="6">
        <f>_xll.AnalizExpert.AnalizExpertIslem.IndBBandBot($A65,20,"S","",,"G",,2)</f>
        <v>79.288280142939499</v>
      </c>
      <c r="I65" s="6">
        <f>_xll.AnalizExpert.AnalizExpertIslem.IndBBandTop($A65,20,"S","",,"G",,2)</f>
        <v>149.30671985706047</v>
      </c>
      <c r="J65" s="133">
        <f>_xll.AnalizExpert.AnalizExpertIslem.IndMOM($A65,12,"S",0,"",,"G")</f>
        <v>133.82209188660804</v>
      </c>
    </row>
    <row r="66" spans="1:10" x14ac:dyDescent="0.35">
      <c r="A66" s="132" t="s">
        <v>53</v>
      </c>
      <c r="B66" s="33">
        <f>_xll.AnalizExpert.AnalizExpertIslem.HisseKapanis($A66)</f>
        <v>12.85</v>
      </c>
      <c r="C66" s="33">
        <f>_xll.AnalizExpert.AnalizExpertIslem.IndMov($A66,14,"S",0,"",,"G")</f>
        <v>10.559285714285712</v>
      </c>
      <c r="D66" s="33">
        <f>_xll.AnalizExpert.AnalizExpertIslem.IndMov($A66,14,"E",0,"",,"G")</f>
        <v>11.040371517365966</v>
      </c>
      <c r="E66" s="33">
        <f>_xll.AnalizExpert.AnalizExpertIslem.IndMov($A66,14,"W",0,"",,"G")</f>
        <v>11.273333333333335</v>
      </c>
      <c r="F66" s="6">
        <f>_xll.AnalizExpert.AnalizExpertIslem.IndRSI($A66,14,"",,"G")</f>
        <v>83.427495291902062</v>
      </c>
      <c r="G66" s="6">
        <f>_xll.AnalizExpert.AnalizExpertIslem.IndAtr($A66,14,"",,"G")</f>
        <v>0.64576530612244909</v>
      </c>
      <c r="H66" s="6">
        <f>_xll.AnalizExpert.AnalizExpertIslem.IndBBandBot($A66,20,"S","",,"G",,2)</f>
        <v>7.4322689562626838</v>
      </c>
      <c r="I66" s="6">
        <f>_xll.AnalizExpert.AnalizExpertIslem.IndBBandTop($A66,20,"S","",,"G",,2)</f>
        <v>12.842731043737315</v>
      </c>
      <c r="J66" s="133">
        <f>_xll.AnalizExpert.AnalizExpertIslem.IndMOM($A66,12,"S",0,"",,"G")</f>
        <v>141.0537870472009</v>
      </c>
    </row>
    <row r="67" spans="1:10" x14ac:dyDescent="0.35">
      <c r="A67" s="132" t="s">
        <v>54</v>
      </c>
      <c r="B67" s="33">
        <f>_xll.AnalizExpert.AnalizExpertIslem.HisseKapanis($A67)</f>
        <v>65.8</v>
      </c>
      <c r="C67" s="33">
        <f>_xll.AnalizExpert.AnalizExpertIslem.IndMov($A67,14,"S",0,"",,"G")</f>
        <v>62.142857142857146</v>
      </c>
      <c r="D67" s="33">
        <f>_xll.AnalizExpert.AnalizExpertIslem.IndMov($A67,14,"E",0,"",,"G")</f>
        <v>62.080440672160755</v>
      </c>
      <c r="E67" s="33">
        <f>_xll.AnalizExpert.AnalizExpertIslem.IndMov($A67,14,"W",0,"",,"G")</f>
        <v>63.079523809523813</v>
      </c>
      <c r="F67" s="6">
        <f>_xll.AnalizExpert.AnalizExpertIslem.IndRSI($A67,14,"",,"G")</f>
        <v>72.881355932203348</v>
      </c>
      <c r="G67" s="6">
        <f>_xll.AnalizExpert.AnalizExpertIslem.IndAtr($A67,14,"",,"G")</f>
        <v>2.7313775510204095</v>
      </c>
      <c r="H67" s="6">
        <f>_xll.AnalizExpert.AnalizExpertIslem.IndBBandBot($A67,20,"S","",,"G",,2)</f>
        <v>53.21420394798335</v>
      </c>
      <c r="I67" s="6">
        <f>_xll.AnalizExpert.AnalizExpertIslem.IndBBandTop($A67,20,"S","",,"G",,2)</f>
        <v>67.370796052016658</v>
      </c>
      <c r="J67" s="133">
        <f>_xll.AnalizExpert.AnalizExpertIslem.IndMOM($A67,12,"S",0,"",,"G")</f>
        <v>114.33536055603824</v>
      </c>
    </row>
    <row r="68" spans="1:10" x14ac:dyDescent="0.35">
      <c r="A68" s="132" t="s">
        <v>55</v>
      </c>
      <c r="B68" s="33">
        <f>_xll.AnalizExpert.AnalizExpertIslem.HisseKapanis($A68)</f>
        <v>192.1</v>
      </c>
      <c r="C68" s="33">
        <f>_xll.AnalizExpert.AnalizExpertIslem.IndMov($A68,14,"S",0,"",,"G")</f>
        <v>159.35714285714283</v>
      </c>
      <c r="D68" s="33">
        <f>_xll.AnalizExpert.AnalizExpertIslem.IndMov($A68,14,"E",0,"",,"G")</f>
        <v>165.3001711383703</v>
      </c>
      <c r="E68" s="33">
        <f>_xll.AnalizExpert.AnalizExpertIslem.IndMov($A68,14,"W",0,"",,"G")</f>
        <v>174.88000000000002</v>
      </c>
      <c r="F68" s="6">
        <f>_xll.AnalizExpert.AnalizExpertIslem.IndRSI($A68,14,"",,"G")</f>
        <v>74.05714285714285</v>
      </c>
      <c r="G68" s="6">
        <f>_xll.AnalizExpert.AnalizExpertIslem.IndAtr($A68,14,"",,"G")</f>
        <v>17.173469387755102</v>
      </c>
      <c r="H68" s="6">
        <f>_xll.AnalizExpert.AnalizExpertIslem.IndBBandBot($A68,20,"S","",,"G",,2)</f>
        <v>59.07302577874826</v>
      </c>
      <c r="I68" s="6">
        <f>_xll.AnalizExpert.AnalizExpertIslem.IndBBandTop($A68,20,"S","",,"G",,2)</f>
        <v>220.26197422125165</v>
      </c>
      <c r="J68" s="133">
        <f>_xll.AnalizExpert.AnalizExpertIslem.IndMOM($A68,12,"S",0,"",,"G")</f>
        <v>155.92532467532467</v>
      </c>
    </row>
    <row r="69" spans="1:10" x14ac:dyDescent="0.35">
      <c r="A69" s="132" t="s">
        <v>56</v>
      </c>
      <c r="B69" s="33">
        <f>_xll.AnalizExpert.AnalizExpertIslem.HisseKapanis($A69)</f>
        <v>68.849999999999994</v>
      </c>
      <c r="C69" s="33">
        <f>_xll.AnalizExpert.AnalizExpertIslem.IndMov($A69,14,"S",0,"",,"G")</f>
        <v>66.25</v>
      </c>
      <c r="D69" s="33">
        <f>_xll.AnalizExpert.AnalizExpertIslem.IndMov($A69,14,"E",0,"",,"G")</f>
        <v>66.751582020179953</v>
      </c>
      <c r="E69" s="33">
        <f>_xll.AnalizExpert.AnalizExpertIslem.IndMov($A69,14,"W",0,"",,"G")</f>
        <v>67.033809523809524</v>
      </c>
      <c r="F69" s="6">
        <f>_xll.AnalizExpert.AnalizExpertIslem.IndRSI($A69,14,"",,"G")</f>
        <v>60.112359550561784</v>
      </c>
      <c r="G69" s="6">
        <f>_xll.AnalizExpert.AnalizExpertIslem.IndAtr($A69,14,"",,"G")</f>
        <v>2.5714285714285721</v>
      </c>
      <c r="H69" s="6">
        <f>_xll.AnalizExpert.AnalizExpertIslem.IndBBandBot($A69,20,"S","",,"G",,2)</f>
        <v>61.263766530493115</v>
      </c>
      <c r="I69" s="6">
        <f>_xll.AnalizExpert.AnalizExpertIslem.IndBBandTop($A69,20,"S","",,"G",,2)</f>
        <v>69.676233469506883</v>
      </c>
      <c r="J69" s="133">
        <f>_xll.AnalizExpert.AnalizExpertIslem.IndMOM($A69,12,"S",0,"",,"G")</f>
        <v>107.66223612197028</v>
      </c>
    </row>
    <row r="70" spans="1:10" x14ac:dyDescent="0.35">
      <c r="A70" s="132" t="s">
        <v>58</v>
      </c>
      <c r="B70" s="33">
        <f>_xll.AnalizExpert.AnalizExpertIslem.HisseKapanis($A70)</f>
        <v>38.76</v>
      </c>
      <c r="C70" s="33">
        <f>_xll.AnalizExpert.AnalizExpertIslem.IndMov($A70,14,"S",0,"",,"G")</f>
        <v>36.404285714285706</v>
      </c>
      <c r="D70" s="33">
        <f>_xll.AnalizExpert.AnalizExpertIslem.IndMov($A70,14,"E",0,"",,"G")</f>
        <v>36.550857261009853</v>
      </c>
      <c r="E70" s="33">
        <f>_xll.AnalizExpert.AnalizExpertIslem.IndMov($A70,14,"W",0,"",,"G")</f>
        <v>37.29847619047618</v>
      </c>
      <c r="F70" s="6">
        <f>_xll.AnalizExpert.AnalizExpertIslem.IndRSI($A70,14,"",,"G")</f>
        <v>75.696594427244577</v>
      </c>
      <c r="G70" s="6">
        <f>_xll.AnalizExpert.AnalizExpertIslem.IndAtr($A70,14,"",,"G")</f>
        <v>2.002959183673469</v>
      </c>
      <c r="H70" s="6">
        <f>_xll.AnalizExpert.AnalizExpertIslem.IndBBandBot($A70,20,"S","",,"G",,2)</f>
        <v>29.414630921474387</v>
      </c>
      <c r="I70" s="6">
        <f>_xll.AnalizExpert.AnalizExpertIslem.IndBBandTop($A70,20,"S","",,"G",,2)</f>
        <v>40.415369078525622</v>
      </c>
      <c r="J70" s="133">
        <f>_xll.AnalizExpert.AnalizExpertIslem.IndMOM($A70,12,"S",0,"",,"G")</f>
        <v>115.56350626118068</v>
      </c>
    </row>
    <row r="71" spans="1:10" x14ac:dyDescent="0.35">
      <c r="A71" s="132" t="s">
        <v>57</v>
      </c>
      <c r="B71" s="33">
        <f>_xll.AnalizExpert.AnalizExpertIslem.HisseKapanis($A71)</f>
        <v>265</v>
      </c>
      <c r="C71" s="33">
        <f>_xll.AnalizExpert.AnalizExpertIslem.IndMov($A71,14,"S",0,"",,"G")</f>
        <v>227.57857142857145</v>
      </c>
      <c r="D71" s="33">
        <f>_xll.AnalizExpert.AnalizExpertIslem.IndMov($A71,14,"E",0,"",,"G")</f>
        <v>234.5497526552096</v>
      </c>
      <c r="E71" s="33">
        <f>_xll.AnalizExpert.AnalizExpertIslem.IndMov($A71,14,"W",0,"",,"G")</f>
        <v>239.43714285714285</v>
      </c>
      <c r="F71" s="6">
        <f>_xll.AnalizExpert.AnalizExpertIslem.IndRSI($A71,14,"",,"G")</f>
        <v>84.698275862068982</v>
      </c>
      <c r="G71" s="6">
        <f>_xll.AnalizExpert.AnalizExpertIslem.IndAtr($A71,14,"",,"G")</f>
        <v>12.560714285714287</v>
      </c>
      <c r="H71" s="6">
        <f>_xll.AnalizExpert.AnalizExpertIslem.IndBBandBot($A71,20,"S","",,"G",,2)</f>
        <v>168.5950595177643</v>
      </c>
      <c r="I71" s="6">
        <f>_xll.AnalizExpert.AnalizExpertIslem.IndBBandTop($A71,20,"S","",,"G",,2)</f>
        <v>266.4649404822357</v>
      </c>
      <c r="J71" s="133">
        <f>_xll.AnalizExpert.AnalizExpertIslem.IndMOM($A71,12,"S",0,"",,"G")</f>
        <v>133.36688475088073</v>
      </c>
    </row>
    <row r="72" spans="1:10" x14ac:dyDescent="0.35">
      <c r="A72" s="132" t="s">
        <v>52</v>
      </c>
      <c r="B72" s="33">
        <f>_xll.AnalizExpert.AnalizExpertIslem.HisseKapanis($A72)</f>
        <v>13.15</v>
      </c>
      <c r="C72" s="33">
        <f>_xll.AnalizExpert.AnalizExpertIslem.IndMov($A72,14,"S",0,"",,"G")</f>
        <v>12.879999999999999</v>
      </c>
      <c r="D72" s="33">
        <f>_xll.AnalizExpert.AnalizExpertIslem.IndMov($A72,14,"E",0,"",,"G")</f>
        <v>12.789938659324585</v>
      </c>
      <c r="E72" s="33">
        <f>_xll.AnalizExpert.AnalizExpertIslem.IndMov($A72,14,"W",0,"",,"G")</f>
        <v>12.936380952380953</v>
      </c>
      <c r="F72" s="6">
        <f>_xll.AnalizExpert.AnalizExpertIslem.IndRSI($A72,14,"",,"G")</f>
        <v>61.538461538461547</v>
      </c>
      <c r="G72" s="6">
        <f>_xll.AnalizExpert.AnalizExpertIslem.IndAtr($A72,14,"",,"G")</f>
        <v>0.64505102040816342</v>
      </c>
      <c r="H72" s="6">
        <f>_xll.AnalizExpert.AnalizExpertIslem.IndBBandBot($A72,20,"S","",,"G",,2)</f>
        <v>11.747009249375591</v>
      </c>
      <c r="I72" s="6">
        <f>_xll.AnalizExpert.AnalizExpertIslem.IndBBandTop($A72,20,"S","",,"G",,2)</f>
        <v>13.611990750624411</v>
      </c>
      <c r="J72" s="133">
        <f>_xll.AnalizExpert.AnalizExpertIslem.IndMOM($A72,12,"S",0,"",,"G")</f>
        <v>108.58794384805945</v>
      </c>
    </row>
    <row r="73" spans="1:10" x14ac:dyDescent="0.35">
      <c r="A73" s="132" t="s">
        <v>59</v>
      </c>
      <c r="B73" s="33">
        <f>_xll.AnalizExpert.AnalizExpertIslem.HisseKapanis($A73)</f>
        <v>57.4</v>
      </c>
      <c r="C73" s="33">
        <f>_xll.AnalizExpert.AnalizExpertIslem.IndMov($A73,14,"S",0,"",,"G")</f>
        <v>55.096428571428589</v>
      </c>
      <c r="D73" s="33">
        <f>_xll.AnalizExpert.AnalizExpertIslem.IndMov($A73,14,"E",0,"",,"G")</f>
        <v>55.304733672422167</v>
      </c>
      <c r="E73" s="33">
        <f>_xll.AnalizExpert.AnalizExpertIslem.IndMov($A73,14,"W",0,"",,"G")</f>
        <v>55.499047619047602</v>
      </c>
      <c r="F73" s="6">
        <f>_xll.AnalizExpert.AnalizExpertIslem.IndRSI($A73,14,"",,"G")</f>
        <v>61.318051575931264</v>
      </c>
      <c r="G73" s="6">
        <f>_xll.AnalizExpert.AnalizExpertIslem.IndAtr($A73,14,"",,"G")</f>
        <v>2.5767857142857142</v>
      </c>
      <c r="H73" s="6">
        <f>_xll.AnalizExpert.AnalizExpertIslem.IndBBandBot($A73,20,"S","",,"G",,2)</f>
        <v>51.934961385965224</v>
      </c>
      <c r="I73" s="6">
        <f>_xll.AnalizExpert.AnalizExpertIslem.IndBBandTop($A73,20,"S","",,"G",,2)</f>
        <v>57.600038614034787</v>
      </c>
      <c r="J73" s="133">
        <f>_xll.AnalizExpert.AnalizExpertIslem.IndMOM($A73,12,"S",0,"",,"G")</f>
        <v>106.8901303538175</v>
      </c>
    </row>
    <row r="74" spans="1:10" x14ac:dyDescent="0.35">
      <c r="A74" s="132" t="s">
        <v>60</v>
      </c>
      <c r="B74" s="33">
        <f>_xll.AnalizExpert.AnalizExpertIslem.HisseKapanis($A74)</f>
        <v>97.05</v>
      </c>
      <c r="C74" s="33">
        <f>_xll.AnalizExpert.AnalizExpertIslem.IndMov($A74,14,"S",0,"",,"G")</f>
        <v>92.15</v>
      </c>
      <c r="D74" s="33">
        <f>_xll.AnalizExpert.AnalizExpertIslem.IndMov($A74,14,"E",0,"",,"G")</f>
        <v>92.00987792740608</v>
      </c>
      <c r="E74" s="33">
        <f>_xll.AnalizExpert.AnalizExpertIslem.IndMov($A74,14,"W",0,"",,"G")</f>
        <v>92.353333333333353</v>
      </c>
      <c r="F74" s="6">
        <f>_xll.AnalizExpert.AnalizExpertIslem.IndRSI($A74,14,"",,"G")</f>
        <v>63.394342762063225</v>
      </c>
      <c r="G74" s="6">
        <f>_xll.AnalizExpert.AnalizExpertIslem.IndAtr($A74,14,"",,"G")</f>
        <v>3.591071428571428</v>
      </c>
      <c r="H74" s="6">
        <f>_xll.AnalizExpert.AnalizExpertIslem.IndBBandBot($A74,20,"S","",,"G",,2)</f>
        <v>85.217963414754351</v>
      </c>
      <c r="I74" s="6">
        <f>_xll.AnalizExpert.AnalizExpertIslem.IndBBandTop($A74,20,"S","",,"G",,2)</f>
        <v>96.452036585245665</v>
      </c>
      <c r="J74" s="133">
        <f>_xll.AnalizExpert.AnalizExpertIslem.IndMOM($A74,12,"S",0,"",,"G")</f>
        <v>105.66140446379968</v>
      </c>
    </row>
    <row r="75" spans="1:10" x14ac:dyDescent="0.35">
      <c r="A75" s="132" t="s">
        <v>61</v>
      </c>
      <c r="B75" s="33">
        <f>_xll.AnalizExpert.AnalizExpertIslem.HisseKapanis($A75)</f>
        <v>127.3</v>
      </c>
      <c r="C75" s="33">
        <f>_xll.AnalizExpert.AnalizExpertIslem.IndMov($A75,14,"S",0,"",,"G")</f>
        <v>134.68571428571431</v>
      </c>
      <c r="D75" s="33">
        <f>_xll.AnalizExpert.AnalizExpertIslem.IndMov($A75,14,"E",0,"",,"G")</f>
        <v>132.23079611356695</v>
      </c>
      <c r="E75" s="33">
        <f>_xll.AnalizExpert.AnalizExpertIslem.IndMov($A75,14,"W",0,"",,"G")</f>
        <v>134.47238095238095</v>
      </c>
      <c r="F75" s="6">
        <f>_xll.AnalizExpert.AnalizExpertIslem.IndRSI($A75,14,"",,"G")</f>
        <v>54.559999999999988</v>
      </c>
      <c r="G75" s="6">
        <f>_xll.AnalizExpert.AnalizExpertIslem.IndAtr($A75,14,"",,"G")</f>
        <v>7.6678571428571463</v>
      </c>
      <c r="H75" s="6">
        <f>_xll.AnalizExpert.AnalizExpertIslem.IndBBandBot($A75,20,"S","",,"G",,2)</f>
        <v>116.31560041928576</v>
      </c>
      <c r="I75" s="6">
        <f>_xll.AnalizExpert.AnalizExpertIslem.IndBBandTop($A75,20,"S","",,"G",,2)</f>
        <v>145.79439958071433</v>
      </c>
      <c r="J75" s="133">
        <f>_xll.AnalizExpert.AnalizExpertIslem.IndMOM($A75,12,"S",0,"",,"G")</f>
        <v>96.65907365223994</v>
      </c>
    </row>
    <row r="76" spans="1:10" x14ac:dyDescent="0.35">
      <c r="A76" s="132" t="s">
        <v>62</v>
      </c>
      <c r="B76" s="33">
        <f>_xll.AnalizExpert.AnalizExpertIslem.HisseKapanis($A76)</f>
        <v>12.96</v>
      </c>
      <c r="C76" s="33">
        <f>_xll.AnalizExpert.AnalizExpertIslem.IndMov($A76,14,"S",0,"",,"G")</f>
        <v>14.06642857142857</v>
      </c>
      <c r="D76" s="33">
        <f>_xll.AnalizExpert.AnalizExpertIslem.IndMov($A76,14,"E",0,"",,"G")</f>
        <v>13.731999649267701</v>
      </c>
      <c r="E76" s="33">
        <f>_xll.AnalizExpert.AnalizExpertIslem.IndMov($A76,14,"W",0,"",,"G")</f>
        <v>13.684285714285714</v>
      </c>
      <c r="F76" s="6">
        <f>_xll.AnalizExpert.AnalizExpertIslem.IndRSI($A76,14,"",,"G")</f>
        <v>37.918215613382898</v>
      </c>
      <c r="G76" s="6">
        <f>_xll.AnalizExpert.AnalizExpertIslem.IndAtr($A76,14,"",,"G")</f>
        <v>0.75556122448979612</v>
      </c>
      <c r="H76" s="6">
        <f>_xll.AnalizExpert.AnalizExpertIslem.IndBBandBot($A76,20,"S","",,"G",,2)</f>
        <v>12.587030105805864</v>
      </c>
      <c r="I76" s="6">
        <f>_xll.AnalizExpert.AnalizExpertIslem.IndBBandTop($A76,20,"S","",,"G",,2)</f>
        <v>15.80896989419414</v>
      </c>
      <c r="J76" s="133">
        <f>_xll.AnalizExpert.AnalizExpertIslem.IndMOM($A76,12,"S",0,"",,"G")</f>
        <v>86.688963210702354</v>
      </c>
    </row>
    <row r="77" spans="1:10" x14ac:dyDescent="0.35">
      <c r="A77" s="132" t="s">
        <v>63</v>
      </c>
      <c r="B77" s="33">
        <f>_xll.AnalizExpert.AnalizExpertIslem.HisseKapanis($A77)</f>
        <v>6.35</v>
      </c>
      <c r="C77" s="33">
        <f>_xll.AnalizExpert.AnalizExpertIslem.IndMov($A77,14,"S",0,"",,"G")</f>
        <v>6.2971428571428572</v>
      </c>
      <c r="D77" s="33">
        <f>_xll.AnalizExpert.AnalizExpertIslem.IndMov($A77,14,"E",0,"",,"G")</f>
        <v>6.2311184813901148</v>
      </c>
      <c r="E77" s="33">
        <f>_xll.AnalizExpert.AnalizExpertIslem.IndMov($A77,14,"W",0,"",,"G")</f>
        <v>6.2186666666666683</v>
      </c>
      <c r="F77" s="6">
        <f>_xll.AnalizExpert.AnalizExpertIslem.IndRSI($A77,14,"",,"G")</f>
        <v>52.272727272727266</v>
      </c>
      <c r="G77" s="6">
        <f>_xll.AnalizExpert.AnalizExpertIslem.IndAtr($A77,14,"",,"G")</f>
        <v>0.29780612244897964</v>
      </c>
      <c r="H77" s="6">
        <f>_xll.AnalizExpert.AnalizExpertIslem.IndBBandBot($A77,20,"S","",,"G",,2)</f>
        <v>5.7909678910905065</v>
      </c>
      <c r="I77" s="6">
        <f>_xll.AnalizExpert.AnalizExpertIslem.IndBBandTop($A77,20,"S","",,"G",,2)</f>
        <v>6.6630321089094924</v>
      </c>
      <c r="J77" s="133">
        <f>_xll.AnalizExpert.AnalizExpertIslem.IndMOM($A77,12,"S",0,"",,"G")</f>
        <v>94.35364041604754</v>
      </c>
    </row>
    <row r="78" spans="1:10" x14ac:dyDescent="0.35">
      <c r="A78" s="132" t="s">
        <v>64</v>
      </c>
      <c r="B78" s="33">
        <f>_xll.AnalizExpert.AnalizExpertIslem.HisseKapanis($A78)</f>
        <v>10.78</v>
      </c>
      <c r="C78" s="33">
        <f>_xll.AnalizExpert.AnalizExpertIslem.IndMov($A78,14,"S",0,"",,"G")</f>
        <v>10.213571428571429</v>
      </c>
      <c r="D78" s="33">
        <f>_xll.AnalizExpert.AnalizExpertIslem.IndMov($A78,14,"E",0,"",,"G")</f>
        <v>10.347887364499877</v>
      </c>
      <c r="E78" s="33">
        <f>_xll.AnalizExpert.AnalizExpertIslem.IndMov($A78,14,"W",0,"",,"G")</f>
        <v>10.790190476190475</v>
      </c>
      <c r="F78" s="6">
        <f>_xll.AnalizExpert.AnalizExpertIslem.IndRSI($A78,14,"",,"G")</f>
        <v>71.060171919770752</v>
      </c>
      <c r="G78" s="6">
        <f>_xll.AnalizExpert.AnalizExpertIslem.IndAtr($A78,14,"",,"G")</f>
        <v>0.82959183673469405</v>
      </c>
      <c r="H78" s="6">
        <f>_xll.AnalizExpert.AnalizExpertIslem.IndBBandBot($A78,20,"S","",,"G",,2)</f>
        <v>6.4722963458896823</v>
      </c>
      <c r="I78" s="6">
        <f>_xll.AnalizExpert.AnalizExpertIslem.IndBBandTop($A78,20,"S","",,"G",,2)</f>
        <v>12.536703654110319</v>
      </c>
      <c r="J78" s="133">
        <f>_xll.AnalizExpert.AnalizExpertIslem.IndMOM($A78,12,"S",0,"",,"G")</f>
        <v>124.48036951501153</v>
      </c>
    </row>
    <row r="79" spans="1:10" x14ac:dyDescent="0.35">
      <c r="A79" s="132" t="s">
        <v>65</v>
      </c>
      <c r="B79" s="33">
        <f>_xll.AnalizExpert.AnalizExpertIslem.HisseKapanis($A79)</f>
        <v>762.1</v>
      </c>
      <c r="C79" s="33">
        <f>_xll.AnalizExpert.AnalizExpertIslem.IndMov($A79,14,"S",0,"",,"G")</f>
        <v>677.66428571428571</v>
      </c>
      <c r="D79" s="33">
        <f>_xll.AnalizExpert.AnalizExpertIslem.IndMov($A79,14,"E",0,"",,"G")</f>
        <v>692.13937000581234</v>
      </c>
      <c r="E79" s="33">
        <f>_xll.AnalizExpert.AnalizExpertIslem.IndMov($A79,14,"W",0,"",,"G")</f>
        <v>717.78857142857134</v>
      </c>
      <c r="F79" s="6">
        <f>_xll.AnalizExpert.AnalizExpertIslem.IndRSI($A79,14,"",,"G")</f>
        <v>90.447007930785873</v>
      </c>
      <c r="G79" s="6">
        <f>_xll.AnalizExpert.AnalizExpertIslem.IndAtr($A79,14,"",,"G")</f>
        <v>36.582142857142863</v>
      </c>
      <c r="H79" s="6">
        <f>_xll.AnalizExpert.AnalizExpertIslem.IndBBandBot($A79,20,"S","",,"G",,2)</f>
        <v>445.58999339559671</v>
      </c>
      <c r="I79" s="6">
        <f>_xll.AnalizExpert.AnalizExpertIslem.IndBBandTop($A79,20,"S","",,"G",,2)</f>
        <v>820.34000660440336</v>
      </c>
      <c r="J79" s="133">
        <f>_xll.AnalizExpert.AnalizExpertIslem.IndMOM($A79,12,"S",0,"",,"G")</f>
        <v>132.67757660167132</v>
      </c>
    </row>
    <row r="80" spans="1:10" x14ac:dyDescent="0.35">
      <c r="A80" s="132" t="s">
        <v>66</v>
      </c>
      <c r="B80" s="33">
        <f>_xll.AnalizExpert.AnalizExpertIslem.HisseKapanis($A80)</f>
        <v>17.27</v>
      </c>
      <c r="C80" s="33">
        <f>_xll.AnalizExpert.AnalizExpertIslem.IndMov($A80,14,"S",0,"",,"G")</f>
        <v>17.542857142857137</v>
      </c>
      <c r="D80" s="33">
        <f>_xll.AnalizExpert.AnalizExpertIslem.IndMov($A80,14,"E",0,"",,"G")</f>
        <v>17.328048472539717</v>
      </c>
      <c r="E80" s="33">
        <f>_xll.AnalizExpert.AnalizExpertIslem.IndMov($A80,14,"W",0,"",,"G")</f>
        <v>17.340666666666667</v>
      </c>
      <c r="F80" s="6">
        <f>_xll.AnalizExpert.AnalizExpertIslem.IndRSI($A80,14,"",,"G")</f>
        <v>51.079136690647488</v>
      </c>
      <c r="G80" s="6">
        <f>_xll.AnalizExpert.AnalizExpertIslem.IndAtr($A80,14,"",,"G")</f>
        <v>0.78755102040816327</v>
      </c>
      <c r="H80" s="6">
        <f>_xll.AnalizExpert.AnalizExpertIslem.IndBBandBot($A80,20,"S","",,"G",,2)</f>
        <v>15.746647020808457</v>
      </c>
      <c r="I80" s="6">
        <f>_xll.AnalizExpert.AnalizExpertIslem.IndBBandTop($A80,20,"S","",,"G",,2)</f>
        <v>18.659352979191549</v>
      </c>
      <c r="J80" s="133">
        <f>_xll.AnalizExpert.AnalizExpertIslem.IndMOM($A80,12,"S",0,"",,"G")</f>
        <v>95.09911894273128</v>
      </c>
    </row>
    <row r="81" spans="1:10" x14ac:dyDescent="0.35">
      <c r="A81" s="132" t="s">
        <v>67</v>
      </c>
      <c r="B81" s="33">
        <f>_xll.AnalizExpert.AnalizExpertIslem.HisseKapanis($A81)</f>
        <v>64.099999999999994</v>
      </c>
      <c r="C81" s="33">
        <f>_xll.AnalizExpert.AnalizExpertIslem.IndMov($A81,14,"S",0,"",,"G")</f>
        <v>62.714285714285708</v>
      </c>
      <c r="D81" s="33">
        <f>_xll.AnalizExpert.AnalizExpertIslem.IndMov($A81,14,"E",0,"",,"G")</f>
        <v>63.125897785013613</v>
      </c>
      <c r="E81" s="33">
        <f>_xll.AnalizExpert.AnalizExpertIslem.IndMov($A81,14,"W",0,"",,"G")</f>
        <v>64.147142857142853</v>
      </c>
      <c r="F81" s="6">
        <f>_xll.AnalizExpert.AnalizExpertIslem.IndRSI($A81,14,"",,"G")</f>
        <v>61.078998073217711</v>
      </c>
      <c r="G81" s="6">
        <f>_xll.AnalizExpert.AnalizExpertIslem.IndAtr($A81,14,"",,"G")</f>
        <v>3.7114795918367354</v>
      </c>
      <c r="H81" s="6">
        <f>_xll.AnalizExpert.AnalizExpertIslem.IndBBandBot($A81,20,"S","",,"G",,2)</f>
        <v>52.196886268304056</v>
      </c>
      <c r="I81" s="6">
        <f>_xll.AnalizExpert.AnalizExpertIslem.IndBBandTop($A81,20,"S","",,"G",,2)</f>
        <v>69.70311373169595</v>
      </c>
      <c r="J81" s="133">
        <f>_xll.AnalizExpert.AnalizExpertIslem.IndMOM($A81,12,"S",0,"",,"G")</f>
        <v>110.51724137931033</v>
      </c>
    </row>
    <row r="82" spans="1:10" x14ac:dyDescent="0.35">
      <c r="A82" s="132" t="s">
        <v>70</v>
      </c>
      <c r="B82" s="33">
        <f>_xll.AnalizExpert.AnalizExpertIslem.HisseKapanis($A82)</f>
        <v>15.29</v>
      </c>
      <c r="C82" s="33">
        <f>_xll.AnalizExpert.AnalizExpertIslem.IndMov($A82,14,"S",0,"",,"G")</f>
        <v>14.508571428571427</v>
      </c>
      <c r="D82" s="33">
        <f>_xll.AnalizExpert.AnalizExpertIslem.IndMov($A82,14,"E",0,"",,"G")</f>
        <v>14.550794368074916</v>
      </c>
      <c r="E82" s="33">
        <f>_xll.AnalizExpert.AnalizExpertIslem.IndMov($A82,14,"W",0,"",,"G")</f>
        <v>14.697523809523805</v>
      </c>
      <c r="F82" s="6">
        <f>_xll.AnalizExpert.AnalizExpertIslem.IndRSI($A82,14,"",,"G")</f>
        <v>66.216216216216182</v>
      </c>
      <c r="G82" s="6">
        <f>_xll.AnalizExpert.AnalizExpertIslem.IndAtr($A82,14,"",,"G")</f>
        <v>0.66709183673469397</v>
      </c>
      <c r="H82" s="6">
        <f>_xll.AnalizExpert.AnalizExpertIslem.IndBBandBot($A82,20,"S","",,"G",,2)</f>
        <v>12.904263736606794</v>
      </c>
      <c r="I82" s="6">
        <f>_xll.AnalizExpert.AnalizExpertIslem.IndBBandTop($A82,20,"S","",,"G",,2)</f>
        <v>15.456736263393204</v>
      </c>
      <c r="J82" s="133">
        <f>_xll.AnalizExpert.AnalizExpertIslem.IndMOM($A82,12,"S",0,"",,"G")</f>
        <v>109.92092020129402</v>
      </c>
    </row>
    <row r="83" spans="1:10" x14ac:dyDescent="0.35">
      <c r="A83" s="132" t="s">
        <v>69</v>
      </c>
      <c r="B83" s="33">
        <f>_xll.AnalizExpert.AnalizExpertIslem.HisseKapanis($A83)</f>
        <v>340.2</v>
      </c>
      <c r="C83" s="33">
        <f>_xll.AnalizExpert.AnalizExpertIslem.IndMov($A83,14,"S",0,"",,"G")</f>
        <v>364.32857142857154</v>
      </c>
      <c r="D83" s="33">
        <f>_xll.AnalizExpert.AnalizExpertIslem.IndMov($A83,14,"E",0,"",,"G")</f>
        <v>358.99969001762378</v>
      </c>
      <c r="E83" s="33">
        <f>_xll.AnalizExpert.AnalizExpertIslem.IndMov($A83,14,"W",0,"",,"G")</f>
        <v>366.20190476190464</v>
      </c>
      <c r="F83" s="6">
        <f>_xll.AnalizExpert.AnalizExpertIslem.IndRSI($A83,14,"",,"G")</f>
        <v>53.871391076115493</v>
      </c>
      <c r="G83" s="6">
        <f>_xll.AnalizExpert.AnalizExpertIslem.IndAtr($A83,14,"",,"G")</f>
        <v>19.315816326530619</v>
      </c>
      <c r="H83" s="6">
        <f>_xll.AnalizExpert.AnalizExpertIslem.IndBBandBot($A83,20,"S","",,"G",,2)</f>
        <v>300.74023239903795</v>
      </c>
      <c r="I83" s="6">
        <f>_xll.AnalizExpert.AnalizExpertIslem.IndBBandTop($A83,20,"S","",,"G",,2)</f>
        <v>402.71976760096209</v>
      </c>
      <c r="J83" s="133">
        <f>_xll.AnalizExpert.AnalizExpertIslem.IndMOM($A83,12,"S",0,"",,"G")</f>
        <v>97.061340941512114</v>
      </c>
    </row>
    <row r="84" spans="1:10" x14ac:dyDescent="0.35">
      <c r="A84" s="132" t="s">
        <v>68</v>
      </c>
      <c r="B84" s="33">
        <f>_xll.AnalizExpert.AnalizExpertIslem.HisseKapanis($A84)</f>
        <v>9.08</v>
      </c>
      <c r="C84" s="33">
        <f>_xll.AnalizExpert.AnalizExpertIslem.IndMov($A84,14,"S",0,"",,"G")</f>
        <v>7.6707142857142845</v>
      </c>
      <c r="D84" s="33">
        <f>_xll.AnalizExpert.AnalizExpertIslem.IndMov($A84,14,"E",0,"",,"G")</f>
        <v>7.8892703478323538</v>
      </c>
      <c r="E84" s="33">
        <f>_xll.AnalizExpert.AnalizExpertIslem.IndMov($A84,14,"W",0,"",,"G")</f>
        <v>8.1273333333333326</v>
      </c>
      <c r="F84" s="6">
        <f>_xll.AnalizExpert.AnalizExpertIslem.IndRSI($A84,14,"",,"G")</f>
        <v>83.762886597938149</v>
      </c>
      <c r="G84" s="6">
        <f>_xll.AnalizExpert.AnalizExpertIslem.IndAtr($A84,14,"",,"G")</f>
        <v>0.52938775510204084</v>
      </c>
      <c r="H84" s="6">
        <f>_xll.AnalizExpert.AnalizExpertIslem.IndBBandBot($A84,20,"S","",,"G",,2)</f>
        <v>5.584340700217</v>
      </c>
      <c r="I84" s="6">
        <f>_xll.AnalizExpert.AnalizExpertIslem.IndBBandTop($A84,20,"S","",,"G",,2)</f>
        <v>9.1626592997830016</v>
      </c>
      <c r="J84" s="133">
        <f>_xll.AnalizExpert.AnalizExpertIslem.IndMOM($A84,12,"S",0,"",,"G")</f>
        <v>138.62595419847327</v>
      </c>
    </row>
    <row r="85" spans="1:10" x14ac:dyDescent="0.35">
      <c r="A85" s="132" t="s">
        <v>71</v>
      </c>
      <c r="B85" s="33">
        <f>_xll.AnalizExpert.AnalizExpertIslem.HisseKapanis($A85)</f>
        <v>56.4</v>
      </c>
      <c r="C85" s="33">
        <f>_xll.AnalizExpert.AnalizExpertIslem.IndMov($A85,14,"S",0,"",,"G")</f>
        <v>56.042857142857137</v>
      </c>
      <c r="D85" s="33">
        <f>_xll.AnalizExpert.AnalizExpertIslem.IndMov($A85,14,"E",0,"",,"G")</f>
        <v>55.402239122938425</v>
      </c>
      <c r="E85" s="33">
        <f>_xll.AnalizExpert.AnalizExpertIslem.IndMov($A85,14,"W",0,"",,"G")</f>
        <v>55.934761904761899</v>
      </c>
      <c r="F85" s="6">
        <f>_xll.AnalizExpert.AnalizExpertIslem.IndRSI($A85,14,"",,"G")</f>
        <v>63.344051446945343</v>
      </c>
      <c r="G85" s="6">
        <f>_xll.AnalizExpert.AnalizExpertIslem.IndAtr($A85,14,"",,"G")</f>
        <v>2.7857142857142865</v>
      </c>
      <c r="H85" s="6">
        <f>_xll.AnalizExpert.AnalizExpertIslem.IndBBandBot($A85,20,"S","",,"G",,2)</f>
        <v>46.193411963053869</v>
      </c>
      <c r="I85" s="6">
        <f>_xll.AnalizExpert.AnalizExpertIslem.IndBBandTop($A85,20,"S","",,"G",,2)</f>
        <v>61.357588036946119</v>
      </c>
      <c r="J85" s="133">
        <f>_xll.AnalizExpert.AnalizExpertIslem.IndMOM($A85,12,"S",0,"",,"G")</f>
        <v>102.0814479638009</v>
      </c>
    </row>
    <row r="86" spans="1:10" x14ac:dyDescent="0.35">
      <c r="A86" s="132" t="s">
        <v>72</v>
      </c>
      <c r="B86" s="33">
        <f>_xll.AnalizExpert.AnalizExpertIslem.HisseKapanis($A86)</f>
        <v>38.5</v>
      </c>
      <c r="C86" s="33">
        <f>_xll.AnalizExpert.AnalizExpertIslem.IndMov($A86,14,"S",0,"",,"G")</f>
        <v>36.032857142857146</v>
      </c>
      <c r="D86" s="33">
        <f>_xll.AnalizExpert.AnalizExpertIslem.IndMov($A86,14,"E",0,"",,"G")</f>
        <v>36.115087054323922</v>
      </c>
      <c r="E86" s="33">
        <f>_xll.AnalizExpert.AnalizExpertIslem.IndMov($A86,14,"W",0,"",,"G")</f>
        <v>36.582285714285717</v>
      </c>
      <c r="F86" s="6">
        <f>_xll.AnalizExpert.AnalizExpertIslem.IndRSI($A86,14,"",,"G")</f>
        <v>71.500843170320422</v>
      </c>
      <c r="G86" s="6">
        <f>_xll.AnalizExpert.AnalizExpertIslem.IndAtr($A86,14,"",,"G")</f>
        <v>1.5640816326530618</v>
      </c>
      <c r="H86" s="6">
        <f>_xll.AnalizExpert.AnalizExpertIslem.IndBBandBot($A86,20,"S","",,"G",,2)</f>
        <v>31.512503604285772</v>
      </c>
      <c r="I86" s="6">
        <f>_xll.AnalizExpert.AnalizExpertIslem.IndBBandTop($A86,20,"S","",,"G",,2)</f>
        <v>38.795496395714224</v>
      </c>
      <c r="J86" s="133">
        <f>_xll.AnalizExpert.AnalizExpertIslem.IndMOM($A86,12,"S",0,"",,"G")</f>
        <v>114.44708680142688</v>
      </c>
    </row>
    <row r="87" spans="1:10" x14ac:dyDescent="0.35">
      <c r="A87" s="132" t="s">
        <v>73</v>
      </c>
      <c r="B87" s="33">
        <f>_xll.AnalizExpert.AnalizExpertIslem.HisseKapanis($A87)</f>
        <v>135.9</v>
      </c>
      <c r="C87" s="33">
        <f>_xll.AnalizExpert.AnalizExpertIslem.IndMov($A87,14,"S",0,"",,"G")</f>
        <v>148.76428571428571</v>
      </c>
      <c r="D87" s="33">
        <f>_xll.AnalizExpert.AnalizExpertIslem.IndMov($A87,14,"E",0,"",,"G")</f>
        <v>149.87306077938624</v>
      </c>
      <c r="E87" s="33">
        <f>_xll.AnalizExpert.AnalizExpertIslem.IndMov($A87,14,"W",0,"",,"G")</f>
        <v>153.61047619047616</v>
      </c>
      <c r="F87" s="6">
        <f>_xll.AnalizExpert.AnalizExpertIslem.IndRSI($A87,14,"",,"G")</f>
        <v>51.77133655394524</v>
      </c>
      <c r="G87" s="6">
        <f>_xll.AnalizExpert.AnalizExpertIslem.IndAtr($A87,14,"",,"G")</f>
        <v>12.128571428571428</v>
      </c>
      <c r="H87" s="6">
        <f>_xll.AnalizExpert.AnalizExpertIslem.IndBBandBot($A87,20,"S","",,"G",,2)</f>
        <v>94.165778770537941</v>
      </c>
      <c r="I87" s="6">
        <f>_xll.AnalizExpert.AnalizExpertIslem.IndBBandTop($A87,20,"S","",,"G",,2)</f>
        <v>181.51422122946201</v>
      </c>
      <c r="J87" s="133">
        <f>_xll.AnalizExpert.AnalizExpertIslem.IndMOM($A87,12,"S",0,"",,"G")</f>
        <v>100</v>
      </c>
    </row>
    <row r="88" spans="1:10" x14ac:dyDescent="0.35">
      <c r="A88" s="132" t="s">
        <v>74</v>
      </c>
      <c r="B88" s="33">
        <f>_xll.AnalizExpert.AnalizExpertIslem.HisseKapanis($A88)</f>
        <v>26.42</v>
      </c>
      <c r="C88" s="33">
        <f>_xll.AnalizExpert.AnalizExpertIslem.IndMov($A88,14,"S",0,"",,"G")</f>
        <v>25.300000000000004</v>
      </c>
      <c r="D88" s="33">
        <f>_xll.AnalizExpert.AnalizExpertIslem.IndMov($A88,14,"E",0,"",,"G")</f>
        <v>25.45736001748752</v>
      </c>
      <c r="E88" s="33">
        <f>_xll.AnalizExpert.AnalizExpertIslem.IndMov($A88,14,"W",0,"",,"G")</f>
        <v>25.86038095238095</v>
      </c>
      <c r="F88" s="6">
        <f>_xll.AnalizExpert.AnalizExpertIslem.IndRSI($A88,14,"",,"G")</f>
        <v>67.906976744186039</v>
      </c>
      <c r="G88" s="6">
        <f>_xll.AnalizExpert.AnalizExpertIslem.IndAtr($A88,14,"",,"G")</f>
        <v>1.1956122448979591</v>
      </c>
      <c r="H88" s="6">
        <f>_xll.AnalizExpert.AnalizExpertIslem.IndBBandBot($A88,20,"S","",,"G",,2)</f>
        <v>21.862282684027708</v>
      </c>
      <c r="I88" s="6">
        <f>_xll.AnalizExpert.AnalizExpertIslem.IndBBandTop($A88,20,"S","",,"G",,2)</f>
        <v>27.539717315972286</v>
      </c>
      <c r="J88" s="133">
        <f>_xll.AnalizExpert.AnalizExpertIslem.IndMOM($A88,12,"S",0,"",,"G")</f>
        <v>113.09931506849315</v>
      </c>
    </row>
    <row r="89" spans="1:10" x14ac:dyDescent="0.35">
      <c r="A89" s="132" t="s">
        <v>77</v>
      </c>
      <c r="B89" s="33">
        <f>_xll.AnalizExpert.AnalizExpertIslem.HisseKapanis($A89)</f>
        <v>35.74</v>
      </c>
      <c r="C89" s="33">
        <f>_xll.AnalizExpert.AnalizExpertIslem.IndMov($A89,14,"S",0,"",,"G")</f>
        <v>34.671428571428571</v>
      </c>
      <c r="D89" s="33">
        <f>_xll.AnalizExpert.AnalizExpertIslem.IndMov($A89,14,"E",0,"",,"G")</f>
        <v>34.68265886780528</v>
      </c>
      <c r="E89" s="33">
        <f>_xll.AnalizExpert.AnalizExpertIslem.IndMov($A89,14,"W",0,"",,"G")</f>
        <v>35.011809523809525</v>
      </c>
      <c r="F89" s="6">
        <f>_xll.AnalizExpert.AnalizExpertIslem.IndRSI($A89,14,"",,"G")</f>
        <v>64.680851063829806</v>
      </c>
      <c r="G89" s="6">
        <f>_xll.AnalizExpert.AnalizExpertIslem.IndAtr($A89,14,"",,"G")</f>
        <v>1.2933673469387745</v>
      </c>
      <c r="H89" s="6">
        <f>_xll.AnalizExpert.AnalizExpertIslem.IndBBandBot($A89,20,"S","",,"G",,2)</f>
        <v>32.088299101025811</v>
      </c>
      <c r="I89" s="6">
        <f>_xll.AnalizExpert.AnalizExpertIslem.IndBBandTop($A89,20,"S","",,"G",,2)</f>
        <v>36.4377008989742</v>
      </c>
      <c r="J89" s="133">
        <f>_xll.AnalizExpert.AnalizExpertIslem.IndMOM($A89,12,"S",0,"",,"G")</f>
        <v>108.5003035822708</v>
      </c>
    </row>
    <row r="90" spans="1:10" x14ac:dyDescent="0.35">
      <c r="A90" s="132" t="s">
        <v>76</v>
      </c>
      <c r="B90" s="33">
        <f>_xll.AnalizExpert.AnalizExpertIslem.HisseKapanis($A90)</f>
        <v>2.4500000000000002</v>
      </c>
      <c r="C90" s="33">
        <f>_xll.AnalizExpert.AnalizExpertIslem.IndMov($A90,14,"S",0,"",,"G")</f>
        <v>2.2128571428571426</v>
      </c>
      <c r="D90" s="33">
        <f>_xll.AnalizExpert.AnalizExpertIslem.IndMov($A90,14,"E",0,"",,"G")</f>
        <v>2.2500665551209522</v>
      </c>
      <c r="E90" s="33">
        <f>_xll.AnalizExpert.AnalizExpertIslem.IndMov($A90,14,"W",0,"",,"G")</f>
        <v>2.2880952380952384</v>
      </c>
      <c r="F90" s="6">
        <f>_xll.AnalizExpert.AnalizExpertIslem.IndRSI($A90,14,"",,"G")</f>
        <v>77.108433734939794</v>
      </c>
      <c r="G90" s="6">
        <f>_xll.AnalizExpert.AnalizExpertIslem.IndAtr($A90,14,"",,"G")</f>
        <v>0.12464285714285715</v>
      </c>
      <c r="H90" s="6">
        <f>_xll.AnalizExpert.AnalizExpertIslem.IndBBandBot($A90,20,"S","",,"G",,2)</f>
        <v>1.8886152717864921</v>
      </c>
      <c r="I90" s="6">
        <f>_xll.AnalizExpert.AnalizExpertIslem.IndBBandTop($A90,20,"S","",,"G",,2)</f>
        <v>2.4523847282135063</v>
      </c>
      <c r="J90" s="133">
        <f>_xll.AnalizExpert.AnalizExpertIslem.IndMOM($A90,12,"S",0,"",,"G")</f>
        <v>123.11557788944725</v>
      </c>
    </row>
    <row r="91" spans="1:10" x14ac:dyDescent="0.35">
      <c r="A91" s="132" t="s">
        <v>75</v>
      </c>
      <c r="B91" s="33">
        <f>_xll.AnalizExpert.AnalizExpertIslem.HisseKapanis($A91)</f>
        <v>3.02</v>
      </c>
      <c r="C91" s="33">
        <f>_xll.AnalizExpert.AnalizExpertIslem.IndMov($A91,14,"S",0,"",,"G")</f>
        <v>4.4542857142857137</v>
      </c>
      <c r="D91" s="33">
        <f>_xll.AnalizExpert.AnalizExpertIslem.IndMov($A91,14,"E",0,"",,"G")</f>
        <v>4.0584390074899277</v>
      </c>
      <c r="E91" s="33">
        <f>_xll.AnalizExpert.AnalizExpertIslem.IndMov($A91,14,"W",0,"",,"G")</f>
        <v>3.8558095238095227</v>
      </c>
      <c r="F91" s="6">
        <f>_xll.AnalizExpert.AnalizExpertIslem.IndRSI($A91,14,"",,"G")</f>
        <v>19.950124688279303</v>
      </c>
      <c r="G91" s="6">
        <f>_xll.AnalizExpert.AnalizExpertIslem.IndAtr($A91,14,"",,"G")</f>
        <v>0.33719387755102043</v>
      </c>
      <c r="H91" s="6">
        <f>_xll.AnalizExpert.AnalizExpertIslem.IndBBandBot($A91,20,"S","",,"G",,2)</f>
        <v>2.5696611984401474</v>
      </c>
      <c r="I91" s="6">
        <f>_xll.AnalizExpert.AnalizExpertIslem.IndBBandTop($A91,20,"S","",,"G",,2)</f>
        <v>6.9383388015598548</v>
      </c>
      <c r="J91" s="133">
        <f>_xll.AnalizExpert.AnalizExpertIslem.IndMOM($A91,12,"S",0,"",,"G")</f>
        <v>52.982456140350877</v>
      </c>
    </row>
    <row r="92" spans="1:10" x14ac:dyDescent="0.35">
      <c r="A92" s="132" t="s">
        <v>78</v>
      </c>
      <c r="B92" s="33">
        <f>_xll.AnalizExpert.AnalizExpertIslem.HisseKapanis($A92)</f>
        <v>22.5</v>
      </c>
      <c r="C92" s="33">
        <f>_xll.AnalizExpert.AnalizExpertIslem.IndMov($A92,14,"S",0,"",,"G")</f>
        <v>23.987142857142857</v>
      </c>
      <c r="D92" s="33">
        <f>_xll.AnalizExpert.AnalizExpertIslem.IndMov($A92,14,"E",0,"",,"G")</f>
        <v>23.590213428547965</v>
      </c>
      <c r="E92" s="33">
        <f>_xll.AnalizExpert.AnalizExpertIslem.IndMov($A92,14,"W",0,"",,"G")</f>
        <v>23.57828571428572</v>
      </c>
      <c r="F92" s="6">
        <f>_xll.AnalizExpert.AnalizExpertIslem.IndRSI($A92,14,"",,"G")</f>
        <v>38.872403560830861</v>
      </c>
      <c r="G92" s="6">
        <f>_xll.AnalizExpert.AnalizExpertIslem.IndAtr($A92,14,"",,"G")</f>
        <v>1.0329591836734693</v>
      </c>
      <c r="H92" s="6">
        <f>_xll.AnalizExpert.AnalizExpertIslem.IndBBandBot($A92,20,"S","",,"G",,2)</f>
        <v>22.212931519967935</v>
      </c>
      <c r="I92" s="6">
        <f>_xll.AnalizExpert.AnalizExpertIslem.IndBBandTop($A92,20,"S","",,"G",,2)</f>
        <v>25.703068480032055</v>
      </c>
      <c r="J92" s="133">
        <f>_xll.AnalizExpert.AnalizExpertIslem.IndMOM($A92,12,"S",0,"",,"G")</f>
        <v>91.093117408906892</v>
      </c>
    </row>
    <row r="93" spans="1:10" x14ac:dyDescent="0.35">
      <c r="A93" s="132" t="s">
        <v>81</v>
      </c>
      <c r="B93" s="33">
        <f>_xll.AnalizExpert.AnalizExpertIslem.HisseKapanis($A93)</f>
        <v>79</v>
      </c>
      <c r="C93" s="33">
        <f>_xll.AnalizExpert.AnalizExpertIslem.IndMov($A93,14,"S",0,"",,"G")</f>
        <v>79.371428571428567</v>
      </c>
      <c r="D93" s="33">
        <f>_xll.AnalizExpert.AnalizExpertIslem.IndMov($A93,14,"E",0,"",,"G")</f>
        <v>79.255930989414992</v>
      </c>
      <c r="E93" s="33">
        <f>_xll.AnalizExpert.AnalizExpertIslem.IndMov($A93,14,"W",0,"",,"G")</f>
        <v>79.356666666666655</v>
      </c>
      <c r="F93" s="6">
        <f>_xll.AnalizExpert.AnalizExpertIslem.IndRSI($A93,14,"",,"G")</f>
        <v>49.025069637883021</v>
      </c>
      <c r="G93" s="6">
        <f>_xll.AnalizExpert.AnalizExpertIslem.IndAtr($A93,14,"",,"G")</f>
        <v>2.7885204081632664</v>
      </c>
      <c r="H93" s="6">
        <f>_xll.AnalizExpert.AnalizExpertIslem.IndBBandBot($A93,20,"S","",,"G",,2)</f>
        <v>76.728855284797277</v>
      </c>
      <c r="I93" s="6">
        <f>_xll.AnalizExpert.AnalizExpertIslem.IndBBandTop($A93,20,"S","",,"G",,2)</f>
        <v>82.561144715202744</v>
      </c>
      <c r="J93" s="133">
        <f>_xll.AnalizExpert.AnalizExpertIslem.IndMOM($A93,12,"S",0,"",,"G")</f>
        <v>101.54241645244215</v>
      </c>
    </row>
    <row r="94" spans="1:10" x14ac:dyDescent="0.35">
      <c r="A94" s="132" t="s">
        <v>86</v>
      </c>
      <c r="B94" s="33">
        <f>_xll.AnalizExpert.AnalizExpertIslem.HisseKapanis($A94)</f>
        <v>31.68</v>
      </c>
      <c r="C94" s="33">
        <f>_xll.AnalizExpert.AnalizExpertIslem.IndMov($A94,14,"S",0,"",,"G")</f>
        <v>30.674285714285716</v>
      </c>
      <c r="D94" s="33">
        <f>_xll.AnalizExpert.AnalizExpertIslem.IndMov($A94,14,"E",0,"",,"G")</f>
        <v>30.648254222217112</v>
      </c>
      <c r="E94" s="33">
        <f>_xll.AnalizExpert.AnalizExpertIslem.IndMov($A94,14,"W",0,"",,"G")</f>
        <v>31.357904761904766</v>
      </c>
      <c r="F94" s="6">
        <f>_xll.AnalizExpert.AnalizExpertIslem.IndRSI($A94,14,"",,"G")</f>
        <v>76.034858387799559</v>
      </c>
      <c r="G94" s="6">
        <f>_xll.AnalizExpert.AnalizExpertIslem.IndAtr($A94,14,"",,"G")</f>
        <v>1.6443877551020414</v>
      </c>
      <c r="H94" s="6">
        <f>_xll.AnalizExpert.AnalizExpertIslem.IndBBandBot($A94,20,"S","",,"G",,2)</f>
        <v>23.213801644950902</v>
      </c>
      <c r="I94" s="6">
        <f>_xll.AnalizExpert.AnalizExpertIslem.IndBBandTop($A94,20,"S","",,"G",,2)</f>
        <v>34.91019835504909</v>
      </c>
      <c r="J94" s="133">
        <f>_xll.AnalizExpert.AnalizExpertIslem.IndMOM($A94,12,"S",0,"",,"G")</f>
        <v>113.54838709677419</v>
      </c>
    </row>
    <row r="95" spans="1:10" x14ac:dyDescent="0.35">
      <c r="A95" s="132" t="s">
        <v>88</v>
      </c>
      <c r="B95" s="33">
        <f>_xll.AnalizExpert.AnalizExpertIslem.HisseKapanis($A95)</f>
        <v>106.9</v>
      </c>
      <c r="C95" s="33">
        <f>_xll.AnalizExpert.AnalizExpertIslem.IndMov($A95,14,"S",0,"",,"G")</f>
        <v>107.63571428571427</v>
      </c>
      <c r="D95" s="33">
        <f>_xll.AnalizExpert.AnalizExpertIslem.IndMov($A95,14,"E",0,"",,"G")</f>
        <v>107.08061235247646</v>
      </c>
      <c r="E95" s="33">
        <f>_xll.AnalizExpert.AnalizExpertIslem.IndMov($A95,14,"W",0,"",,"G")</f>
        <v>108.17238095238093</v>
      </c>
      <c r="F95" s="6">
        <f>_xll.AnalizExpert.AnalizExpertIslem.IndRSI($A95,14,"",,"G")</f>
        <v>57.575757575757571</v>
      </c>
      <c r="G95" s="6">
        <f>_xll.AnalizExpert.AnalizExpertIslem.IndAtr($A95,14,"",,"G")</f>
        <v>4.7729591836734677</v>
      </c>
      <c r="H95" s="6">
        <f>_xll.AnalizExpert.AnalizExpertIslem.IndBBandBot($A95,20,"S","",,"G",,2)</f>
        <v>95.613228120111089</v>
      </c>
      <c r="I95" s="6">
        <f>_xll.AnalizExpert.AnalizExpertIslem.IndBBandTop($A95,20,"S","",,"G",,2)</f>
        <v>115.01177187988891</v>
      </c>
      <c r="J95" s="133">
        <f>_xll.AnalizExpert.AnalizExpertIslem.IndMOM($A95,12,"S",0,"",,"G")</f>
        <v>105.00982318271122</v>
      </c>
    </row>
    <row r="96" spans="1:10" x14ac:dyDescent="0.35">
      <c r="A96" s="132" t="s">
        <v>82</v>
      </c>
      <c r="B96" s="33">
        <f>_xll.AnalizExpert.AnalizExpertIslem.HisseKapanis($A96)</f>
        <v>37.44</v>
      </c>
      <c r="C96" s="33">
        <f>_xll.AnalizExpert.AnalizExpertIslem.IndMov($A96,14,"S",0,"",,"G")</f>
        <v>36.128571428571426</v>
      </c>
      <c r="D96" s="33">
        <f>_xll.AnalizExpert.AnalizExpertIslem.IndMov($A96,14,"E",0,"",,"G")</f>
        <v>36.092585835238715</v>
      </c>
      <c r="E96" s="33">
        <f>_xll.AnalizExpert.AnalizExpertIslem.IndMov($A96,14,"W",0,"",,"G")</f>
        <v>36.488190476190468</v>
      </c>
      <c r="F96" s="6">
        <f>_xll.AnalizExpert.AnalizExpertIslem.IndRSI($A96,14,"",,"G")</f>
        <v>65.231788079470206</v>
      </c>
      <c r="G96" s="6">
        <f>_xll.AnalizExpert.AnalizExpertIslem.IndAtr($A96,14,"",,"G")</f>
        <v>1.6743877551020405</v>
      </c>
      <c r="H96" s="6">
        <f>_xll.AnalizExpert.AnalizExpertIslem.IndBBandBot($A96,20,"S","",,"G",,2)</f>
        <v>30.98493496801299</v>
      </c>
      <c r="I96" s="6">
        <f>_xll.AnalizExpert.AnalizExpertIslem.IndBBandTop($A96,20,"S","",,"G",,2)</f>
        <v>38.981065031987015</v>
      </c>
      <c r="J96" s="133">
        <f>_xll.AnalizExpert.AnalizExpertIslem.IndMOM($A96,12,"S",0,"",,"G")</f>
        <v>108.33333333333333</v>
      </c>
    </row>
    <row r="97" spans="1:10" x14ac:dyDescent="0.35">
      <c r="A97" s="132" t="s">
        <v>83</v>
      </c>
      <c r="B97" s="33">
        <f>_xll.AnalizExpert.AnalizExpertIslem.HisseKapanis($A97)</f>
        <v>23.82</v>
      </c>
      <c r="C97" s="33">
        <f>_xll.AnalizExpert.AnalizExpertIslem.IndMov($A97,14,"S",0,"",,"G")</f>
        <v>21.865000000000006</v>
      </c>
      <c r="D97" s="33">
        <f>_xll.AnalizExpert.AnalizExpertIslem.IndMov($A97,14,"E",0,"",,"G")</f>
        <v>22.127519286388186</v>
      </c>
      <c r="E97" s="33">
        <f>_xll.AnalizExpert.AnalizExpertIslem.IndMov($A97,14,"W",0,"",,"G")</f>
        <v>22.542952380952379</v>
      </c>
      <c r="F97" s="6">
        <f>_xll.AnalizExpert.AnalizExpertIslem.IndRSI($A97,14,"",,"G")</f>
        <v>75.730622617534976</v>
      </c>
      <c r="G97" s="6">
        <f>_xll.AnalizExpert.AnalizExpertIslem.IndAtr($A97,14,"",,"G")</f>
        <v>1.2825000000000004</v>
      </c>
      <c r="H97" s="6">
        <f>_xll.AnalizExpert.AnalizExpertIslem.IndBBandBot($A97,20,"S","",,"G",,2)</f>
        <v>16.953054481029593</v>
      </c>
      <c r="I97" s="6">
        <f>_xll.AnalizExpert.AnalizExpertIslem.IndBBandTop($A97,20,"S","",,"G",,2)</f>
        <v>24.808945518970408</v>
      </c>
      <c r="J97" s="133">
        <f>_xll.AnalizExpert.AnalizExpertIslem.IndMOM($A97,12,"S",0,"",,"G")</f>
        <v>123.67601246105917</v>
      </c>
    </row>
    <row r="98" spans="1:10" x14ac:dyDescent="0.35">
      <c r="A98" s="132" t="s">
        <v>84</v>
      </c>
      <c r="B98" s="33">
        <f>_xll.AnalizExpert.AnalizExpertIslem.HisseKapanis($A98)</f>
        <v>127.5</v>
      </c>
      <c r="C98" s="33">
        <f>_xll.AnalizExpert.AnalizExpertIslem.IndMov($A98,14,"S",0,"",,"G")</f>
        <v>111.97142857142856</v>
      </c>
      <c r="D98" s="33">
        <f>_xll.AnalizExpert.AnalizExpertIslem.IndMov($A98,14,"E",0,"",,"G")</f>
        <v>114.94698321936609</v>
      </c>
      <c r="E98" s="33">
        <f>_xll.AnalizExpert.AnalizExpertIslem.IndMov($A98,14,"W",0,"",,"G")</f>
        <v>116.94666666666669</v>
      </c>
      <c r="F98" s="6">
        <f>_xll.AnalizExpert.AnalizExpertIslem.IndRSI($A98,14,"",,"G")</f>
        <v>88.252148997134682</v>
      </c>
      <c r="G98" s="6">
        <f>_xll.AnalizExpert.AnalizExpertIslem.IndAtr($A98,14,"",,"G")</f>
        <v>5.4160714285714304</v>
      </c>
      <c r="H98" s="6">
        <f>_xll.AnalizExpert.AnalizExpertIslem.IndBBandBot($A98,20,"S","",,"G",,2)</f>
        <v>89.902255357308434</v>
      </c>
      <c r="I98" s="6">
        <f>_xll.AnalizExpert.AnalizExpertIslem.IndBBandTop($A98,20,"S","",,"G",,2)</f>
        <v>127.71274464269155</v>
      </c>
      <c r="J98" s="133">
        <f>_xll.AnalizExpert.AnalizExpertIslem.IndMOM($A98,12,"S",0,"",,"G")</f>
        <v>126.11275964391693</v>
      </c>
    </row>
    <row r="99" spans="1:10" x14ac:dyDescent="0.35">
      <c r="A99" s="132" t="s">
        <v>85</v>
      </c>
      <c r="B99" s="33">
        <f>_xll.AnalizExpert.AnalizExpertIslem.HisseKapanis($A99)</f>
        <v>14.3</v>
      </c>
      <c r="C99" s="33">
        <f>_xll.AnalizExpert.AnalizExpertIslem.IndMov($A99,14,"S",0,"",,"G")</f>
        <v>13.406428571428574</v>
      </c>
      <c r="D99" s="33">
        <f>_xll.AnalizExpert.AnalizExpertIslem.IndMov($A99,14,"E",0,"",,"G")</f>
        <v>13.412915799146704</v>
      </c>
      <c r="E99" s="33">
        <f>_xll.AnalizExpert.AnalizExpertIslem.IndMov($A99,14,"W",0,"",,"G")</f>
        <v>13.583619047619047</v>
      </c>
      <c r="F99" s="6">
        <f>_xll.AnalizExpert.AnalizExpertIslem.IndRSI($A99,14,"",,"G")</f>
        <v>69.200779727095522</v>
      </c>
      <c r="G99" s="6">
        <f>_xll.AnalizExpert.AnalizExpertIslem.IndAtr($A99,14,"",,"G")</f>
        <v>0.76168367346938781</v>
      </c>
      <c r="H99" s="6">
        <f>_xll.AnalizExpert.AnalizExpertIslem.IndBBandBot($A99,20,"S","",,"G",,2)</f>
        <v>11.380813575632244</v>
      </c>
      <c r="I99" s="6">
        <f>_xll.AnalizExpert.AnalizExpertIslem.IndBBandTop($A99,20,"S","",,"G",,2)</f>
        <v>14.551186424367762</v>
      </c>
      <c r="J99" s="133">
        <f>_xll.AnalizExpert.AnalizExpertIslem.IndMOM($A99,12,"S",0,"",,"G")</f>
        <v>110.51004636785163</v>
      </c>
    </row>
    <row r="100" spans="1:10" x14ac:dyDescent="0.35">
      <c r="A100" s="132" t="s">
        <v>89</v>
      </c>
      <c r="B100" s="33">
        <f>_xll.AnalizExpert.AnalizExpertIslem.HisseKapanis($A100)</f>
        <v>11.32</v>
      </c>
      <c r="C100" s="33">
        <f>_xll.AnalizExpert.AnalizExpertIslem.IndMov($A100,14,"S",0,"",,"G")</f>
        <v>12.073571428571428</v>
      </c>
      <c r="D100" s="33">
        <f>_xll.AnalizExpert.AnalizExpertIslem.IndMov($A100,14,"E",0,"",,"G")</f>
        <v>11.904650903669202</v>
      </c>
      <c r="E100" s="33">
        <f>_xll.AnalizExpert.AnalizExpertIslem.IndMov($A100,14,"W",0,"",,"G")</f>
        <v>11.897809523809526</v>
      </c>
      <c r="F100" s="6">
        <f>_xll.AnalizExpert.AnalizExpertIslem.IndRSI($A100,14,"",,"G")</f>
        <v>39.588688946015424</v>
      </c>
      <c r="G100" s="6">
        <f>_xll.AnalizExpert.AnalizExpertIslem.IndAtr($A100,14,"",,"G")</f>
        <v>0.49362244897959201</v>
      </c>
      <c r="H100" s="6">
        <f>_xll.AnalizExpert.AnalizExpertIslem.IndBBandBot($A100,20,"S","",,"G",,2)</f>
        <v>11.333785034826327</v>
      </c>
      <c r="I100" s="6">
        <f>_xll.AnalizExpert.AnalizExpertIslem.IndBBandTop($A100,20,"S","",,"G",,2)</f>
        <v>12.948214965173676</v>
      </c>
      <c r="J100" s="133">
        <f>_xll.AnalizExpert.AnalizExpertIslem.IndMOM($A100,12,"S",0,"",,"G")</f>
        <v>93.399339933993403</v>
      </c>
    </row>
    <row r="101" spans="1:10" x14ac:dyDescent="0.35">
      <c r="A101" s="132" t="s">
        <v>80</v>
      </c>
      <c r="B101" s="33">
        <f>_xll.AnalizExpert.AnalizExpertIslem.HisseKapanis($A101)</f>
        <v>3.44</v>
      </c>
      <c r="C101" s="33">
        <f>_xll.AnalizExpert.AnalizExpertIslem.IndMov($A101,14,"S",0,"",,"G")</f>
        <v>3.1842857142857142</v>
      </c>
      <c r="D101" s="33">
        <f>_xll.AnalizExpert.AnalizExpertIslem.IndMov($A101,14,"E",0,"",,"G")</f>
        <v>3.2039127240324468</v>
      </c>
      <c r="E101" s="33">
        <f>_xll.AnalizExpert.AnalizExpertIslem.IndMov($A101,14,"W",0,"",,"G")</f>
        <v>3.2340000000000004</v>
      </c>
      <c r="F101" s="6">
        <f>_xll.AnalizExpert.AnalizExpertIslem.IndRSI($A101,14,"",,"G")</f>
        <v>66.666666666666657</v>
      </c>
      <c r="G101" s="6">
        <f>_xll.AnalizExpert.AnalizExpertIslem.IndAtr($A101,14,"",,"G")</f>
        <v>0.16739795918367351</v>
      </c>
      <c r="H101" s="6">
        <f>_xll.AnalizExpert.AnalizExpertIslem.IndBBandBot($A101,20,"S","",,"G",,2)</f>
        <v>2.9050847169958649</v>
      </c>
      <c r="I101" s="6">
        <f>_xll.AnalizExpert.AnalizExpertIslem.IndBBandTop($A101,20,"S","",,"G",,2)</f>
        <v>3.3919152830041357</v>
      </c>
      <c r="J101" s="133">
        <f>_xll.AnalizExpert.AnalizExpertIslem.IndMOM($A101,12,"S",0,"",,"G")</f>
        <v>113.53135313531352</v>
      </c>
    </row>
    <row r="102" spans="1:10" x14ac:dyDescent="0.35">
      <c r="A102" s="132" t="s">
        <v>90</v>
      </c>
      <c r="B102" s="33">
        <f>_xll.AnalizExpert.AnalizExpertIslem.HisseKapanis($A102)</f>
        <v>14.7</v>
      </c>
      <c r="C102" s="33">
        <f>_xll.AnalizExpert.AnalizExpertIslem.IndMov($A102,14,"S",0,"",,"G")</f>
        <v>14.104285714285714</v>
      </c>
      <c r="D102" s="33">
        <f>_xll.AnalizExpert.AnalizExpertIslem.IndMov($A102,14,"E",0,"",,"G")</f>
        <v>14.109017838184808</v>
      </c>
      <c r="E102" s="33">
        <f>_xll.AnalizExpert.AnalizExpertIslem.IndMov($A102,14,"W",0,"",,"G")</f>
        <v>14.316476190476191</v>
      </c>
      <c r="F102" s="6">
        <f>_xll.AnalizExpert.AnalizExpertIslem.IndRSI($A102,14,"",,"G")</f>
        <v>72.916666666666615</v>
      </c>
      <c r="G102" s="6">
        <f>_xll.AnalizExpert.AnalizExpertIslem.IndAtr($A102,14,"",,"G")</f>
        <v>0.66602040816326502</v>
      </c>
      <c r="H102" s="6">
        <f>_xll.AnalizExpert.AnalizExpertIslem.IndBBandBot($A102,20,"S","",,"G",,2)</f>
        <v>11.741478602507549</v>
      </c>
      <c r="I102" s="6">
        <f>_xll.AnalizExpert.AnalizExpertIslem.IndBBandTop($A102,20,"S","",,"G",,2)</f>
        <v>15.433521397492452</v>
      </c>
      <c r="J102" s="133">
        <f>_xll.AnalizExpert.AnalizExpertIslem.IndMOM($A102,12,"S",0,"",,"G")</f>
        <v>110.02994011976048</v>
      </c>
    </row>
    <row r="103" spans="1:10" x14ac:dyDescent="0.35">
      <c r="A103" s="132" t="s">
        <v>91</v>
      </c>
      <c r="B103" s="33">
        <f>_xll.AnalizExpert.AnalizExpertIslem.HisseKapanis($A103)</f>
        <v>444.8</v>
      </c>
      <c r="C103" s="33">
        <f>_xll.AnalizExpert.AnalizExpertIslem.IndMov($A103,14,"S",0,"",,"G")</f>
        <v>428.14285714285705</v>
      </c>
      <c r="D103" s="33">
        <f>_xll.AnalizExpert.AnalizExpertIslem.IndMov($A103,14,"E",0,"",,"G")</f>
        <v>427.07538402029422</v>
      </c>
      <c r="E103" s="33">
        <f>_xll.AnalizExpert.AnalizExpertIslem.IndMov($A103,14,"W",0,"",,"G")</f>
        <v>432.5266666666667</v>
      </c>
      <c r="F103" s="6">
        <f>_xll.AnalizExpert.AnalizExpertIslem.IndRSI($A103,14,"",,"G")</f>
        <v>74.282982791587003</v>
      </c>
      <c r="G103" s="6">
        <f>_xll.AnalizExpert.AnalizExpertIslem.IndAtr($A103,14,"",,"G")</f>
        <v>18.793877551020405</v>
      </c>
      <c r="H103" s="6">
        <f>_xll.AnalizExpert.AnalizExpertIslem.IndBBandBot($A103,20,"S","",,"G",,2)</f>
        <v>339.57410950449389</v>
      </c>
      <c r="I103" s="6">
        <f>_xll.AnalizExpert.AnalizExpertIslem.IndBBandTop($A103,20,"S","",,"G",,2)</f>
        <v>476.01589049550614</v>
      </c>
      <c r="J103" s="133">
        <f>_xll.AnalizExpert.AnalizExpertIslem.IndMOM($A103,12,"S",0,"",,"G")</f>
        <v>105.92998332936415</v>
      </c>
    </row>
    <row r="104" spans="1:10" x14ac:dyDescent="0.35">
      <c r="A104" s="132" t="s">
        <v>87</v>
      </c>
      <c r="B104" s="33">
        <f>_xll.AnalizExpert.AnalizExpertIslem.HisseKapanis($A104)</f>
        <v>432.8</v>
      </c>
      <c r="C104" s="33">
        <f>_xll.AnalizExpert.AnalizExpertIslem.IndMov($A104,14,"S",0,"",,"G")</f>
        <v>427.81428571428575</v>
      </c>
      <c r="D104" s="33">
        <f>_xll.AnalizExpert.AnalizExpertIslem.IndMov($A104,14,"E",0,"",,"G")</f>
        <v>423.80017782448107</v>
      </c>
      <c r="E104" s="33">
        <f>_xll.AnalizExpert.AnalizExpertIslem.IndMov($A104,14,"W",0,"",,"G")</f>
        <v>429.95714285714291</v>
      </c>
      <c r="F104" s="6">
        <f>_xll.AnalizExpert.AnalizExpertIslem.IndRSI($A104,14,"",,"G")</f>
        <v>67.774086378737564</v>
      </c>
      <c r="G104" s="6">
        <f>_xll.AnalizExpert.AnalizExpertIslem.IndAtr($A104,14,"",,"G")</f>
        <v>16.051020408163257</v>
      </c>
      <c r="H104" s="6">
        <f>_xll.AnalizExpert.AnalizExpertIslem.IndBBandBot($A104,20,"S","",,"G",,2)</f>
        <v>358.19921875567826</v>
      </c>
      <c r="I104" s="6">
        <f>_xll.AnalizExpert.AnalizExpertIslem.IndBBandTop($A104,20,"S","",,"G",,2)</f>
        <v>465.7207812443217</v>
      </c>
      <c r="J104" s="133">
        <f>_xll.AnalizExpert.AnalizExpertIslem.IndMOM($A104,12,"S",0,"",,"G")</f>
        <v>106.20858895705523</v>
      </c>
    </row>
    <row r="105" spans="1:10" x14ac:dyDescent="0.35">
      <c r="A105" s="132" t="s">
        <v>92</v>
      </c>
      <c r="B105" s="33">
        <f>_xll.AnalizExpert.AnalizExpertIslem.HisseKapanis($A105)</f>
        <v>9.73</v>
      </c>
      <c r="C105" s="33">
        <f>_xll.AnalizExpert.AnalizExpertIslem.IndMov($A105,14,"S",0,"",,"G")</f>
        <v>8.9757142857142842</v>
      </c>
      <c r="D105" s="33">
        <f>_xll.AnalizExpert.AnalizExpertIslem.IndMov($A105,14,"E",0,"",,"G")</f>
        <v>8.9815279113892039</v>
      </c>
      <c r="E105" s="33">
        <f>_xll.AnalizExpert.AnalizExpertIslem.IndMov($A105,14,"W",0,"",,"G")</f>
        <v>9.1342857142857117</v>
      </c>
      <c r="F105" s="6">
        <f>_xll.AnalizExpert.AnalizExpertIslem.IndRSI($A105,14,"",,"G")</f>
        <v>73.669467787114854</v>
      </c>
      <c r="G105" s="6">
        <f>_xll.AnalizExpert.AnalizExpertIslem.IndAtr($A105,14,"",,"G")</f>
        <v>0.41857142857142859</v>
      </c>
      <c r="H105" s="6">
        <f>_xll.AnalizExpert.AnalizExpertIslem.IndBBandBot($A105,20,"S","",,"G",,2)</f>
        <v>7.4067162132583562</v>
      </c>
      <c r="I105" s="6">
        <f>_xll.AnalizExpert.AnalizExpertIslem.IndBBandTop($A105,20,"S","",,"G",,2)</f>
        <v>9.8762837867416415</v>
      </c>
      <c r="J105" s="133">
        <f>_xll.AnalizExpert.AnalizExpertIslem.IndMOM($A105,12,"S",0,"",,"G")</f>
        <v>114.06799531066825</v>
      </c>
    </row>
    <row r="106" spans="1:10" x14ac:dyDescent="0.35">
      <c r="A106" s="132" t="s">
        <v>93</v>
      </c>
      <c r="B106" s="33">
        <f>_xll.AnalizExpert.AnalizExpertIslem.HisseKapanis($A106)</f>
        <v>26.8</v>
      </c>
      <c r="C106" s="33">
        <f>_xll.AnalizExpert.AnalizExpertIslem.IndMov($A106,14,"S",0,"",,"G")</f>
        <v>25.208571428571425</v>
      </c>
      <c r="D106" s="33">
        <f>_xll.AnalizExpert.AnalizExpertIslem.IndMov($A106,14,"E",0,"",,"G")</f>
        <v>25.490057604469254</v>
      </c>
      <c r="E106" s="33">
        <f>_xll.AnalizExpert.AnalizExpertIslem.IndMov($A106,14,"W",0,"",,"G")</f>
        <v>25.338285714285718</v>
      </c>
      <c r="F106" s="6">
        <f>_xll.AnalizExpert.AnalizExpertIslem.IndRSI($A106,14,"",,"G")</f>
        <v>56.79758308157102</v>
      </c>
      <c r="G106" s="6">
        <f>_xll.AnalizExpert.AnalizExpertIslem.IndAtr($A106,14,"",,"G")</f>
        <v>1.0743877551020413</v>
      </c>
      <c r="H106" s="6">
        <f>_xll.AnalizExpert.AnalizExpertIslem.IndBBandBot($A106,20,"S","",,"G",,2)</f>
        <v>23.797604201281207</v>
      </c>
      <c r="I106" s="6">
        <f>_xll.AnalizExpert.AnalizExpertIslem.IndBBandTop($A106,20,"S","",,"G",,2)</f>
        <v>27.120395798718786</v>
      </c>
      <c r="J106" s="133">
        <f>_xll.AnalizExpert.AnalizExpertIslem.IndMOM($A106,12,"S",0,"",,"G")</f>
        <v>106.2648691514671</v>
      </c>
    </row>
    <row r="107" spans="1:10" x14ac:dyDescent="0.35">
      <c r="A107" s="132" t="s">
        <v>94</v>
      </c>
      <c r="B107" s="33">
        <f>_xll.AnalizExpert.AnalizExpertIslem.HisseKapanis($A107)</f>
        <v>9.5399999999999991</v>
      </c>
      <c r="C107" s="33">
        <f>_xll.AnalizExpert.AnalizExpertIslem.IndMov($A107,14,"S",0,"",,"G")</f>
        <v>9.2392857142857139</v>
      </c>
      <c r="D107" s="33">
        <f>_xll.AnalizExpert.AnalizExpertIslem.IndMov($A107,14,"E",0,"",,"G")</f>
        <v>9.2636548401751426</v>
      </c>
      <c r="E107" s="33">
        <f>_xll.AnalizExpert.AnalizExpertIslem.IndMov($A107,14,"W",0,"",,"G")</f>
        <v>9.3882857142857148</v>
      </c>
      <c r="F107" s="6">
        <f>_xll.AnalizExpert.AnalizExpertIslem.IndRSI($A107,14,"",,"G")</f>
        <v>61.948955916473302</v>
      </c>
      <c r="G107" s="6">
        <f>_xll.AnalizExpert.AnalizExpertIslem.IndAtr($A107,14,"",,"G")</f>
        <v>0.51943877551020412</v>
      </c>
      <c r="H107" s="6">
        <f>_xll.AnalizExpert.AnalizExpertIslem.IndBBandBot($A107,20,"S","",,"G",,2)</f>
        <v>8.2009032499191399</v>
      </c>
      <c r="I107" s="6">
        <f>_xll.AnalizExpert.AnalizExpertIslem.IndBBandTop($A107,20,"S","",,"G",,2)</f>
        <v>9.9270967500808602</v>
      </c>
      <c r="J107" s="133">
        <f>_xll.AnalizExpert.AnalizExpertIslem.IndMOM($A107,12,"S",0,"",,"G")</f>
        <v>111.31855309218201</v>
      </c>
    </row>
    <row r="108" spans="1:10" x14ac:dyDescent="0.35">
      <c r="A108" s="132" t="s">
        <v>96</v>
      </c>
      <c r="B108" s="33">
        <f>_xll.AnalizExpert.AnalizExpertIslem.HisseKapanis($A108)</f>
        <v>9.83</v>
      </c>
      <c r="C108" s="33">
        <f>_xll.AnalizExpert.AnalizExpertIslem.IndMov($A108,14,"S",0,"",,"G")</f>
        <v>9.7485714285714291</v>
      </c>
      <c r="D108" s="33">
        <f>_xll.AnalizExpert.AnalizExpertIslem.IndMov($A108,14,"E",0,"",,"G")</f>
        <v>9.7437630385258771</v>
      </c>
      <c r="E108" s="33">
        <f>_xll.AnalizExpert.AnalizExpertIslem.IndMov($A108,14,"W",0,"",,"G")</f>
        <v>9.8333333333333339</v>
      </c>
      <c r="F108" s="6">
        <f>_xll.AnalizExpert.AnalizExpertIslem.IndRSI($A108,14,"",,"G")</f>
        <v>61.572052401746724</v>
      </c>
      <c r="G108" s="6">
        <f>_xll.AnalizExpert.AnalizExpertIslem.IndAtr($A108,14,"",,"G")</f>
        <v>0.30459183673469375</v>
      </c>
      <c r="H108" s="6">
        <f>_xll.AnalizExpert.AnalizExpertIslem.IndBBandBot($A108,20,"S","",,"G",,2)</f>
        <v>9.1359917375527999</v>
      </c>
      <c r="I108" s="6">
        <f>_xll.AnalizExpert.AnalizExpertIslem.IndBBandTop($A108,20,"S","",,"G",,2)</f>
        <v>10.195008262447207</v>
      </c>
      <c r="J108" s="133">
        <f>_xll.AnalizExpert.AnalizExpertIslem.IndMOM($A108,12,"S",0,"",,"G")</f>
        <v>105.35905680600214</v>
      </c>
    </row>
    <row r="109" spans="1:10" x14ac:dyDescent="0.35">
      <c r="A109" s="132" t="s">
        <v>95</v>
      </c>
      <c r="B109" s="33">
        <f>_xll.AnalizExpert.AnalizExpertIslem.HisseKapanis($A109)</f>
        <v>44</v>
      </c>
      <c r="C109" s="33">
        <f>_xll.AnalizExpert.AnalizExpertIslem.IndMov($A109,14,"S",0,"",,"G")</f>
        <v>44.365714285714304</v>
      </c>
      <c r="D109" s="33">
        <f>_xll.AnalizExpert.AnalizExpertIslem.IndMov($A109,14,"E",0,"",,"G")</f>
        <v>44.013894704271642</v>
      </c>
      <c r="E109" s="33">
        <f>_xll.AnalizExpert.AnalizExpertIslem.IndMov($A109,14,"W",0,"",,"G")</f>
        <v>43.626666666666665</v>
      </c>
      <c r="F109" s="6">
        <f>_xll.AnalizExpert.AnalizExpertIslem.IndRSI($A109,14,"",,"G")</f>
        <v>39.219330855018605</v>
      </c>
      <c r="G109" s="6">
        <f>_xll.AnalizExpert.AnalizExpertIslem.IndAtr($A109,14,"",,"G")</f>
        <v>1.7298979591836721</v>
      </c>
      <c r="H109" s="6">
        <f>_xll.AnalizExpert.AnalizExpertIslem.IndBBandBot($A109,20,"S","",,"G",,2)</f>
        <v>41.39703494263604</v>
      </c>
      <c r="I109" s="6">
        <f>_xll.AnalizExpert.AnalizExpertIslem.IndBBandTop($A109,20,"S","",,"G",,2)</f>
        <v>48.522965057363976</v>
      </c>
      <c r="J109" s="133">
        <f>_xll.AnalizExpert.AnalizExpertIslem.IndMOM($A109,12,"S",0,"",,"G")</f>
        <v>96.618357487922708</v>
      </c>
    </row>
    <row r="110" spans="1:10" x14ac:dyDescent="0.35">
      <c r="A110" s="132" t="s">
        <v>98</v>
      </c>
      <c r="B110" s="33">
        <f>_xll.AnalizExpert.AnalizExpertIslem.HisseKapanis($A110)</f>
        <v>24</v>
      </c>
      <c r="C110" s="33">
        <f>_xll.AnalizExpert.AnalizExpertIslem.IndMov($A110,14,"S",0,"",,"G")</f>
        <v>22.161428571428576</v>
      </c>
      <c r="D110" s="33">
        <f>_xll.AnalizExpert.AnalizExpertIslem.IndMov($A110,14,"E",0,"",,"G")</f>
        <v>22.337931735829411</v>
      </c>
      <c r="E110" s="33">
        <f>_xll.AnalizExpert.AnalizExpertIslem.IndMov($A110,14,"W",0,"",,"G")</f>
        <v>22.640952380952381</v>
      </c>
      <c r="F110" s="6">
        <f>_xll.AnalizExpert.AnalizExpertIslem.IndRSI($A110,14,"",,"G")</f>
        <v>71.969696969696955</v>
      </c>
      <c r="G110" s="6">
        <f>_xll.AnalizExpert.AnalizExpertIslem.IndAtr($A110,14,"",,"G")</f>
        <v>1.2254081632653062</v>
      </c>
      <c r="H110" s="6">
        <f>_xll.AnalizExpert.AnalizExpertIslem.IndBBandBot($A110,20,"S","",,"G",,2)</f>
        <v>18.68035152861772</v>
      </c>
      <c r="I110" s="6">
        <f>_xll.AnalizExpert.AnalizExpertIslem.IndBBandTop($A110,20,"S","",,"G",,2)</f>
        <v>24.25564847138228</v>
      </c>
      <c r="J110" s="133">
        <f>_xll.AnalizExpert.AnalizExpertIslem.IndMOM($A110,12,"S",0,"",,"G")</f>
        <v>117.76251226692838</v>
      </c>
    </row>
    <row r="111" spans="1:10" x14ac:dyDescent="0.35">
      <c r="A111" s="132" t="s">
        <v>97</v>
      </c>
      <c r="B111" s="33">
        <f>_xll.AnalizExpert.AnalizExpertIslem.HisseKapanis($A111)</f>
        <v>11.41</v>
      </c>
      <c r="C111" s="33">
        <f>_xll.AnalizExpert.AnalizExpertIslem.IndMov($A111,14,"S",0,"",,"G")</f>
        <v>9.904285714285713</v>
      </c>
      <c r="D111" s="33">
        <f>_xll.AnalizExpert.AnalizExpertIslem.IndMov($A111,14,"E",0,"",,"G")</f>
        <v>10.181131540042257</v>
      </c>
      <c r="E111" s="33">
        <f>_xll.AnalizExpert.AnalizExpertIslem.IndMov($A111,14,"W",0,"",,"G")</f>
        <v>10.309238095238095</v>
      </c>
      <c r="F111" s="6">
        <f>_xll.AnalizExpert.AnalizExpertIslem.IndRSI($A111,14,"",,"G")</f>
        <v>71.599999999999994</v>
      </c>
      <c r="G111" s="6">
        <f>_xll.AnalizExpert.AnalizExpertIslem.IndAtr($A111,14,"",,"G")</f>
        <v>0.59051020408163257</v>
      </c>
      <c r="H111" s="6">
        <f>_xll.AnalizExpert.AnalizExpertIslem.IndBBandBot($A111,20,"S","",,"G",,2)</f>
        <v>8.2303872855667279</v>
      </c>
      <c r="I111" s="6">
        <f>_xll.AnalizExpert.AnalizExpertIslem.IndBBandTop($A111,20,"S","",,"G",,2)</f>
        <v>11.202612714433268</v>
      </c>
      <c r="J111" s="133">
        <f>_xll.AnalizExpert.AnalizExpertIslem.IndMOM($A111,12,"S",0,"",,"G")</f>
        <v>130.25114155251143</v>
      </c>
    </row>
    <row r="112" spans="1:10" x14ac:dyDescent="0.35">
      <c r="A112" s="132" t="s">
        <v>100</v>
      </c>
      <c r="B112" s="33">
        <f>_xll.AnalizExpert.AnalizExpertIslem.HisseKapanis($A112)</f>
        <v>8.19</v>
      </c>
      <c r="C112" s="33">
        <f>_xll.AnalizExpert.AnalizExpertIslem.IndMov($A112,14,"S",0,"",,"G")</f>
        <v>6.7007142857142856</v>
      </c>
      <c r="D112" s="33">
        <f>_xll.AnalizExpert.AnalizExpertIslem.IndMov($A112,14,"E",0,"",,"G")</f>
        <v>6.8913691606571632</v>
      </c>
      <c r="E112" s="33">
        <f>_xll.AnalizExpert.AnalizExpertIslem.IndMov($A112,14,"W",0,"",,"G")</f>
        <v>7.2429523809523806</v>
      </c>
      <c r="F112" s="6">
        <f>_xll.AnalizExpert.AnalizExpertIslem.IndRSI($A112,14,"",,"G")</f>
        <v>88.235294117647044</v>
      </c>
      <c r="G112" s="6">
        <f>_xll.AnalizExpert.AnalizExpertIslem.IndAtr($A112,14,"",,"G")</f>
        <v>0.57903061224489782</v>
      </c>
      <c r="H112" s="6">
        <f>_xll.AnalizExpert.AnalizExpertIslem.IndBBandBot($A112,20,"S","",,"G",,2)</f>
        <v>3.3861231259684659</v>
      </c>
      <c r="I112" s="6">
        <f>_xll.AnalizExpert.AnalizExpertIslem.IndBBandTop($A112,20,"S","",,"G",,2)</f>
        <v>8.7138768740315324</v>
      </c>
      <c r="J112" s="133">
        <f>_xll.AnalizExpert.AnalizExpertIslem.IndMOM($A112,12,"S",0,"",,"G")</f>
        <v>151.38632162661736</v>
      </c>
    </row>
    <row r="113" spans="1:13" ht="15" thickBot="1" x14ac:dyDescent="0.4">
      <c r="A113" s="134" t="s">
        <v>99</v>
      </c>
      <c r="B113" s="135">
        <f>_xll.AnalizExpert.AnalizExpertIslem.HisseKapanis($A113)</f>
        <v>5.05</v>
      </c>
      <c r="C113" s="135">
        <f>_xll.AnalizExpert.AnalizExpertIslem.IndMov($A113,14,"S",0,"",,"G")</f>
        <v>4.5649999999999995</v>
      </c>
      <c r="D113" s="135">
        <f>_xll.AnalizExpert.AnalizExpertIslem.IndMov($A113,14,"E",0,"",,"G")</f>
        <v>4.6117522296552114</v>
      </c>
      <c r="E113" s="135">
        <f>_xll.AnalizExpert.AnalizExpertIslem.IndMov($A113,14,"W",0,"",,"G")</f>
        <v>4.6416190476190486</v>
      </c>
      <c r="F113" s="136">
        <f>_xll.AnalizExpert.AnalizExpertIslem.IndRSI($A113,14,"",,"G")</f>
        <v>75.000000000000014</v>
      </c>
      <c r="G113" s="136">
        <f>_xll.AnalizExpert.AnalizExpertIslem.IndAtr($A113,14,"",,"G")</f>
        <v>0.22265306122448986</v>
      </c>
      <c r="H113" s="136">
        <f>_xll.AnalizExpert.AnalizExpertIslem.IndBBandBot($A113,20,"S","",,"G",,2)</f>
        <v>4.1316343325069962</v>
      </c>
      <c r="I113" s="136">
        <f>_xll.AnalizExpert.AnalizExpertIslem.IndBBandTop($A113,20,"S","",,"G",,2)</f>
        <v>4.8833656674930062</v>
      </c>
      <c r="J113" s="137">
        <f>_xll.AnalizExpert.AnalizExpertIslem.IndMOM($A113,12,"S",0,"",,"G")</f>
        <v>111.47902869757174</v>
      </c>
    </row>
    <row r="114" spans="1:13" ht="15" customHeight="1" x14ac:dyDescent="0.35">
      <c r="A114" s="181" t="s">
        <v>134</v>
      </c>
      <c r="B114" s="182"/>
      <c r="C114" s="182"/>
      <c r="D114" s="182"/>
      <c r="E114" s="182"/>
      <c r="F114" s="182"/>
      <c r="G114" s="182"/>
      <c r="H114" s="182"/>
      <c r="I114" s="182"/>
      <c r="J114" s="183"/>
      <c r="K114" s="22"/>
      <c r="L114" s="22"/>
      <c r="M114" s="22"/>
    </row>
    <row r="115" spans="1:13" x14ac:dyDescent="0.35">
      <c r="A115" s="184"/>
      <c r="B115" s="185"/>
      <c r="C115" s="185"/>
      <c r="D115" s="185"/>
      <c r="E115" s="185"/>
      <c r="F115" s="185"/>
      <c r="G115" s="185"/>
      <c r="H115" s="185"/>
      <c r="I115" s="185"/>
      <c r="J115" s="186"/>
      <c r="K115" s="22"/>
      <c r="L115" s="22"/>
      <c r="M115" s="22"/>
    </row>
    <row r="116" spans="1:13" x14ac:dyDescent="0.35">
      <c r="A116" s="184"/>
      <c r="B116" s="185"/>
      <c r="C116" s="185"/>
      <c r="D116" s="185"/>
      <c r="E116" s="185"/>
      <c r="F116" s="185"/>
      <c r="G116" s="185"/>
      <c r="H116" s="185"/>
      <c r="I116" s="185"/>
      <c r="J116" s="186"/>
      <c r="K116" s="22"/>
      <c r="L116" s="22"/>
      <c r="M116" s="22"/>
    </row>
    <row r="117" spans="1:13" x14ac:dyDescent="0.35">
      <c r="A117" s="184"/>
      <c r="B117" s="185"/>
      <c r="C117" s="185"/>
      <c r="D117" s="185"/>
      <c r="E117" s="185"/>
      <c r="F117" s="185"/>
      <c r="G117" s="185"/>
      <c r="H117" s="185"/>
      <c r="I117" s="185"/>
      <c r="J117" s="186"/>
      <c r="K117" s="22"/>
      <c r="L117" s="22"/>
      <c r="M117" s="22"/>
    </row>
    <row r="118" spans="1:13" x14ac:dyDescent="0.35">
      <c r="A118" s="184"/>
      <c r="B118" s="185"/>
      <c r="C118" s="185"/>
      <c r="D118" s="185"/>
      <c r="E118" s="185"/>
      <c r="F118" s="185"/>
      <c r="G118" s="185"/>
      <c r="H118" s="185"/>
      <c r="I118" s="185"/>
      <c r="J118" s="186"/>
      <c r="K118" s="22"/>
      <c r="L118" s="22"/>
      <c r="M118" s="22"/>
    </row>
    <row r="119" spans="1:13" x14ac:dyDescent="0.35">
      <c r="A119" s="184"/>
      <c r="B119" s="185"/>
      <c r="C119" s="185"/>
      <c r="D119" s="185"/>
      <c r="E119" s="185"/>
      <c r="F119" s="185"/>
      <c r="G119" s="185"/>
      <c r="H119" s="185"/>
      <c r="I119" s="185"/>
      <c r="J119" s="186"/>
      <c r="K119" s="22"/>
      <c r="L119" s="22"/>
      <c r="M119" s="22"/>
    </row>
    <row r="120" spans="1:13" x14ac:dyDescent="0.35">
      <c r="A120" s="184"/>
      <c r="B120" s="185"/>
      <c r="C120" s="185"/>
      <c r="D120" s="185"/>
      <c r="E120" s="185"/>
      <c r="F120" s="185"/>
      <c r="G120" s="185"/>
      <c r="H120" s="185"/>
      <c r="I120" s="185"/>
      <c r="J120" s="186"/>
      <c r="K120" s="22"/>
      <c r="L120" s="22"/>
      <c r="M120" s="22"/>
    </row>
    <row r="121" spans="1:13" x14ac:dyDescent="0.35">
      <c r="A121" s="184"/>
      <c r="B121" s="185"/>
      <c r="C121" s="185"/>
      <c r="D121" s="185"/>
      <c r="E121" s="185"/>
      <c r="F121" s="185"/>
      <c r="G121" s="185"/>
      <c r="H121" s="185"/>
      <c r="I121" s="185"/>
      <c r="J121" s="186"/>
      <c r="K121" s="22"/>
      <c r="L121" s="22"/>
      <c r="M121" s="22"/>
    </row>
    <row r="122" spans="1:13" x14ac:dyDescent="0.35">
      <c r="A122" s="184"/>
      <c r="B122" s="185"/>
      <c r="C122" s="185"/>
      <c r="D122" s="185"/>
      <c r="E122" s="185"/>
      <c r="F122" s="185"/>
      <c r="G122" s="185"/>
      <c r="H122" s="185"/>
      <c r="I122" s="185"/>
      <c r="J122" s="186"/>
      <c r="K122" s="22"/>
      <c r="L122" s="22"/>
      <c r="M122" s="22"/>
    </row>
    <row r="123" spans="1:13" x14ac:dyDescent="0.35">
      <c r="A123" s="184"/>
      <c r="B123" s="185"/>
      <c r="C123" s="185"/>
      <c r="D123" s="185"/>
      <c r="E123" s="185"/>
      <c r="F123" s="185"/>
      <c r="G123" s="185"/>
      <c r="H123" s="185"/>
      <c r="I123" s="185"/>
      <c r="J123" s="186"/>
      <c r="K123" s="22"/>
      <c r="L123" s="22"/>
      <c r="M123" s="22"/>
    </row>
    <row r="124" spans="1:13" x14ac:dyDescent="0.35">
      <c r="A124" s="184"/>
      <c r="B124" s="185"/>
      <c r="C124" s="185"/>
      <c r="D124" s="185"/>
      <c r="E124" s="185"/>
      <c r="F124" s="185"/>
      <c r="G124" s="185"/>
      <c r="H124" s="185"/>
      <c r="I124" s="185"/>
      <c r="J124" s="186"/>
      <c r="K124" s="22"/>
      <c r="L124" s="22"/>
      <c r="M124" s="22"/>
    </row>
    <row r="125" spans="1:13" x14ac:dyDescent="0.35">
      <c r="A125" s="184"/>
      <c r="B125" s="185"/>
      <c r="C125" s="185"/>
      <c r="D125" s="185"/>
      <c r="E125" s="185"/>
      <c r="F125" s="185"/>
      <c r="G125" s="185"/>
      <c r="H125" s="185"/>
      <c r="I125" s="185"/>
      <c r="J125" s="186"/>
      <c r="K125" s="22"/>
      <c r="L125" s="22"/>
      <c r="M125" s="22"/>
    </row>
    <row r="126" spans="1:13" ht="15" thickBot="1" x14ac:dyDescent="0.4">
      <c r="A126" s="187"/>
      <c r="B126" s="188"/>
      <c r="C126" s="188"/>
      <c r="D126" s="188"/>
      <c r="E126" s="188"/>
      <c r="F126" s="188"/>
      <c r="G126" s="188"/>
      <c r="H126" s="188"/>
      <c r="I126" s="188"/>
      <c r="J126" s="189"/>
      <c r="K126" s="22"/>
      <c r="L126" s="22"/>
      <c r="M126" s="22"/>
    </row>
    <row r="127" spans="1:13" x14ac:dyDescent="0.35">
      <c r="A127" s="23"/>
      <c r="B127" s="24"/>
      <c r="C127" s="24"/>
      <c r="D127" s="24"/>
      <c r="E127" s="24"/>
      <c r="F127" s="24"/>
      <c r="G127" s="24"/>
      <c r="H127" s="24"/>
      <c r="I127" s="24"/>
      <c r="J127" s="25"/>
      <c r="K127" s="32"/>
      <c r="L127" s="32"/>
      <c r="M127" s="32"/>
    </row>
    <row r="128" spans="1:13" x14ac:dyDescent="0.35">
      <c r="A128" s="26"/>
      <c r="B128" s="27"/>
      <c r="C128" s="27"/>
      <c r="D128" s="27"/>
      <c r="E128" s="27"/>
      <c r="F128" s="27"/>
      <c r="G128" s="27"/>
      <c r="H128" s="27"/>
      <c r="I128" s="27"/>
      <c r="J128" s="28"/>
      <c r="K128" s="32"/>
      <c r="L128" s="32"/>
      <c r="M128" s="32"/>
    </row>
    <row r="129" spans="1:13" x14ac:dyDescent="0.35">
      <c r="A129" s="26"/>
      <c r="B129" s="27"/>
      <c r="C129" s="27"/>
      <c r="D129" s="27"/>
      <c r="E129" s="27"/>
      <c r="F129" s="27"/>
      <c r="G129" s="27"/>
      <c r="H129" s="27"/>
      <c r="I129" s="27"/>
      <c r="J129" s="28"/>
      <c r="K129" s="32"/>
      <c r="L129" s="32"/>
      <c r="M129" s="32"/>
    </row>
    <row r="130" spans="1:13" ht="15" thickBot="1" x14ac:dyDescent="0.4">
      <c r="A130" s="29"/>
      <c r="B130" s="30"/>
      <c r="C130" s="30"/>
      <c r="D130" s="30"/>
      <c r="E130" s="30"/>
      <c r="F130" s="30"/>
      <c r="G130" s="30"/>
      <c r="H130" s="30"/>
      <c r="I130" s="30"/>
      <c r="J130" s="31"/>
      <c r="K130" s="32"/>
      <c r="L130" s="32"/>
      <c r="M130" s="32"/>
    </row>
  </sheetData>
  <mergeCells count="3">
    <mergeCell ref="A114:J126"/>
    <mergeCell ref="J1:J4"/>
    <mergeCell ref="C1:H4"/>
  </mergeCells>
  <pageMargins left="0.62992125984251968" right="0.62992125984251968" top="0.19685039370078741" bottom="0.19685039370078741" header="0.11811023622047245" footer="0.11811023622047245"/>
  <pageSetup paperSize="9" scale="42"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showGridLines="0" view="pageBreakPreview" zoomScale="60" zoomScaleNormal="100" workbookViewId="0">
      <selection activeCell="P98" sqref="P98"/>
    </sheetView>
  </sheetViews>
  <sheetFormatPr defaultRowHeight="14.5" x14ac:dyDescent="0.35"/>
  <cols>
    <col min="1" max="1" width="11.453125" customWidth="1"/>
    <col min="2" max="2" width="16.81640625" bestFit="1" customWidth="1"/>
    <col min="3" max="3" width="24.453125" bestFit="1" customWidth="1"/>
    <col min="4" max="4" width="12.54296875" bestFit="1" customWidth="1"/>
    <col min="5" max="5" width="15.54296875" customWidth="1"/>
    <col min="6" max="6" width="18.26953125" bestFit="1" customWidth="1"/>
    <col min="7" max="7" width="13.7265625" bestFit="1" customWidth="1"/>
    <col min="8" max="8" width="27.26953125" bestFit="1" customWidth="1"/>
    <col min="9" max="9" width="19.453125" bestFit="1" customWidth="1"/>
    <col min="10" max="10" width="23" bestFit="1" customWidth="1"/>
    <col min="11" max="11" width="4.1796875" customWidth="1"/>
  </cols>
  <sheetData>
    <row r="1" spans="1:10" ht="15" customHeight="1" x14ac:dyDescent="0.35">
      <c r="A1" s="12"/>
      <c r="B1" s="13"/>
      <c r="C1" s="190" t="s">
        <v>137</v>
      </c>
      <c r="D1" s="190"/>
      <c r="E1" s="190"/>
      <c r="F1" s="190"/>
      <c r="G1" s="190"/>
      <c r="H1" s="190"/>
      <c r="I1" s="190"/>
      <c r="J1" s="169">
        <f ca="1">TODAY()</f>
        <v>44886</v>
      </c>
    </row>
    <row r="2" spans="1:10" ht="21" customHeight="1" x14ac:dyDescent="0.35">
      <c r="A2" s="15"/>
      <c r="B2" s="16"/>
      <c r="C2" s="191"/>
      <c r="D2" s="191"/>
      <c r="E2" s="191"/>
      <c r="F2" s="191"/>
      <c r="G2" s="191"/>
      <c r="H2" s="191"/>
      <c r="I2" s="191"/>
      <c r="J2" s="170"/>
    </row>
    <row r="3" spans="1:10" ht="21" customHeight="1" thickBot="1" x14ac:dyDescent="0.4">
      <c r="A3" s="18"/>
      <c r="B3" s="19"/>
      <c r="C3" s="192"/>
      <c r="D3" s="192"/>
      <c r="E3" s="192"/>
      <c r="F3" s="192"/>
      <c r="G3" s="192"/>
      <c r="H3" s="192"/>
      <c r="I3" s="192"/>
      <c r="J3" s="171"/>
    </row>
    <row r="4" spans="1:10" ht="26.25" customHeight="1" thickBot="1" x14ac:dyDescent="0.4">
      <c r="A4" s="138" t="s">
        <v>0</v>
      </c>
      <c r="B4" s="139" t="s">
        <v>120</v>
      </c>
      <c r="C4" s="140" t="s">
        <v>144</v>
      </c>
      <c r="D4" s="140" t="s">
        <v>143</v>
      </c>
      <c r="E4" s="140" t="s">
        <v>162</v>
      </c>
      <c r="F4" s="141" t="s">
        <v>163</v>
      </c>
      <c r="G4" s="140" t="s">
        <v>128</v>
      </c>
      <c r="H4" s="140" t="s">
        <v>145</v>
      </c>
      <c r="I4" s="142" t="s">
        <v>146</v>
      </c>
      <c r="J4" s="143" t="s">
        <v>129</v>
      </c>
    </row>
    <row r="5" spans="1:10" ht="15.5" x14ac:dyDescent="0.35">
      <c r="A5" s="128" t="s">
        <v>9</v>
      </c>
      <c r="B5" s="130">
        <f>_xll.AnalizExpert.AnalizExpertIslem.HisseKapanis($A5)</f>
        <v>58.75</v>
      </c>
      <c r="C5" s="144">
        <f>_xll.AnalizExpert.AnalizExpertIslem.PiyasaDegeri($A5)</f>
        <v>34786184201.25</v>
      </c>
      <c r="D5" s="130">
        <f>_xll.AnalizExpert.AnalizExpertIslem.FiyatKazancDonemSonu($A5,"2022/06","TL")</f>
        <v>9.7349949865339731</v>
      </c>
      <c r="E5" s="130">
        <f>_xll.AnalizExpert.AnalizExpertIslem.PdDd($A5)</f>
        <v>1.2469559931912821</v>
      </c>
      <c r="F5" s="145">
        <f>_xll.AnalizExpert.AnalizExpertIslem.KalemFAVOK($A5,,,1,1,1,1)</f>
        <v>13459709000</v>
      </c>
      <c r="G5" s="130">
        <f>_xll.AnalizExpert.AnalizExpertIslem.HisseBasinaKar($A5)</f>
        <v>5.3659479125420306</v>
      </c>
      <c r="H5" s="130">
        <f>_xll.AnalizExpert.AnalizExpertIslem.TemettuVerimi($A5,"",0)</f>
        <v>2.840936170212335</v>
      </c>
      <c r="I5" s="130">
        <f>_xll.AnalizExpert.AnalizExpertIslem.HisseGetiri($A5,"yt")</f>
        <v>111.30416380407841</v>
      </c>
      <c r="J5" s="131">
        <f>_xll.AnalizExpert.AnalizExpertIslem.HisseGetiri($A5,"s1y")</f>
        <v>154.42395658035784</v>
      </c>
    </row>
    <row r="6" spans="1:10" ht="15.5" x14ac:dyDescent="0.35">
      <c r="A6" s="132" t="s">
        <v>10</v>
      </c>
      <c r="B6" s="6">
        <f>_xll.AnalizExpert.AnalizExpertIslem.HisseKapanis($A6)</f>
        <v>90.5</v>
      </c>
      <c r="C6" s="7">
        <f>_xll.AnalizExpert.AnalizExpertIslem.PiyasaDegeri($A6)</f>
        <v>22039873875.380001</v>
      </c>
      <c r="D6" s="6">
        <f>_xll.AnalizExpert.AnalizExpertIslem.FiyatKazancDonemSonu($A6,"2022/06","TL")</f>
        <v>6.014500220741068</v>
      </c>
      <c r="E6" s="6">
        <f>_xll.AnalizExpert.AnalizExpertIslem.PdDd($A6)</f>
        <v>1.4421964408024051</v>
      </c>
      <c r="F6" s="88">
        <f>_xll.AnalizExpert.AnalizExpertIslem.KalemFAVOK($A6,,,1,1,1,1)</f>
        <v>19402490000</v>
      </c>
      <c r="G6" s="6">
        <f>_xll.AnalizExpert.AnalizExpertIslem.HisseBasinaKar($A6)</f>
        <v>13.90664464474915</v>
      </c>
      <c r="H6" s="6">
        <f>_xll.AnalizExpert.AnalizExpertIslem.TemettuVerimi($A6,"",0)</f>
        <v>0.24501046764301848</v>
      </c>
      <c r="I6" s="6">
        <f>_xll.AnalizExpert.AnalizExpertIslem.HisseGetiri($A6,"yt")</f>
        <v>131.78137098571025</v>
      </c>
      <c r="J6" s="133">
        <f>_xll.AnalizExpert.AnalizExpertIslem.HisseGetiri($A6,"s1y")</f>
        <v>169.63442328870198</v>
      </c>
    </row>
    <row r="7" spans="1:10" ht="15.5" x14ac:dyDescent="0.35">
      <c r="A7" s="132" t="s">
        <v>1</v>
      </c>
      <c r="B7" s="6">
        <f>_xll.AnalizExpert.AnalizExpertIslem.HisseKapanis($A7)</f>
        <v>16.53</v>
      </c>
      <c r="C7" s="7">
        <f>_xll.AnalizExpert.AnalizExpertIslem.PiyasaDegeri($A7)</f>
        <v>85956000000</v>
      </c>
      <c r="D7" s="6">
        <f>_xll.AnalizExpert.AnalizExpertIslem.FiyatKazancDonemSonu($A7,"2022/06","TL")</f>
        <v>1.4306393102523707</v>
      </c>
      <c r="E7" s="6">
        <f>_xll.AnalizExpert.AnalizExpertIslem.PdDd($A7)</f>
        <v>0.6811185631488692</v>
      </c>
      <c r="F7" s="88">
        <f>_xll.AnalizExpert.AnalizExpertIslem.KalemFAVOK($A7,,,1,1,1,1)</f>
        <v>0</v>
      </c>
      <c r="G7" s="6">
        <f>_xll.AnalizExpert.AnalizExpertIslem.HisseBasinaKar($A7)</f>
        <v>8.2704826923076915</v>
      </c>
      <c r="H7" s="6">
        <f>_xll.AnalizExpert.AnalizExpertIslem.TemettuVerimi($A7,"",0)</f>
        <v>1.2686025408348458</v>
      </c>
      <c r="I7" s="6">
        <f>_xll.AnalizExpert.AnalizExpertIslem.HisseGetiri($A7,"yt")</f>
        <v>137.11012616673685</v>
      </c>
      <c r="J7" s="133">
        <f>_xll.AnalizExpert.AnalizExpertIslem.HisseGetiri($A7,"s1y")</f>
        <v>136.12626672206156</v>
      </c>
    </row>
    <row r="8" spans="1:10" ht="15.5" x14ac:dyDescent="0.35">
      <c r="A8" s="132" t="s">
        <v>2</v>
      </c>
      <c r="B8" s="6">
        <f>_xll.AnalizExpert.AnalizExpertIslem.HisseKapanis($A8)</f>
        <v>4.34</v>
      </c>
      <c r="C8" s="7">
        <f>_xll.AnalizExpert.AnalizExpertIslem.PiyasaDegeri($A8)</f>
        <v>5642000000.0043392</v>
      </c>
      <c r="D8" s="6">
        <f>_xll.AnalizExpert.AnalizExpertIslem.FiyatKazancDonemSonu($A8,"2022/06","TL")</f>
        <v>1.342271280146196</v>
      </c>
      <c r="E8" s="6">
        <f>_xll.AnalizExpert.AnalizExpertIslem.PdDd($A8)</f>
        <v>1.567384858865615</v>
      </c>
      <c r="F8" s="88">
        <f>_xll.AnalizExpert.AnalizExpertIslem.KalemFAVOK($A8,,,1,1,1,1)</f>
        <v>336527126</v>
      </c>
      <c r="G8" s="6">
        <f>_xll.AnalizExpert.AnalizExpertIslem.HisseBasinaKar($A8)</f>
        <v>1.5947333430756965</v>
      </c>
      <c r="H8" s="6">
        <f>_xll.AnalizExpert.AnalizExpertIslem.TemettuVerimi($A8,"",0)</f>
        <v>0</v>
      </c>
      <c r="I8" s="6">
        <f>_xll.AnalizExpert.AnalizExpertIslem.HisseGetiri($A8,"yt")</f>
        <v>-40.952380952380949</v>
      </c>
      <c r="J8" s="133">
        <f>_xll.AnalizExpert.AnalizExpertIslem.HisseGetiri($A8,"s1y")</f>
        <v>12.952949477553855</v>
      </c>
    </row>
    <row r="9" spans="1:10" ht="15.5" x14ac:dyDescent="0.35">
      <c r="A9" s="132" t="s">
        <v>3</v>
      </c>
      <c r="B9" s="6">
        <f>_xll.AnalizExpert.AnalizExpertIslem.HisseKapanis($A9)</f>
        <v>78.7</v>
      </c>
      <c r="C9" s="7">
        <f>_xll.AnalizExpert.AnalizExpertIslem.PiyasaDegeri($A9)</f>
        <v>25479125000</v>
      </c>
      <c r="D9" s="6">
        <f>_xll.AnalizExpert.AnalizExpertIslem.FiyatKazancDonemSonu($A9,"2022/06","TL")</f>
        <v>10.413243806604028</v>
      </c>
      <c r="E9" s="6">
        <f>_xll.AnalizExpert.AnalizExpertIslem.PdDd($A9)</f>
        <v>5.71393955350353</v>
      </c>
      <c r="F9" s="88">
        <f>_xll.AnalizExpert.AnalizExpertIslem.KalemFAVOK($A9,,,1,1,1,1)</f>
        <v>3104692000</v>
      </c>
      <c r="G9" s="6">
        <f>_xll.AnalizExpert.AnalizExpertIslem.HisseBasinaKar($A9)</f>
        <v>7.5304895752895753</v>
      </c>
      <c r="H9" s="6">
        <f>_xll.AnalizExpert.AnalizExpertIslem.TemettuVerimi($A9,"",0)</f>
        <v>2.1156289707750955</v>
      </c>
      <c r="I9" s="6">
        <f>_xll.AnalizExpert.AnalizExpertIslem.HisseGetiri($A9,"yt")</f>
        <v>138.61850990918447</v>
      </c>
      <c r="J9" s="133">
        <f>_xll.AnalizExpert.AnalizExpertIslem.HisseGetiri($A9,"s1y")</f>
        <v>235.51445938010022</v>
      </c>
    </row>
    <row r="10" spans="1:10" ht="15.5" x14ac:dyDescent="0.35">
      <c r="A10" s="132" t="s">
        <v>4</v>
      </c>
      <c r="B10" s="6">
        <f>_xll.AnalizExpert.AnalizExpertIslem.HisseKapanis($A10)</f>
        <v>48.5</v>
      </c>
      <c r="C10" s="7">
        <f>_xll.AnalizExpert.AnalizExpertIslem.PiyasaDegeri($A10)</f>
        <v>59477404446</v>
      </c>
      <c r="D10" s="6">
        <f>_xll.AnalizExpert.AnalizExpertIslem.FiyatKazancDonemSonu($A10,"2022/06","TL")</f>
        <v>8.0898252499244343</v>
      </c>
      <c r="E10" s="6">
        <f>_xll.AnalizExpert.AnalizExpertIslem.PdDd($A10)</f>
        <v>4.252280111737905</v>
      </c>
      <c r="F10" s="88">
        <f>_xll.AnalizExpert.AnalizExpertIslem.KalemFAVOK($A10,,,1,1,1,1)</f>
        <v>5301143600</v>
      </c>
      <c r="G10" s="6">
        <f>_xll.AnalizExpert.AnalizExpertIslem.HisseBasinaKar($A10)</f>
        <v>3.8971613863958492</v>
      </c>
      <c r="H10" s="6">
        <f>_xll.AnalizExpert.AnalizExpertIslem.TemettuVerimi($A10,"",0)</f>
        <v>1.0592257780548946</v>
      </c>
      <c r="I10" s="6">
        <f>_xll.AnalizExpert.AnalizExpertIslem.HisseGetiri($A10,"yt")</f>
        <v>395.55180026680432</v>
      </c>
      <c r="J10" s="133">
        <f>_xll.AnalizExpert.AnalizExpertIslem.HisseGetiri($A10,"s1y")</f>
        <v>514.97670616961182</v>
      </c>
    </row>
    <row r="11" spans="1:10" ht="15.5" x14ac:dyDescent="0.35">
      <c r="A11" s="132" t="s">
        <v>6</v>
      </c>
      <c r="B11" s="6">
        <f>_xll.AnalizExpert.AnalizExpertIslem.HisseKapanis($A11)</f>
        <v>77.95</v>
      </c>
      <c r="C11" s="7">
        <f>_xll.AnalizExpert.AnalizExpertIslem.PiyasaDegeri($A11)</f>
        <v>33908250000</v>
      </c>
      <c r="D11" s="6">
        <f>_xll.AnalizExpert.AnalizExpertIslem.FiyatKazancDonemSonu($A11,"2022/06","TL")</f>
        <v>3.2466269077244725</v>
      </c>
      <c r="E11" s="6">
        <f>_xll.AnalizExpert.AnalizExpertIslem.PdDd($A11)</f>
        <v>3.0395894857162427</v>
      </c>
      <c r="F11" s="88">
        <f>_xll.AnalizExpert.AnalizExpertIslem.KalemFAVOK($A11,,,1,1,1,1)</f>
        <v>781414766</v>
      </c>
      <c r="G11" s="6">
        <f>_xll.AnalizExpert.AnalizExpertIslem.HisseBasinaKar($A11)</f>
        <v>18.993348255172414</v>
      </c>
      <c r="H11" s="6">
        <f>_xll.AnalizExpert.AnalizExpertIslem.TemettuVerimi($A11,"",0)</f>
        <v>0.26555484284797948</v>
      </c>
      <c r="I11" s="6">
        <f>_xll.AnalizExpert.AnalizExpertIslem.HisseGetiri($A11,"yt")</f>
        <v>533.99793970034727</v>
      </c>
      <c r="J11" s="133">
        <f>_xll.AnalizExpert.AnalizExpertIslem.HisseGetiri($A11,"s1y")</f>
        <v>617.29693907703518</v>
      </c>
    </row>
    <row r="12" spans="1:10" ht="15.5" x14ac:dyDescent="0.35">
      <c r="A12" s="132" t="s">
        <v>7</v>
      </c>
      <c r="B12" s="6">
        <f>_xll.AnalizExpert.AnalizExpertIslem.HisseKapanis($A12)</f>
        <v>3.49</v>
      </c>
      <c r="C12" s="7">
        <f>_xll.AnalizExpert.AnalizExpertIslem.PiyasaDegeri($A12)</f>
        <v>8725000000</v>
      </c>
      <c r="D12" s="6">
        <f>_xll.AnalizExpert.AnalizExpertIslem.FiyatKazancDonemSonu($A12,"2022/06","TL")</f>
        <v>4.1681400817762189</v>
      </c>
      <c r="E12" s="6">
        <f>_xll.AnalizExpert.AnalizExpertIslem.PdDd($A12)</f>
        <v>1.1685685203042966</v>
      </c>
      <c r="F12" s="88">
        <f>_xll.AnalizExpert.AnalizExpertIslem.KalemFAVOK($A12,,,1,1,1,1)</f>
        <v>0</v>
      </c>
      <c r="G12" s="6">
        <f>_xll.AnalizExpert.AnalizExpertIslem.HisseBasinaKar($A12)</f>
        <v>0.38385560000000002</v>
      </c>
      <c r="H12" s="6">
        <f>_xll.AnalizExpert.AnalizExpertIslem.TemettuVerimi($A12,"",0)</f>
        <v>0</v>
      </c>
      <c r="I12" s="6">
        <f>_xll.AnalizExpert.AnalizExpertIslem.HisseGetiri($A12,"yt")</f>
        <v>152.56729288432513</v>
      </c>
      <c r="J12" s="133">
        <f>_xll.AnalizExpert.AnalizExpertIslem.HisseGetiri($A12,"s1y")</f>
        <v>113.33353864986688</v>
      </c>
    </row>
    <row r="13" spans="1:10" ht="15.5" x14ac:dyDescent="0.35">
      <c r="A13" s="132" t="s">
        <v>5</v>
      </c>
      <c r="B13" s="6">
        <f>_xll.AnalizExpert.AnalizExpertIslem.HisseKapanis($A13)</f>
        <v>69.900000000000006</v>
      </c>
      <c r="C13" s="7">
        <f>_xll.AnalizExpert.AnalizExpertIslem.PiyasaDegeri($A13)</f>
        <v>4501560000</v>
      </c>
      <c r="D13" s="6">
        <f>_xll.AnalizExpert.AnalizExpertIslem.FiyatKazancDonemSonu($A13,"2022/06","TL")</f>
        <v>1.5872084773501125</v>
      </c>
      <c r="E13" s="6">
        <f>_xll.AnalizExpert.AnalizExpertIslem.PdDd($A13)</f>
        <v>1.2791041646754839</v>
      </c>
      <c r="F13" s="88">
        <f>_xll.AnalizExpert.AnalizExpertIslem.KalemFAVOK($A13,,,1,1,1,1)</f>
        <v>120702457</v>
      </c>
      <c r="G13" s="6">
        <f>_xll.AnalizExpert.AnalizExpertIslem.HisseBasinaKar($A13)</f>
        <v>21.854986909937889</v>
      </c>
      <c r="H13" s="6">
        <f>_xll.AnalizExpert.AnalizExpertIslem.TemettuVerimi($A13,"",0)</f>
        <v>2.3605150214592276</v>
      </c>
      <c r="I13" s="6">
        <f>_xll.AnalizExpert.AnalizExpertIslem.HisseGetiri($A13,"yt")</f>
        <v>121.63341495062726</v>
      </c>
      <c r="J13" s="133">
        <f>_xll.AnalizExpert.AnalizExpertIslem.HisseGetiri($A13,"s1y")</f>
        <v>175.32724604432636</v>
      </c>
    </row>
    <row r="14" spans="1:10" ht="15.5" x14ac:dyDescent="0.35">
      <c r="A14" s="132" t="s">
        <v>8</v>
      </c>
      <c r="B14" s="6">
        <f>_xll.AnalizExpert.AnalizExpertIslem.HisseKapanis($A14)</f>
        <v>38.119999999999997</v>
      </c>
      <c r="C14" s="7">
        <f>_xll.AnalizExpert.AnalizExpertIslem.PiyasaDegeri($A14)</f>
        <v>5718000000</v>
      </c>
      <c r="D14" s="6">
        <f>_xll.AnalizExpert.AnalizExpertIslem.FiyatKazancDonemSonu($A14,"2022/06","TL")</f>
        <v>6.745521721633728</v>
      </c>
      <c r="E14" s="6">
        <f>_xll.AnalizExpert.AnalizExpertIslem.PdDd($A14)</f>
        <v>5.7798194694110361</v>
      </c>
      <c r="F14" s="88">
        <f>_xll.AnalizExpert.AnalizExpertIslem.KalemFAVOK($A14,,,1,1,1,1)</f>
        <v>596092885</v>
      </c>
      <c r="G14" s="6">
        <f>_xll.AnalizExpert.AnalizExpertIslem.HisseBasinaKar($A14)</f>
        <v>3.9667684733333335</v>
      </c>
      <c r="H14" s="6">
        <f>_xll.AnalizExpert.AnalizExpertIslem.TemettuVerimi($A14,"",0)</f>
        <v>1.8793675027981811</v>
      </c>
      <c r="I14" s="6">
        <f>_xll.AnalizExpert.AnalizExpertIslem.HisseGetiri($A14,"yt")</f>
        <v>133.9207163132873</v>
      </c>
      <c r="J14" s="133">
        <f>_xll.AnalizExpert.AnalizExpertIslem.HisseGetiri($A14,"s1y")</f>
        <v>118.62839247673995</v>
      </c>
    </row>
    <row r="15" spans="1:10" ht="15.5" x14ac:dyDescent="0.35">
      <c r="A15" s="132" t="s">
        <v>11</v>
      </c>
      <c r="B15" s="6">
        <f>_xll.AnalizExpert.AnalizExpertIslem.HisseKapanis($A15)</f>
        <v>88.8</v>
      </c>
      <c r="C15" s="7">
        <f>_xll.AnalizExpert.AnalizExpertIslem.PiyasaDegeri($A15)</f>
        <v>60004664604</v>
      </c>
      <c r="D15" s="6">
        <f>_xll.AnalizExpert.AnalizExpertIslem.FiyatKazancDonemSonu($A15,"2022/06","TL")</f>
        <v>17.096673222562167</v>
      </c>
      <c r="E15" s="6">
        <f>_xll.AnalizExpert.AnalizExpertIslem.PdDd($A15)</f>
        <v>2.5945244571347184</v>
      </c>
      <c r="F15" s="88">
        <f>_xll.AnalizExpert.AnalizExpertIslem.KalemFAVOK($A15,,,1,1,1,1)</f>
        <v>8257208000</v>
      </c>
      <c r="G15" s="6">
        <f>_xll.AnalizExpert.AnalizExpertIslem.HisseBasinaKar($A15)</f>
        <v>3.7735112744035897</v>
      </c>
      <c r="H15" s="6">
        <f>_xll.AnalizExpert.AnalizExpertIslem.TemettuVerimi($A15,"",0)</f>
        <v>2.4284401537890816</v>
      </c>
      <c r="I15" s="6">
        <f>_xll.AnalizExpert.AnalizExpertIslem.HisseGetiri($A15,"yt")</f>
        <v>90.798761556426783</v>
      </c>
      <c r="J15" s="133">
        <f>_xll.AnalizExpert.AnalizExpertIslem.HisseGetiri($A15,"s1y")</f>
        <v>124.90647976938764</v>
      </c>
    </row>
    <row r="16" spans="1:10" ht="15.5" x14ac:dyDescent="0.35">
      <c r="A16" s="132" t="s">
        <v>12</v>
      </c>
      <c r="B16" s="6">
        <f>_xll.AnalizExpert.AnalizExpertIslem.HisseKapanis($A16)</f>
        <v>9.35</v>
      </c>
      <c r="C16" s="7">
        <f>_xll.AnalizExpert.AnalizExpertIslem.PiyasaDegeri($A16)</f>
        <v>1589500000</v>
      </c>
      <c r="D16" s="6">
        <f>_xll.AnalizExpert.AnalizExpertIslem.FiyatKazancDonemSonu($A16,"2022/06","TL")</f>
        <v>5.0543002023215067</v>
      </c>
      <c r="E16" s="6">
        <f>_xll.AnalizExpert.AnalizExpertIslem.PdDd($A16)</f>
        <v>3.3473332730834402</v>
      </c>
      <c r="F16" s="88">
        <f>_xll.AnalizExpert.AnalizExpertIslem.KalemFAVOK($A16,,,1,1,1,1)</f>
        <v>164951641</v>
      </c>
      <c r="G16" s="6">
        <f>_xll.AnalizExpert.AnalizExpertIslem.HisseBasinaKar($A16)</f>
        <v>1.2019748235294119</v>
      </c>
      <c r="H16" s="6">
        <f>_xll.AnalizExpert.AnalizExpertIslem.TemettuVerimi($A16,"",0)</f>
        <v>6.4416385026737966E-2</v>
      </c>
      <c r="I16" s="6">
        <f>_xll.AnalizExpert.AnalizExpertIslem.HisseGetiri($A16,"yt")</f>
        <v>27.557980900409262</v>
      </c>
      <c r="J16" s="133">
        <f>_xll.AnalizExpert.AnalizExpertIslem.HisseGetiri($A16,"s1y")</f>
        <v>29.058942302784541</v>
      </c>
    </row>
    <row r="17" spans="1:10" ht="15.5" x14ac:dyDescent="0.35">
      <c r="A17" s="132" t="s">
        <v>13</v>
      </c>
      <c r="B17" s="6">
        <f>_xll.AnalizExpert.AnalizExpertIslem.HisseKapanis($A17)</f>
        <v>41.58</v>
      </c>
      <c r="C17" s="7">
        <f>_xll.AnalizExpert.AnalizExpertIslem.PiyasaDegeri($A17)</f>
        <v>94802400000</v>
      </c>
      <c r="D17" s="6">
        <f>_xll.AnalizExpert.AnalizExpertIslem.FiyatKazancDonemSonu($A17,"2022/06","TL")</f>
        <v>6.1844697438479885</v>
      </c>
      <c r="E17" s="6">
        <f>_xll.AnalizExpert.AnalizExpertIslem.PdDd($A17)</f>
        <v>3.0726280883992168</v>
      </c>
      <c r="F17" s="88">
        <f>_xll.AnalizExpert.AnalizExpertIslem.KalemFAVOK($A17,,,1,1,1,1)</f>
        <v>4106832000</v>
      </c>
      <c r="G17" s="6">
        <f>_xll.AnalizExpert.AnalizExpertIslem.HisseBasinaKar($A17)</f>
        <v>4.2901557017543857</v>
      </c>
      <c r="H17" s="6">
        <f>_xll.AnalizExpert.AnalizExpertIslem.TemettuVerimi($A17,"",0)</f>
        <v>0.43669780511885775</v>
      </c>
      <c r="I17" s="6">
        <f>_xll.AnalizExpert.AnalizExpertIslem.HisseGetiri($A17,"yt")</f>
        <v>100.11933444324099</v>
      </c>
      <c r="J17" s="133">
        <f>_xll.AnalizExpert.AnalizExpertIslem.HisseGetiri($A17,"s1y")</f>
        <v>122.97180913419807</v>
      </c>
    </row>
    <row r="18" spans="1:10" ht="15.5" x14ac:dyDescent="0.35">
      <c r="A18" s="132" t="s">
        <v>14</v>
      </c>
      <c r="B18" s="6">
        <f>_xll.AnalizExpert.AnalizExpertIslem.HisseKapanis($A18)</f>
        <v>18.55</v>
      </c>
      <c r="C18" s="7">
        <f>_xll.AnalizExpert.AnalizExpertIslem.PiyasaDegeri($A18)</f>
        <v>13077750000</v>
      </c>
      <c r="D18" s="6">
        <f>_xll.AnalizExpert.AnalizExpertIslem.FiyatKazancDonemSonu($A18,"2022/06","TL")</f>
        <v>11.623376209952308</v>
      </c>
      <c r="E18" s="6">
        <f>_xll.AnalizExpert.AnalizExpertIslem.PdDd($A18)</f>
        <v>1.560351911917903</v>
      </c>
      <c r="F18" s="88">
        <f>_xll.AnalizExpert.AnalizExpertIslem.KalemFAVOK($A18,,,1,1,1,1)</f>
        <v>2428790684</v>
      </c>
      <c r="G18" s="6">
        <f>_xll.AnalizExpert.AnalizExpertIslem.HisseBasinaKar($A18)</f>
        <v>1.1025388283687942</v>
      </c>
      <c r="H18" s="6">
        <f>_xll.AnalizExpert.AnalizExpertIslem.TemettuVerimi($A18,"",0)</f>
        <v>0</v>
      </c>
      <c r="I18" s="6">
        <f>_xll.AnalizExpert.AnalizExpertIslem.HisseGetiri($A18,"yt")</f>
        <v>211.76470588235296</v>
      </c>
      <c r="J18" s="133">
        <f>_xll.AnalizExpert.AnalizExpertIslem.HisseGetiri($A18,"s1y")</f>
        <v>181.91489361702128</v>
      </c>
    </row>
    <row r="19" spans="1:10" ht="15.5" x14ac:dyDescent="0.35">
      <c r="A19" s="132" t="s">
        <v>15</v>
      </c>
      <c r="B19" s="6">
        <f>_xll.AnalizExpert.AnalizExpertIslem.HisseKapanis($A19)</f>
        <v>41.06</v>
      </c>
      <c r="C19" s="7">
        <f>_xll.AnalizExpert.AnalizExpertIslem.PiyasaDegeri($A19)</f>
        <v>5543100000</v>
      </c>
      <c r="D19" s="6">
        <f>_xll.AnalizExpert.AnalizExpertIslem.FiyatKazancDonemSonu($A19,"2022/06","TL")</f>
        <v>5.4707931852747231</v>
      </c>
      <c r="E19" s="6">
        <f>_xll.AnalizExpert.AnalizExpertIslem.PdDd($A19)</f>
        <v>4.7538700362239732</v>
      </c>
      <c r="F19" s="88">
        <f>_xll.AnalizExpert.AnalizExpertIslem.KalemFAVOK($A19,,,1,1,1,1)</f>
        <v>909362324</v>
      </c>
      <c r="G19" s="6">
        <f>_xll.AnalizExpert.AnalizExpertIslem.HisseBasinaKar($A19)</f>
        <v>4.497915311111111</v>
      </c>
      <c r="H19" s="6">
        <f>_xll.AnalizExpert.AnalizExpertIslem.TemettuVerimi($A19,"",0)</f>
        <v>0</v>
      </c>
      <c r="I19" s="6">
        <f>_xll.AnalizExpert.AnalizExpertIslem.HisseGetiri($A19,"yt")</f>
        <v>134.62857142857146</v>
      </c>
      <c r="J19" s="133">
        <f>_xll.AnalizExpert.AnalizExpertIslem.HisseGetiri($A19,"s1y")</f>
        <v>345.22780391363364</v>
      </c>
    </row>
    <row r="20" spans="1:10" ht="15.5" x14ac:dyDescent="0.35">
      <c r="A20" s="132" t="s">
        <v>16</v>
      </c>
      <c r="B20" s="6">
        <f>_xll.AnalizExpert.AnalizExpertIslem.HisseKapanis($A20)</f>
        <v>17.420000000000002</v>
      </c>
      <c r="C20" s="7">
        <f>_xll.AnalizExpert.AnalizExpertIslem.PiyasaDegeri($A20)</f>
        <v>12194000000.000002</v>
      </c>
      <c r="D20" s="6">
        <f>_xll.AnalizExpert.AnalizExpertIslem.FiyatKazancDonemSonu($A20,"2022/06","TL")</f>
        <v>24.972647800128115</v>
      </c>
      <c r="E20" s="6">
        <f>_xll.AnalizExpert.AnalizExpertIslem.PdDd($A20)</f>
        <v>7.986019051831879</v>
      </c>
      <c r="F20" s="88">
        <f>_xll.AnalizExpert.AnalizExpertIslem.KalemFAVOK($A20,,,1,1,1,1)</f>
        <v>864431541</v>
      </c>
      <c r="G20" s="6">
        <f>_xll.AnalizExpert.AnalizExpertIslem.HisseBasinaKar($A20)</f>
        <v>0.47208023285714285</v>
      </c>
      <c r="H20" s="6">
        <f>_xll.AnalizExpert.AnalizExpertIslem.TemettuVerimi($A20,"",0)</f>
        <v>5.9701492537313428</v>
      </c>
      <c r="I20" s="6">
        <f>_xll.AnalizExpert.AnalizExpertIslem.HisseGetiri($A20,"yt")</f>
        <v>58.861225980648847</v>
      </c>
      <c r="J20" s="133">
        <f>_xll.AnalizExpert.AnalizExpertIslem.HisseGetiri($A20,"s1y")</f>
        <v>37.012117536318897</v>
      </c>
    </row>
    <row r="21" spans="1:10" ht="15.5" x14ac:dyDescent="0.35">
      <c r="A21" s="132" t="s">
        <v>17</v>
      </c>
      <c r="B21" s="6">
        <f>_xll.AnalizExpert.AnalizExpertIslem.HisseKapanis($A21)</f>
        <v>28.98</v>
      </c>
      <c r="C21" s="7">
        <f>_xll.AnalizExpert.AnalizExpertIslem.PiyasaDegeri($A21)</f>
        <v>9899568000</v>
      </c>
      <c r="D21" s="6">
        <f>_xll.AnalizExpert.AnalizExpertIslem.FiyatKazancDonemSonu($A21,"2022/06","TL")</f>
        <v>4.1144348909235502</v>
      </c>
      <c r="E21" s="6">
        <f>_xll.AnalizExpert.AnalizExpertIslem.PdDd($A21)</f>
        <v>1.7960810000220462</v>
      </c>
      <c r="F21" s="88">
        <f>_xll.AnalizExpert.AnalizExpertIslem.KalemFAVOK($A21,,,1,1,1,1)</f>
        <v>1498748632</v>
      </c>
      <c r="G21" s="6">
        <f>_xll.AnalizExpert.AnalizExpertIslem.HisseBasinaKar($A21)</f>
        <v>4.9586077576112411</v>
      </c>
      <c r="H21" s="6">
        <f>_xll.AnalizExpert.AnalizExpertIslem.TemettuVerimi($A21,"",0)</f>
        <v>0.3105590062111801</v>
      </c>
      <c r="I21" s="6">
        <f>_xll.AnalizExpert.AnalizExpertIslem.HisseGetiri($A21,"yt")</f>
        <v>200.20576131698925</v>
      </c>
      <c r="J21" s="133">
        <f>_xll.AnalizExpert.AnalizExpertIslem.HisseGetiri($A21,"s1y")</f>
        <v>156.64028144249218</v>
      </c>
    </row>
    <row r="22" spans="1:10" ht="15.5" x14ac:dyDescent="0.35">
      <c r="A22" s="132" t="s">
        <v>18</v>
      </c>
      <c r="B22" s="6">
        <f>_xll.AnalizExpert.AnalizExpertIslem.HisseKapanis($A22)</f>
        <v>128.19999999999999</v>
      </c>
      <c r="C22" s="7">
        <f>_xll.AnalizExpert.AnalizExpertIslem.PiyasaDegeri($A22)</f>
        <v>77843040000</v>
      </c>
      <c r="D22" s="6">
        <f>_xll.AnalizExpert.AnalizExpertIslem.FiyatKazancDonemSonu($A22,"2022/06","TL")</f>
        <v>10.812146786889434</v>
      </c>
      <c r="E22" s="6">
        <f>_xll.AnalizExpert.AnalizExpertIslem.PdDd($A22)</f>
        <v>7.3591866034000493</v>
      </c>
      <c r="F22" s="88">
        <f>_xll.AnalizExpert.AnalizExpertIslem.KalemFAVOK($A22,,,1,1,1,1)</f>
        <v>7917767000</v>
      </c>
      <c r="G22" s="6">
        <f>_xll.AnalizExpert.AnalizExpertIslem.HisseBasinaKar($A22)</f>
        <v>8.9455862977602116</v>
      </c>
      <c r="H22" s="6">
        <f>_xll.AnalizExpert.AnalizExpertIslem.TemettuVerimi($A22,"",0)</f>
        <v>2.1060842433697347</v>
      </c>
      <c r="I22" s="6">
        <f>_xll.AnalizExpert.AnalizExpertIslem.HisseGetiri($A22,"yt")</f>
        <v>112.9540618710557</v>
      </c>
      <c r="J22" s="133">
        <f>_xll.AnalizExpert.AnalizExpertIslem.HisseGetiri($A22,"s1y")</f>
        <v>95.566801388699858</v>
      </c>
    </row>
    <row r="23" spans="1:10" ht="15.5" x14ac:dyDescent="0.35">
      <c r="A23" s="132" t="s">
        <v>19</v>
      </c>
      <c r="B23" s="6">
        <f>_xll.AnalizExpert.AnalizExpertIslem.HisseKapanis($A23)</f>
        <v>956</v>
      </c>
      <c r="C23" s="7">
        <f>_xll.AnalizExpert.AnalizExpertIslem.PiyasaDegeri($A23)</f>
        <v>26887500000</v>
      </c>
      <c r="D23" s="6">
        <f>_xll.AnalizExpert.AnalizExpertIslem.FiyatKazancDonemSonu($A23,"2022/06","TL")</f>
        <v>15.699809466692738</v>
      </c>
      <c r="E23" s="6">
        <f>_xll.AnalizExpert.AnalizExpertIslem.PdDd($A23)</f>
        <v>3.0672860196915268</v>
      </c>
      <c r="F23" s="88">
        <f>_xll.AnalizExpert.AnalizExpertIslem.KalemFAVOK($A23,,,1,1,1,1)</f>
        <v>135867954</v>
      </c>
      <c r="G23" s="6">
        <f>_xll.AnalizExpert.AnalizExpertIslem.HisseBasinaKar($A23)</f>
        <v>32.612507591111111</v>
      </c>
      <c r="H23" s="6">
        <f>_xll.AnalizExpert.AnalizExpertIslem.TemettuVerimi($A23,"",0)</f>
        <v>0.54933597909809395</v>
      </c>
      <c r="I23" s="6">
        <f>_xll.AnalizExpert.AnalizExpertIslem.HisseGetiri($A23,"yt")</f>
        <v>155.14564613278128</v>
      </c>
      <c r="J23" s="133">
        <f>_xll.AnalizExpert.AnalizExpertIslem.HisseGetiri($A23,"s1y")</f>
        <v>169.17865667008431</v>
      </c>
    </row>
    <row r="24" spans="1:10" ht="15.5" x14ac:dyDescent="0.35">
      <c r="A24" s="132" t="s">
        <v>20</v>
      </c>
      <c r="B24" s="6">
        <f>_xll.AnalizExpert.AnalizExpertIslem.HisseKapanis($A24)</f>
        <v>5.43</v>
      </c>
      <c r="C24" s="7">
        <f>_xll.AnalizExpert.AnalizExpertIslem.PiyasaDegeri($A24)</f>
        <v>8145000000</v>
      </c>
      <c r="D24" s="6">
        <f>_xll.AnalizExpert.AnalizExpertIslem.FiyatKazancDonemSonu($A24,"2022/06","TL")</f>
        <v>4.1124376047258488</v>
      </c>
      <c r="E24" s="6">
        <f>_xll.AnalizExpert.AnalizExpertIslem.PdDd($A24)</f>
        <v>2.4933929495046656</v>
      </c>
      <c r="F24" s="88">
        <f>_xll.AnalizExpert.AnalizExpertIslem.KalemFAVOK($A24,,,1,1,1,1)</f>
        <v>1129453737</v>
      </c>
      <c r="G24" s="6">
        <f>_xll.AnalizExpert.AnalizExpertIslem.HisseBasinaKar($A24)</f>
        <v>0.73447586266666665</v>
      </c>
      <c r="H24" s="6">
        <f>_xll.AnalizExpert.AnalizExpertIslem.TemettuVerimi($A24,"",0)</f>
        <v>0</v>
      </c>
      <c r="I24" s="6">
        <f>_xll.AnalizExpert.AnalizExpertIslem.HisseGetiri($A24,"yt")</f>
        <v>159.62830723260987</v>
      </c>
      <c r="J24" s="133">
        <f>_xll.AnalizExpert.AnalizExpertIslem.HisseGetiri($A24,"s1y")</f>
        <v>140.03371800750716</v>
      </c>
    </row>
    <row r="25" spans="1:10" ht="15.5" x14ac:dyDescent="0.35">
      <c r="A25" s="132" t="s">
        <v>21</v>
      </c>
      <c r="B25" s="6">
        <f>_xll.AnalizExpert.AnalizExpertIslem.HisseKapanis($A25)</f>
        <v>173.4</v>
      </c>
      <c r="C25" s="7">
        <f>_xll.AnalizExpert.AnalizExpertIslem.PiyasaDegeri($A25)</f>
        <v>44107893598.800003</v>
      </c>
      <c r="D25" s="6">
        <f>_xll.AnalizExpert.AnalizExpertIslem.FiyatKazancDonemSonu($A25,"2022/06","TL")</f>
        <v>10.91782837225727</v>
      </c>
      <c r="E25" s="6">
        <f>_xll.AnalizExpert.AnalizExpertIslem.PdDd($A25)</f>
        <v>2.2730114283567571</v>
      </c>
      <c r="F25" s="88">
        <f>_xll.AnalizExpert.AnalizExpertIslem.KalemFAVOK($A25,,,1,1,1,1)</f>
        <v>8279175000</v>
      </c>
      <c r="G25" s="6">
        <f>_xll.AnalizExpert.AnalizExpertIslem.HisseBasinaKar($A25)</f>
        <v>15.384188267345893</v>
      </c>
      <c r="H25" s="6">
        <f>_xll.AnalizExpert.AnalizExpertIslem.TemettuVerimi($A25,"",0)</f>
        <v>1.2953940428149231</v>
      </c>
      <c r="I25" s="6">
        <f>_xll.AnalizExpert.AnalizExpertIslem.HisseGetiri($A25,"yt")</f>
        <v>99.562373398269585</v>
      </c>
      <c r="J25" s="133">
        <f>_xll.AnalizExpert.AnalizExpertIslem.HisseGetiri($A25,"s1y")</f>
        <v>88.092050712259436</v>
      </c>
    </row>
    <row r="26" spans="1:10" ht="15.5" x14ac:dyDescent="0.35">
      <c r="A26" s="132" t="s">
        <v>22</v>
      </c>
      <c r="B26" s="6">
        <f>_xll.AnalizExpert.AnalizExpertIslem.HisseKapanis($A26)</f>
        <v>47.86</v>
      </c>
      <c r="C26" s="7">
        <f>_xll.AnalizExpert.AnalizExpertIslem.PiyasaDegeri($A26)</f>
        <v>4832696044.8000002</v>
      </c>
      <c r="D26" s="6">
        <f>_xll.AnalizExpert.AnalizExpertIslem.FiyatKazancDonemSonu($A26,"2022/06","TL")</f>
        <v>3.0796249094191057</v>
      </c>
      <c r="E26" s="6">
        <f>_xll.AnalizExpert.AnalizExpertIslem.PdDd($A26)</f>
        <v>2.8446028189117003</v>
      </c>
      <c r="F26" s="88">
        <f>_xll.AnalizExpert.AnalizExpertIslem.KalemFAVOK($A26,,,1,1,1,1)</f>
        <v>791903131</v>
      </c>
      <c r="G26" s="6">
        <f>_xll.AnalizExpert.AnalizExpertIslem.HisseBasinaKar($A26)</f>
        <v>9.896270696072559</v>
      </c>
      <c r="H26" s="6">
        <f>_xll.AnalizExpert.AnalizExpertIslem.TemettuVerimi($A26,"",0)</f>
        <v>0.52235687421646471</v>
      </c>
      <c r="I26" s="6">
        <f>_xll.AnalizExpert.AnalizExpertIslem.HisseGetiri($A26,"yt")</f>
        <v>158.53727945577032</v>
      </c>
      <c r="J26" s="133">
        <f>_xll.AnalizExpert.AnalizExpertIslem.HisseGetiri($A26,"s1y")</f>
        <v>201.43866207288511</v>
      </c>
    </row>
    <row r="27" spans="1:10" ht="15.5" x14ac:dyDescent="0.35">
      <c r="A27" s="132" t="s">
        <v>23</v>
      </c>
      <c r="B27" s="6">
        <f>_xll.AnalizExpert.AnalizExpertIslem.HisseKapanis($A27)</f>
        <v>80.7</v>
      </c>
      <c r="C27" s="7">
        <f>_xll.AnalizExpert.AnalizExpertIslem.PiyasaDegeri($A27)</f>
        <v>10901314469.4</v>
      </c>
      <c r="D27" s="6">
        <f>_xll.AnalizExpert.AnalizExpertIslem.FiyatKazancDonemSonu($A27,"2022/06","TL")</f>
        <v>3.2218314668746655</v>
      </c>
      <c r="E27" s="6">
        <f>_xll.AnalizExpert.AnalizExpertIslem.PdDd($A27)</f>
        <v>2.0360673894890735</v>
      </c>
      <c r="F27" s="88">
        <f>_xll.AnalizExpert.AnalizExpertIslem.KalemFAVOK($A27,,,1,1,1,1)</f>
        <v>994949020</v>
      </c>
      <c r="G27" s="6">
        <f>_xll.AnalizExpert.AnalizExpertIslem.HisseBasinaKar($A27)</f>
        <v>24.883925307993646</v>
      </c>
      <c r="H27" s="6">
        <f>_xll.AnalizExpert.AnalizExpertIslem.TemettuVerimi($A27,"",0)</f>
        <v>1.6511770255344911</v>
      </c>
      <c r="I27" s="6">
        <f>_xll.AnalizExpert.AnalizExpertIslem.HisseGetiri($A27,"yt")</f>
        <v>173.2248639650953</v>
      </c>
      <c r="J27" s="133">
        <f>_xll.AnalizExpert.AnalizExpertIslem.HisseGetiri($A27,"s1y")</f>
        <v>180.88537416972414</v>
      </c>
    </row>
    <row r="28" spans="1:10" ht="15.5" x14ac:dyDescent="0.35">
      <c r="A28" s="132" t="s">
        <v>24</v>
      </c>
      <c r="B28" s="6">
        <f>_xll.AnalizExpert.AnalizExpertIslem.HisseKapanis($A28)</f>
        <v>47.8</v>
      </c>
      <c r="C28" s="7">
        <f>_xll.AnalizExpert.AnalizExpertIslem.PiyasaDegeri($A28)</f>
        <v>9560921955.8839989</v>
      </c>
      <c r="D28" s="6">
        <f>_xll.AnalizExpert.AnalizExpertIslem.FiyatKazancDonemSonu($A28,"2022/06","TL")</f>
        <v>4.1785941588438096</v>
      </c>
      <c r="E28" s="6">
        <f>_xll.AnalizExpert.AnalizExpertIslem.PdDd($A28)</f>
        <v>2.690384325338306</v>
      </c>
      <c r="F28" s="88">
        <f>_xll.AnalizExpert.AnalizExpertIslem.KalemFAVOK($A28,,,1,1,1,1)</f>
        <v>916852884</v>
      </c>
      <c r="G28" s="6">
        <f>_xll.AnalizExpert.AnalizExpertIslem.HisseBasinaKar($A28)</f>
        <v>8.0569929474628381</v>
      </c>
      <c r="H28" s="6">
        <f>_xll.AnalizExpert.AnalizExpertIslem.TemettuVerimi($A28,"",0)</f>
        <v>1.3725702726397424</v>
      </c>
      <c r="I28" s="6">
        <f>_xll.AnalizExpert.AnalizExpertIslem.HisseGetiri($A28,"yt")</f>
        <v>67.108957373278272</v>
      </c>
      <c r="J28" s="133">
        <f>_xll.AnalizExpert.AnalizExpertIslem.HisseGetiri($A28,"s1y")</f>
        <v>82.058811027597315</v>
      </c>
    </row>
    <row r="29" spans="1:10" ht="15.5" x14ac:dyDescent="0.35">
      <c r="A29" s="132" t="s">
        <v>26</v>
      </c>
      <c r="B29" s="6">
        <f>_xll.AnalizExpert.AnalizExpertIslem.HisseKapanis($A29)</f>
        <v>148.1</v>
      </c>
      <c r="C29" s="7">
        <f>_xll.AnalizExpert.AnalizExpertIslem.PiyasaDegeri($A29)</f>
        <v>32582000000</v>
      </c>
      <c r="D29" s="6">
        <f>_xll.AnalizExpert.AnalizExpertIslem.FiyatKazancDonemSonu($A29,"2022/06","TL")</f>
        <v>3.9395144204479258</v>
      </c>
      <c r="E29" s="6">
        <f>_xll.AnalizExpert.AnalizExpertIslem.PdDd($A29)</f>
        <v>3.7652687414050132</v>
      </c>
      <c r="F29" s="88">
        <f>_xll.AnalizExpert.AnalizExpertIslem.KalemFAVOK($A29,,,1,1,1,1)</f>
        <v>5736536000</v>
      </c>
      <c r="G29" s="6">
        <f>_xll.AnalizExpert.AnalizExpertIslem.HisseBasinaKar($A29)</f>
        <v>29.709004545454544</v>
      </c>
      <c r="H29" s="6">
        <f>_xll.AnalizExpert.AnalizExpertIslem.TemettuVerimi($A29,"",0)</f>
        <v>3.45282671413664</v>
      </c>
      <c r="I29" s="6">
        <f>_xll.AnalizExpert.AnalizExpertIslem.HisseGetiri($A29,"yt")</f>
        <v>278.12704558763568</v>
      </c>
      <c r="J29" s="133">
        <f>_xll.AnalizExpert.AnalizExpertIslem.HisseGetiri($A29,"s1y")</f>
        <v>277.09391158329782</v>
      </c>
    </row>
    <row r="30" spans="1:10" ht="15.5" x14ac:dyDescent="0.35">
      <c r="A30" s="132" t="s">
        <v>25</v>
      </c>
      <c r="B30" s="6">
        <f>_xll.AnalizExpert.AnalizExpertIslem.HisseKapanis($A30)</f>
        <v>6.85</v>
      </c>
      <c r="C30" s="7">
        <f>_xll.AnalizExpert.AnalizExpertIslem.PiyasaDegeri($A30)</f>
        <v>17926027272.799999</v>
      </c>
      <c r="D30" s="6">
        <f>_xll.AnalizExpert.AnalizExpertIslem.FiyatKazancDonemSonu($A30,"2022/06","TL")</f>
        <v>1.9409442253290587</v>
      </c>
      <c r="E30" s="6">
        <f>_xll.AnalizExpert.AnalizExpertIslem.PdDd($A30)</f>
        <v>1.007571969554578</v>
      </c>
      <c r="F30" s="88">
        <f>_xll.AnalizExpert.AnalizExpertIslem.KalemFAVOK($A30,,,1,1,1,1)</f>
        <v>2960618000</v>
      </c>
      <c r="G30" s="6">
        <f>_xll.AnalizExpert.AnalizExpertIslem.HisseBasinaKar($A30)</f>
        <v>2.3851750836548575</v>
      </c>
      <c r="H30" s="6">
        <f>_xll.AnalizExpert.AnalizExpertIslem.TemettuVerimi($A30,"",0)</f>
        <v>1.6568088148044491</v>
      </c>
      <c r="I30" s="6">
        <f>_xll.AnalizExpert.AnalizExpertIslem.HisseGetiri($A30,"yt")</f>
        <v>157.19921065656118</v>
      </c>
      <c r="J30" s="133">
        <f>_xll.AnalizExpert.AnalizExpertIslem.HisseGetiri($A30,"s1y")</f>
        <v>129.6421523719296</v>
      </c>
    </row>
    <row r="31" spans="1:10" ht="15.5" x14ac:dyDescent="0.35">
      <c r="A31" s="132" t="s">
        <v>27</v>
      </c>
      <c r="B31" s="6">
        <f>_xll.AnalizExpert.AnalizExpertIslem.HisseKapanis($A31)</f>
        <v>22.8</v>
      </c>
      <c r="C31" s="7">
        <f>_xll.AnalizExpert.AnalizExpertIslem.PiyasaDegeri($A31)</f>
        <v>15623928000</v>
      </c>
      <c r="D31" s="6">
        <f>_xll.AnalizExpert.AnalizExpertIslem.FiyatKazancDonemSonu($A31,"2022/06","TL")</f>
        <v>8.428968907060673</v>
      </c>
      <c r="E31" s="6">
        <f>_xll.AnalizExpert.AnalizExpertIslem.PdDd($A31)</f>
        <v>2.0182894762847954</v>
      </c>
      <c r="F31" s="88">
        <f>_xll.AnalizExpert.AnalizExpertIslem.KalemFAVOK($A31,,,1,1,1,1)</f>
        <v>141339000</v>
      </c>
      <c r="G31" s="6">
        <f>_xll.AnalizExpert.AnalizExpertIslem.HisseBasinaKar($A31)</f>
        <v>1.3628651898549455</v>
      </c>
      <c r="H31" s="6">
        <f>_xll.AnalizExpert.AnalizExpertIslem.TemettuVerimi($A31,"",0)</f>
        <v>1.1526315789473685</v>
      </c>
      <c r="I31" s="6">
        <f>_xll.AnalizExpert.AnalizExpertIslem.HisseGetiri($A31,"yt")</f>
        <v>213.95534972008986</v>
      </c>
      <c r="J31" s="133">
        <f>_xll.AnalizExpert.AnalizExpertIslem.HisseGetiri($A31,"s1y")</f>
        <v>252.55255913095547</v>
      </c>
    </row>
    <row r="32" spans="1:10" ht="15.5" x14ac:dyDescent="0.35">
      <c r="A32" s="132" t="s">
        <v>28</v>
      </c>
      <c r="B32" s="6">
        <f>_xll.AnalizExpert.AnalizExpertIslem.HisseKapanis($A32)</f>
        <v>3476.3</v>
      </c>
      <c r="C32" s="7">
        <f>_xll.AnalizExpert.AnalizExpertIslem.PiyasaDegeri($A32)</f>
        <v>10950345000</v>
      </c>
      <c r="D32" s="6">
        <f>_xll.AnalizExpert.AnalizExpertIslem.FiyatKazancDonemSonu($A32,"2022/06","TL")</f>
        <v>8.0635998679571763</v>
      </c>
      <c r="E32" s="6">
        <f>_xll.AnalizExpert.AnalizExpertIslem.PdDd($A32)</f>
        <v>7.1329614872425511</v>
      </c>
      <c r="F32" s="88">
        <f>_xll.AnalizExpert.AnalizExpertIslem.KalemFAVOK($A32,,,1,1,1,1)</f>
        <v>539491099</v>
      </c>
      <c r="G32" s="6">
        <f>_xll.AnalizExpert.AnalizExpertIslem.HisseBasinaKar($A32)</f>
        <v>319.19400063492066</v>
      </c>
      <c r="H32" s="6">
        <f>_xll.AnalizExpert.AnalizExpertIslem.TemettuVerimi($A32,"",0)</f>
        <v>1.8640508586715758</v>
      </c>
      <c r="I32" s="6">
        <f>_xll.AnalizExpert.AnalizExpertIslem.HisseGetiri($A32,"yt")</f>
        <v>105.93656217371614</v>
      </c>
      <c r="J32" s="133">
        <f>_xll.AnalizExpert.AnalizExpertIslem.HisseGetiri($A32,"s1y")</f>
        <v>134.29748660457741</v>
      </c>
    </row>
    <row r="33" spans="1:10" ht="15.5" x14ac:dyDescent="0.35">
      <c r="A33" s="132" t="s">
        <v>29</v>
      </c>
      <c r="B33" s="6">
        <f>_xll.AnalizExpert.AnalizExpertIslem.HisseKapanis($A33)</f>
        <v>5.78</v>
      </c>
      <c r="C33" s="7">
        <f>_xll.AnalizExpert.AnalizExpertIslem.PiyasaDegeri($A33)</f>
        <v>21964000000</v>
      </c>
      <c r="D33" s="6">
        <f>_xll.AnalizExpert.AnalizExpertIslem.FiyatKazancDonemSonu($A33,"2022/06","TL")</f>
        <v>4.725003567773328</v>
      </c>
      <c r="E33" s="6">
        <f>_xll.AnalizExpert.AnalizExpertIslem.PdDd($A33)</f>
        <v>1.2486848132262807</v>
      </c>
      <c r="F33" s="88">
        <f>_xll.AnalizExpert.AnalizExpertIslem.KalemFAVOK($A33,,,1,1,1,1)</f>
        <v>2436084000</v>
      </c>
      <c r="G33" s="6">
        <f>_xll.AnalizExpert.AnalizExpertIslem.HisseBasinaKar($A33)</f>
        <v>0.63305868421052636</v>
      </c>
      <c r="H33" s="6">
        <f>_xll.AnalizExpert.AnalizExpertIslem.TemettuVerimi($A33,"",0)</f>
        <v>1.7768166089965398</v>
      </c>
      <c r="I33" s="6">
        <f>_xll.AnalizExpert.AnalizExpertIslem.HisseGetiri($A33,"yt")</f>
        <v>179.97433926437446</v>
      </c>
      <c r="J33" s="133">
        <f>_xll.AnalizExpert.AnalizExpertIslem.HisseGetiri($A33,"s1y")</f>
        <v>174.83719542466116</v>
      </c>
    </row>
    <row r="34" spans="1:10" ht="15.5" x14ac:dyDescent="0.35">
      <c r="A34" s="132" t="s">
        <v>30</v>
      </c>
      <c r="B34" s="6">
        <f>_xll.AnalizExpert.AnalizExpertIslem.HisseKapanis($A34)</f>
        <v>26.2</v>
      </c>
      <c r="C34" s="7">
        <f>_xll.AnalizExpert.AnalizExpertIslem.PiyasaDegeri($A34)</f>
        <v>30944006938.543995</v>
      </c>
      <c r="D34" s="6">
        <f>_xll.AnalizExpert.AnalizExpertIslem.FiyatKazancDonemSonu($A34,"2022/06","TL")</f>
        <v>6.4559261555656482</v>
      </c>
      <c r="E34" s="6">
        <f>_xll.AnalizExpert.AnalizExpertIslem.PdDd($A34)</f>
        <v>3.1051192550107714</v>
      </c>
      <c r="F34" s="88">
        <f>_xll.AnalizExpert.AnalizExpertIslem.KalemFAVOK($A34,,,1,1,1,1)</f>
        <v>6169548000</v>
      </c>
      <c r="G34" s="6">
        <f>_xll.AnalizExpert.AnalizExpertIslem.HisseBasinaKar($A34)</f>
        <v>2.6707559743033276</v>
      </c>
      <c r="H34" s="6">
        <f>_xll.AnalizExpert.AnalizExpertIslem.TemettuVerimi($A34,"",0)</f>
        <v>4.2595419847460096</v>
      </c>
      <c r="I34" s="6">
        <f>_xll.AnalizExpert.AnalizExpertIslem.HisseGetiri($A34,"yt")</f>
        <v>119.22041127668273</v>
      </c>
      <c r="J34" s="133">
        <f>_xll.AnalizExpert.AnalizExpertIslem.HisseGetiri($A34,"s1y")</f>
        <v>120.59053884716198</v>
      </c>
    </row>
    <row r="35" spans="1:10" ht="15.5" x14ac:dyDescent="0.35">
      <c r="A35" s="132" t="s">
        <v>31</v>
      </c>
      <c r="B35" s="6">
        <f>_xll.AnalizExpert.AnalizExpertIslem.HisseKapanis($A35)</f>
        <v>21.18</v>
      </c>
      <c r="C35" s="7">
        <f>_xll.AnalizExpert.AnalizExpertIslem.PiyasaDegeri($A35)</f>
        <v>127080000000</v>
      </c>
      <c r="D35" s="6">
        <f>_xll.AnalizExpert.AnalizExpertIslem.FiyatKazancDonemSonu($A35,"2022/06","TL")</f>
        <v>0</v>
      </c>
      <c r="E35" s="6">
        <f>_xll.AnalizExpert.AnalizExpertIslem.PdDd($A35)</f>
        <v>1.0969548101144724</v>
      </c>
      <c r="F35" s="88">
        <f>_xll.AnalizExpert.AnalizExpertIslem.KalemFAVOK($A35,,,1,1,1,1)</f>
        <v>10324484000</v>
      </c>
      <c r="G35" s="6">
        <f>_xll.AnalizExpert.AnalizExpertIslem.HisseBasinaKar($A35)</f>
        <v>0</v>
      </c>
      <c r="H35" s="6">
        <f>_xll.AnalizExpert.AnalizExpertIslem.TemettuVerimi($A35,"",0)</f>
        <v>2.7762039660056659</v>
      </c>
      <c r="I35" s="6">
        <f>_xll.AnalizExpert.AnalizExpertIslem.HisseGetiri($A35,"yt")</f>
        <v>57.471162188729672</v>
      </c>
      <c r="J35" s="133">
        <f>_xll.AnalizExpert.AnalizExpertIslem.HisseGetiri($A35,"s1y")</f>
        <v>85.855462583249917</v>
      </c>
    </row>
    <row r="36" spans="1:10" ht="15.5" x14ac:dyDescent="0.35">
      <c r="A36" s="132" t="s">
        <v>32</v>
      </c>
      <c r="B36" s="6">
        <f>_xll.AnalizExpert.AnalizExpertIslem.HisseKapanis($A36)</f>
        <v>155.6</v>
      </c>
      <c r="C36" s="7">
        <f>_xll.AnalizExpert.AnalizExpertIslem.PiyasaDegeri($A36)</f>
        <v>3112000000</v>
      </c>
      <c r="D36" s="6">
        <f>_xll.AnalizExpert.AnalizExpertIslem.FiyatKazancDonemSonu($A36,"2022/06","TL")</f>
        <v>5.692806223635297</v>
      </c>
      <c r="E36" s="6">
        <f>_xll.AnalizExpert.AnalizExpertIslem.PdDd($A36)</f>
        <v>3.3433661714310898</v>
      </c>
      <c r="F36" s="88">
        <f>_xll.AnalizExpert.AnalizExpertIslem.KalemFAVOK($A36,,,1,1,1,1)</f>
        <v>337049153</v>
      </c>
      <c r="G36" s="6">
        <f>_xll.AnalizExpert.AnalizExpertIslem.HisseBasinaKar($A36)</f>
        <v>18.035943100000001</v>
      </c>
      <c r="H36" s="6">
        <f>_xll.AnalizExpert.AnalizExpertIslem.TemettuVerimi($A36,"",0)</f>
        <v>1.0122107904884319</v>
      </c>
      <c r="I36" s="6">
        <f>_xll.AnalizExpert.AnalizExpertIslem.HisseGetiri($A36,"yt")</f>
        <v>40.899407395298404</v>
      </c>
      <c r="J36" s="133">
        <f>_xll.AnalizExpert.AnalizExpertIslem.HisseGetiri($A36,"s1y")</f>
        <v>32.499862537980029</v>
      </c>
    </row>
    <row r="37" spans="1:10" ht="15.5" x14ac:dyDescent="0.35">
      <c r="A37" s="132" t="s">
        <v>33</v>
      </c>
      <c r="B37" s="6">
        <f>_xll.AnalizExpert.AnalizExpertIslem.HisseKapanis($A37)</f>
        <v>37.700000000000003</v>
      </c>
      <c r="C37" s="7">
        <f>_xll.AnalizExpert.AnalizExpertIslem.PiyasaDegeri($A37)</f>
        <v>131950000000.00002</v>
      </c>
      <c r="D37" s="6">
        <f>_xll.AnalizExpert.AnalizExpertIslem.FiyatKazancDonemSonu($A37,"2022/06","TL")</f>
        <v>4.3194142003095024</v>
      </c>
      <c r="E37" s="6">
        <f>_xll.AnalizExpert.AnalizExpertIslem.PdDd($A37)</f>
        <v>1.1842963045988197</v>
      </c>
      <c r="F37" s="88">
        <f>_xll.AnalizExpert.AnalizExpertIslem.KalemFAVOK($A37,,,1,1,1,1)</f>
        <v>25980120000</v>
      </c>
      <c r="G37" s="6">
        <f>_xll.AnalizExpert.AnalizExpertIslem.HisseBasinaKar($A37)</f>
        <v>5.5867545714285711</v>
      </c>
      <c r="H37" s="6">
        <f>_xll.AnalizExpert.AnalizExpertIslem.TemettuVerimi($A37,"",0)</f>
        <v>10.623342175278513</v>
      </c>
      <c r="I37" s="6">
        <f>_xll.AnalizExpert.AnalizExpertIslem.HisseGetiri($A37,"yt")</f>
        <v>52.594661268650931</v>
      </c>
      <c r="J37" s="133">
        <f>_xll.AnalizExpert.AnalizExpertIslem.HisseGetiri($A37,"s1y")</f>
        <v>102.31005938442608</v>
      </c>
    </row>
    <row r="38" spans="1:10" ht="15.5" x14ac:dyDescent="0.35">
      <c r="A38" s="132" t="s">
        <v>34</v>
      </c>
      <c r="B38" s="6">
        <f>_xll.AnalizExpert.AnalizExpertIslem.HisseKapanis($A38)</f>
        <v>434.6</v>
      </c>
      <c r="C38" s="7">
        <f>_xll.AnalizExpert.AnalizExpertIslem.PiyasaDegeri($A38)</f>
        <v>152505486000</v>
      </c>
      <c r="D38" s="6">
        <f>_xll.AnalizExpert.AnalizExpertIslem.FiyatKazancDonemSonu($A38,"2022/06","TL")</f>
        <v>7.5023944202980539</v>
      </c>
      <c r="E38" s="6">
        <f>_xll.AnalizExpert.AnalizExpertIslem.PdDd($A38)</f>
        <v>9.7515082802673216</v>
      </c>
      <c r="F38" s="88">
        <f>_xll.AnalizExpert.AnalizExpertIslem.KalemFAVOK($A38,,,1,1,1,1)</f>
        <v>11972963000</v>
      </c>
      <c r="G38" s="6">
        <f>_xll.AnalizExpert.AnalizExpertIslem.HisseBasinaKar($A38)</f>
        <v>41.071542560770567</v>
      </c>
      <c r="H38" s="6">
        <f>_xll.AnalizExpert.AnalizExpertIslem.TemettuVerimi($A38,"",0)</f>
        <v>4.1325327281013351</v>
      </c>
      <c r="I38" s="6">
        <f>_xll.AnalizExpert.AnalizExpertIslem.HisseGetiri($A38,"yt")</f>
        <v>90.359598748553793</v>
      </c>
      <c r="J38" s="133">
        <f>_xll.AnalizExpert.AnalizExpertIslem.HisseGetiri($A38,"s1y")</f>
        <v>103.24941911224505</v>
      </c>
    </row>
    <row r="39" spans="1:10" ht="15.5" x14ac:dyDescent="0.35">
      <c r="A39" s="132" t="s">
        <v>36</v>
      </c>
      <c r="B39" s="6">
        <f>_xll.AnalizExpert.AnalizExpertIslem.HisseKapanis($A39)</f>
        <v>26.16</v>
      </c>
      <c r="C39" s="7">
        <f>_xll.AnalizExpert.AnalizExpertIslem.PiyasaDegeri($A39)</f>
        <v>109872000000</v>
      </c>
      <c r="D39" s="6">
        <f>_xll.AnalizExpert.AnalizExpertIslem.FiyatKazancDonemSonu($A39,"2022/06","TL")</f>
        <v>2.053280194244949</v>
      </c>
      <c r="E39" s="6">
        <f>_xll.AnalizExpert.AnalizExpertIslem.PdDd($A39)</f>
        <v>0.83681212964482832</v>
      </c>
      <c r="F39" s="88">
        <f>_xll.AnalizExpert.AnalizExpertIslem.KalemFAVOK($A39,,,1,1,1,1)</f>
        <v>0</v>
      </c>
      <c r="G39" s="6">
        <f>_xll.AnalizExpert.AnalizExpertIslem.HisseBasinaKar($A39)</f>
        <v>10.033028333333334</v>
      </c>
      <c r="H39" s="6">
        <f>_xll.AnalizExpert.AnalizExpertIslem.TemettuVerimi($A39,"",0)</f>
        <v>1.0708805701179553</v>
      </c>
      <c r="I39" s="6">
        <f>_xll.AnalizExpert.AnalizExpertIslem.HisseGetiri($A39,"yt")</f>
        <v>136.99968914788911</v>
      </c>
      <c r="J39" s="133">
        <f>_xll.AnalizExpert.AnalizExpertIslem.HisseGetiri($A39,"s1y")</f>
        <v>121.65863043126221</v>
      </c>
    </row>
    <row r="40" spans="1:10" ht="15.5" x14ac:dyDescent="0.35">
      <c r="A40" s="132" t="s">
        <v>37</v>
      </c>
      <c r="B40" s="6">
        <f>_xll.AnalizExpert.AnalizExpertIslem.HisseKapanis($A40)</f>
        <v>35.799999999999997</v>
      </c>
      <c r="C40" s="7">
        <f>_xll.AnalizExpert.AnalizExpertIslem.PiyasaDegeri($A40)</f>
        <v>10740000000</v>
      </c>
      <c r="D40" s="6">
        <f>_xll.AnalizExpert.AnalizExpertIslem.FiyatKazancDonemSonu($A40,"2022/06","TL")</f>
        <v>9.6668247331329162</v>
      </c>
      <c r="E40" s="6">
        <f>_xll.AnalizExpert.AnalizExpertIslem.PdDd($A40)</f>
        <v>5.90402613347573</v>
      </c>
      <c r="F40" s="88">
        <f>_xll.AnalizExpert.AnalizExpertIslem.KalemFAVOK($A40,,,1,1,1,1)</f>
        <v>587482176</v>
      </c>
      <c r="G40" s="6">
        <f>_xll.AnalizExpert.AnalizExpertIslem.HisseBasinaKar($A40)</f>
        <v>2.58888718</v>
      </c>
      <c r="H40" s="6">
        <f>_xll.AnalizExpert.AnalizExpertIslem.TemettuVerimi($A40,"",0)</f>
        <v>0.92178770949720679</v>
      </c>
      <c r="I40" s="6">
        <f>_xll.AnalizExpert.AnalizExpertIslem.HisseGetiri($A40,"yt")</f>
        <v>138.61553493022129</v>
      </c>
      <c r="J40" s="133">
        <f>_xll.AnalizExpert.AnalizExpertIslem.HisseGetiri($A40,"s1y")</f>
        <v>180.88561818856576</v>
      </c>
    </row>
    <row r="41" spans="1:10" ht="15.5" x14ac:dyDescent="0.35">
      <c r="A41" s="132" t="s">
        <v>38</v>
      </c>
      <c r="B41" s="6">
        <f>_xll.AnalizExpert.AnalizExpertIslem.HisseKapanis($A41)</f>
        <v>9.07</v>
      </c>
      <c r="C41" s="7">
        <f>_xll.AnalizExpert.AnalizExpertIslem.PiyasaDegeri($A41)</f>
        <v>5895500000</v>
      </c>
      <c r="D41" s="6">
        <f>_xll.AnalizExpert.AnalizExpertIslem.FiyatKazancDonemSonu($A41,"2022/06","TL")</f>
        <v>6.0330545489764988</v>
      </c>
      <c r="E41" s="6">
        <f>_xll.AnalizExpert.AnalizExpertIslem.PdDd($A41)</f>
        <v>2.2906756990571946</v>
      </c>
      <c r="F41" s="88">
        <f>_xll.AnalizExpert.AnalizExpertIslem.KalemFAVOK($A41,,,1,1,1,1)</f>
        <v>1595238039</v>
      </c>
      <c r="G41" s="6">
        <f>_xll.AnalizExpert.AnalizExpertIslem.HisseBasinaKar($A41)</f>
        <v>0.84583463076923082</v>
      </c>
      <c r="H41" s="6">
        <f>_xll.AnalizExpert.AnalizExpertIslem.TemettuVerimi($A41,"",0)</f>
        <v>0</v>
      </c>
      <c r="I41" s="6">
        <f>_xll.AnalizExpert.AnalizExpertIslem.HisseGetiri($A41,"yt")</f>
        <v>358.08080808080814</v>
      </c>
      <c r="J41" s="133">
        <f>_xll.AnalizExpert.AnalizExpertIslem.HisseGetiri($A41,"s1y")</f>
        <v>329.85781990521332</v>
      </c>
    </row>
    <row r="42" spans="1:10" ht="15.5" x14ac:dyDescent="0.35">
      <c r="A42" s="132" t="s">
        <v>39</v>
      </c>
      <c r="B42" s="6">
        <f>_xll.AnalizExpert.AnalizExpertIslem.HisseKapanis($A42)</f>
        <v>13.93</v>
      </c>
      <c r="C42" s="7">
        <f>_xll.AnalizExpert.AnalizExpertIslem.PiyasaDegeri($A42)</f>
        <v>5363050000</v>
      </c>
      <c r="D42" s="6">
        <f>_xll.AnalizExpert.AnalizExpertIslem.FiyatKazancDonemSonu($A42,"2022/06","TL")</f>
        <v>0.44063654817579595</v>
      </c>
      <c r="E42" s="6">
        <f>_xll.AnalizExpert.AnalizExpertIslem.PdDd($A42)</f>
        <v>0.43032443579801788</v>
      </c>
      <c r="F42" s="88">
        <f>_xll.AnalizExpert.AnalizExpertIslem.KalemFAVOK($A42,,,1,1,1,1)</f>
        <v>-58914597</v>
      </c>
      <c r="G42" s="6">
        <f>_xll.AnalizExpert.AnalizExpertIslem.HisseBasinaKar($A42)</f>
        <v>15.243640898701299</v>
      </c>
      <c r="H42" s="6">
        <f>_xll.AnalizExpert.AnalizExpertIslem.TemettuVerimi($A42,"",0)</f>
        <v>0</v>
      </c>
      <c r="I42" s="6">
        <f>_xll.AnalizExpert.AnalizExpertIslem.HisseGetiri($A42,"yt")</f>
        <v>53.922651933701651</v>
      </c>
      <c r="J42" s="133">
        <f>_xll.AnalizExpert.AnalizExpertIslem.HisseGetiri($A42,"s1y")</f>
        <v>56.341189674522994</v>
      </c>
    </row>
    <row r="43" spans="1:10" ht="15.5" x14ac:dyDescent="0.35">
      <c r="A43" s="132" t="s">
        <v>40</v>
      </c>
      <c r="B43" s="6">
        <f>_xll.AnalizExpert.AnalizExpertIslem.HisseKapanis($A43)</f>
        <v>3.01</v>
      </c>
      <c r="C43" s="7">
        <f>_xll.AnalizExpert.AnalizExpertIslem.PiyasaDegeri($A43)</f>
        <v>3010000000</v>
      </c>
      <c r="D43" s="6">
        <f>_xll.AnalizExpert.AnalizExpertIslem.FiyatKazancDonemSonu($A43,"2022/06","TL")</f>
        <v>1.725871884907783</v>
      </c>
      <c r="E43" s="6">
        <f>_xll.AnalizExpert.AnalizExpertIslem.PdDd($A43)</f>
        <v>0.73531728941038055</v>
      </c>
      <c r="F43" s="88">
        <f>_xll.AnalizExpert.AnalizExpertIslem.KalemFAVOK($A43,,,1,1,1,1)</f>
        <v>722871000</v>
      </c>
      <c r="G43" s="6">
        <f>_xll.AnalizExpert.AnalizExpertIslem.HisseBasinaKar($A43)</f>
        <v>1.096484</v>
      </c>
      <c r="H43" s="6">
        <f>_xll.AnalizExpert.AnalizExpertIslem.TemettuVerimi($A43,"",0)</f>
        <v>3.3637873750830565</v>
      </c>
      <c r="I43" s="6">
        <f>_xll.AnalizExpert.AnalizExpertIslem.HisseGetiri($A43,"yt")</f>
        <v>135.68449438339925</v>
      </c>
      <c r="J43" s="133">
        <f>_xll.AnalizExpert.AnalizExpertIslem.HisseGetiri($A43,"s1y")</f>
        <v>160.03565985474677</v>
      </c>
    </row>
    <row r="44" spans="1:10" ht="15.5" x14ac:dyDescent="0.35">
      <c r="A44" s="132" t="s">
        <v>41</v>
      </c>
      <c r="B44" s="6">
        <f>_xll.AnalizExpert.AnalizExpertIslem.HisseKapanis($A44)</f>
        <v>169.4</v>
      </c>
      <c r="C44" s="7">
        <f>_xll.AnalizExpert.AnalizExpertIslem.PiyasaDegeri($A44)</f>
        <v>56579600000</v>
      </c>
      <c r="D44" s="6">
        <f>_xll.AnalizExpert.AnalizExpertIslem.FiyatKazancDonemSonu($A44,"2022/06","TL")</f>
        <v>30.685947050879296</v>
      </c>
      <c r="E44" s="6">
        <f>_xll.AnalizExpert.AnalizExpertIslem.PdDd($A44)</f>
        <v>12.720984865844782</v>
      </c>
      <c r="F44" s="88">
        <f>_xll.AnalizExpert.AnalizExpertIslem.KalemFAVOK($A44,,,1,1,1,1)</f>
        <v>3135750571</v>
      </c>
      <c r="G44" s="6">
        <f>_xll.AnalizExpert.AnalizExpertIslem.HisseBasinaKar($A44)</f>
        <v>3.2367609461077844</v>
      </c>
      <c r="H44" s="6">
        <f>_xll.AnalizExpert.AnalizExpertIslem.TemettuVerimi($A44,"",0)</f>
        <v>0</v>
      </c>
      <c r="I44" s="6">
        <f>_xll.AnalizExpert.AnalizExpertIslem.HisseGetiri($A44,"yt")</f>
        <v>120.42940793754067</v>
      </c>
      <c r="J44" s="133">
        <f>_xll.AnalizExpert.AnalizExpertIslem.HisseGetiri($A44,"s1y")</f>
        <v>134.95145631067965</v>
      </c>
    </row>
    <row r="45" spans="1:10" ht="15.5" x14ac:dyDescent="0.35">
      <c r="A45" s="132" t="s">
        <v>35</v>
      </c>
      <c r="B45" s="6">
        <f>_xll.AnalizExpert.AnalizExpertIslem.HisseKapanis($A45)</f>
        <v>25.7</v>
      </c>
      <c r="C45" s="7">
        <f>_xll.AnalizExpert.AnalizExpertIslem.PiyasaDegeri($A45)</f>
        <v>13744140461.605</v>
      </c>
      <c r="D45" s="6">
        <f>_xll.AnalizExpert.AnalizExpertIslem.FiyatKazancDonemSonu($A45,"2022/06","TL")</f>
        <v>6.2417228596060399</v>
      </c>
      <c r="E45" s="6">
        <f>_xll.AnalizExpert.AnalizExpertIslem.PdDd($A45)</f>
        <v>8.2896903169785894</v>
      </c>
      <c r="F45" s="88">
        <f>_xll.AnalizExpert.AnalizExpertIslem.KalemFAVOK($A45,,,1,1,1,1)</f>
        <v>734007899</v>
      </c>
      <c r="G45" s="6">
        <f>_xll.AnalizExpert.AnalizExpertIslem.HisseBasinaKar($A45)</f>
        <v>1.6612478271510402</v>
      </c>
      <c r="H45" s="6">
        <f>_xll.AnalizExpert.AnalizExpertIslem.TemettuVerimi($A45,"",0)</f>
        <v>0.98223641010603524</v>
      </c>
      <c r="I45" s="6">
        <f>_xll.AnalizExpert.AnalizExpertIslem.HisseGetiri($A45,"yt")</f>
        <v>358.03653616836851</v>
      </c>
      <c r="J45" s="133">
        <f>_xll.AnalizExpert.AnalizExpertIslem.HisseGetiri($A45,"s1y")</f>
        <v>443.68564455757564</v>
      </c>
    </row>
    <row r="46" spans="1:10" ht="15.5" x14ac:dyDescent="0.35">
      <c r="A46" s="132" t="s">
        <v>79</v>
      </c>
      <c r="B46" s="6">
        <f>_xll.AnalizExpert.AnalizExpertIslem.HisseKapanis($A46)</f>
        <v>9.59</v>
      </c>
      <c r="C46" s="7">
        <f>_xll.AnalizExpert.AnalizExpertIslem.PiyasaDegeri($A46)</f>
        <v>47653867803.519455</v>
      </c>
      <c r="D46" s="6">
        <f>_xll.AnalizExpert.AnalizExpertIslem.FiyatKazancDonemSonu($A46,"2022/06","TL")</f>
        <v>4.0682581085811442</v>
      </c>
      <c r="E46" s="6">
        <f>_xll.AnalizExpert.AnalizExpertIslem.PdDd($A46)</f>
        <v>0.63435404489176128</v>
      </c>
      <c r="F46" s="88">
        <f>_xll.AnalizExpert.AnalizExpertIslem.KalemFAVOK($A46,,,1,1,1,1)</f>
        <v>0</v>
      </c>
      <c r="G46" s="6">
        <f>_xll.AnalizExpert.AnalizExpertIslem.HisseBasinaKar($A46)</f>
        <v>2.0521322691623705</v>
      </c>
      <c r="H46" s="6">
        <f>_xll.AnalizExpert.AnalizExpertIslem.TemettuVerimi($A46,"",0)</f>
        <v>0</v>
      </c>
      <c r="I46" s="6">
        <f>_xll.AnalizExpert.AnalizExpertIslem.HisseGetiri($A46,"yt")</f>
        <v>112.63858093126386</v>
      </c>
      <c r="J46" s="133">
        <f>_xll.AnalizExpert.AnalizExpertIslem.HisseGetiri($A46,"s1y")</f>
        <v>102.32067510548521</v>
      </c>
    </row>
    <row r="47" spans="1:10" ht="15.5" x14ac:dyDescent="0.35">
      <c r="A47" s="132" t="s">
        <v>42</v>
      </c>
      <c r="B47" s="6">
        <f>_xll.AnalizExpert.AnalizExpertIslem.HisseKapanis($A47)</f>
        <v>37.4</v>
      </c>
      <c r="C47" s="7">
        <f>_xll.AnalizExpert.AnalizExpertIslem.PiyasaDegeri($A47)</f>
        <v>94622000000</v>
      </c>
      <c r="D47" s="6">
        <f>_xll.AnalizExpert.AnalizExpertIslem.FiyatKazancDonemSonu($A47,"2022/06","TL")</f>
        <v>39.148101509464738</v>
      </c>
      <c r="E47" s="6">
        <f>_xll.AnalizExpert.AnalizExpertIslem.PdDd($A47)</f>
        <v>47.210118515334145</v>
      </c>
      <c r="F47" s="88">
        <f>_xll.AnalizExpert.AnalizExpertIslem.KalemFAVOK($A47,,,1,1,1,1)</f>
        <v>1431280733</v>
      </c>
      <c r="G47" s="6">
        <f>_xll.AnalizExpert.AnalizExpertIslem.HisseBasinaKar($A47)</f>
        <v>0.29950070039525689</v>
      </c>
      <c r="H47" s="6">
        <f>_xll.AnalizExpert.AnalizExpertIslem.TemettuVerimi($A47,"",0)</f>
        <v>0</v>
      </c>
      <c r="I47" s="6">
        <f>_xll.AnalizExpert.AnalizExpertIslem.HisseGetiri($A47,"yt")</f>
        <v>622.97181716779596</v>
      </c>
      <c r="J47" s="133">
        <f>_xll.AnalizExpert.AnalizExpertIslem.HisseGetiri($A47,"s1y")</f>
        <v>1011.7467343624743</v>
      </c>
    </row>
    <row r="48" spans="1:10" ht="15.5" x14ac:dyDescent="0.35">
      <c r="A48" s="132" t="s">
        <v>44</v>
      </c>
      <c r="B48" s="6">
        <f>_xll.AnalizExpert.AnalizExpertIslem.HisseKapanis($A48)</f>
        <v>17.86</v>
      </c>
      <c r="C48" s="7">
        <f>_xll.AnalizExpert.AnalizExpertIslem.PiyasaDegeri($A48)</f>
        <v>4000640000</v>
      </c>
      <c r="D48" s="6">
        <f>_xll.AnalizExpert.AnalizExpertIslem.FiyatKazancDonemSonu($A48,"2022/06","TL")</f>
        <v>3.1090255795302779</v>
      </c>
      <c r="E48" s="6">
        <f>_xll.AnalizExpert.AnalizExpertIslem.PdDd($A48)</f>
        <v>3.3816452504450796</v>
      </c>
      <c r="F48" s="88">
        <f>_xll.AnalizExpert.AnalizExpertIslem.KalemFAVOK($A48,,,1,1,1,1)</f>
        <v>622190395</v>
      </c>
      <c r="G48" s="6">
        <f>_xll.AnalizExpert.AnalizExpertIslem.HisseBasinaKar($A48)</f>
        <v>3.0002438035714287</v>
      </c>
      <c r="H48" s="6">
        <f>_xll.AnalizExpert.AnalizExpertIslem.TemettuVerimi($A48,"",0)</f>
        <v>3.0006249460086387</v>
      </c>
      <c r="I48" s="6">
        <f>_xll.AnalizExpert.AnalizExpertIslem.HisseGetiri($A48,"yt")</f>
        <v>185.68396501049759</v>
      </c>
      <c r="J48" s="133">
        <f>_xll.AnalizExpert.AnalizExpertIslem.HisseGetiri($A48,"s1y")</f>
        <v>169.83521019483698</v>
      </c>
    </row>
    <row r="49" spans="1:10" ht="15.5" x14ac:dyDescent="0.35">
      <c r="A49" s="132" t="s">
        <v>43</v>
      </c>
      <c r="B49" s="6">
        <f>_xll.AnalizExpert.AnalizExpertIslem.HisseKapanis($A49)</f>
        <v>71.599999999999994</v>
      </c>
      <c r="C49" s="7">
        <f>_xll.AnalizExpert.AnalizExpertIslem.PiyasaDegeri($A49)</f>
        <v>13424999999.999998</v>
      </c>
      <c r="D49" s="6">
        <f>_xll.AnalizExpert.AnalizExpertIslem.FiyatKazancDonemSonu($A49,"2022/06","TL")</f>
        <v>7.7751114067554958</v>
      </c>
      <c r="E49" s="6">
        <f>_xll.AnalizExpert.AnalizExpertIslem.PdDd($A49)</f>
        <v>3.0930769311455957</v>
      </c>
      <c r="F49" s="88">
        <f>_xll.AnalizExpert.AnalizExpertIslem.KalemFAVOK($A49,,,1,1,1,1)</f>
        <v>961755354</v>
      </c>
      <c r="G49" s="6">
        <f>_xll.AnalizExpert.AnalizExpertIslem.HisseBasinaKar($A49)</f>
        <v>7.0356723306666664</v>
      </c>
      <c r="H49" s="6">
        <f>_xll.AnalizExpert.AnalizExpertIslem.TemettuVerimi($A49,"",0)</f>
        <v>0</v>
      </c>
      <c r="I49" s="6">
        <f>_xll.AnalizExpert.AnalizExpertIslem.HisseGetiri($A49,"yt")</f>
        <v>0</v>
      </c>
      <c r="J49" s="133">
        <f>_xll.AnalizExpert.AnalizExpertIslem.HisseGetiri($A49,"s1y")</f>
        <v>0</v>
      </c>
    </row>
    <row r="50" spans="1:10" ht="15.5" x14ac:dyDescent="0.35">
      <c r="A50" s="132" t="s">
        <v>45</v>
      </c>
      <c r="B50" s="6">
        <f>_xll.AnalizExpert.AnalizExpertIslem.HisseKapanis($A50)</f>
        <v>31.54</v>
      </c>
      <c r="C50" s="7">
        <f>_xll.AnalizExpert.AnalizExpertIslem.PiyasaDegeri($A50)</f>
        <v>8193636606.5559998</v>
      </c>
      <c r="D50" s="6">
        <f>_xll.AnalizExpert.AnalizExpertIslem.FiyatKazancDonemSonu($A50,"2022/06","TL")</f>
        <v>7.0220103957607396</v>
      </c>
      <c r="E50" s="6">
        <f>_xll.AnalizExpert.AnalizExpertIslem.PdDd($A50)</f>
        <v>2.9743148523252882</v>
      </c>
      <c r="F50" s="88">
        <f>_xll.AnalizExpert.AnalizExpertIslem.KalemFAVOK($A50,,,1,1,1,1)</f>
        <v>2597759000</v>
      </c>
      <c r="G50" s="6">
        <f>_xll.AnalizExpert.AnalizExpertIslem.HisseBasinaKar($A50)</f>
        <v>3.0645583061260924</v>
      </c>
      <c r="H50" s="6">
        <f>_xll.AnalizExpert.AnalizExpertIslem.TemettuVerimi($A50,"",0)</f>
        <v>0</v>
      </c>
      <c r="I50" s="6">
        <f>_xll.AnalizExpert.AnalizExpertIslem.HisseGetiri($A50,"yt")</f>
        <v>131.40132061628756</v>
      </c>
      <c r="J50" s="133">
        <f>_xll.AnalizExpert.AnalizExpertIslem.HisseGetiri($A50,"s1y")</f>
        <v>125.28571428571426</v>
      </c>
    </row>
    <row r="51" spans="1:10" ht="15.5" x14ac:dyDescent="0.35">
      <c r="A51" s="132" t="s">
        <v>47</v>
      </c>
      <c r="B51" s="6">
        <f>_xll.AnalizExpert.AnalizExpertIslem.HisseKapanis($A51)</f>
        <v>9.75</v>
      </c>
      <c r="C51" s="7">
        <f>_xll.AnalizExpert.AnalizExpertIslem.PiyasaDegeri($A51)</f>
        <v>97499707500</v>
      </c>
      <c r="D51" s="6">
        <f>_xll.AnalizExpert.AnalizExpertIslem.FiyatKazancDonemSonu($A51,"2022/06","TL")</f>
        <v>1.3523369295441012</v>
      </c>
      <c r="E51" s="6">
        <f>_xll.AnalizExpert.AnalizExpertIslem.PdDd($A51)</f>
        <v>0.66477332759723795</v>
      </c>
      <c r="F51" s="88">
        <f>_xll.AnalizExpert.AnalizExpertIslem.KalemFAVOK($A51,,,1,1,1,1)</f>
        <v>0</v>
      </c>
      <c r="G51" s="6">
        <f>_xll.AnalizExpert.AnalizExpertIslem.HisseBasinaKar($A51)</f>
        <v>4.4425938458994256</v>
      </c>
      <c r="H51" s="6">
        <f>_xll.AnalizExpert.AnalizExpertIslem.TemettuVerimi($A51,"",0)</f>
        <v>1.2431615030024579</v>
      </c>
      <c r="I51" s="6">
        <f>_xll.AnalizExpert.AnalizExpertIslem.HisseGetiri($A51,"yt")</f>
        <v>212.25747235720135</v>
      </c>
      <c r="J51" s="133">
        <f>_xll.AnalizExpert.AnalizExpertIslem.HisseGetiri($A51,"s1y")</f>
        <v>214.44414933449272</v>
      </c>
    </row>
    <row r="52" spans="1:10" ht="15.5" x14ac:dyDescent="0.35">
      <c r="A52" s="132" t="s">
        <v>46</v>
      </c>
      <c r="B52" s="6">
        <f>_xll.AnalizExpert.AnalizExpertIslem.HisseKapanis($A52)</f>
        <v>29.56</v>
      </c>
      <c r="C52" s="7">
        <f>_xll.AnalizExpert.AnalizExpertIslem.PiyasaDegeri($A52)</f>
        <v>85724000000</v>
      </c>
      <c r="D52" s="6">
        <f>_xll.AnalizExpert.AnalizExpertIslem.FiyatKazancDonemSonu($A52,"2022/06","TL")</f>
        <v>6.804939706042731</v>
      </c>
      <c r="E52" s="6">
        <f>_xll.AnalizExpert.AnalizExpertIslem.PdDd($A52)</f>
        <v>1.6684133067152216</v>
      </c>
      <c r="F52" s="88">
        <f>_xll.AnalizExpert.AnalizExpertIslem.KalemFAVOK($A52,,,1,1,1,1)</f>
        <v>11776214000</v>
      </c>
      <c r="G52" s="6">
        <f>_xll.AnalizExpert.AnalizExpertIslem.HisseBasinaKar($A52)</f>
        <v>2.523127931034483</v>
      </c>
      <c r="H52" s="6">
        <f>_xll.AnalizExpert.AnalizExpertIslem.TemettuVerimi($A52,"",0)</f>
        <v>9.1339648173207042</v>
      </c>
      <c r="I52" s="6">
        <f>_xll.AnalizExpert.AnalizExpertIslem.HisseGetiri($A52,"yt")</f>
        <v>41.758747092998696</v>
      </c>
      <c r="J52" s="133">
        <f>_xll.AnalizExpert.AnalizExpertIslem.HisseGetiri($A52,"s1y")</f>
        <v>106.05658049522879</v>
      </c>
    </row>
    <row r="53" spans="1:10" ht="15.5" x14ac:dyDescent="0.35">
      <c r="A53" s="132" t="s">
        <v>48</v>
      </c>
      <c r="B53" s="6">
        <f>_xll.AnalizExpert.AnalizExpertIslem.HisseKapanis($A53)</f>
        <v>8.92</v>
      </c>
      <c r="C53" s="7">
        <f>_xll.AnalizExpert.AnalizExpertIslem.PiyasaDegeri($A53)</f>
        <v>6202099593.3999996</v>
      </c>
      <c r="D53" s="6">
        <f>_xll.AnalizExpert.AnalizExpertIslem.FiyatKazancDonemSonu($A53,"2022/06","TL")</f>
        <v>3.9165712963672785</v>
      </c>
      <c r="E53" s="6">
        <f>_xll.AnalizExpert.AnalizExpertIslem.PdDd($A53)</f>
        <v>2.3030088626170699</v>
      </c>
      <c r="F53" s="88">
        <f>_xll.AnalizExpert.AnalizExpertIslem.KalemFAVOK($A53,,,1,1,1,1)</f>
        <v>931861000</v>
      </c>
      <c r="G53" s="6">
        <f>_xll.AnalizExpert.AnalizExpertIslem.HisseBasinaKar($A53)</f>
        <v>1.0088872882110207</v>
      </c>
      <c r="H53" s="6">
        <f>_xll.AnalizExpert.AnalizExpertIslem.TemettuVerimi($A53,"",0)</f>
        <v>0</v>
      </c>
      <c r="I53" s="6">
        <f>_xll.AnalizExpert.AnalizExpertIslem.HisseGetiri($A53,"yt")</f>
        <v>187.74193548387098</v>
      </c>
      <c r="J53" s="133">
        <f>_xll.AnalizExpert.AnalizExpertIslem.HisseGetiri($A53,"s1y")</f>
        <v>166.26865671641789</v>
      </c>
    </row>
    <row r="54" spans="1:10" ht="15.5" x14ac:dyDescent="0.35">
      <c r="A54" s="132" t="s">
        <v>49</v>
      </c>
      <c r="B54" s="6">
        <f>_xll.AnalizExpert.AnalizExpertIslem.HisseKapanis($A54)</f>
        <v>8.84</v>
      </c>
      <c r="C54" s="7">
        <f>_xll.AnalizExpert.AnalizExpertIslem.PiyasaDegeri($A54)</f>
        <v>8475350000</v>
      </c>
      <c r="D54" s="6">
        <f>_xll.AnalizExpert.AnalizExpertIslem.FiyatKazancDonemSonu($A54,"2022/06","TL")</f>
        <v>9.2953984656335624</v>
      </c>
      <c r="E54" s="6">
        <f>_xll.AnalizExpert.AnalizExpertIslem.PdDd($A54)</f>
        <v>1.4991070411889709</v>
      </c>
      <c r="F54" s="88">
        <f>_xll.AnalizExpert.AnalizExpertIslem.KalemFAVOK($A54,,,1,1,1,1)</f>
        <v>272701526</v>
      </c>
      <c r="G54" s="6">
        <f>_xll.AnalizExpert.AnalizExpertIslem.HisseBasinaKar($A54)</f>
        <v>1.5615165924380705</v>
      </c>
      <c r="H54" s="6">
        <f>_xll.AnalizExpert.AnalizExpertIslem.TemettuVerimi($A54,"",0)</f>
        <v>0</v>
      </c>
      <c r="I54" s="6">
        <f>_xll.AnalizExpert.AnalizExpertIslem.HisseGetiri($A54,"yt")</f>
        <v>191.74917491749176</v>
      </c>
      <c r="J54" s="133">
        <f>_xll.AnalizExpert.AnalizExpertIslem.HisseGetiri($A54,"s1y")</f>
        <v>268.33333333333337</v>
      </c>
    </row>
    <row r="55" spans="1:10" ht="15.5" x14ac:dyDescent="0.35">
      <c r="A55" s="132" t="s">
        <v>50</v>
      </c>
      <c r="B55" s="6">
        <f>_xll.AnalizExpert.AnalizExpertIslem.HisseKapanis($A55)</f>
        <v>40.799999999999997</v>
      </c>
      <c r="C55" s="7">
        <f>_xll.AnalizExpert.AnalizExpertIslem.PiyasaDegeri($A55)</f>
        <v>14483999999.999998</v>
      </c>
      <c r="D55" s="6">
        <f>_xll.AnalizExpert.AnalizExpertIslem.FiyatKazancDonemSonu($A55,"2022/06","TL")</f>
        <v>3.7615088037030495</v>
      </c>
      <c r="E55" s="6">
        <f>_xll.AnalizExpert.AnalizExpertIslem.PdDd($A55)</f>
        <v>3.2612704470866061</v>
      </c>
      <c r="F55" s="88">
        <f>_xll.AnalizExpert.AnalizExpertIslem.KalemFAVOK($A55,,,1,1,1,1)</f>
        <v>2590368806</v>
      </c>
      <c r="G55" s="6">
        <f>_xll.AnalizExpert.AnalizExpertIslem.HisseBasinaKar($A55)</f>
        <v>6.535283061971831</v>
      </c>
      <c r="H55" s="6">
        <f>_xll.AnalizExpert.AnalizExpertIslem.TemettuVerimi($A55,"",0)</f>
        <v>2.4855011202016022</v>
      </c>
      <c r="I55" s="6">
        <f>_xll.AnalizExpert.AnalizExpertIslem.HisseGetiri($A55,"yt")</f>
        <v>84.974100890024062</v>
      </c>
      <c r="J55" s="133">
        <f>_xll.AnalizExpert.AnalizExpertIslem.HisseGetiri($A55,"s1y")</f>
        <v>126.03641438602935</v>
      </c>
    </row>
    <row r="56" spans="1:10" ht="15.5" x14ac:dyDescent="0.35">
      <c r="A56" s="132" t="s">
        <v>51</v>
      </c>
      <c r="B56" s="6">
        <f>_xll.AnalizExpert.AnalizExpertIslem.HisseKapanis($A56)</f>
        <v>136.9</v>
      </c>
      <c r="C56" s="7">
        <f>_xll.AnalizExpert.AnalizExpertIslem.PiyasaDegeri($A56)</f>
        <v>12080740500</v>
      </c>
      <c r="D56" s="6">
        <f>_xll.AnalizExpert.AnalizExpertIslem.FiyatKazancDonemSonu($A56,"2022/06","TL")</f>
        <v>11.297492966672108</v>
      </c>
      <c r="E56" s="6">
        <f>_xll.AnalizExpert.AnalizExpertIslem.PdDd($A56)</f>
        <v>8.7750464151526728</v>
      </c>
      <c r="F56" s="88">
        <f>_xll.AnalizExpert.AnalizExpertIslem.KalemFAVOK($A56,,,1,1,1,1)</f>
        <v>485490636</v>
      </c>
      <c r="G56" s="6">
        <f>_xll.AnalizExpert.AnalizExpertIslem.HisseBasinaKar($A56)</f>
        <v>7.7324932177460477</v>
      </c>
      <c r="H56" s="6">
        <f>_xll.AnalizExpert.AnalizExpertIslem.TemettuVerimi($A56,"",0)</f>
        <v>0.59167275383491591</v>
      </c>
      <c r="I56" s="6">
        <f>_xll.AnalizExpert.AnalizExpertIslem.HisseGetiri($A56,"yt")</f>
        <v>113.57023802380324</v>
      </c>
      <c r="J56" s="133">
        <f>_xll.AnalizExpert.AnalizExpertIslem.HisseGetiri($A56,"s1y")</f>
        <v>130.40772566883339</v>
      </c>
    </row>
    <row r="57" spans="1:10" ht="15.5" x14ac:dyDescent="0.35">
      <c r="A57" s="132" t="s">
        <v>53</v>
      </c>
      <c r="B57" s="6">
        <f>_xll.AnalizExpert.AnalizExpertIslem.HisseKapanis($A57)</f>
        <v>12.85</v>
      </c>
      <c r="C57" s="7">
        <f>_xll.AnalizExpert.AnalizExpertIslem.PiyasaDegeri($A57)</f>
        <v>11565000000</v>
      </c>
      <c r="D57" s="6">
        <f>_xll.AnalizExpert.AnalizExpertIslem.FiyatKazancDonemSonu($A57,"2022/06","TL")</f>
        <v>37.618014604784747</v>
      </c>
      <c r="E57" s="6">
        <f>_xll.AnalizExpert.AnalizExpertIslem.PdDd($A57)</f>
        <v>6.5927337983495651</v>
      </c>
      <c r="F57" s="88">
        <f>_xll.AnalizExpert.AnalizExpertIslem.KalemFAVOK($A57,,,1,1,1,1)</f>
        <v>218659000</v>
      </c>
      <c r="G57" s="6">
        <f>_xll.AnalizExpert.AnalizExpertIslem.HisseBasinaKar($A57)</f>
        <v>0.14565222222222221</v>
      </c>
      <c r="H57" s="6">
        <f>_xll.AnalizExpert.AnalizExpertIslem.TemettuVerimi($A57,"",0)</f>
        <v>0</v>
      </c>
      <c r="I57" s="6">
        <f>_xll.AnalizExpert.AnalizExpertIslem.HisseGetiri($A57,"yt")</f>
        <v>273.54651162790697</v>
      </c>
      <c r="J57" s="133">
        <f>_xll.AnalizExpert.AnalizExpertIslem.HisseGetiri($A57,"s1y")</f>
        <v>212.65206812652067</v>
      </c>
    </row>
    <row r="58" spans="1:10" ht="15.5" x14ac:dyDescent="0.35">
      <c r="A58" s="132" t="s">
        <v>54</v>
      </c>
      <c r="B58" s="6">
        <f>_xll.AnalizExpert.AnalizExpertIslem.HisseKapanis($A58)</f>
        <v>65.8</v>
      </c>
      <c r="C58" s="7">
        <f>_xll.AnalizExpert.AnalizExpertIslem.PiyasaDegeri($A58)</f>
        <v>166862091690</v>
      </c>
      <c r="D58" s="6">
        <f>_xll.AnalizExpert.AnalizExpertIslem.FiyatKazancDonemSonu($A58,"2022/06","TL")</f>
        <v>2.8965248964054129</v>
      </c>
      <c r="E58" s="6">
        <f>_xll.AnalizExpert.AnalizExpertIslem.PdDd($A58)</f>
        <v>1.3524622864831795</v>
      </c>
      <c r="F58" s="88">
        <f>_xll.AnalizExpert.AnalizExpertIslem.KalemFAVOK($A58,,,1,1,1,1)</f>
        <v>112060154000</v>
      </c>
      <c r="G58" s="6">
        <f>_xll.AnalizExpert.AnalizExpertIslem.HisseBasinaKar($A58)</f>
        <v>18.848547558920991</v>
      </c>
      <c r="H58" s="6">
        <f>_xll.AnalizExpert.AnalizExpertIslem.TemettuVerimi($A58,"",0)</f>
        <v>1.2954904814605945</v>
      </c>
      <c r="I58" s="6">
        <f>_xll.AnalizExpert.AnalizExpertIslem.HisseGetiri($A58,"yt")</f>
        <v>137.22983270137289</v>
      </c>
      <c r="J58" s="133">
        <f>_xll.AnalizExpert.AnalizExpertIslem.HisseGetiri($A58,"s1y")</f>
        <v>143.58113791841393</v>
      </c>
    </row>
    <row r="59" spans="1:10" ht="15.5" x14ac:dyDescent="0.35">
      <c r="A59" s="132" t="s">
        <v>55</v>
      </c>
      <c r="B59" s="6">
        <f>_xll.AnalizExpert.AnalizExpertIslem.HisseKapanis($A59)</f>
        <v>192.1</v>
      </c>
      <c r="C59" s="7">
        <f>_xll.AnalizExpert.AnalizExpertIslem.PiyasaDegeri($A59)</f>
        <v>38420000000</v>
      </c>
      <c r="D59" s="6">
        <f>_xll.AnalizExpert.AnalizExpertIslem.FiyatKazancDonemSonu($A59,"2022/06","TL")</f>
        <v>27.464507287477552</v>
      </c>
      <c r="E59" s="6">
        <f>_xll.AnalizExpert.AnalizExpertIslem.PdDd($A59)</f>
        <v>81.470095600916167</v>
      </c>
      <c r="F59" s="88">
        <f>_xll.AnalizExpert.AnalizExpertIslem.KalemFAVOK($A59,,,1,1,1,1)</f>
        <v>243935777</v>
      </c>
      <c r="G59" s="6">
        <f>_xll.AnalizExpert.AnalizExpertIslem.HisseBasinaKar($A59)</f>
        <v>1.2747531700000001</v>
      </c>
      <c r="H59" s="6">
        <f>_xll.AnalizExpert.AnalizExpertIslem.TemettuVerimi($A59,"",0)</f>
        <v>2.9116772566371678E-2</v>
      </c>
      <c r="I59" s="6">
        <f>_xll.AnalizExpert.AnalizExpertIslem.HisseGetiri($A59,"yt")</f>
        <v>1456.2681792524104</v>
      </c>
      <c r="J59" s="133">
        <f>_xll.AnalizExpert.AnalizExpertIslem.HisseGetiri($A59,"s1y")</f>
        <v>1333.840278545807</v>
      </c>
    </row>
    <row r="60" spans="1:10" ht="15.5" x14ac:dyDescent="0.35">
      <c r="A60" s="132" t="s">
        <v>56</v>
      </c>
      <c r="B60" s="6">
        <f>_xll.AnalizExpert.AnalizExpertIslem.HisseKapanis($A60)</f>
        <v>68.849999999999994</v>
      </c>
      <c r="C60" s="7">
        <f>_xll.AnalizExpert.AnalizExpertIslem.PiyasaDegeri($A60)</f>
        <v>13393326882.599998</v>
      </c>
      <c r="D60" s="6">
        <f>_xll.AnalizExpert.AnalizExpertIslem.FiyatKazancDonemSonu($A60,"2022/06","TL")</f>
        <v>8.0578172930855221</v>
      </c>
      <c r="E60" s="6">
        <f>_xll.AnalizExpert.AnalizExpertIslem.PdDd($A60)</f>
        <v>1.7061092586696081</v>
      </c>
      <c r="F60" s="88">
        <f>_xll.AnalizExpert.AnalizExpertIslem.KalemFAVOK($A60,,,1,1,1,1)</f>
        <v>1837288499</v>
      </c>
      <c r="G60" s="6">
        <f>_xll.AnalizExpert.AnalizExpertIslem.HisseBasinaKar($A60)</f>
        <v>7.0675850791580377</v>
      </c>
      <c r="H60" s="6">
        <f>_xll.AnalizExpert.AnalizExpertIslem.TemettuVerimi($A60,"",0)</f>
        <v>1.0751622898645015</v>
      </c>
      <c r="I60" s="6">
        <f>_xll.AnalizExpert.AnalizExpertIslem.HisseGetiri($A60,"yt")</f>
        <v>123.72884946067782</v>
      </c>
      <c r="J60" s="133">
        <f>_xll.AnalizExpert.AnalizExpertIslem.HisseGetiri($A60,"s1y")</f>
        <v>128.51682094719038</v>
      </c>
    </row>
    <row r="61" spans="1:10" ht="15.5" x14ac:dyDescent="0.35">
      <c r="A61" s="132" t="s">
        <v>58</v>
      </c>
      <c r="B61" s="6">
        <f>_xll.AnalizExpert.AnalizExpertIslem.HisseKapanis($A61)</f>
        <v>38.76</v>
      </c>
      <c r="C61" s="7">
        <f>_xll.AnalizExpert.AnalizExpertIslem.PiyasaDegeri($A61)</f>
        <v>15041980800</v>
      </c>
      <c r="D61" s="6">
        <f>_xll.AnalizExpert.AnalizExpertIslem.FiyatKazancDonemSonu($A61,"2022/06","TL")</f>
        <v>8.445644901499195</v>
      </c>
      <c r="E61" s="6">
        <f>_xll.AnalizExpert.AnalizExpertIslem.PdDd($A61)</f>
        <v>2.5094447633666643</v>
      </c>
      <c r="F61" s="88">
        <f>_xll.AnalizExpert.AnalizExpertIslem.KalemFAVOK($A61,,,1,1,1,1)</f>
        <v>2595993000</v>
      </c>
      <c r="G61" s="6">
        <f>_xll.AnalizExpert.AnalizExpertIslem.HisseBasinaKar($A61)</f>
        <v>3.8922206761492477</v>
      </c>
      <c r="H61" s="6">
        <f>_xll.AnalizExpert.AnalizExpertIslem.TemettuVerimi($A61,"",0)</f>
        <v>0</v>
      </c>
      <c r="I61" s="6">
        <f>_xll.AnalizExpert.AnalizExpertIslem.HisseGetiri($A61,"yt")</f>
        <v>115.09433962264151</v>
      </c>
      <c r="J61" s="133">
        <f>_xll.AnalizExpert.AnalizExpertIslem.HisseGetiri($A61,"s1y")</f>
        <v>107.05128205128207</v>
      </c>
    </row>
    <row r="62" spans="1:10" ht="15.5" x14ac:dyDescent="0.35">
      <c r="A62" s="132" t="s">
        <v>57</v>
      </c>
      <c r="B62" s="6">
        <f>_xll.AnalizExpert.AnalizExpertIslem.HisseKapanis($A62)</f>
        <v>265</v>
      </c>
      <c r="C62" s="7">
        <f>_xll.AnalizExpert.AnalizExpertIslem.PiyasaDegeri($A62)</f>
        <v>40412500000</v>
      </c>
      <c r="D62" s="6">
        <f>_xll.AnalizExpert.AnalizExpertIslem.FiyatKazancDonemSonu($A62,"2022/06","TL")</f>
        <v>7.5169766241598674</v>
      </c>
      <c r="E62" s="6">
        <f>_xll.AnalizExpert.AnalizExpertIslem.PdDd($A62)</f>
        <v>3.6810443499692398</v>
      </c>
      <c r="F62" s="88">
        <f>_xll.AnalizExpert.AnalizExpertIslem.KalemFAVOK($A62,,,1,1,1,1)</f>
        <v>2568795000</v>
      </c>
      <c r="G62" s="6">
        <f>_xll.AnalizExpert.AnalizExpertIslem.HisseBasinaKar($A62)</f>
        <v>27.851436065573772</v>
      </c>
      <c r="H62" s="6">
        <f>_xll.AnalizExpert.AnalizExpertIslem.TemettuVerimi($A62,"",0)</f>
        <v>5.9601464142035256</v>
      </c>
      <c r="I62" s="6">
        <f>_xll.AnalizExpert.AnalizExpertIslem.HisseGetiri($A62,"yt")</f>
        <v>152.78946143535634</v>
      </c>
      <c r="J62" s="133">
        <f>_xll.AnalizExpert.AnalizExpertIslem.HisseGetiri($A62,"s1y")</f>
        <v>143.32562968444864</v>
      </c>
    </row>
    <row r="63" spans="1:10" ht="15.5" x14ac:dyDescent="0.35">
      <c r="A63" s="132" t="s">
        <v>52</v>
      </c>
      <c r="B63" s="6">
        <f>_xll.AnalizExpert.AnalizExpertIslem.HisseKapanis($A63)</f>
        <v>13.15</v>
      </c>
      <c r="C63" s="7">
        <f>_xll.AnalizExpert.AnalizExpertIslem.PiyasaDegeri($A63)</f>
        <v>10259971921.552851</v>
      </c>
      <c r="D63" s="6">
        <f>_xll.AnalizExpert.AnalizExpertIslem.FiyatKazancDonemSonu($A63,"2022/06","TL")</f>
        <v>2.7233509970624761</v>
      </c>
      <c r="E63" s="6">
        <f>_xll.AnalizExpert.AnalizExpertIslem.PdDd($A63)</f>
        <v>1.3846839805821247</v>
      </c>
      <c r="F63" s="88">
        <f>_xll.AnalizExpert.AnalizExpertIslem.KalemFAVOK($A63,,,1,1,1,1)</f>
        <v>2490134434.8352118</v>
      </c>
      <c r="G63" s="6">
        <f>_xll.AnalizExpert.AnalizExpertIslem.HisseBasinaKar($A63)</f>
        <v>3.6040195263157888</v>
      </c>
      <c r="H63" s="6">
        <f>_xll.AnalizExpert.AnalizExpertIslem.TemettuVerimi($A63,"",0)</f>
        <v>6.0036012543665231</v>
      </c>
      <c r="I63" s="6">
        <f>_xll.AnalizExpert.AnalizExpertIslem.HisseGetiri($A63,"yt")</f>
        <v>47.7057654775884</v>
      </c>
      <c r="J63" s="133">
        <f>_xll.AnalizExpert.AnalizExpertIslem.HisseGetiri($A63,"s1y")</f>
        <v>66.484982604323406</v>
      </c>
    </row>
    <row r="64" spans="1:10" ht="15.5" x14ac:dyDescent="0.35">
      <c r="A64" s="132" t="s">
        <v>59</v>
      </c>
      <c r="B64" s="6">
        <f>_xll.AnalizExpert.AnalizExpertIslem.HisseKapanis($A64)</f>
        <v>57.4</v>
      </c>
      <c r="C64" s="7">
        <f>_xll.AnalizExpert.AnalizExpertIslem.PiyasaDegeri($A64)</f>
        <v>5740000000</v>
      </c>
      <c r="D64" s="6">
        <f>_xll.AnalizExpert.AnalizExpertIslem.FiyatKazancDonemSonu($A64,"2022/06","TL")</f>
        <v>9.9152764093705965</v>
      </c>
      <c r="E64" s="6">
        <f>_xll.AnalizExpert.AnalizExpertIslem.PdDd($A64)</f>
        <v>5.7275843897768777</v>
      </c>
      <c r="F64" s="88">
        <f>_xll.AnalizExpert.AnalizExpertIslem.KalemFAVOK($A64,,,1,1,1,1)</f>
        <v>393640488</v>
      </c>
      <c r="G64" s="6">
        <f>_xll.AnalizExpert.AnalizExpertIslem.HisseBasinaKar($A64)</f>
        <v>4.4914121800000002</v>
      </c>
      <c r="H64" s="6">
        <f>_xll.AnalizExpert.AnalizExpertIslem.TemettuVerimi($A64,"",0)</f>
        <v>1.4111498257839723</v>
      </c>
      <c r="I64" s="6">
        <f>_xll.AnalizExpert.AnalizExpertIslem.HisseGetiri($A64,"yt")</f>
        <v>40.86135446057839</v>
      </c>
      <c r="J64" s="133">
        <f>_xll.AnalizExpert.AnalizExpertIslem.HisseGetiri($A64,"s1y")</f>
        <v>37.944695827041699</v>
      </c>
    </row>
    <row r="65" spans="1:10" ht="15.5" x14ac:dyDescent="0.35">
      <c r="A65" s="132" t="s">
        <v>60</v>
      </c>
      <c r="B65" s="6">
        <f>_xll.AnalizExpert.AnalizExpertIslem.HisseKapanis($A65)</f>
        <v>97.05</v>
      </c>
      <c r="C65" s="7">
        <f>_xll.AnalizExpert.AnalizExpertIslem.PiyasaDegeri($A65)</f>
        <v>9638423700</v>
      </c>
      <c r="D65" s="6">
        <f>_xll.AnalizExpert.AnalizExpertIslem.FiyatKazancDonemSonu($A65,"2022/06","TL")</f>
        <v>6.482704136417146</v>
      </c>
      <c r="E65" s="6">
        <f>_xll.AnalizExpert.AnalizExpertIslem.PdDd($A65)</f>
        <v>5.0936123898603629</v>
      </c>
      <c r="F65" s="88">
        <f>_xll.AnalizExpert.AnalizExpertIslem.KalemFAVOK($A65,,,1,1,1,1)</f>
        <v>1098246000</v>
      </c>
      <c r="G65" s="6">
        <f>_xll.AnalizExpert.AnalizExpertIslem.HisseBasinaKar($A65)</f>
        <v>9.7335924441669857</v>
      </c>
      <c r="H65" s="6">
        <f>_xll.AnalizExpert.AnalizExpertIslem.TemettuVerimi($A65,"",0)</f>
        <v>1.124518325543211</v>
      </c>
      <c r="I65" s="6">
        <f>_xll.AnalizExpert.AnalizExpertIslem.HisseGetiri($A65,"yt")</f>
        <v>183.71565258021923</v>
      </c>
      <c r="J65" s="133">
        <f>_xll.AnalizExpert.AnalizExpertIslem.HisseGetiri($A65,"s1y")</f>
        <v>155.32577126973894</v>
      </c>
    </row>
    <row r="66" spans="1:10" ht="15.5" x14ac:dyDescent="0.35">
      <c r="A66" s="132" t="s">
        <v>61</v>
      </c>
      <c r="B66" s="6">
        <f>_xll.AnalizExpert.AnalizExpertIslem.HisseKapanis($A66)</f>
        <v>127.3</v>
      </c>
      <c r="C66" s="7">
        <f>_xll.AnalizExpert.AnalizExpertIslem.PiyasaDegeri($A66)</f>
        <v>23048203860.899998</v>
      </c>
      <c r="D66" s="6">
        <f>_xll.AnalizExpert.AnalizExpertIslem.FiyatKazancDonemSonu($A66,"2022/06","TL")</f>
        <v>11.636842154313367</v>
      </c>
      <c r="E66" s="6">
        <f>_xll.AnalizExpert.AnalizExpertIslem.PdDd($A66)</f>
        <v>11.601857579950829</v>
      </c>
      <c r="F66" s="88">
        <f>_xll.AnalizExpert.AnalizExpertIslem.KalemFAVOK($A66,,,1,1,1,1)</f>
        <v>4417025000</v>
      </c>
      <c r="G66" s="6">
        <f>_xll.AnalizExpert.AnalizExpertIslem.HisseBasinaKar($A66)</f>
        <v>7.719107014747344</v>
      </c>
      <c r="H66" s="6">
        <f>_xll.AnalizExpert.AnalizExpertIslem.TemettuVerimi($A66,"",0)</f>
        <v>0</v>
      </c>
      <c r="I66" s="6">
        <f>_xll.AnalizExpert.AnalizExpertIslem.HisseGetiri($A66,"yt")</f>
        <v>235.52978386926728</v>
      </c>
      <c r="J66" s="133">
        <f>_xll.AnalizExpert.AnalizExpertIslem.HisseGetiri($A66,"s1y")</f>
        <v>202.08827717133363</v>
      </c>
    </row>
    <row r="67" spans="1:10" ht="15.5" x14ac:dyDescent="0.35">
      <c r="A67" s="132" t="s">
        <v>62</v>
      </c>
      <c r="B67" s="6">
        <f>_xll.AnalizExpert.AnalizExpertIslem.HisseKapanis($A67)</f>
        <v>12.96</v>
      </c>
      <c r="C67" s="7">
        <f>_xll.AnalizExpert.AnalizExpertIslem.PiyasaDegeri($A67)</f>
        <v>7307832143.5200005</v>
      </c>
      <c r="D67" s="6">
        <f>_xll.AnalizExpert.AnalizExpertIslem.FiyatKazancDonemSonu($A67,"2022/06","TL")</f>
        <v>5.8991295984283516</v>
      </c>
      <c r="E67" s="6">
        <f>_xll.AnalizExpert.AnalizExpertIslem.PdDd($A67)</f>
        <v>0.74745242581305926</v>
      </c>
      <c r="F67" s="88">
        <f>_xll.AnalizExpert.AnalizExpertIslem.KalemFAVOK($A67,,,1,1,1,1)</f>
        <v>756930736</v>
      </c>
      <c r="G67" s="6">
        <f>_xll.AnalizExpert.AnalizExpertIslem.HisseBasinaKar($A67)</f>
        <v>1.5879345495106665</v>
      </c>
      <c r="H67" s="6">
        <f>_xll.AnalizExpert.AnalizExpertIslem.TemettuVerimi($A67,"",0)</f>
        <v>0</v>
      </c>
      <c r="I67" s="6">
        <f>_xll.AnalizExpert.AnalizExpertIslem.HisseGetiri($A67,"yt")</f>
        <v>94.011976047904213</v>
      </c>
      <c r="J67" s="133">
        <f>_xll.AnalizExpert.AnalizExpertIslem.HisseGetiri($A67,"s1y")</f>
        <v>148.75239923224569</v>
      </c>
    </row>
    <row r="68" spans="1:10" ht="15.5" x14ac:dyDescent="0.35">
      <c r="A68" s="132" t="s">
        <v>63</v>
      </c>
      <c r="B68" s="6">
        <f>_xll.AnalizExpert.AnalizExpertIslem.HisseKapanis($A68)</f>
        <v>6.35</v>
      </c>
      <c r="C68" s="7">
        <f>_xll.AnalizExpert.AnalizExpertIslem.PiyasaDegeri($A68)</f>
        <v>2129459800</v>
      </c>
      <c r="D68" s="6">
        <f>_xll.AnalizExpert.AnalizExpertIslem.FiyatKazancDonemSonu($A68,"2022/06","TL")</f>
        <v>10.135092303768646</v>
      </c>
      <c r="E68" s="6">
        <f>_xll.AnalizExpert.AnalizExpertIslem.PdDd($A68)</f>
        <v>3.2111247706498109</v>
      </c>
      <c r="F68" s="88">
        <f>_xll.AnalizExpert.AnalizExpertIslem.KalemFAVOK($A68,,,1,1,1,1)</f>
        <v>369591859</v>
      </c>
      <c r="G68" s="6">
        <f>_xll.AnalizExpert.AnalizExpertIslem.HisseBasinaKar($A68)</f>
        <v>0.71994757088159167</v>
      </c>
      <c r="H68" s="6">
        <f>_xll.AnalizExpert.AnalizExpertIslem.TemettuVerimi($A68,"",0)</f>
        <v>0</v>
      </c>
      <c r="I68" s="6">
        <f>_xll.AnalizExpert.AnalizExpertIslem.HisseGetiri($A68,"yt")</f>
        <v>9.4827586206896584</v>
      </c>
      <c r="J68" s="133">
        <f>_xll.AnalizExpert.AnalizExpertIslem.HisseGetiri($A68,"s1y")</f>
        <v>-37.745098039215684</v>
      </c>
    </row>
    <row r="69" spans="1:10" ht="15.5" x14ac:dyDescent="0.35">
      <c r="A69" s="132" t="s">
        <v>64</v>
      </c>
      <c r="B69" s="6">
        <f>_xll.AnalizExpert.AnalizExpertIslem.HisseKapanis($A69)</f>
        <v>10.78</v>
      </c>
      <c r="C69" s="7">
        <f>_xll.AnalizExpert.AnalizExpertIslem.PiyasaDegeri($A69)</f>
        <v>15092000000</v>
      </c>
      <c r="D69" s="6">
        <f>_xll.AnalizExpert.AnalizExpertIslem.FiyatKazancDonemSonu($A69,"2022/06","TL")</f>
        <v>3.6012758681321189</v>
      </c>
      <c r="E69" s="6">
        <f>_xll.AnalizExpert.AnalizExpertIslem.PdDd($A69)</f>
        <v>2.6003084258008946</v>
      </c>
      <c r="F69" s="88">
        <f>_xll.AnalizExpert.AnalizExpertIslem.KalemFAVOK($A69,,,1,1,1,1)</f>
        <v>2694602266</v>
      </c>
      <c r="G69" s="6">
        <f>_xll.AnalizExpert.AnalizExpertIslem.HisseBasinaKar($A69)</f>
        <v>1.6755398642857142</v>
      </c>
      <c r="H69" s="6">
        <f>_xll.AnalizExpert.AnalizExpertIslem.TemettuVerimi($A69,"",0)</f>
        <v>0</v>
      </c>
      <c r="I69" s="6">
        <f>_xll.AnalizExpert.AnalizExpertIslem.HisseGetiri($A69,"yt")</f>
        <v>704.4776119402984</v>
      </c>
      <c r="J69" s="133">
        <f>_xll.AnalizExpert.AnalizExpertIslem.HisseGetiri($A69,"s1y")</f>
        <v>573.74999999999989</v>
      </c>
    </row>
    <row r="70" spans="1:10" ht="15.5" x14ac:dyDescent="0.35">
      <c r="A70" s="132" t="s">
        <v>65</v>
      </c>
      <c r="B70" s="6">
        <f>_xll.AnalizExpert.AnalizExpertIslem.HisseKapanis($A70)</f>
        <v>762.1</v>
      </c>
      <c r="C70" s="7">
        <f>_xll.AnalizExpert.AnalizExpertIslem.PiyasaDegeri($A70)</f>
        <v>18290400000</v>
      </c>
      <c r="D70" s="6">
        <f>_xll.AnalizExpert.AnalizExpertIslem.FiyatKazancDonemSonu($A70,"2022/06","TL")</f>
        <v>8.5892597210494284</v>
      </c>
      <c r="E70" s="6">
        <f>_xll.AnalizExpert.AnalizExpertIslem.PdDd($A70)</f>
        <v>11.245838239317763</v>
      </c>
      <c r="F70" s="88">
        <f>_xll.AnalizExpert.AnalizExpertIslem.KalemFAVOK($A70,,,1,1,1,1)</f>
        <v>599657000</v>
      </c>
      <c r="G70" s="6">
        <f>_xll.AnalizExpert.AnalizExpertIslem.HisseBasinaKar($A70)</f>
        <v>46.901499999999999</v>
      </c>
      <c r="H70" s="6">
        <f>_xll.AnalizExpert.AnalizExpertIslem.TemettuVerimi($A70,"",0)</f>
        <v>2.4603070371342342</v>
      </c>
      <c r="I70" s="6">
        <f>_xll.AnalizExpert.AnalizExpertIslem.HisseGetiri($A70,"yt")</f>
        <v>125.04407542353211</v>
      </c>
      <c r="J70" s="133">
        <f>_xll.AnalizExpert.AnalizExpertIslem.HisseGetiri($A70,"s1y")</f>
        <v>110.07269727939497</v>
      </c>
    </row>
    <row r="71" spans="1:10" ht="15.5" x14ac:dyDescent="0.35">
      <c r="A71" s="132" t="s">
        <v>66</v>
      </c>
      <c r="B71" s="6">
        <f>_xll.AnalizExpert.AnalizExpertIslem.HisseKapanis($A71)</f>
        <v>17.27</v>
      </c>
      <c r="C71" s="7">
        <f>_xll.AnalizExpert.AnalizExpertIslem.PiyasaDegeri($A71)</f>
        <v>20029632726.07</v>
      </c>
      <c r="D71" s="6">
        <f>_xll.AnalizExpert.AnalizExpertIslem.FiyatKazancDonemSonu($A71,"2022/06","TL")</f>
        <v>11.091416420013962</v>
      </c>
      <c r="E71" s="6">
        <f>_xll.AnalizExpert.AnalizExpertIslem.PdDd($A71)</f>
        <v>4.4402760331982947</v>
      </c>
      <c r="F71" s="88">
        <f>_xll.AnalizExpert.AnalizExpertIslem.KalemFAVOK($A71,,,1,1,1,1)</f>
        <v>2095166571</v>
      </c>
      <c r="G71" s="6">
        <f>_xll.AnalizExpert.AnalizExpertIslem.HisseBasinaKar($A71)</f>
        <v>1.5983556489176594</v>
      </c>
      <c r="H71" s="6">
        <f>_xll.AnalizExpert.AnalizExpertIslem.TemettuVerimi($A71,"",0)</f>
        <v>0</v>
      </c>
      <c r="I71" s="6">
        <f>_xll.AnalizExpert.AnalizExpertIslem.HisseGetiri($A71,"yt")</f>
        <v>118.60759493670882</v>
      </c>
      <c r="J71" s="133">
        <f>_xll.AnalizExpert.AnalizExpertIslem.HisseGetiri($A71,"s1y")</f>
        <v>137.22527472527472</v>
      </c>
    </row>
    <row r="72" spans="1:10" ht="15.5" x14ac:dyDescent="0.35">
      <c r="A72" s="132" t="s">
        <v>67</v>
      </c>
      <c r="B72" s="6">
        <f>_xll.AnalizExpert.AnalizExpertIslem.HisseKapanis($A72)</f>
        <v>64.099999999999994</v>
      </c>
      <c r="C72" s="7">
        <f>_xll.AnalizExpert.AnalizExpertIslem.PiyasaDegeri($A72)</f>
        <v>4942879200</v>
      </c>
      <c r="D72" s="6">
        <f>_xll.AnalizExpert.AnalizExpertIslem.FiyatKazancDonemSonu($A72,"2022/06","TL")</f>
        <v>8.5025836761371814</v>
      </c>
      <c r="E72" s="6">
        <f>_xll.AnalizExpert.AnalizExpertIslem.PdDd($A72)</f>
        <v>2.6725760701581742</v>
      </c>
      <c r="F72" s="88">
        <f>_xll.AnalizExpert.AnalizExpertIslem.KalemFAVOK($A72,,,1,1,1,1)</f>
        <v>414168155</v>
      </c>
      <c r="G72" s="6">
        <f>_xll.AnalizExpert.AnalizExpertIslem.HisseBasinaKar($A72)</f>
        <v>6.0219295440398382</v>
      </c>
      <c r="H72" s="6">
        <f>_xll.AnalizExpert.AnalizExpertIslem.TemettuVerimi($A72,"",0)</f>
        <v>0</v>
      </c>
      <c r="I72" s="6">
        <f>_xll.AnalizExpert.AnalizExpertIslem.HisseGetiri($A72,"yt")</f>
        <v>102.33585858585856</v>
      </c>
      <c r="J72" s="133">
        <f>_xll.AnalizExpert.AnalizExpertIslem.HisseGetiri($A72,"s1y")</f>
        <v>93.30518697225574</v>
      </c>
    </row>
    <row r="73" spans="1:10" ht="15.5" x14ac:dyDescent="0.35">
      <c r="A73" s="132" t="s">
        <v>70</v>
      </c>
      <c r="B73" s="6">
        <f>_xll.AnalizExpert.AnalizExpertIslem.HisseKapanis($A73)</f>
        <v>15.29</v>
      </c>
      <c r="C73" s="7">
        <f>_xll.AnalizExpert.AnalizExpertIslem.PiyasaDegeri($A73)</f>
        <v>38750976000</v>
      </c>
      <c r="D73" s="6">
        <f>_xll.AnalizExpert.AnalizExpertIslem.FiyatKazancDonemSonu($A73,"2022/06","TL")</f>
        <v>2.9826225677652607</v>
      </c>
      <c r="E73" s="6">
        <f>_xll.AnalizExpert.AnalizExpertIslem.PdDd($A73)</f>
        <v>2.1074776754394264</v>
      </c>
      <c r="F73" s="88">
        <f>_xll.AnalizExpert.AnalizExpertIslem.KalemFAVOK($A73,,,1,1,1,1)</f>
        <v>3538692000</v>
      </c>
      <c r="G73" s="6">
        <f>_xll.AnalizExpert.AnalizExpertIslem.HisseBasinaKar($A73)</f>
        <v>2.8753574810606062</v>
      </c>
      <c r="H73" s="6">
        <f>_xll.AnalizExpert.AnalizExpertIslem.TemettuVerimi($A73,"",0)</f>
        <v>0</v>
      </c>
      <c r="I73" s="6">
        <f>_xll.AnalizExpert.AnalizExpertIslem.HisseGetiri($A73,"yt")</f>
        <v>96.025641025641022</v>
      </c>
      <c r="J73" s="133">
        <f>_xll.AnalizExpert.AnalizExpertIslem.HisseGetiri($A73,"s1y")</f>
        <v>98.056994818652839</v>
      </c>
    </row>
    <row r="74" spans="1:10" ht="15.5" x14ac:dyDescent="0.35">
      <c r="A74" s="132" t="s">
        <v>69</v>
      </c>
      <c r="B74" s="6">
        <f>_xll.AnalizExpert.AnalizExpertIslem.HisseKapanis($A74)</f>
        <v>340.2</v>
      </c>
      <c r="C74" s="7">
        <f>_xll.AnalizExpert.AnalizExpertIslem.PiyasaDegeri($A74)</f>
        <v>34802360321.400002</v>
      </c>
      <c r="D74" s="6">
        <f>_xll.AnalizExpert.AnalizExpertIslem.FiyatKazancDonemSonu($A74,"2022/06","TL")</f>
        <v>0</v>
      </c>
      <c r="E74" s="6">
        <f>_xll.AnalizExpert.AnalizExpertIslem.PdDd($A74)</f>
        <v>2.9840591600174227</v>
      </c>
      <c r="F74" s="88">
        <f>_xll.AnalizExpert.AnalizExpertIslem.KalemFAVOK($A74,,,1,1,1,1)</f>
        <v>10133933473</v>
      </c>
      <c r="G74" s="6">
        <f>_xll.AnalizExpert.AnalizExpertIslem.HisseBasinaKar($A74)</f>
        <v>19.335056042731384</v>
      </c>
      <c r="H74" s="6">
        <f>_xll.AnalizExpert.AnalizExpertIslem.TemettuVerimi($A74,"",0)</f>
        <v>0</v>
      </c>
      <c r="I74" s="6">
        <f>_xll.AnalizExpert.AnalizExpertIslem.HisseGetiri($A74,"yt")</f>
        <v>300.4708652148322</v>
      </c>
      <c r="J74" s="133">
        <f>_xll.AnalizExpert.AnalizExpertIslem.HisseGetiri($A74,"s1y")</f>
        <v>266.99029126213588</v>
      </c>
    </row>
    <row r="75" spans="1:10" ht="15.5" x14ac:dyDescent="0.35">
      <c r="A75" s="132" t="s">
        <v>68</v>
      </c>
      <c r="B75" s="6">
        <f>_xll.AnalizExpert.AnalizExpertIslem.HisseKapanis($A75)</f>
        <v>9.08</v>
      </c>
      <c r="C75" s="7">
        <f>_xll.AnalizExpert.AnalizExpertIslem.PiyasaDegeri($A75)</f>
        <v>9080000000</v>
      </c>
      <c r="D75" s="6">
        <f>_xll.AnalizExpert.AnalizExpertIslem.FiyatKazancDonemSonu($A75,"2022/06","TL")</f>
        <v>7.4594436622873062</v>
      </c>
      <c r="E75" s="6">
        <f>_xll.AnalizExpert.AnalizExpertIslem.PdDd($A75)</f>
        <v>2.7178061564598113</v>
      </c>
      <c r="F75" s="88">
        <f>_xll.AnalizExpert.AnalizExpertIslem.KalemFAVOK($A75,,,1,1,1,1)</f>
        <v>273570341</v>
      </c>
      <c r="G75" s="6">
        <f>_xll.AnalizExpert.AnalizExpertIslem.HisseBasinaKar($A75)</f>
        <v>2.0566163479999999</v>
      </c>
      <c r="H75" s="6">
        <f>_xll.AnalizExpert.AnalizExpertIslem.TemettuVerimi($A75,"",0)</f>
        <v>0</v>
      </c>
      <c r="I75" s="6">
        <f>_xll.AnalizExpert.AnalizExpertIslem.HisseGetiri($A75,"yt")</f>
        <v>141.07901076738347</v>
      </c>
      <c r="J75" s="133">
        <f>_xll.AnalizExpert.AnalizExpertIslem.HisseGetiri($A75,"s1y")</f>
        <v>0</v>
      </c>
    </row>
    <row r="76" spans="1:10" ht="15.5" x14ac:dyDescent="0.35">
      <c r="A76" s="132" t="s">
        <v>71</v>
      </c>
      <c r="B76" s="6">
        <f>_xll.AnalizExpert.AnalizExpertIslem.HisseKapanis($A76)</f>
        <v>56.4</v>
      </c>
      <c r="C76" s="7">
        <f>_xll.AnalizExpert.AnalizExpertIslem.PiyasaDegeri($A76)</f>
        <v>13536000000</v>
      </c>
      <c r="D76" s="6">
        <f>_xll.AnalizExpert.AnalizExpertIslem.FiyatKazancDonemSonu($A76,"2022/06","TL")</f>
        <v>6.5111993895038704</v>
      </c>
      <c r="E76" s="6">
        <f>_xll.AnalizExpert.AnalizExpertIslem.PdDd($A76)</f>
        <v>6.1754535959972188</v>
      </c>
      <c r="F76" s="88">
        <f>_xll.AnalizExpert.AnalizExpertIslem.KalemFAVOK($A76,,,1,1,1,1)</f>
        <v>907975972</v>
      </c>
      <c r="G76" s="6">
        <f>_xll.AnalizExpert.AnalizExpertIslem.HisseBasinaKar($A76)</f>
        <v>6.045485208333333</v>
      </c>
      <c r="H76" s="6">
        <f>_xll.AnalizExpert.AnalizExpertIslem.TemettuVerimi($A76,"",0)</f>
        <v>0</v>
      </c>
      <c r="I76" s="6">
        <f>_xll.AnalizExpert.AnalizExpertIslem.HisseGetiri($A76,"yt")</f>
        <v>363.43467543138865</v>
      </c>
      <c r="J76" s="133">
        <f>_xll.AnalizExpert.AnalizExpertIslem.HisseGetiri($A76,"s1y")</f>
        <v>403.57142857142856</v>
      </c>
    </row>
    <row r="77" spans="1:10" ht="15.5" x14ac:dyDescent="0.35">
      <c r="A77" s="132" t="s">
        <v>72</v>
      </c>
      <c r="B77" s="6">
        <f>_xll.AnalizExpert.AnalizExpertIslem.HisseKapanis($A77)</f>
        <v>38.5</v>
      </c>
      <c r="C77" s="7">
        <f>_xll.AnalizExpert.AnalizExpertIslem.PiyasaDegeri($A77)</f>
        <v>78555551343.5</v>
      </c>
      <c r="D77" s="6">
        <f>_xll.AnalizExpert.AnalizExpertIslem.FiyatKazancDonemSonu($A77,"2022/06","TL")</f>
        <v>1.5489444869594171</v>
      </c>
      <c r="E77" s="6">
        <f>_xll.AnalizExpert.AnalizExpertIslem.PdDd($A77)</f>
        <v>0.9634833522394125</v>
      </c>
      <c r="F77" s="88">
        <f>_xll.AnalizExpert.AnalizExpertIslem.KalemFAVOK($A77,,,1,1,1,1)</f>
        <v>55420820000</v>
      </c>
      <c r="G77" s="6">
        <f>_xll.AnalizExpert.AnalizExpertIslem.HisseBasinaKar($A77)</f>
        <v>15.874673395735583</v>
      </c>
      <c r="H77" s="6">
        <f>_xll.AnalizExpert.AnalizExpertIslem.TemettuVerimi($A77,"",0)</f>
        <v>1.7532467532531182</v>
      </c>
      <c r="I77" s="6">
        <f>_xll.AnalizExpert.AnalizExpertIslem.HisseGetiri($A77,"yt")</f>
        <v>203.99659863944217</v>
      </c>
      <c r="J77" s="133">
        <f>_xll.AnalizExpert.AnalizExpertIslem.HisseGetiri($A77,"s1y")</f>
        <v>190.59790462426446</v>
      </c>
    </row>
    <row r="78" spans="1:10" ht="15.5" x14ac:dyDescent="0.35">
      <c r="A78" s="132" t="s">
        <v>73</v>
      </c>
      <c r="B78" s="6">
        <f>_xll.AnalizExpert.AnalizExpertIslem.HisseKapanis($A78)</f>
        <v>135.9</v>
      </c>
      <c r="C78" s="7">
        <f>_xll.AnalizExpert.AnalizExpertIslem.PiyasaDegeri($A78)</f>
        <v>306567330295.5</v>
      </c>
      <c r="D78" s="6">
        <f>_xll.AnalizExpert.AnalizExpertIslem.FiyatKazancDonemSonu($A78,"2022/06","TL")</f>
        <v>16.233626691675624</v>
      </c>
      <c r="E78" s="6">
        <f>_xll.AnalizExpert.AnalizExpertIslem.PdDd($A78)</f>
        <v>23.414705199557929</v>
      </c>
      <c r="F78" s="88">
        <f>_xll.AnalizExpert.AnalizExpertIslem.KalemFAVOK($A78,,,1,1,1,1)</f>
        <v>5264571000</v>
      </c>
      <c r="G78" s="6">
        <f>_xll.AnalizExpert.AnalizExpertIslem.HisseBasinaKar($A78)</f>
        <v>3.2355754676921622</v>
      </c>
      <c r="H78" s="6">
        <f>_xll.AnalizExpert.AnalizExpertIslem.TemettuVerimi($A78,"",0)</f>
        <v>0</v>
      </c>
      <c r="I78" s="6">
        <f>_xll.AnalizExpert.AnalizExpertIslem.HisseGetiri($A78,"yt")</f>
        <v>414.28571428571433</v>
      </c>
      <c r="J78" s="133">
        <f>_xll.AnalizExpert.AnalizExpertIslem.HisseGetiri($A78,"s1y")</f>
        <v>712.3132098027495</v>
      </c>
    </row>
    <row r="79" spans="1:10" ht="15.5" x14ac:dyDescent="0.35">
      <c r="A79" s="132" t="s">
        <v>74</v>
      </c>
      <c r="B79" s="6">
        <f>_xll.AnalizExpert.AnalizExpertIslem.HisseKapanis($A79)</f>
        <v>26.42</v>
      </c>
      <c r="C79" s="7">
        <f>_xll.AnalizExpert.AnalizExpertIslem.PiyasaDegeri($A79)</f>
        <v>16406820000.000002</v>
      </c>
      <c r="D79" s="6">
        <f>_xll.AnalizExpert.AnalizExpertIslem.FiyatKazancDonemSonu($A79,"2022/06","TL")</f>
        <v>7.0376741935836957</v>
      </c>
      <c r="E79" s="6">
        <f>_xll.AnalizExpert.AnalizExpertIslem.PdDd($A79)</f>
        <v>2.8893870368266503</v>
      </c>
      <c r="F79" s="88">
        <f>_xll.AnalizExpert.AnalizExpertIslem.KalemFAVOK($A79,,,1,1,1,1)</f>
        <v>2075357787</v>
      </c>
      <c r="G79" s="6">
        <f>_xll.AnalizExpert.AnalizExpertIslem.HisseBasinaKar($A79)</f>
        <v>3.0025918180354267</v>
      </c>
      <c r="H79" s="6">
        <f>_xll.AnalizExpert.AnalizExpertIslem.TemettuVerimi($A79,"",0)</f>
        <v>1.7032551097653292</v>
      </c>
      <c r="I79" s="6">
        <f>_xll.AnalizExpert.AnalizExpertIslem.HisseGetiri($A79,"yt")</f>
        <v>132.79728382415718</v>
      </c>
      <c r="J79" s="133">
        <f>_xll.AnalizExpert.AnalizExpertIslem.HisseGetiri($A79,"s1y")</f>
        <v>167.47886554284861</v>
      </c>
    </row>
    <row r="80" spans="1:10" ht="15.5" x14ac:dyDescent="0.35">
      <c r="A80" s="132" t="s">
        <v>77</v>
      </c>
      <c r="B80" s="6">
        <f>_xll.AnalizExpert.AnalizExpertIslem.HisseKapanis($A80)</f>
        <v>35.74</v>
      </c>
      <c r="C80" s="7">
        <f>_xll.AnalizExpert.AnalizExpertIslem.PiyasaDegeri($A80)</f>
        <v>109479270367.51581</v>
      </c>
      <c r="D80" s="6">
        <f>_xll.AnalizExpert.AnalizExpertIslem.FiyatKazancDonemSonu($A80,"2022/06","TL")</f>
        <v>4.2917976156969981</v>
      </c>
      <c r="E80" s="6">
        <f>_xll.AnalizExpert.AnalizExpertIslem.PdDd($A80)</f>
        <v>1.8509384490817067</v>
      </c>
      <c r="F80" s="88">
        <f>_xll.AnalizExpert.AnalizExpertIslem.KalemFAVOK($A80,,,1,1,1,1)</f>
        <v>15824367000</v>
      </c>
      <c r="G80" s="6">
        <f>_xll.AnalizExpert.AnalizExpertIslem.HisseBasinaKar($A80)</f>
        <v>6.1354151735313724</v>
      </c>
      <c r="H80" s="6">
        <f>_xll.AnalizExpert.AnalizExpertIslem.TemettuVerimi($A80,"",0)</f>
        <v>1.0275917954361933</v>
      </c>
      <c r="I80" s="6">
        <f>_xll.AnalizExpert.AnalizExpertIslem.HisseGetiri($A80,"yt")</f>
        <v>172.39310944007818</v>
      </c>
      <c r="J80" s="133">
        <f>_xll.AnalizExpert.AnalizExpertIslem.HisseGetiri($A80,"s1y")</f>
        <v>223.96620482739968</v>
      </c>
    </row>
    <row r="81" spans="1:10" ht="15.5" x14ac:dyDescent="0.35">
      <c r="A81" s="132" t="s">
        <v>76</v>
      </c>
      <c r="B81" s="6">
        <f>_xll.AnalizExpert.AnalizExpertIslem.HisseKapanis($A81)</f>
        <v>2.4500000000000002</v>
      </c>
      <c r="C81" s="7">
        <f>_xll.AnalizExpert.AnalizExpertIslem.PiyasaDegeri($A81)</f>
        <v>4557000000</v>
      </c>
      <c r="D81" s="6">
        <f>_xll.AnalizExpert.AnalizExpertIslem.FiyatKazancDonemSonu($A81,"2022/06","TL")</f>
        <v>2.001817199649806</v>
      </c>
      <c r="E81" s="6">
        <f>_xll.AnalizExpert.AnalizExpertIslem.PdDd($A81)</f>
        <v>1.0683239715301156</v>
      </c>
      <c r="F81" s="88">
        <f>_xll.AnalizExpert.AnalizExpertIslem.KalemFAVOK($A81,,,1,1,1,1)</f>
        <v>0</v>
      </c>
      <c r="G81" s="6">
        <f>_xll.AnalizExpert.AnalizExpertIslem.HisseBasinaKar($A81)</f>
        <v>0.67666666666666664</v>
      </c>
      <c r="H81" s="6">
        <f>_xll.AnalizExpert.AnalizExpertIslem.TemettuVerimi($A81,"",0)</f>
        <v>0</v>
      </c>
      <c r="I81" s="6">
        <f>_xll.AnalizExpert.AnalizExpertIslem.HisseGetiri($A81,"yt")</f>
        <v>142.57425742574256</v>
      </c>
      <c r="J81" s="133">
        <f>_xll.AnalizExpert.AnalizExpertIslem.HisseGetiri($A81,"s1y")</f>
        <v>114.91228070175441</v>
      </c>
    </row>
    <row r="82" spans="1:10" ht="15.5" x14ac:dyDescent="0.35">
      <c r="A82" s="132" t="s">
        <v>75</v>
      </c>
      <c r="B82" s="6">
        <f>_xll.AnalizExpert.AnalizExpertIslem.HisseKapanis($A82)</f>
        <v>3.02</v>
      </c>
      <c r="C82" s="7">
        <f>_xll.AnalizExpert.AnalizExpertIslem.PiyasaDegeri($A82)</f>
        <v>4530000000</v>
      </c>
      <c r="D82" s="6">
        <f>_xll.AnalizExpert.AnalizExpertIslem.FiyatKazancDonemSonu($A82,"2022/06","TL")</f>
        <v>3.3465795081269096</v>
      </c>
      <c r="E82" s="6">
        <f>_xll.AnalizExpert.AnalizExpertIslem.PdDd($A82)</f>
        <v>1.3820331358912796</v>
      </c>
      <c r="F82" s="88">
        <f>_xll.AnalizExpert.AnalizExpertIslem.KalemFAVOK($A82,,,1,1,1,1)</f>
        <v>295312742</v>
      </c>
      <c r="G82" s="6">
        <f>_xll.AnalizExpert.AnalizExpertIslem.HisseBasinaKar($A82)</f>
        <v>0.60382705533333336</v>
      </c>
      <c r="H82" s="6">
        <f>_xll.AnalizExpert.AnalizExpertIslem.TemettuVerimi($A82,"",0)</f>
        <v>0</v>
      </c>
      <c r="I82" s="6">
        <f>_xll.AnalizExpert.AnalizExpertIslem.HisseGetiri($A82,"yt")</f>
        <v>21.49540627636717</v>
      </c>
      <c r="J82" s="133">
        <f>_xll.AnalizExpert.AnalizExpertIslem.HisseGetiri($A82,"s1y")</f>
        <v>26.533020682948248</v>
      </c>
    </row>
    <row r="83" spans="1:10" ht="15.5" x14ac:dyDescent="0.35">
      <c r="A83" s="132" t="s">
        <v>78</v>
      </c>
      <c r="B83" s="6">
        <f>_xll.AnalizExpert.AnalizExpertIslem.HisseKapanis($A83)</f>
        <v>22.5</v>
      </c>
      <c r="C83" s="7">
        <f>_xll.AnalizExpert.AnalizExpertIslem.PiyasaDegeri($A83)</f>
        <v>13349025180</v>
      </c>
      <c r="D83" s="6">
        <f>_xll.AnalizExpert.AnalizExpertIslem.FiyatKazancDonemSonu($A83,"2022/06","TL")</f>
        <v>9.20335434497491</v>
      </c>
      <c r="E83" s="6">
        <f>_xll.AnalizExpert.AnalizExpertIslem.PdDd($A83)</f>
        <v>5.7996694546562289</v>
      </c>
      <c r="F83" s="88">
        <f>_xll.AnalizExpert.AnalizExpertIslem.KalemFAVOK($A83,,,1,1,1,1)</f>
        <v>3300731609</v>
      </c>
      <c r="G83" s="6">
        <f>_xll.AnalizExpert.AnalizExpertIslem.HisseBasinaKar($A83)</f>
        <v>3.059806687322467</v>
      </c>
      <c r="H83" s="6">
        <f>_xll.AnalizExpert.AnalizExpertIslem.TemettuVerimi($A83,"",0)</f>
        <v>0</v>
      </c>
      <c r="I83" s="6">
        <f>_xll.AnalizExpert.AnalizExpertIslem.HisseGetiri($A83,"yt")</f>
        <v>71.633978966317741</v>
      </c>
      <c r="J83" s="133">
        <f>_xll.AnalizExpert.AnalizExpertIslem.HisseGetiri($A83,"s1y")</f>
        <v>54.058465583467409</v>
      </c>
    </row>
    <row r="84" spans="1:10" ht="15.5" x14ac:dyDescent="0.35">
      <c r="A84" s="132" t="s">
        <v>81</v>
      </c>
      <c r="B84" s="6">
        <f>_xll.AnalizExpert.AnalizExpertIslem.HisseKapanis($A84)</f>
        <v>79</v>
      </c>
      <c r="C84" s="7">
        <f>_xll.AnalizExpert.AnalizExpertIslem.PiyasaDegeri($A84)</f>
        <v>28699218750</v>
      </c>
      <c r="D84" s="6">
        <f>_xll.AnalizExpert.AnalizExpertIslem.FiyatKazancDonemSonu($A84,"2022/06","TL")</f>
        <v>33.358568802869925</v>
      </c>
      <c r="E84" s="6">
        <f>_xll.AnalizExpert.AnalizExpertIslem.PdDd($A84)</f>
        <v>1.2726452771890218</v>
      </c>
      <c r="F84" s="88">
        <f>_xll.AnalizExpert.AnalizExpertIslem.KalemFAVOK($A84,,,1,1,1,1)</f>
        <v>4479237000</v>
      </c>
      <c r="G84" s="6">
        <f>_xll.AnalizExpert.AnalizExpertIslem.HisseBasinaKar($A84)</f>
        <v>4.0849919999999997</v>
      </c>
      <c r="H84" s="6">
        <f>_xll.AnalizExpert.AnalizExpertIslem.TemettuVerimi($A84,"",0)</f>
        <v>0</v>
      </c>
      <c r="I84" s="6">
        <f>_xll.AnalizExpert.AnalizExpertIslem.HisseGetiri($A84,"yt")</f>
        <v>141.59021406727828</v>
      </c>
      <c r="J84" s="133">
        <f>_xll.AnalizExpert.AnalizExpertIslem.HisseGetiri($A84,"s1y")</f>
        <v>184.78731074260995</v>
      </c>
    </row>
    <row r="85" spans="1:10" ht="15.5" x14ac:dyDescent="0.35">
      <c r="A85" s="132" t="s">
        <v>86</v>
      </c>
      <c r="B85" s="6">
        <f>_xll.AnalizExpert.AnalizExpertIslem.HisseKapanis($A85)</f>
        <v>31.68</v>
      </c>
      <c r="C85" s="7">
        <f>_xll.AnalizExpert.AnalizExpertIslem.PiyasaDegeri($A85)</f>
        <v>69696000000</v>
      </c>
      <c r="D85" s="6">
        <f>_xll.AnalizExpert.AnalizExpertIslem.FiyatKazancDonemSonu($A85,"2022/06","TL")</f>
        <v>6.5098387335404642</v>
      </c>
      <c r="E85" s="6">
        <f>_xll.AnalizExpert.AnalizExpertIslem.PdDd($A85)</f>
        <v>2.7297751707255111</v>
      </c>
      <c r="F85" s="88">
        <f>_xll.AnalizExpert.AnalizExpertIslem.KalemFAVOK($A85,,,1,1,1,1)</f>
        <v>15416437000</v>
      </c>
      <c r="G85" s="6">
        <f>_xll.AnalizExpert.AnalizExpertIslem.HisseBasinaKar($A85)</f>
        <v>2.9279581818181817</v>
      </c>
      <c r="H85" s="6">
        <f>_xll.AnalizExpert.AnalizExpertIslem.TemettuVerimi($A85,"",0)</f>
        <v>1.6241923045798898</v>
      </c>
      <c r="I85" s="6">
        <f>_xll.AnalizExpert.AnalizExpertIslem.HisseGetiri($A85,"yt")</f>
        <v>77.315891694578681</v>
      </c>
      <c r="J85" s="133">
        <f>_xll.AnalizExpert.AnalizExpertIslem.HisseGetiri($A85,"s1y")</f>
        <v>81.645469516199938</v>
      </c>
    </row>
    <row r="86" spans="1:10" ht="15.5" x14ac:dyDescent="0.35">
      <c r="A86" s="132" t="s">
        <v>88</v>
      </c>
      <c r="B86" s="6">
        <f>_xll.AnalizExpert.AnalizExpertIslem.HisseKapanis($A86)</f>
        <v>106.9</v>
      </c>
      <c r="C86" s="7">
        <f>_xll.AnalizExpert.AnalizExpertIslem.PiyasaDegeri($A86)</f>
        <v>147522000000</v>
      </c>
      <c r="D86" s="6">
        <f>_xll.AnalizExpert.AnalizExpertIslem.FiyatKazancDonemSonu($A86,"2022/06","TL")</f>
        <v>3.2872194228126426</v>
      </c>
      <c r="E86" s="6">
        <f>_xll.AnalizExpert.AnalizExpertIslem.PdDd($A86)</f>
        <v>0.81266354136253716</v>
      </c>
      <c r="F86" s="88">
        <f>_xll.AnalizExpert.AnalizExpertIslem.KalemFAVOK($A86,,,1,1,1,1)</f>
        <v>58057000000</v>
      </c>
      <c r="G86" s="6">
        <f>_xll.AnalizExpert.AnalizExpertIslem.HisseBasinaKar($A86)</f>
        <v>29.328985507246376</v>
      </c>
      <c r="H86" s="6">
        <f>_xll.AnalizExpert.AnalizExpertIslem.TemettuVerimi($A86,"",0)</f>
        <v>0</v>
      </c>
      <c r="I86" s="6">
        <f>_xll.AnalizExpert.AnalizExpertIslem.HisseGetiri($A86,"yt")</f>
        <v>433.96603396603399</v>
      </c>
      <c r="J86" s="133">
        <f>_xll.AnalizExpert.AnalizExpertIslem.HisseGetiri($A86,"s1y")</f>
        <v>525.51199531889995</v>
      </c>
    </row>
    <row r="87" spans="1:10" ht="15.5" x14ac:dyDescent="0.35">
      <c r="A87" s="132" t="s">
        <v>82</v>
      </c>
      <c r="B87" s="6">
        <f>_xll.AnalizExpert.AnalizExpertIslem.HisseKapanis($A87)</f>
        <v>37.44</v>
      </c>
      <c r="C87" s="7">
        <f>_xll.AnalizExpert.AnalizExpertIslem.PiyasaDegeri($A87)</f>
        <v>13852800000</v>
      </c>
      <c r="D87" s="6">
        <f>_xll.AnalizExpert.AnalizExpertIslem.FiyatKazancDonemSonu($A87,"2022/06","TL")</f>
        <v>6.7364049152496701</v>
      </c>
      <c r="E87" s="6">
        <f>_xll.AnalizExpert.AnalizExpertIslem.PdDd($A87)</f>
        <v>1.4566487992489627</v>
      </c>
      <c r="F87" s="88">
        <f>_xll.AnalizExpert.AnalizExpertIslem.KalemFAVOK($A87,,,1,1,1,1)</f>
        <v>1928177000</v>
      </c>
      <c r="G87" s="6">
        <f>_xll.AnalizExpert.AnalizExpertIslem.HisseBasinaKar($A87)</f>
        <v>3.9455135135135135</v>
      </c>
      <c r="H87" s="6">
        <f>_xll.AnalizExpert.AnalizExpertIslem.TemettuVerimi($A87,"",0)</f>
        <v>1.6676682692307692</v>
      </c>
      <c r="I87" s="6">
        <f>_xll.AnalizExpert.AnalizExpertIslem.HisseGetiri($A87,"yt")</f>
        <v>90.73333503140644</v>
      </c>
      <c r="J87" s="133">
        <f>_xll.AnalizExpert.AnalizExpertIslem.HisseGetiri($A87,"s1y")</f>
        <v>117.12276158805773</v>
      </c>
    </row>
    <row r="88" spans="1:10" ht="15.5" x14ac:dyDescent="0.35">
      <c r="A88" s="132" t="s">
        <v>83</v>
      </c>
      <c r="B88" s="6">
        <f>_xll.AnalizExpert.AnalizExpertIslem.HisseKapanis($A88)</f>
        <v>23.82</v>
      </c>
      <c r="C88" s="7">
        <f>_xll.AnalizExpert.AnalizExpertIslem.PiyasaDegeri($A88)</f>
        <v>4787820000</v>
      </c>
      <c r="D88" s="6">
        <f>_xll.AnalizExpert.AnalizExpertIslem.FiyatKazancDonemSonu($A88,"2022/06","TL")</f>
        <v>4.4628585798489935</v>
      </c>
      <c r="E88" s="6">
        <f>_xll.AnalizExpert.AnalizExpertIslem.PdDd($A88)</f>
        <v>8.4663455417391678</v>
      </c>
      <c r="F88" s="88">
        <f>_xll.AnalizExpert.AnalizExpertIslem.KalemFAVOK($A88,,,1,1,1,1)</f>
        <v>932790000</v>
      </c>
      <c r="G88" s="6">
        <f>_xll.AnalizExpert.AnalizExpertIslem.HisseBasinaKar($A88)</f>
        <v>2.1750597014925375</v>
      </c>
      <c r="H88" s="6">
        <f>_xll.AnalizExpert.AnalizExpertIslem.TemettuVerimi($A88,"",0)</f>
        <v>0</v>
      </c>
      <c r="I88" s="6">
        <f>_xll.AnalizExpert.AnalizExpertIslem.HisseGetiri($A88,"yt")</f>
        <v>276.89873417721515</v>
      </c>
      <c r="J88" s="133">
        <f>_xll.AnalizExpert.AnalizExpertIslem.HisseGetiri($A88,"s1y")</f>
        <v>275.1181102362205</v>
      </c>
    </row>
    <row r="89" spans="1:10" ht="15.5" x14ac:dyDescent="0.35">
      <c r="A89" s="132" t="s">
        <v>84</v>
      </c>
      <c r="B89" s="6">
        <f>_xll.AnalizExpert.AnalizExpertIslem.HisseKapanis($A89)</f>
        <v>127.5</v>
      </c>
      <c r="C89" s="7">
        <f>_xll.AnalizExpert.AnalizExpertIslem.PiyasaDegeri($A89)</f>
        <v>63750000000</v>
      </c>
      <c r="D89" s="6">
        <f>_xll.AnalizExpert.AnalizExpertIslem.FiyatKazancDonemSonu($A89,"2022/06","TL")</f>
        <v>6.2462249378032153</v>
      </c>
      <c r="E89" s="6">
        <f>_xll.AnalizExpert.AnalizExpertIslem.PdDd($A89)</f>
        <v>7.9920548318897904</v>
      </c>
      <c r="F89" s="88">
        <f>_xll.AnalizExpert.AnalizExpertIslem.KalemFAVOK($A89,,,1,1,1,1)</f>
        <v>6992085000</v>
      </c>
      <c r="G89" s="6">
        <f>_xll.AnalizExpert.AnalizExpertIslem.HisseBasinaKar($A89)</f>
        <v>12.562430000000001</v>
      </c>
      <c r="H89" s="6">
        <f>_xll.AnalizExpert.AnalizExpertIslem.TemettuVerimi($A89,"",0)</f>
        <v>4.7064985747921568</v>
      </c>
      <c r="I89" s="6">
        <f>_xll.AnalizExpert.AnalizExpertIslem.HisseGetiri($A89,"yt")</f>
        <v>82.984915936445105</v>
      </c>
      <c r="J89" s="133">
        <f>_xll.AnalizExpert.AnalizExpertIslem.HisseGetiri($A89,"s1y")</f>
        <v>114.92564990518063</v>
      </c>
    </row>
    <row r="90" spans="1:10" ht="15.5" x14ac:dyDescent="0.35">
      <c r="A90" s="132" t="s">
        <v>85</v>
      </c>
      <c r="B90" s="6">
        <f>_xll.AnalizExpert.AnalizExpertIslem.HisseKapanis($A90)</f>
        <v>14.3</v>
      </c>
      <c r="C90" s="7">
        <f>_xll.AnalizExpert.AnalizExpertIslem.PiyasaDegeri($A90)</f>
        <v>14300000000</v>
      </c>
      <c r="D90" s="6">
        <f>_xll.AnalizExpert.AnalizExpertIslem.FiyatKazancDonemSonu($A90,"2022/06","TL")</f>
        <v>1.3146678698264036</v>
      </c>
      <c r="E90" s="6">
        <f>_xll.AnalizExpert.AnalizExpertIslem.PdDd($A90)</f>
        <v>0.94085421931009194</v>
      </c>
      <c r="F90" s="88">
        <f>_xll.AnalizExpert.AnalizExpertIslem.KalemFAVOK($A90,,,1,1,1,1)</f>
        <v>1322093000</v>
      </c>
      <c r="G90" s="6">
        <f>_xll.AnalizExpert.AnalizExpertIslem.HisseBasinaKar($A90)</f>
        <v>6.3541600000000003</v>
      </c>
      <c r="H90" s="6">
        <f>_xll.AnalizExpert.AnalizExpertIslem.TemettuVerimi($A90,"",0)</f>
        <v>0</v>
      </c>
      <c r="I90" s="6">
        <f>_xll.AnalizExpert.AnalizExpertIslem.HisseGetiri($A90,"yt")</f>
        <v>264.79591836734693</v>
      </c>
      <c r="J90" s="133">
        <f>_xll.AnalizExpert.AnalizExpertIslem.HisseGetiri($A90,"s1y")</f>
        <v>259.2964824120603</v>
      </c>
    </row>
    <row r="91" spans="1:10" ht="15.5" x14ac:dyDescent="0.35">
      <c r="A91" s="132" t="s">
        <v>89</v>
      </c>
      <c r="B91" s="6">
        <f>_xll.AnalizExpert.AnalizExpertIslem.HisseKapanis($A91)</f>
        <v>11.32</v>
      </c>
      <c r="C91" s="7">
        <f>_xll.AnalizExpert.AnalizExpertIslem.PiyasaDegeri($A91)</f>
        <v>1831632600</v>
      </c>
      <c r="D91" s="6">
        <f>_xll.AnalizExpert.AnalizExpertIslem.FiyatKazancDonemSonu($A91,"2022/06","TL")</f>
        <v>110.47373884256251</v>
      </c>
      <c r="E91" s="6">
        <f>_xll.AnalizExpert.AnalizExpertIslem.PdDd($A91)</f>
        <v>5.0401433559002955</v>
      </c>
      <c r="F91" s="88">
        <f>_xll.AnalizExpert.AnalizExpertIslem.KalemFAVOK($A91,,,1,1,1,1)</f>
        <v>81071244</v>
      </c>
      <c r="G91" s="6">
        <f>_xll.AnalizExpert.AnalizExpertIslem.HisseBasinaKar($A91)</f>
        <v>0.1917357127406446</v>
      </c>
      <c r="H91" s="6">
        <f>_xll.AnalizExpert.AnalizExpertIslem.TemettuVerimi($A91,"",0)</f>
        <v>0</v>
      </c>
      <c r="I91" s="6">
        <f>_xll.AnalizExpert.AnalizExpertIslem.HisseGetiri($A91,"yt")</f>
        <v>-3.2478632478632363</v>
      </c>
      <c r="J91" s="133">
        <f>_xll.AnalizExpert.AnalizExpertIslem.HisseGetiri($A91,"s1y")</f>
        <v>15.392456676860334</v>
      </c>
    </row>
    <row r="92" spans="1:10" ht="15.5" x14ac:dyDescent="0.35">
      <c r="A92" s="132" t="s">
        <v>80</v>
      </c>
      <c r="B92" s="6">
        <f>_xll.AnalizExpert.AnalizExpertIslem.HisseKapanis($A92)</f>
        <v>3.44</v>
      </c>
      <c r="C92" s="7">
        <f>_xll.AnalizExpert.AnalizExpertIslem.PiyasaDegeri($A92)</f>
        <v>9632000000</v>
      </c>
      <c r="D92" s="6">
        <f>_xll.AnalizExpert.AnalizExpertIslem.FiyatKazancDonemSonu($A92,"2022/06","TL")</f>
        <v>2.6404808039672889</v>
      </c>
      <c r="E92" s="6">
        <f>_xll.AnalizExpert.AnalizExpertIslem.PdDd($A92)</f>
        <v>1.000030731841427</v>
      </c>
      <c r="F92" s="88">
        <f>_xll.AnalizExpert.AnalizExpertIslem.KalemFAVOK($A92,,,1,1,1,1)</f>
        <v>0</v>
      </c>
      <c r="G92" s="6">
        <f>_xll.AnalizExpert.AnalizExpertIslem.HisseBasinaKar($A92)</f>
        <v>1.0566925</v>
      </c>
      <c r="H92" s="6">
        <f>_xll.AnalizExpert.AnalizExpertIslem.TemettuVerimi($A92,"",0)</f>
        <v>0</v>
      </c>
      <c r="I92" s="6">
        <f>_xll.AnalizExpert.AnalizExpertIslem.HisseGetiri($A92,"yt")</f>
        <v>138.88888888888889</v>
      </c>
      <c r="J92" s="133">
        <f>_xll.AnalizExpert.AnalizExpertIslem.HisseGetiri($A92,"s1y")</f>
        <v>121.93548387096773</v>
      </c>
    </row>
    <row r="93" spans="1:10" ht="15.5" x14ac:dyDescent="0.35">
      <c r="A93" s="132" t="s">
        <v>90</v>
      </c>
      <c r="B93" s="6">
        <f>_xll.AnalizExpert.AnalizExpertIslem.HisseKapanis($A93)</f>
        <v>14.7</v>
      </c>
      <c r="C93" s="7">
        <f>_xll.AnalizExpert.AnalizExpertIslem.PiyasaDegeri($A93)</f>
        <v>51450000000</v>
      </c>
      <c r="D93" s="6">
        <f>_xll.AnalizExpert.AnalizExpertIslem.FiyatKazancDonemSonu($A93,"2022/06","TL")</f>
        <v>6.0348268194427783</v>
      </c>
      <c r="E93" s="6">
        <f>_xll.AnalizExpert.AnalizExpertIslem.PdDd($A93)</f>
        <v>2.6449480361530724</v>
      </c>
      <c r="F93" s="88">
        <f>_xll.AnalizExpert.AnalizExpertIslem.KalemFAVOK($A93,,,1,1,1,1)</f>
        <v>12669248000</v>
      </c>
      <c r="G93" s="6">
        <f>_xll.AnalizExpert.AnalizExpertIslem.HisseBasinaKar($A93)</f>
        <v>1.2022120000000001</v>
      </c>
      <c r="H93" s="6">
        <f>_xll.AnalizExpert.AnalizExpertIslem.TemettuVerimi($A93,"",0)</f>
        <v>8.9798481292517014</v>
      </c>
      <c r="I93" s="6">
        <f>_xll.AnalizExpert.AnalizExpertIslem.HisseGetiri($A93,"yt")</f>
        <v>72.230983778865436</v>
      </c>
      <c r="J93" s="133">
        <f>_xll.AnalizExpert.AnalizExpertIslem.HisseGetiri($A93,"s1y")</f>
        <v>83.268991579057911</v>
      </c>
    </row>
    <row r="94" spans="1:10" ht="15.5" x14ac:dyDescent="0.35">
      <c r="A94" s="132" t="s">
        <v>91</v>
      </c>
      <c r="B94" s="6">
        <f>_xll.AnalizExpert.AnalizExpertIslem.HisseKapanis($A94)</f>
        <v>444.8</v>
      </c>
      <c r="C94" s="7">
        <f>_xll.AnalizExpert.AnalizExpertIslem.PiyasaDegeri($A94)</f>
        <v>23738531200</v>
      </c>
      <c r="D94" s="6">
        <f>_xll.AnalizExpert.AnalizExpertIslem.FiyatKazancDonemSonu($A94,"2022/06","TL")</f>
        <v>6.947655484714967</v>
      </c>
      <c r="E94" s="6">
        <f>_xll.AnalizExpert.AnalizExpertIslem.PdDd($A94)</f>
        <v>9.9878824006809523</v>
      </c>
      <c r="F94" s="88">
        <f>_xll.AnalizExpert.AnalizExpertIslem.KalemFAVOK($A94,,,1,1,1,1)</f>
        <v>2223087350</v>
      </c>
      <c r="G94" s="6">
        <f>_xll.AnalizExpert.AnalizExpertIslem.HisseBasinaKar($A94)</f>
        <v>39.423663325151303</v>
      </c>
      <c r="H94" s="6">
        <f>_xll.AnalizExpert.AnalizExpertIslem.TemettuVerimi($A94,"",0)</f>
        <v>4.8339132199552441</v>
      </c>
      <c r="I94" s="6">
        <f>_xll.AnalizExpert.AnalizExpertIslem.HisseGetiri($A94,"yt")</f>
        <v>116.53763013336436</v>
      </c>
      <c r="J94" s="133">
        <f>_xll.AnalizExpert.AnalizExpertIslem.HisseGetiri($A94,"s1y")</f>
        <v>164.18534395355996</v>
      </c>
    </row>
    <row r="95" spans="1:10" ht="15.5" x14ac:dyDescent="0.35">
      <c r="A95" s="132" t="s">
        <v>87</v>
      </c>
      <c r="B95" s="6">
        <f>_xll.AnalizExpert.AnalizExpertIslem.HisseKapanis($A95)</f>
        <v>432.8</v>
      </c>
      <c r="C95" s="7">
        <f>_xll.AnalizExpert.AnalizExpertIslem.PiyasaDegeri($A95)</f>
        <v>119131019259.2</v>
      </c>
      <c r="D95" s="6">
        <f>_xll.AnalizExpert.AnalizExpertIslem.FiyatKazancDonemSonu($A95,"2022/06","TL")</f>
        <v>4.769689960222026</v>
      </c>
      <c r="E95" s="6">
        <f>_xll.AnalizExpert.AnalizExpertIslem.PdDd($A95)</f>
        <v>2.6193282400525084</v>
      </c>
      <c r="F95" s="88">
        <f>_xll.AnalizExpert.AnalizExpertIslem.KalemFAVOK($A95,,,1,1,1,1)</f>
        <v>38840488000</v>
      </c>
      <c r="G95" s="6">
        <f>_xll.AnalizExpert.AnalizExpertIslem.HisseBasinaKar($A95)</f>
        <v>89.750123043409616</v>
      </c>
      <c r="H95" s="6">
        <f>_xll.AnalizExpert.AnalizExpertIslem.TemettuVerimi($A95,"",0)</f>
        <v>0</v>
      </c>
      <c r="I95" s="6">
        <f>_xll.AnalizExpert.AnalizExpertIslem.HisseGetiri($A95,"yt")</f>
        <v>180.31088082901556</v>
      </c>
      <c r="J95" s="133">
        <f>_xll.AnalizExpert.AnalizExpertIslem.HisseGetiri($A95,"s1y")</f>
        <v>179.04577691811738</v>
      </c>
    </row>
    <row r="96" spans="1:10" ht="15.5" x14ac:dyDescent="0.35">
      <c r="A96" s="132" t="s">
        <v>92</v>
      </c>
      <c r="B96" s="6">
        <f>_xll.AnalizExpert.AnalizExpertIslem.HisseKapanis($A96)</f>
        <v>9.73</v>
      </c>
      <c r="C96" s="7">
        <f>_xll.AnalizExpert.AnalizExpertIslem.PiyasaDegeri($A96)</f>
        <v>11301622321.99</v>
      </c>
      <c r="D96" s="6">
        <f>_xll.AnalizExpert.AnalizExpertIslem.FiyatKazancDonemSonu($A96,"2022/06","TL")</f>
        <v>7.8116986175597765</v>
      </c>
      <c r="E96" s="6">
        <f>_xll.AnalizExpert.AnalizExpertIslem.PdDd($A96)</f>
        <v>2.5908950906295898</v>
      </c>
      <c r="F96" s="88">
        <f>_xll.AnalizExpert.AnalizExpertIslem.KalemFAVOK($A96,,,1,1,1,1)</f>
        <v>0</v>
      </c>
      <c r="G96" s="6">
        <f>_xll.AnalizExpert.AnalizExpertIslem.HisseBasinaKar($A96)</f>
        <v>0.68182250760288843</v>
      </c>
      <c r="H96" s="6">
        <f>_xll.AnalizExpert.AnalizExpertIslem.TemettuVerimi($A96,"",0)</f>
        <v>4.2223534675327494</v>
      </c>
      <c r="I96" s="6">
        <f>_xll.AnalizExpert.AnalizExpertIslem.HisseGetiri($A96,"yt")</f>
        <v>109.27463464354896</v>
      </c>
      <c r="J96" s="133">
        <f>_xll.AnalizExpert.AnalizExpertIslem.HisseGetiri($A96,"s1y")</f>
        <v>106.40785882651404</v>
      </c>
    </row>
    <row r="97" spans="1:12" ht="15.5" x14ac:dyDescent="0.35">
      <c r="A97" s="132" t="s">
        <v>93</v>
      </c>
      <c r="B97" s="6">
        <f>_xll.AnalizExpert.AnalizExpertIslem.HisseKapanis($A97)</f>
        <v>26.8</v>
      </c>
      <c r="C97" s="7">
        <f>_xll.AnalizExpert.AnalizExpertIslem.PiyasaDegeri($A97)</f>
        <v>9165600000</v>
      </c>
      <c r="D97" s="6">
        <f>_xll.AnalizExpert.AnalizExpertIslem.FiyatKazancDonemSonu($A97,"2022/06","TL")</f>
        <v>0</v>
      </c>
      <c r="E97" s="6">
        <f>_xll.AnalizExpert.AnalizExpertIslem.PdDd($A97)</f>
        <v>3.3521134487204103</v>
      </c>
      <c r="F97" s="88">
        <f>_xll.AnalizExpert.AnalizExpertIslem.KalemFAVOK($A97,,,1,1,1,1)</f>
        <v>3632746000</v>
      </c>
      <c r="G97" s="6">
        <f>_xll.AnalizExpert.AnalizExpertIslem.HisseBasinaKar($A97)</f>
        <v>0</v>
      </c>
      <c r="H97" s="6">
        <f>_xll.AnalizExpert.AnalizExpertIslem.TemettuVerimi($A97,"",0)</f>
        <v>0</v>
      </c>
      <c r="I97" s="6">
        <f>_xll.AnalizExpert.AnalizExpertIslem.HisseGetiri($A97,"yt")</f>
        <v>53.757888697647751</v>
      </c>
      <c r="J97" s="133">
        <f>_xll.AnalizExpert.AnalizExpertIslem.HisseGetiri($A97,"s1y")</f>
        <v>37.860082304526756</v>
      </c>
    </row>
    <row r="98" spans="1:12" ht="15.5" x14ac:dyDescent="0.35">
      <c r="A98" s="132" t="s">
        <v>94</v>
      </c>
      <c r="B98" s="6">
        <f>_xll.AnalizExpert.AnalizExpertIslem.HisseKapanis($A98)</f>
        <v>9.5399999999999991</v>
      </c>
      <c r="C98" s="7">
        <f>_xll.AnalizExpert.AnalizExpertIslem.PiyasaDegeri($A98)</f>
        <v>67842413673.833153</v>
      </c>
      <c r="D98" s="6">
        <f>_xll.AnalizExpert.AnalizExpertIslem.FiyatKazancDonemSonu($A98,"2022/06","TL")</f>
        <v>1.9915089384324638</v>
      </c>
      <c r="E98" s="6">
        <f>_xll.AnalizExpert.AnalizExpertIslem.PdDd($A98)</f>
        <v>0.74695878550312422</v>
      </c>
      <c r="F98" s="88">
        <f>_xll.AnalizExpert.AnalizExpertIslem.KalemFAVOK($A98,,,1,1,1,1)</f>
        <v>0</v>
      </c>
      <c r="G98" s="6">
        <f>_xll.AnalizExpert.AnalizExpertIslem.HisseBasinaKar($A98)</f>
        <v>2.4759957036255771</v>
      </c>
      <c r="H98" s="6">
        <f>_xll.AnalizExpert.AnalizExpertIslem.TemettuVerimi($A98,"",0)</f>
        <v>0</v>
      </c>
      <c r="I98" s="6">
        <f>_xll.AnalizExpert.AnalizExpertIslem.HisseGetiri($A98,"yt")</f>
        <v>159.23913043478257</v>
      </c>
      <c r="J98" s="133">
        <f>_xll.AnalizExpert.AnalizExpertIslem.HisseGetiri($A98,"s1y")</f>
        <v>142.74809160305341</v>
      </c>
    </row>
    <row r="99" spans="1:12" ht="15.5" x14ac:dyDescent="0.35">
      <c r="A99" s="132" t="s">
        <v>96</v>
      </c>
      <c r="B99" s="6">
        <f>_xll.AnalizExpert.AnalizExpertIslem.HisseKapanis($A99)</f>
        <v>9.83</v>
      </c>
      <c r="C99" s="7">
        <f>_xll.AnalizExpert.AnalizExpertIslem.PiyasaDegeri($A99)</f>
        <v>15728000000</v>
      </c>
      <c r="D99" s="6">
        <f>_xll.AnalizExpert.AnalizExpertIslem.FiyatKazancDonemSonu($A99,"2022/06","TL")</f>
        <v>7.3742137561379391</v>
      </c>
      <c r="E99" s="6">
        <f>_xll.AnalizExpert.AnalizExpertIslem.PdDd($A99)</f>
        <v>2.8649150999314008</v>
      </c>
      <c r="F99" s="88">
        <f>_xll.AnalizExpert.AnalizExpertIslem.KalemFAVOK($A99,,,1,1,1,1)</f>
        <v>2591034000</v>
      </c>
      <c r="G99" s="6">
        <f>_xll.AnalizExpert.AnalizExpertIslem.HisseBasinaKar($A99)</f>
        <v>1.1578487500000001</v>
      </c>
      <c r="H99" s="6">
        <f>_xll.AnalizExpert.AnalizExpertIslem.TemettuVerimi($A99,"",0)</f>
        <v>3.9959179361648016</v>
      </c>
      <c r="I99" s="6">
        <f>_xll.AnalizExpert.AnalizExpertIslem.HisseGetiri($A99,"yt")</f>
        <v>30.623482002168135</v>
      </c>
      <c r="J99" s="133">
        <f>_xll.AnalizExpert.AnalizExpertIslem.HisseGetiri($A99,"s1y")</f>
        <v>46.209238377426857</v>
      </c>
    </row>
    <row r="100" spans="1:12" ht="15.5" x14ac:dyDescent="0.35">
      <c r="A100" s="132" t="s">
        <v>95</v>
      </c>
      <c r="B100" s="6">
        <f>_xll.AnalizExpert.AnalizExpertIslem.HisseKapanis($A100)</f>
        <v>44</v>
      </c>
      <c r="C100" s="7">
        <f>_xll.AnalizExpert.AnalizExpertIslem.PiyasaDegeri($A100)</f>
        <v>14760076100</v>
      </c>
      <c r="D100" s="6">
        <f>_xll.AnalizExpert.AnalizExpertIslem.FiyatKazancDonemSonu($A100,"2022/06","TL")</f>
        <v>3.5543751821126275</v>
      </c>
      <c r="E100" s="6">
        <f>_xll.AnalizExpert.AnalizExpertIslem.PdDd($A100)</f>
        <v>1.2835558644808531</v>
      </c>
      <c r="F100" s="88">
        <f>_xll.AnalizExpert.AnalizExpertIslem.KalemFAVOK($A100,,,1,1,1,1)</f>
        <v>4854063000</v>
      </c>
      <c r="G100" s="6">
        <f>_xll.AnalizExpert.AnalizExpertIslem.HisseBasinaKar($A100)</f>
        <v>5.3489504705195934</v>
      </c>
      <c r="H100" s="6">
        <f>_xll.AnalizExpert.AnalizExpertIslem.TemettuVerimi($A100,"",0)</f>
        <v>0</v>
      </c>
      <c r="I100" s="6">
        <f>_xll.AnalizExpert.AnalizExpertIslem.HisseGetiri($A100,"yt")</f>
        <v>75.718849840255587</v>
      </c>
      <c r="J100" s="133">
        <f>_xll.AnalizExpert.AnalizExpertIslem.HisseGetiri($A100,"s1y")</f>
        <v>63.029461270300111</v>
      </c>
    </row>
    <row r="101" spans="1:12" ht="15.5" x14ac:dyDescent="0.35">
      <c r="A101" s="132" t="s">
        <v>98</v>
      </c>
      <c r="B101" s="6">
        <f>_xll.AnalizExpert.AnalizExpertIslem.HisseKapanis($A101)</f>
        <v>24</v>
      </c>
      <c r="C101" s="7">
        <f>_xll.AnalizExpert.AnalizExpertIslem.PiyasaDegeri($A101)</f>
        <v>3595174380</v>
      </c>
      <c r="D101" s="6">
        <f>_xll.AnalizExpert.AnalizExpertIslem.FiyatKazancDonemSonu($A101,"2022/06","TL")</f>
        <v>5.4948010892743087</v>
      </c>
      <c r="E101" s="6">
        <f>_xll.AnalizExpert.AnalizExpertIslem.PdDd($A101)</f>
        <v>2.8311011309675229</v>
      </c>
      <c r="F101" s="88">
        <f>_xll.AnalizExpert.AnalizExpertIslem.KalemFAVOK($A101,,,1,1,1,1)</f>
        <v>604849575</v>
      </c>
      <c r="G101" s="6">
        <f>_xll.AnalizExpert.AnalizExpertIslem.HisseBasinaKar($A101)</f>
        <v>3.1860055344519895</v>
      </c>
      <c r="H101" s="6">
        <f>_xll.AnalizExpert.AnalizExpertIslem.TemettuVerimi($A101,"",0)</f>
        <v>2.5033556230449108</v>
      </c>
      <c r="I101" s="6">
        <f>_xll.AnalizExpert.AnalizExpertIslem.HisseGetiri($A101,"yt")</f>
        <v>124.99118374318128</v>
      </c>
      <c r="J101" s="133">
        <f>_xll.AnalizExpert.AnalizExpertIslem.HisseGetiri($A101,"s1y")</f>
        <v>94.096350909555909</v>
      </c>
    </row>
    <row r="102" spans="1:12" ht="15.5" x14ac:dyDescent="0.35">
      <c r="A102" s="132" t="s">
        <v>97</v>
      </c>
      <c r="B102" s="6">
        <f>_xll.AnalizExpert.AnalizExpertIslem.HisseKapanis($A102)</f>
        <v>11.41</v>
      </c>
      <c r="C102" s="7">
        <f>_xll.AnalizExpert.AnalizExpertIslem.PiyasaDegeri($A102)</f>
        <v>96380855150.440002</v>
      </c>
      <c r="D102" s="6">
        <f>_xll.AnalizExpert.AnalizExpertIslem.FiyatKazancDonemSonu($A102,"2022/06","TL")</f>
        <v>1.4075638895074265</v>
      </c>
      <c r="E102" s="6">
        <f>_xll.AnalizExpert.AnalizExpertIslem.PdDd($A102)</f>
        <v>0.85658665343575835</v>
      </c>
      <c r="F102" s="88">
        <f>_xll.AnalizExpert.AnalizExpertIslem.KalemFAVOK($A102,,,1,1,1,1)</f>
        <v>0</v>
      </c>
      <c r="G102" s="6">
        <f>_xll.AnalizExpert.AnalizExpertIslem.HisseBasinaKar($A102)</f>
        <v>4.6019746646538771</v>
      </c>
      <c r="H102" s="6">
        <f>_xll.AnalizExpert.AnalizExpertIslem.TemettuVerimi($A102,"",0)</f>
        <v>0.93379540842960795</v>
      </c>
      <c r="I102" s="6">
        <f>_xll.AnalizExpert.AnalizExpertIslem.HisseGetiri($A102,"yt")</f>
        <v>245.46937358130126</v>
      </c>
      <c r="J102" s="133">
        <f>_xll.AnalizExpert.AnalizExpertIslem.HisseGetiri($A102,"s1y")</f>
        <v>228.92576977599956</v>
      </c>
    </row>
    <row r="103" spans="1:12" ht="15.5" x14ac:dyDescent="0.35">
      <c r="A103" s="132" t="s">
        <v>100</v>
      </c>
      <c r="B103" s="6">
        <f>_xll.AnalizExpert.AnalizExpertIslem.HisseKapanis($A103)</f>
        <v>8.19</v>
      </c>
      <c r="C103" s="7">
        <f>_xll.AnalizExpert.AnalizExpertIslem.PiyasaDegeri($A103)</f>
        <v>20475000000</v>
      </c>
      <c r="D103" s="6">
        <f>_xll.AnalizExpert.AnalizExpertIslem.FiyatKazancDonemSonu($A103,"2022/06","TL")</f>
        <v>0</v>
      </c>
      <c r="E103" s="6">
        <f>_xll.AnalizExpert.AnalizExpertIslem.PdDd($A103)</f>
        <v>2.1073805871702671</v>
      </c>
      <c r="F103" s="88">
        <f>_xll.AnalizExpert.AnalizExpertIslem.KalemFAVOK($A103,,,1,1,1,1)</f>
        <v>3802806000</v>
      </c>
      <c r="G103" s="6">
        <f>_xll.AnalizExpert.AnalizExpertIslem.HisseBasinaKar($A103)</f>
        <v>2.3260400000000001E-2</v>
      </c>
      <c r="H103" s="6">
        <f>_xll.AnalizExpert.AnalizExpertIslem.TemettuVerimi($A103,"",0)</f>
        <v>0</v>
      </c>
      <c r="I103" s="6">
        <f>_xll.AnalizExpert.AnalizExpertIslem.HisseGetiri($A103,"yt")</f>
        <v>393.37349397590361</v>
      </c>
      <c r="J103" s="133">
        <f>_xll.AnalizExpert.AnalizExpertIslem.HisseGetiri($A103,"s1y")</f>
        <v>384.61538461538458</v>
      </c>
    </row>
    <row r="104" spans="1:12" ht="16" thickBot="1" x14ac:dyDescent="0.4">
      <c r="A104" s="134" t="s">
        <v>99</v>
      </c>
      <c r="B104" s="136">
        <f>_xll.AnalizExpert.AnalizExpertIslem.HisseKapanis($A104)</f>
        <v>5.05</v>
      </c>
      <c r="C104" s="146">
        <f>_xll.AnalizExpert.AnalizExpertIslem.PiyasaDegeri($A104)</f>
        <v>23702781000</v>
      </c>
      <c r="D104" s="136">
        <f>_xll.AnalizExpert.AnalizExpertIslem.FiyatKazancDonemSonu($A104,"2022/06","TL")</f>
        <v>10.469229347522877</v>
      </c>
      <c r="E104" s="136">
        <f>_xll.AnalizExpert.AnalizExpertIslem.PdDd($A104)</f>
        <v>2.7977793402241109</v>
      </c>
      <c r="F104" s="147">
        <f>_xll.AnalizExpert.AnalizExpertIslem.KalemFAVOK($A104,,,1,1,1,1)</f>
        <v>185457436</v>
      </c>
      <c r="G104" s="136">
        <f>_xll.AnalizExpert.AnalizExpertIslem.HisseBasinaKar($A104)</f>
        <v>0.30449739284390298</v>
      </c>
      <c r="H104" s="136">
        <f>_xll.AnalizExpert.AnalizExpertIslem.TemettuVerimi($A104,"",0)</f>
        <v>6.2807495162698415E-2</v>
      </c>
      <c r="I104" s="136">
        <f>_xll.AnalizExpert.AnalizExpertIslem.HisseGetiri($A104,"yt")</f>
        <v>108.02319851745921</v>
      </c>
      <c r="J104" s="137">
        <f>_xll.AnalizExpert.AnalizExpertIslem.HisseGetiri($A104,"s1y")</f>
        <v>117.8863674126836</v>
      </c>
    </row>
    <row r="105" spans="1:12" ht="15" customHeight="1" x14ac:dyDescent="0.35">
      <c r="A105" s="193" t="s">
        <v>134</v>
      </c>
      <c r="B105" s="194"/>
      <c r="C105" s="194"/>
      <c r="D105" s="194"/>
      <c r="E105" s="194"/>
      <c r="F105" s="194"/>
      <c r="G105" s="194"/>
      <c r="H105" s="194"/>
      <c r="I105" s="194"/>
      <c r="J105" s="195"/>
      <c r="K105" s="22"/>
      <c r="L105" s="22"/>
    </row>
    <row r="106" spans="1:12" x14ac:dyDescent="0.35">
      <c r="A106" s="196"/>
      <c r="B106" s="197"/>
      <c r="C106" s="197"/>
      <c r="D106" s="197"/>
      <c r="E106" s="197"/>
      <c r="F106" s="197"/>
      <c r="G106" s="197"/>
      <c r="H106" s="197"/>
      <c r="I106" s="197"/>
      <c r="J106" s="198"/>
      <c r="K106" s="22"/>
      <c r="L106" s="22"/>
    </row>
    <row r="107" spans="1:12" x14ac:dyDescent="0.35">
      <c r="A107" s="196"/>
      <c r="B107" s="197"/>
      <c r="C107" s="197"/>
      <c r="D107" s="197"/>
      <c r="E107" s="197"/>
      <c r="F107" s="197"/>
      <c r="G107" s="197"/>
      <c r="H107" s="197"/>
      <c r="I107" s="197"/>
      <c r="J107" s="198"/>
      <c r="K107" s="22"/>
      <c r="L107" s="22"/>
    </row>
    <row r="108" spans="1:12" x14ac:dyDescent="0.35">
      <c r="A108" s="196"/>
      <c r="B108" s="197"/>
      <c r="C108" s="197"/>
      <c r="D108" s="197"/>
      <c r="E108" s="197"/>
      <c r="F108" s="197"/>
      <c r="G108" s="197"/>
      <c r="H108" s="197"/>
      <c r="I108" s="197"/>
      <c r="J108" s="198"/>
      <c r="K108" s="22"/>
      <c r="L108" s="22"/>
    </row>
    <row r="109" spans="1:12" x14ac:dyDescent="0.35">
      <c r="A109" s="196"/>
      <c r="B109" s="197"/>
      <c r="C109" s="197"/>
      <c r="D109" s="197"/>
      <c r="E109" s="197"/>
      <c r="F109" s="197"/>
      <c r="G109" s="197"/>
      <c r="H109" s="197"/>
      <c r="I109" s="197"/>
      <c r="J109" s="198"/>
      <c r="K109" s="22"/>
      <c r="L109" s="22"/>
    </row>
    <row r="110" spans="1:12" x14ac:dyDescent="0.35">
      <c r="A110" s="196"/>
      <c r="B110" s="197"/>
      <c r="C110" s="197"/>
      <c r="D110" s="197"/>
      <c r="E110" s="197"/>
      <c r="F110" s="197"/>
      <c r="G110" s="197"/>
      <c r="H110" s="197"/>
      <c r="I110" s="197"/>
      <c r="J110" s="198"/>
      <c r="K110" s="22"/>
      <c r="L110" s="22"/>
    </row>
    <row r="111" spans="1:12" ht="15" thickBot="1" x14ac:dyDescent="0.4">
      <c r="A111" s="199"/>
      <c r="B111" s="200"/>
      <c r="C111" s="200"/>
      <c r="D111" s="200"/>
      <c r="E111" s="200"/>
      <c r="F111" s="200"/>
      <c r="G111" s="200"/>
      <c r="H111" s="200"/>
      <c r="I111" s="200"/>
      <c r="J111" s="201"/>
      <c r="K111" s="22"/>
      <c r="L111" s="22"/>
    </row>
    <row r="112" spans="1:12" x14ac:dyDescent="0.35">
      <c r="A112" s="23"/>
      <c r="B112" s="24"/>
      <c r="C112" s="24"/>
      <c r="D112" s="24"/>
      <c r="E112" s="24"/>
      <c r="F112" s="24"/>
      <c r="G112" s="24"/>
      <c r="H112" s="24"/>
      <c r="I112" s="24"/>
      <c r="J112" s="25"/>
      <c r="K112" s="32"/>
      <c r="L112" s="32"/>
    </row>
    <row r="113" spans="1:12" x14ac:dyDescent="0.35">
      <c r="A113" s="26"/>
      <c r="B113" s="27"/>
      <c r="C113" s="27"/>
      <c r="D113" s="27"/>
      <c r="E113" s="27"/>
      <c r="F113" s="27"/>
      <c r="G113" s="27"/>
      <c r="H113" s="27"/>
      <c r="I113" s="27"/>
      <c r="J113" s="28"/>
      <c r="K113" s="32"/>
      <c r="L113" s="32"/>
    </row>
    <row r="114" spans="1:12" x14ac:dyDescent="0.35">
      <c r="A114" s="26"/>
      <c r="B114" s="27"/>
      <c r="C114" s="27"/>
      <c r="D114" s="27"/>
      <c r="E114" s="27"/>
      <c r="F114" s="27"/>
      <c r="G114" s="27"/>
      <c r="H114" s="27"/>
      <c r="I114" s="27"/>
      <c r="J114" s="28"/>
      <c r="K114" s="32"/>
      <c r="L114" s="32"/>
    </row>
    <row r="115" spans="1:12" ht="15" thickBot="1" x14ac:dyDescent="0.4">
      <c r="A115" s="29"/>
      <c r="B115" s="30"/>
      <c r="C115" s="30"/>
      <c r="D115" s="30"/>
      <c r="E115" s="30"/>
      <c r="F115" s="30"/>
      <c r="G115" s="30"/>
      <c r="H115" s="30"/>
      <c r="I115" s="30"/>
      <c r="J115" s="31"/>
      <c r="K115" s="32"/>
      <c r="L115" s="32"/>
    </row>
  </sheetData>
  <mergeCells count="3">
    <mergeCell ref="J1:J3"/>
    <mergeCell ref="C1:I3"/>
    <mergeCell ref="A105:J111"/>
  </mergeCells>
  <pageMargins left="0.43307086614173229" right="0.43307086614173229" top="0.19685039370078741" bottom="0.19685039370078741" header="0.11811023622047245" footer="0.11811023622047245"/>
  <pageSetup paperSize="9" scale="51" fitToHeight="0"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J126"/>
  <sheetViews>
    <sheetView showGridLines="0" workbookViewId="0">
      <selection activeCell="F125" sqref="B2:F125"/>
    </sheetView>
  </sheetViews>
  <sheetFormatPr defaultRowHeight="14.5" x14ac:dyDescent="0.35"/>
  <cols>
    <col min="1" max="1" width="4" customWidth="1"/>
    <col min="2" max="2" width="12.54296875" customWidth="1"/>
    <col min="3" max="3" width="18.453125" bestFit="1" customWidth="1"/>
    <col min="4" max="4" width="80.54296875" style="56" bestFit="1" customWidth="1"/>
    <col min="5" max="5" width="15.453125" bestFit="1" customWidth="1"/>
    <col min="6" max="6" width="3" customWidth="1"/>
  </cols>
  <sheetData>
    <row r="1" spans="2:5" ht="15" thickBot="1" x14ac:dyDescent="0.4"/>
    <row r="2" spans="2:5" x14ac:dyDescent="0.35">
      <c r="B2" s="12"/>
      <c r="C2" s="13"/>
      <c r="D2" s="57"/>
      <c r="E2" s="14"/>
    </row>
    <row r="3" spans="2:5" ht="15" customHeight="1" x14ac:dyDescent="0.35">
      <c r="B3" s="15"/>
      <c r="C3" s="16"/>
      <c r="D3" s="208" t="s">
        <v>142</v>
      </c>
      <c r="E3" s="21"/>
    </row>
    <row r="4" spans="2:5" ht="15" customHeight="1" x14ac:dyDescent="0.35">
      <c r="B4" s="15"/>
      <c r="C4" s="16"/>
      <c r="D4" s="208"/>
      <c r="E4" s="21"/>
    </row>
    <row r="5" spans="2:5" x14ac:dyDescent="0.35">
      <c r="B5" s="15"/>
      <c r="C5" s="16"/>
      <c r="D5" s="58"/>
      <c r="E5" s="17"/>
    </row>
    <row r="6" spans="2:5" ht="16" thickBot="1" x14ac:dyDescent="0.4">
      <c r="B6" s="68" t="s">
        <v>0</v>
      </c>
      <c r="C6" s="52" t="s">
        <v>139</v>
      </c>
      <c r="D6" s="59" t="s">
        <v>140</v>
      </c>
      <c r="E6" s="69" t="s">
        <v>141</v>
      </c>
    </row>
    <row r="7" spans="2:5" hidden="1" x14ac:dyDescent="0.35">
      <c r="B7" s="46" t="s">
        <v>1</v>
      </c>
      <c r="C7" s="49">
        <f>_xll.AnalizExpert.AnalizExpertIslem.KalemFAVOK($B7,"2021/06K","TL",1,1,1,1)</f>
        <v>0</v>
      </c>
      <c r="D7" s="60">
        <f>_xll.AnalizExpert.AnalizExpertIslem.KalemFAVOK($B7,"2022/06K","TL",1,1,1,1)</f>
        <v>0</v>
      </c>
      <c r="E7" s="50" t="e">
        <f t="shared" ref="E7:E38" si="0">D7/C7-1</f>
        <v>#DIV/0!</v>
      </c>
    </row>
    <row r="8" spans="2:5" x14ac:dyDescent="0.35">
      <c r="B8" s="45" t="s">
        <v>69</v>
      </c>
      <c r="C8" s="53">
        <f>_xll.AnalizExpert.AnalizExpertIslem.KalemFAVOK($B8,"2021/06K","TL",1,1,1,1)</f>
        <v>53964186</v>
      </c>
      <c r="D8" s="61">
        <f>_xll.AnalizExpert.AnalizExpertIslem.KalemFAVOK($B8,"2022/06K","TL",1,1,1,1)</f>
        <v>1935748440</v>
      </c>
      <c r="E8" s="64">
        <f t="shared" si="0"/>
        <v>34.870983766900515</v>
      </c>
    </row>
    <row r="9" spans="2:5" x14ac:dyDescent="0.35">
      <c r="B9" s="46" t="s">
        <v>43</v>
      </c>
      <c r="C9" s="49">
        <f>_xll.AnalizExpert.AnalizExpertIslem.KalemFAVOK($B9,"2021/06K","TL",1,1,1,1)</f>
        <v>47214261</v>
      </c>
      <c r="D9" s="60">
        <f>_xll.AnalizExpert.AnalizExpertIslem.KalemFAVOK($B9,"2022/06K","TL",1,1,1,1)</f>
        <v>561046471</v>
      </c>
      <c r="E9" s="65">
        <f t="shared" si="0"/>
        <v>10.882987451609166</v>
      </c>
    </row>
    <row r="10" spans="2:5" ht="15" thickBot="1" x14ac:dyDescent="0.4">
      <c r="B10" s="47" t="s">
        <v>62</v>
      </c>
      <c r="C10" s="51">
        <f>_xll.AnalizExpert.AnalizExpertIslem.KalemFAVOK($B10,"2021/06K","TL",1,1,1,1)</f>
        <v>53801861</v>
      </c>
      <c r="D10" s="62">
        <f>_xll.AnalizExpert.AnalizExpertIslem.KalemFAVOK($B10,"2022/06K","TL",1,1,1,1)</f>
        <v>499967014</v>
      </c>
      <c r="E10" s="66">
        <f t="shared" si="0"/>
        <v>8.2927457286282351</v>
      </c>
    </row>
    <row r="11" spans="2:5" hidden="1" x14ac:dyDescent="0.35">
      <c r="B11" s="46" t="s">
        <v>5</v>
      </c>
      <c r="C11" s="49">
        <f>_xll.AnalizExpert.AnalizExpertIslem.KalemFAVOK($B11,"2021/06K","TL",1,1,1,1)</f>
        <v>13765212</v>
      </c>
      <c r="D11" s="60">
        <f>_xll.AnalizExpert.AnalizExpertIslem.KalemFAVOK($B11,"2022/06K","TL",1,1,1,1)</f>
        <v>19997220</v>
      </c>
      <c r="E11" s="50">
        <f t="shared" si="0"/>
        <v>0.45273607119163883</v>
      </c>
    </row>
    <row r="12" spans="2:5" ht="15" thickBot="1" x14ac:dyDescent="0.4">
      <c r="B12" s="54" t="s">
        <v>81</v>
      </c>
      <c r="C12" s="55">
        <f>_xll.AnalizExpert.AnalizExpertIslem.KalemFAVOK($B12,"2021/06K","TL",1,1,1,1)</f>
        <v>229218000</v>
      </c>
      <c r="D12" s="63">
        <f>_xll.AnalizExpert.AnalizExpertIslem.KalemFAVOK($B12,"2022/06K","TL",1,1,1,1)</f>
        <v>2077503000</v>
      </c>
      <c r="E12" s="67">
        <f t="shared" si="0"/>
        <v>8.0634374263801281</v>
      </c>
    </row>
    <row r="13" spans="2:5" hidden="1" x14ac:dyDescent="0.35">
      <c r="B13" s="46" t="s">
        <v>7</v>
      </c>
      <c r="C13" s="49">
        <f>_xll.AnalizExpert.AnalizExpertIslem.KalemFAVOK($B13,"2021/06K","TL",1,1,1,1)</f>
        <v>0</v>
      </c>
      <c r="D13" s="60">
        <f>_xll.AnalizExpert.AnalizExpertIslem.KalemFAVOK($B13,"2022/06K","TL",1,1,1,1)</f>
        <v>0</v>
      </c>
      <c r="E13" s="50" t="e">
        <f t="shared" si="0"/>
        <v>#DIV/0!</v>
      </c>
    </row>
    <row r="14" spans="2:5" x14ac:dyDescent="0.35">
      <c r="B14" s="45" t="s">
        <v>64</v>
      </c>
      <c r="C14" s="53">
        <f>_xll.AnalizExpert.AnalizExpertIslem.KalemFAVOK($B14,"2021/06K","TL",1,1,1,1)</f>
        <v>168263146</v>
      </c>
      <c r="D14" s="61">
        <f>_xll.AnalizExpert.AnalizExpertIslem.KalemFAVOK($B14,"2022/06K","TL",1,1,1,1)</f>
        <v>1380470108</v>
      </c>
      <c r="E14" s="64">
        <f t="shared" si="0"/>
        <v>7.2042333144062329</v>
      </c>
    </row>
    <row r="15" spans="2:5" x14ac:dyDescent="0.35">
      <c r="B15" s="46" t="s">
        <v>6</v>
      </c>
      <c r="C15" s="49">
        <f>_xll.AnalizExpert.AnalizExpertIslem.KalemFAVOK($B15,"2021/06K","TL",1,1,1,1)</f>
        <v>67540161</v>
      </c>
      <c r="D15" s="60">
        <f>_xll.AnalizExpert.AnalizExpertIslem.KalemFAVOK($B15,"2022/06K","TL",1,1,1,1)</f>
        <v>539753051</v>
      </c>
      <c r="E15" s="65">
        <f t="shared" si="0"/>
        <v>6.9915866798126229</v>
      </c>
    </row>
    <row r="16" spans="2:5" ht="15" thickBot="1" x14ac:dyDescent="0.4">
      <c r="B16" s="47" t="s">
        <v>38</v>
      </c>
      <c r="C16" s="51">
        <f>_xll.AnalizExpert.AnalizExpertIslem.KalemFAVOK($B16,"2021/06K","TL",1,1,1,1)</f>
        <v>106770818</v>
      </c>
      <c r="D16" s="62">
        <f>_xll.AnalizExpert.AnalizExpertIslem.KalemFAVOK($B16,"2022/06K","TL",1,1,1,1)</f>
        <v>698673116</v>
      </c>
      <c r="E16" s="66">
        <f t="shared" si="0"/>
        <v>5.5436710993447669</v>
      </c>
    </row>
    <row r="17" spans="2:5" hidden="1" x14ac:dyDescent="0.35">
      <c r="B17" s="46" t="s">
        <v>11</v>
      </c>
      <c r="C17" s="49">
        <f>_xll.AnalizExpert.AnalizExpertIslem.KalemFAVOK($B17,"2021/06K","TL",1,1,1,1)</f>
        <v>3312622000</v>
      </c>
      <c r="D17" s="60">
        <f>_xll.AnalizExpert.AnalizExpertIslem.KalemFAVOK($B17,"2022/06K","TL",1,1,1,1)</f>
        <v>5342456000</v>
      </c>
      <c r="E17" s="50">
        <f t="shared" si="0"/>
        <v>0.61275750749708235</v>
      </c>
    </row>
    <row r="18" spans="2:5" hidden="1" x14ac:dyDescent="0.35">
      <c r="B18" s="46" t="s">
        <v>12</v>
      </c>
      <c r="C18" s="49">
        <f>_xll.AnalizExpert.AnalizExpertIslem.KalemFAVOK($B18,"2021/06K","TL",1,1,1,1)</f>
        <v>59743058</v>
      </c>
      <c r="D18" s="60">
        <f>_xll.AnalizExpert.AnalizExpertIslem.KalemFAVOK($B18,"2022/06K","TL",1,1,1,1)</f>
        <v>92826677</v>
      </c>
      <c r="E18" s="50">
        <f t="shared" si="0"/>
        <v>0.55376507509876705</v>
      </c>
    </row>
    <row r="19" spans="2:5" hidden="1" x14ac:dyDescent="0.35">
      <c r="B19" s="46" t="s">
        <v>13</v>
      </c>
      <c r="C19" s="49">
        <f>_xll.AnalizExpert.AnalizExpertIslem.KalemFAVOK($B19,"2021/06K","TL",1,1,1,1)</f>
        <v>1901322000</v>
      </c>
      <c r="D19" s="60">
        <f>_xll.AnalizExpert.AnalizExpertIslem.KalemFAVOK($B19,"2022/06K","TL",1,1,1,1)</f>
        <v>2705286000</v>
      </c>
      <c r="E19" s="50">
        <f t="shared" si="0"/>
        <v>0.4228447364517951</v>
      </c>
    </row>
    <row r="20" spans="2:5" x14ac:dyDescent="0.35">
      <c r="B20" s="45" t="s">
        <v>87</v>
      </c>
      <c r="C20" s="53">
        <f>_xll.AnalizExpert.AnalizExpertIslem.KalemFAVOK($B20,"2021/06K","TL",1,1,1,1)</f>
        <v>3633249000</v>
      </c>
      <c r="D20" s="61">
        <f>_xll.AnalizExpert.AnalizExpertIslem.KalemFAVOK($B20,"2022/06K","TL",1,1,1,1)</f>
        <v>20353902000</v>
      </c>
      <c r="E20" s="64">
        <f t="shared" si="0"/>
        <v>4.6021214070381635</v>
      </c>
    </row>
    <row r="21" spans="2:5" ht="15" thickBot="1" x14ac:dyDescent="0.4">
      <c r="B21" s="47" t="s">
        <v>20</v>
      </c>
      <c r="C21" s="51">
        <f>_xll.AnalizExpert.AnalizExpertIslem.KalemFAVOK($B21,"2021/06K","TL",1,1,1,1)</f>
        <v>159187714</v>
      </c>
      <c r="D21" s="62">
        <f>_xll.AnalizExpert.AnalizExpertIslem.KalemFAVOK($B21,"2022/06K","TL",1,1,1,1)</f>
        <v>794969304</v>
      </c>
      <c r="E21" s="66">
        <f t="shared" si="0"/>
        <v>3.9939111758335821</v>
      </c>
    </row>
    <row r="22" spans="2:5" hidden="1" x14ac:dyDescent="0.35">
      <c r="B22" s="46" t="s">
        <v>16</v>
      </c>
      <c r="C22" s="49">
        <f>_xll.AnalizExpert.AnalizExpertIslem.KalemFAVOK($B22,"2021/06K","TL",1,1,1,1)</f>
        <v>556734887</v>
      </c>
      <c r="D22" s="60">
        <f>_xll.AnalizExpert.AnalizExpertIslem.KalemFAVOK($B22,"2022/06K","TL",1,1,1,1)</f>
        <v>787805990</v>
      </c>
      <c r="E22" s="50">
        <f t="shared" si="0"/>
        <v>0.4150469251983484</v>
      </c>
    </row>
    <row r="23" spans="2:5" ht="15" thickBot="1" x14ac:dyDescent="0.4">
      <c r="B23" s="54" t="s">
        <v>22</v>
      </c>
      <c r="C23" s="55">
        <f>_xll.AnalizExpert.AnalizExpertIslem.KalemFAVOK($B23,"2021/06K","TL",1,1,1,1)</f>
        <v>122195314</v>
      </c>
      <c r="D23" s="63">
        <f>_xll.AnalizExpert.AnalizExpertIslem.KalemFAVOK($B23,"2022/06K","TL",1,1,1,1)</f>
        <v>603218823</v>
      </c>
      <c r="E23" s="67">
        <f t="shared" si="0"/>
        <v>3.9365135474834982</v>
      </c>
    </row>
    <row r="24" spans="2:5" hidden="1" x14ac:dyDescent="0.35">
      <c r="B24" s="46" t="s">
        <v>18</v>
      </c>
      <c r="C24" s="49">
        <f>_xll.AnalizExpert.AnalizExpertIslem.KalemFAVOK($B24,"2021/06K","TL",1,1,1,1)</f>
        <v>2840047000</v>
      </c>
      <c r="D24" s="60">
        <f>_xll.AnalizExpert.AnalizExpertIslem.KalemFAVOK($B24,"2022/06K","TL",1,1,1,1)</f>
        <v>5052902000</v>
      </c>
      <c r="E24" s="50">
        <f t="shared" si="0"/>
        <v>0.77916140120216326</v>
      </c>
    </row>
    <row r="25" spans="2:5" x14ac:dyDescent="0.35">
      <c r="B25" s="45" t="s">
        <v>71</v>
      </c>
      <c r="C25" s="53">
        <f>_xll.AnalizExpert.AnalizExpertIslem.KalemFAVOK($B25,"2021/06K","TL",1,1,1,1)</f>
        <v>151181230</v>
      </c>
      <c r="D25" s="61">
        <f>_xll.AnalizExpert.AnalizExpertIslem.KalemFAVOK($B25,"2022/06K","TL",1,1,1,1)</f>
        <v>717355145</v>
      </c>
      <c r="E25" s="64">
        <f t="shared" si="0"/>
        <v>3.7450013801316473</v>
      </c>
    </row>
    <row r="26" spans="2:5" x14ac:dyDescent="0.35">
      <c r="B26" s="46" t="s">
        <v>19</v>
      </c>
      <c r="C26" s="49">
        <f>_xll.AnalizExpert.AnalizExpertIslem.KalemFAVOK($B26,"2021/06K","TL",1,1,1,1)</f>
        <v>28116677</v>
      </c>
      <c r="D26" s="60">
        <f>_xll.AnalizExpert.AnalizExpertIslem.KalemFAVOK($B26,"2022/06K","TL",1,1,1,1)</f>
        <v>132702701</v>
      </c>
      <c r="E26" s="65">
        <f t="shared" si="0"/>
        <v>3.7197149577811066</v>
      </c>
    </row>
    <row r="27" spans="2:5" x14ac:dyDescent="0.35">
      <c r="B27" s="46" t="s">
        <v>17</v>
      </c>
      <c r="C27" s="49">
        <f>_xll.AnalizExpert.AnalizExpertIslem.KalemFAVOK($B27,"2021/06K","TL",1,1,1,1)</f>
        <v>223172376</v>
      </c>
      <c r="D27" s="60">
        <f>_xll.AnalizExpert.AnalizExpertIslem.KalemFAVOK($B27,"2022/06K","TL",1,1,1,1)</f>
        <v>955429499</v>
      </c>
      <c r="E27" s="65">
        <f t="shared" si="0"/>
        <v>3.2811279609264901</v>
      </c>
    </row>
    <row r="28" spans="2:5" ht="15" thickBot="1" x14ac:dyDescent="0.4">
      <c r="B28" s="47" t="s">
        <v>42</v>
      </c>
      <c r="C28" s="51">
        <f>_xll.AnalizExpert.AnalizExpertIslem.KalemFAVOK($B28,"2021/06K","TL",1,1,1,1)</f>
        <v>212920453</v>
      </c>
      <c r="D28" s="62">
        <f>_xll.AnalizExpert.AnalizExpertIslem.KalemFAVOK($B28,"2022/06K","TL",1,1,1,1)</f>
        <v>888103736</v>
      </c>
      <c r="E28" s="66">
        <f t="shared" si="0"/>
        <v>3.1710588320042694</v>
      </c>
    </row>
    <row r="29" spans="2:5" hidden="1" x14ac:dyDescent="0.35">
      <c r="B29" s="46" t="s">
        <v>23</v>
      </c>
      <c r="C29" s="49">
        <f>_xll.AnalizExpert.AnalizExpertIslem.KalemFAVOK($B29,"2021/06K","TL",1,1,1,1)</f>
        <v>357143402</v>
      </c>
      <c r="D29" s="60">
        <f>_xll.AnalizExpert.AnalizExpertIslem.KalemFAVOK($B29,"2022/06K","TL",1,1,1,1)</f>
        <v>608160957</v>
      </c>
      <c r="E29" s="50">
        <f t="shared" si="0"/>
        <v>0.70284808173496649</v>
      </c>
    </row>
    <row r="30" spans="2:5" hidden="1" x14ac:dyDescent="0.35">
      <c r="B30" s="46" t="s">
        <v>24</v>
      </c>
      <c r="C30" s="49">
        <f>_xll.AnalizExpert.AnalizExpertIslem.KalemFAVOK($B30,"2021/06K","TL",1,1,1,1)</f>
        <v>392955084</v>
      </c>
      <c r="D30" s="60">
        <f>_xll.AnalizExpert.AnalizExpertIslem.KalemFAVOK($B30,"2022/06K","TL",1,1,1,1)</f>
        <v>574559407</v>
      </c>
      <c r="E30" s="50">
        <f t="shared" si="0"/>
        <v>0.46215033319177001</v>
      </c>
    </row>
    <row r="31" spans="2:5" x14ac:dyDescent="0.35">
      <c r="B31" s="45" t="s">
        <v>25</v>
      </c>
      <c r="C31" s="53">
        <f>_xll.AnalizExpert.AnalizExpertIslem.KalemFAVOK($B31,"2021/06K","TL",1,1,1,1)</f>
        <v>538842000</v>
      </c>
      <c r="D31" s="61">
        <f>_xll.AnalizExpert.AnalizExpertIslem.KalemFAVOK($B31,"2022/06K","TL",1,1,1,1)</f>
        <v>2202134000</v>
      </c>
      <c r="E31" s="64">
        <f t="shared" si="0"/>
        <v>3.0867898196502868</v>
      </c>
    </row>
    <row r="32" spans="2:5" ht="15" thickBot="1" x14ac:dyDescent="0.4">
      <c r="B32" s="47" t="s">
        <v>72</v>
      </c>
      <c r="C32" s="51">
        <f>_xll.AnalizExpert.AnalizExpertIslem.KalemFAVOK($B32,"2021/06K","TL",1,1,1,1)</f>
        <v>7757610000</v>
      </c>
      <c r="D32" s="62">
        <f>_xll.AnalizExpert.AnalizExpertIslem.KalemFAVOK($B32,"2022/06K","TL",1,1,1,1)</f>
        <v>31529778000</v>
      </c>
      <c r="E32" s="66">
        <f t="shared" si="0"/>
        <v>3.0643675049403098</v>
      </c>
    </row>
    <row r="33" spans="2:5" hidden="1" x14ac:dyDescent="0.35">
      <c r="B33" s="46" t="s">
        <v>27</v>
      </c>
      <c r="C33" s="49">
        <f>_xll.AnalizExpert.AnalizExpertIslem.KalemFAVOK($B33,"2021/06K","TL",1,1,1,1)</f>
        <v>51367000</v>
      </c>
      <c r="D33" s="60">
        <f>_xll.AnalizExpert.AnalizExpertIslem.KalemFAVOK($B33,"2022/06K","TL",1,1,1,1)</f>
        <v>67359000</v>
      </c>
      <c r="E33" s="50">
        <f t="shared" si="0"/>
        <v>0.3113282846964005</v>
      </c>
    </row>
    <row r="34" spans="2:5" x14ac:dyDescent="0.35">
      <c r="B34" s="45" t="s">
        <v>8</v>
      </c>
      <c r="C34" s="53">
        <f>_xll.AnalizExpert.AnalizExpertIslem.KalemFAVOK($B34,"2021/06K","TL",1,1,1,1)</f>
        <v>104114615</v>
      </c>
      <c r="D34" s="61">
        <f>_xll.AnalizExpert.AnalizExpertIslem.KalemFAVOK($B34,"2022/06K","TL",1,1,1,1)</f>
        <v>390913540</v>
      </c>
      <c r="E34" s="64">
        <f t="shared" si="0"/>
        <v>2.7546461656704007</v>
      </c>
    </row>
    <row r="35" spans="2:5" ht="15" thickBot="1" x14ac:dyDescent="0.4">
      <c r="B35" s="47" t="s">
        <v>14</v>
      </c>
      <c r="C35" s="51">
        <f>_xll.AnalizExpert.AnalizExpertIslem.KalemFAVOK($B35,"2021/06K","TL",1,1,1,1)</f>
        <v>450240094</v>
      </c>
      <c r="D35" s="62">
        <f>_xll.AnalizExpert.AnalizExpertIslem.KalemFAVOK($B35,"2022/06K","TL",1,1,1,1)</f>
        <v>1648600164</v>
      </c>
      <c r="E35" s="66">
        <f t="shared" si="0"/>
        <v>2.6616023005716589</v>
      </c>
    </row>
    <row r="36" spans="2:5" hidden="1" x14ac:dyDescent="0.35">
      <c r="B36" s="46" t="s">
        <v>30</v>
      </c>
      <c r="C36" s="49">
        <f>_xll.AnalizExpert.AnalizExpertIslem.KalemFAVOK($B36,"2021/06K","TL",1,1,1,1)</f>
        <v>2274646000</v>
      </c>
      <c r="D36" s="60">
        <f>_xll.AnalizExpert.AnalizExpertIslem.KalemFAVOK($B36,"2022/06K","TL",1,1,1,1)</f>
        <v>3766208000</v>
      </c>
      <c r="E36" s="50">
        <f t="shared" si="0"/>
        <v>0.65573368339513038</v>
      </c>
    </row>
    <row r="37" spans="2:5" x14ac:dyDescent="0.35">
      <c r="B37" s="45" t="s">
        <v>99</v>
      </c>
      <c r="C37" s="53">
        <f>_xll.AnalizExpert.AnalizExpertIslem.KalemFAVOK($B37,"2021/06K","TL",1,1,1,1)</f>
        <v>28029975</v>
      </c>
      <c r="D37" s="61">
        <f>_xll.AnalizExpert.AnalizExpertIslem.KalemFAVOK($B37,"2022/06K","TL",1,1,1,1)</f>
        <v>101721122</v>
      </c>
      <c r="E37" s="64">
        <f t="shared" si="0"/>
        <v>2.6290122270890359</v>
      </c>
    </row>
    <row r="38" spans="2:5" x14ac:dyDescent="0.35">
      <c r="B38" s="46" t="s">
        <v>54</v>
      </c>
      <c r="C38" s="49">
        <f>_xll.AnalizExpert.AnalizExpertIslem.KalemFAVOK($B38,"2021/06K","TL",1,1,1,1)</f>
        <v>17668623000</v>
      </c>
      <c r="D38" s="60">
        <f>_xll.AnalizExpert.AnalizExpertIslem.KalemFAVOK($B38,"2022/06K","TL",1,1,1,1)</f>
        <v>62704139000</v>
      </c>
      <c r="E38" s="65">
        <f t="shared" si="0"/>
        <v>2.548897896570661</v>
      </c>
    </row>
    <row r="39" spans="2:5" x14ac:dyDescent="0.35">
      <c r="B39" s="46" t="s">
        <v>73</v>
      </c>
      <c r="C39" s="49">
        <f>_xll.AnalizExpert.AnalizExpertIslem.KalemFAVOK($B39,"2021/06K","TL",1,1,1,1)</f>
        <v>1118225000</v>
      </c>
      <c r="D39" s="60">
        <f>_xll.AnalizExpert.AnalizExpertIslem.KalemFAVOK($B39,"2022/06K","TL",1,1,1,1)</f>
        <v>3882613000</v>
      </c>
      <c r="E39" s="65">
        <f t="shared" ref="E39:E70" si="1">D39/C39-1</f>
        <v>2.4721214424646201</v>
      </c>
    </row>
    <row r="40" spans="2:5" x14ac:dyDescent="0.35">
      <c r="B40" s="46" t="s">
        <v>35</v>
      </c>
      <c r="C40" s="49">
        <f>_xll.AnalizExpert.AnalizExpertIslem.KalemFAVOK($B40,"2021/06K","TL",1,1,1,1)</f>
        <v>130624729</v>
      </c>
      <c r="D40" s="60">
        <f>_xll.AnalizExpert.AnalizExpertIslem.KalemFAVOK($B40,"2022/06K","TL",1,1,1,1)</f>
        <v>448694299</v>
      </c>
      <c r="E40" s="65">
        <f t="shared" si="1"/>
        <v>2.4349874057920533</v>
      </c>
    </row>
    <row r="41" spans="2:5" ht="15" thickBot="1" x14ac:dyDescent="0.4">
      <c r="B41" s="47" t="s">
        <v>3</v>
      </c>
      <c r="C41" s="51">
        <f>_xll.AnalizExpert.AnalizExpertIslem.KalemFAVOK($B41,"2021/06K","TL",1,1,1,1)</f>
        <v>563403000</v>
      </c>
      <c r="D41" s="62">
        <f>_xll.AnalizExpert.AnalizExpertIslem.KalemFAVOK($B41,"2022/06K","TL",1,1,1,1)</f>
        <v>1933312000</v>
      </c>
      <c r="E41" s="66">
        <f t="shared" si="1"/>
        <v>2.4314904251486058</v>
      </c>
    </row>
    <row r="42" spans="2:5" hidden="1" x14ac:dyDescent="0.35">
      <c r="B42" s="46" t="s">
        <v>36</v>
      </c>
      <c r="C42" s="49">
        <f>_xll.AnalizExpert.AnalizExpertIslem.KalemFAVOK($B42,"2021/06K","TL",1,1,1,1)</f>
        <v>0</v>
      </c>
      <c r="D42" s="60">
        <f>_xll.AnalizExpert.AnalizExpertIslem.KalemFAVOK($B42,"2022/06K","TL",1,1,1,1)</f>
        <v>0</v>
      </c>
      <c r="E42" s="50" t="e">
        <f t="shared" si="1"/>
        <v>#DIV/0!</v>
      </c>
    </row>
    <row r="43" spans="2:5" x14ac:dyDescent="0.35">
      <c r="B43" s="45" t="s">
        <v>88</v>
      </c>
      <c r="C43" s="53">
        <f>_xll.AnalizExpert.AnalizExpertIslem.KalemFAVOK($B43,"2021/06K","TL",1,1,1,1)</f>
        <v>6965000000</v>
      </c>
      <c r="D43" s="61">
        <f>_xll.AnalizExpert.AnalizExpertIslem.KalemFAVOK($B43,"2022/06K","TL",1,1,1,1)</f>
        <v>23896000000</v>
      </c>
      <c r="E43" s="64">
        <f t="shared" si="1"/>
        <v>2.4308686288585788</v>
      </c>
    </row>
    <row r="44" spans="2:5" ht="15" thickBot="1" x14ac:dyDescent="0.4">
      <c r="B44" s="47" t="s">
        <v>2</v>
      </c>
      <c r="C44" s="51">
        <f>_xll.AnalizExpert.AnalizExpertIslem.KalemFAVOK($B44,"2021/06K","TL",1,1,1,1)</f>
        <v>47359561</v>
      </c>
      <c r="D44" s="62">
        <f>_xll.AnalizExpert.AnalizExpertIslem.KalemFAVOK($B44,"2022/06K","TL",1,1,1,1)</f>
        <v>160245545</v>
      </c>
      <c r="E44" s="66">
        <f t="shared" si="1"/>
        <v>2.3835943918483533</v>
      </c>
    </row>
    <row r="45" spans="2:5" hidden="1" x14ac:dyDescent="0.35">
      <c r="B45" s="46" t="s">
        <v>39</v>
      </c>
      <c r="C45" s="49">
        <f>_xll.AnalizExpert.AnalizExpertIslem.KalemFAVOK($B45,"2021/06K","TL",1,1,1,1)</f>
        <v>183413533</v>
      </c>
      <c r="D45" s="60">
        <f>_xll.AnalizExpert.AnalizExpertIslem.KalemFAVOK($B45,"2022/06K","TL",1,1,1,1)</f>
        <v>-38615383</v>
      </c>
      <c r="E45" s="50">
        <f t="shared" si="1"/>
        <v>-1.2105372617188503</v>
      </c>
    </row>
    <row r="46" spans="2:5" x14ac:dyDescent="0.35">
      <c r="B46" s="45" t="s">
        <v>63</v>
      </c>
      <c r="C46" s="53">
        <f>_xll.AnalizExpert.AnalizExpertIslem.KalemFAVOK($B46,"2021/06K","TL",1,1,1,1)</f>
        <v>89582624</v>
      </c>
      <c r="D46" s="61">
        <f>_xll.AnalizExpert.AnalizExpertIslem.KalemFAVOK($B46,"2022/06K","TL",1,1,1,1)</f>
        <v>295981594</v>
      </c>
      <c r="E46" s="64">
        <f t="shared" si="1"/>
        <v>2.3040067457724835</v>
      </c>
    </row>
    <row r="47" spans="2:5" x14ac:dyDescent="0.35">
      <c r="B47" s="46" t="s">
        <v>29</v>
      </c>
      <c r="C47" s="49">
        <f>_xll.AnalizExpert.AnalizExpertIslem.KalemFAVOK($B47,"2021/06K","TL",1,1,1,1)</f>
        <v>640241000</v>
      </c>
      <c r="D47" s="60">
        <f>_xll.AnalizExpert.AnalizExpertIslem.KalemFAVOK($B47,"2022/06K","TL",1,1,1,1)</f>
        <v>2033087000</v>
      </c>
      <c r="E47" s="65">
        <f t="shared" si="1"/>
        <v>2.1755026622787357</v>
      </c>
    </row>
    <row r="48" spans="2:5" x14ac:dyDescent="0.35">
      <c r="B48" s="46" t="s">
        <v>77</v>
      </c>
      <c r="C48" s="49">
        <f>_xll.AnalizExpert.AnalizExpertIslem.KalemFAVOK($B48,"2021/06K","TL",1,1,1,1)</f>
        <v>3189354000</v>
      </c>
      <c r="D48" s="60">
        <f>_xll.AnalizExpert.AnalizExpertIslem.KalemFAVOK($B48,"2022/06K","TL",1,1,1,1)</f>
        <v>10093534000</v>
      </c>
      <c r="E48" s="65">
        <f t="shared" si="1"/>
        <v>2.1647581297027547</v>
      </c>
    </row>
    <row r="49" spans="2:5" ht="15" thickBot="1" x14ac:dyDescent="0.4">
      <c r="B49" s="47" t="s">
        <v>41</v>
      </c>
      <c r="C49" s="51">
        <f>_xll.AnalizExpert.AnalizExpertIslem.KalemFAVOK($B49,"2021/06K","TL",1,1,1,1)</f>
        <v>691477402</v>
      </c>
      <c r="D49" s="62">
        <f>_xll.AnalizExpert.AnalizExpertIslem.KalemFAVOK($B49,"2022/06K","TL",1,1,1,1)</f>
        <v>2122607590</v>
      </c>
      <c r="E49" s="66">
        <f t="shared" si="1"/>
        <v>2.0696702218476837</v>
      </c>
    </row>
    <row r="50" spans="2:5" hidden="1" x14ac:dyDescent="0.35">
      <c r="B50" s="46" t="s">
        <v>44</v>
      </c>
      <c r="C50" s="49">
        <f>_xll.AnalizExpert.AnalizExpertIslem.KalemFAVOK($B50,"2021/06K","TL",1,1,1,1)</f>
        <v>170903826</v>
      </c>
      <c r="D50" s="60">
        <f>_xll.AnalizExpert.AnalizExpertIslem.KalemFAVOK($B50,"2022/06K","TL",1,1,1,1)</f>
        <v>338161125</v>
      </c>
      <c r="E50" s="50">
        <f t="shared" si="1"/>
        <v>0.97866328048150319</v>
      </c>
    </row>
    <row r="51" spans="2:5" hidden="1" x14ac:dyDescent="0.35">
      <c r="B51" s="46" t="s">
        <v>45</v>
      </c>
      <c r="C51" s="49">
        <f>_xll.AnalizExpert.AnalizExpertIslem.KalemFAVOK($B51,"2021/06K","TL",1,1,1,1)</f>
        <v>1029420000</v>
      </c>
      <c r="D51" s="60">
        <f>_xll.AnalizExpert.AnalizExpertIslem.KalemFAVOK($B51,"2022/06K","TL",1,1,1,1)</f>
        <v>1512791000</v>
      </c>
      <c r="E51" s="50">
        <f t="shared" si="1"/>
        <v>0.46955664354685167</v>
      </c>
    </row>
    <row r="52" spans="2:5" hidden="1" x14ac:dyDescent="0.35">
      <c r="B52" s="46" t="s">
        <v>46</v>
      </c>
      <c r="C52" s="49">
        <f>_xll.AnalizExpert.AnalizExpertIslem.KalemFAVOK($B52,"2021/06K","TL",1,1,1,1)</f>
        <v>5542824000</v>
      </c>
      <c r="D52" s="60">
        <f>_xll.AnalizExpert.AnalizExpertIslem.KalemFAVOK($B52,"2022/06K","TL",1,1,1,1)</f>
        <v>10105452000</v>
      </c>
      <c r="E52" s="50">
        <f t="shared" si="1"/>
        <v>0.82315945806686264</v>
      </c>
    </row>
    <row r="53" spans="2:5" hidden="1" x14ac:dyDescent="0.35">
      <c r="B53" s="46" t="s">
        <v>47</v>
      </c>
      <c r="C53" s="49">
        <f>_xll.AnalizExpert.AnalizExpertIslem.KalemFAVOK($B53,"2021/06K","TL",1,1,1,1)</f>
        <v>0</v>
      </c>
      <c r="D53" s="60">
        <f>_xll.AnalizExpert.AnalizExpertIslem.KalemFAVOK($B53,"2022/06K","TL",1,1,1,1)</f>
        <v>0</v>
      </c>
      <c r="E53" s="50" t="e">
        <f t="shared" si="1"/>
        <v>#DIV/0!</v>
      </c>
    </row>
    <row r="54" spans="2:5" x14ac:dyDescent="0.35">
      <c r="B54" s="45" t="s">
        <v>32</v>
      </c>
      <c r="C54" s="53">
        <f>_xll.AnalizExpert.AnalizExpertIslem.KalemFAVOK($B54,"2021/06K","TL",1,1,1,1)</f>
        <v>94635335</v>
      </c>
      <c r="D54" s="61">
        <f>_xll.AnalizExpert.AnalizExpertIslem.KalemFAVOK($B54,"2022/06K","TL",1,1,1,1)</f>
        <v>289345633</v>
      </c>
      <c r="E54" s="64">
        <f t="shared" si="1"/>
        <v>2.057479883174715</v>
      </c>
    </row>
    <row r="55" spans="2:5" ht="15" thickBot="1" x14ac:dyDescent="0.4">
      <c r="B55" s="47" t="s">
        <v>4</v>
      </c>
      <c r="C55" s="51">
        <f>_xll.AnalizExpert.AnalizExpertIslem.KalemFAVOK($B55,"2021/06K","TL",1,1,1,1)</f>
        <v>1113859748</v>
      </c>
      <c r="D55" s="62">
        <f>_xll.AnalizExpert.AnalizExpertIslem.KalemFAVOK($B55,"2022/06K","TL",1,1,1,1)</f>
        <v>3324713164</v>
      </c>
      <c r="E55" s="66">
        <f t="shared" si="1"/>
        <v>1.9848579859086533</v>
      </c>
    </row>
    <row r="56" spans="2:5" hidden="1" x14ac:dyDescent="0.35">
      <c r="B56" s="46" t="s">
        <v>50</v>
      </c>
      <c r="C56" s="49">
        <f>_xll.AnalizExpert.AnalizExpertIslem.KalemFAVOK($B56,"2021/06K","TL",1,1,1,1)</f>
        <v>823453340</v>
      </c>
      <c r="D56" s="60">
        <f>_xll.AnalizExpert.AnalizExpertIslem.KalemFAVOK($B56,"2022/06K","TL",1,1,1,1)</f>
        <v>1642218122</v>
      </c>
      <c r="E56" s="50">
        <f t="shared" si="1"/>
        <v>0.99430622504973987</v>
      </c>
    </row>
    <row r="57" spans="2:5" ht="15" thickBot="1" x14ac:dyDescent="0.4">
      <c r="B57" s="54" t="s">
        <v>55</v>
      </c>
      <c r="C57" s="55">
        <f>_xll.AnalizExpert.AnalizExpertIslem.KalemFAVOK($B57,"2021/06K","TL",1,1,1,1)</f>
        <v>42131591</v>
      </c>
      <c r="D57" s="63">
        <f>_xll.AnalizExpert.AnalizExpertIslem.KalemFAVOK($B57,"2022/06K","TL",1,1,1,1)</f>
        <v>124143314</v>
      </c>
      <c r="E57" s="67">
        <f t="shared" si="1"/>
        <v>1.9465612632573026</v>
      </c>
    </row>
    <row r="58" spans="2:5" hidden="1" x14ac:dyDescent="0.35">
      <c r="B58" s="46" t="s">
        <v>52</v>
      </c>
      <c r="C58" s="49">
        <f>_xll.AnalizExpert.AnalizExpertIslem.KalemFAVOK($B58,"2021/06K","TL",1,1,1,1)</f>
        <v>1418642352.1286795</v>
      </c>
      <c r="D58" s="60">
        <f>_xll.AnalizExpert.AnalizExpertIslem.KalemFAVOK($B58,"2022/06K","TL",1,1,1,1)</f>
        <v>2187380837.2207551</v>
      </c>
      <c r="E58" s="50">
        <f t="shared" si="1"/>
        <v>0.54188321950108143</v>
      </c>
    </row>
    <row r="59" spans="2:5" hidden="1" x14ac:dyDescent="0.35">
      <c r="B59" s="46" t="s">
        <v>53</v>
      </c>
      <c r="C59" s="49">
        <f>_xll.AnalizExpert.AnalizExpertIslem.KalemFAVOK($B59,"2021/06K","TL",1,1,1,1)</f>
        <v>102585000</v>
      </c>
      <c r="D59" s="60">
        <f>_xll.AnalizExpert.AnalizExpertIslem.KalemFAVOK($B59,"2022/06K","TL",1,1,1,1)</f>
        <v>190357000</v>
      </c>
      <c r="E59" s="50">
        <f t="shared" si="1"/>
        <v>0.85560267095579268</v>
      </c>
    </row>
    <row r="60" spans="2:5" x14ac:dyDescent="0.35">
      <c r="B60" s="45" t="s">
        <v>51</v>
      </c>
      <c r="C60" s="53">
        <f>_xll.AnalizExpert.AnalizExpertIslem.KalemFAVOK($B60,"2021/06K","TL",1,1,1,1)</f>
        <v>112232245</v>
      </c>
      <c r="D60" s="61">
        <f>_xll.AnalizExpert.AnalizExpertIslem.KalemFAVOK($B60,"2022/06K","TL",1,1,1,1)</f>
        <v>327985656</v>
      </c>
      <c r="E60" s="64">
        <f t="shared" si="1"/>
        <v>1.9223834558419464</v>
      </c>
    </row>
    <row r="61" spans="2:5" x14ac:dyDescent="0.35">
      <c r="B61" s="46" t="s">
        <v>48</v>
      </c>
      <c r="C61" s="49">
        <f>_xll.AnalizExpert.AnalizExpertIslem.KalemFAVOK($B61,"2021/06K","TL",1,1,1,1)</f>
        <v>218561000</v>
      </c>
      <c r="D61" s="60">
        <f>_xll.AnalizExpert.AnalizExpertIslem.KalemFAVOK($B61,"2022/06K","TL",1,1,1,1)</f>
        <v>624272000</v>
      </c>
      <c r="E61" s="65">
        <f t="shared" si="1"/>
        <v>1.8562826853830279</v>
      </c>
    </row>
    <row r="62" spans="2:5" ht="15" thickBot="1" x14ac:dyDescent="0.4">
      <c r="B62" s="47" t="s">
        <v>15</v>
      </c>
      <c r="C62" s="51">
        <f>_xll.AnalizExpert.AnalizExpertIslem.KalemFAVOK($B62,"2021/06K","TL",1,1,1,1)</f>
        <v>193682262</v>
      </c>
      <c r="D62" s="62">
        <f>_xll.AnalizExpert.AnalizExpertIslem.KalemFAVOK($B62,"2022/06K","TL",1,1,1,1)</f>
        <v>546595191</v>
      </c>
      <c r="E62" s="66">
        <f t="shared" si="1"/>
        <v>1.8221231276202259</v>
      </c>
    </row>
    <row r="63" spans="2:5" hidden="1" x14ac:dyDescent="0.35">
      <c r="B63" s="46" t="s">
        <v>57</v>
      </c>
      <c r="C63" s="49">
        <f>_xll.AnalizExpert.AnalizExpertIslem.KalemFAVOK($B63,"2021/06K","TL",1,1,1,1)</f>
        <v>1026663000</v>
      </c>
      <c r="D63" s="60">
        <f>_xll.AnalizExpert.AnalizExpertIslem.KalemFAVOK($B63,"2022/06K","TL",1,1,1,1)</f>
        <v>1495679000</v>
      </c>
      <c r="E63" s="50">
        <f t="shared" si="1"/>
        <v>0.45683539778875826</v>
      </c>
    </row>
    <row r="64" spans="2:5" hidden="1" x14ac:dyDescent="0.35">
      <c r="B64" s="46" t="s">
        <v>58</v>
      </c>
      <c r="C64" s="49">
        <f>_xll.AnalizExpert.AnalizExpertIslem.KalemFAVOK($B64,"2021/06K","TL",1,1,1,1)</f>
        <v>1028040000</v>
      </c>
      <c r="D64" s="60">
        <f>_xll.AnalizExpert.AnalizExpertIslem.KalemFAVOK($B64,"2022/06K","TL",1,1,1,1)</f>
        <v>1509096000</v>
      </c>
      <c r="E64" s="50">
        <f t="shared" si="1"/>
        <v>0.46793509980156411</v>
      </c>
    </row>
    <row r="65" spans="2:5" ht="15" thickBot="1" x14ac:dyDescent="0.4">
      <c r="B65" s="54" t="s">
        <v>66</v>
      </c>
      <c r="C65" s="55">
        <f>_xll.AnalizExpert.AnalizExpertIslem.KalemFAVOK($B65,"2021/06K","TL",1,1,1,1)</f>
        <v>449696525</v>
      </c>
      <c r="D65" s="63">
        <f>_xll.AnalizExpert.AnalizExpertIslem.KalemFAVOK($B65,"2022/06K","TL",1,1,1,1)</f>
        <v>1218592696</v>
      </c>
      <c r="E65" s="67">
        <f t="shared" si="1"/>
        <v>1.7098112354770807</v>
      </c>
    </row>
    <row r="66" spans="2:5" hidden="1" x14ac:dyDescent="0.35">
      <c r="B66" s="46" t="s">
        <v>60</v>
      </c>
      <c r="C66" s="49">
        <f>_xll.AnalizExpert.AnalizExpertIslem.KalemFAVOK($B66,"2021/06K","TL",1,1,1,1)</f>
        <v>399109000</v>
      </c>
      <c r="D66" s="60">
        <f>_xll.AnalizExpert.AnalizExpertIslem.KalemFAVOK($B66,"2022/06K","TL",1,1,1,1)</f>
        <v>1098246000</v>
      </c>
      <c r="E66" s="50">
        <f t="shared" si="1"/>
        <v>1.7517445108980252</v>
      </c>
    </row>
    <row r="67" spans="2:5" hidden="1" x14ac:dyDescent="0.35">
      <c r="B67" s="46" t="s">
        <v>61</v>
      </c>
      <c r="C67" s="49">
        <f>_xll.AnalizExpert.AnalizExpertIslem.KalemFAVOK($B67,"2021/06K","TL",1,1,1,1)</f>
        <v>1240930000</v>
      </c>
      <c r="D67" s="60">
        <f>_xll.AnalizExpert.AnalizExpertIslem.KalemFAVOK($B67,"2022/06K","TL",1,1,1,1)</f>
        <v>2379635000</v>
      </c>
      <c r="E67" s="50">
        <f t="shared" si="1"/>
        <v>0.91762226717058981</v>
      </c>
    </row>
    <row r="68" spans="2:5" x14ac:dyDescent="0.35">
      <c r="B68" s="45" t="s">
        <v>28</v>
      </c>
      <c r="C68" s="53">
        <f>_xll.AnalizExpert.AnalizExpertIslem.KalemFAVOK($B68,"2021/06K","TL",1,1,1,1)</f>
        <v>132290076</v>
      </c>
      <c r="D68" s="61">
        <f>_xll.AnalizExpert.AnalizExpertIslem.KalemFAVOK($B68,"2022/06K","TL",1,1,1,1)</f>
        <v>348838033</v>
      </c>
      <c r="E68" s="64">
        <f t="shared" si="1"/>
        <v>1.636917624871574</v>
      </c>
    </row>
    <row r="69" spans="2:5" x14ac:dyDescent="0.35">
      <c r="B69" s="46" t="s">
        <v>26</v>
      </c>
      <c r="C69" s="49">
        <f>_xll.AnalizExpert.AnalizExpertIslem.KalemFAVOK($B69,"2021/06K","TL",1,1,1,1)</f>
        <v>1308000000</v>
      </c>
      <c r="D69" s="60">
        <f>_xll.AnalizExpert.AnalizExpertIslem.KalemFAVOK($B69,"2022/06K","TL",1,1,1,1)</f>
        <v>3358165000</v>
      </c>
      <c r="E69" s="65">
        <f t="shared" si="1"/>
        <v>1.5674044342507645</v>
      </c>
    </row>
    <row r="70" spans="2:5" ht="15" thickBot="1" x14ac:dyDescent="0.4">
      <c r="B70" s="47" t="s">
        <v>9</v>
      </c>
      <c r="C70" s="51">
        <f>_xll.AnalizExpert.AnalizExpertIslem.KalemFAVOK($B70,"2021/06K","TL",1,1,1,1)</f>
        <v>2664247000</v>
      </c>
      <c r="D70" s="62">
        <f>_xll.AnalizExpert.AnalizExpertIslem.KalemFAVOK($B70,"2022/06K","TL",1,1,1,1)</f>
        <v>6797780000</v>
      </c>
      <c r="E70" s="66">
        <f t="shared" si="1"/>
        <v>1.5514826515709692</v>
      </c>
    </row>
    <row r="71" spans="2:5" hidden="1" x14ac:dyDescent="0.35">
      <c r="B71" s="46" t="s">
        <v>65</v>
      </c>
      <c r="C71" s="49">
        <f>_xll.AnalizExpert.AnalizExpertIslem.KalemFAVOK($B71,"2021/06K","TL",1,1,1,1)</f>
        <v>369492000</v>
      </c>
      <c r="D71" s="60">
        <f>_xll.AnalizExpert.AnalizExpertIslem.KalemFAVOK($B71,"2022/06K","TL",1,1,1,1)</f>
        <v>563181000</v>
      </c>
      <c r="E71" s="50">
        <f t="shared" ref="E71:E102" si="2">D71/C71-1</f>
        <v>0.52420350102302615</v>
      </c>
    </row>
    <row r="72" spans="2:5" x14ac:dyDescent="0.35">
      <c r="B72" s="45" t="s">
        <v>40</v>
      </c>
      <c r="C72" s="53">
        <f>_xll.AnalizExpert.AnalizExpertIslem.KalemFAVOK($B72,"2021/06K","TL",1,1,1,1)</f>
        <v>173761000</v>
      </c>
      <c r="D72" s="61">
        <f>_xll.AnalizExpert.AnalizExpertIslem.KalemFAVOK($B72,"2022/06K","TL",1,1,1,1)</f>
        <v>435194000</v>
      </c>
      <c r="E72" s="64">
        <f t="shared" si="2"/>
        <v>1.5045551073025591</v>
      </c>
    </row>
    <row r="73" spans="2:5" ht="15" thickBot="1" x14ac:dyDescent="0.4">
      <c r="B73" s="47" t="s">
        <v>56</v>
      </c>
      <c r="C73" s="51">
        <f>_xll.AnalizExpert.AnalizExpertIslem.KalemFAVOK($B73,"2021/06K","TL",1,1,1,1)</f>
        <v>552773033</v>
      </c>
      <c r="D73" s="62">
        <f>_xll.AnalizExpert.AnalizExpertIslem.KalemFAVOK($B73,"2022/06K","TL",1,1,1,1)</f>
        <v>1350299408</v>
      </c>
      <c r="E73" s="66">
        <f t="shared" si="2"/>
        <v>1.4427736654801682</v>
      </c>
    </row>
    <row r="74" spans="2:5" hidden="1" x14ac:dyDescent="0.35">
      <c r="B74" s="46" t="s">
        <v>68</v>
      </c>
      <c r="C74" s="49">
        <f>_xll.AnalizExpert.AnalizExpertIslem.KalemFAVOK($B74,"2021/06K","TL",1,1,1,1)</f>
        <v>-4812058</v>
      </c>
      <c r="D74" s="60">
        <f>_xll.AnalizExpert.AnalizExpertIslem.KalemFAVOK($B74,"2022/06K","TL",1,1,1,1)</f>
        <v>284282321</v>
      </c>
      <c r="E74" s="50">
        <f t="shared" si="2"/>
        <v>-60.07707700115003</v>
      </c>
    </row>
    <row r="75" spans="2:5" ht="15" thickBot="1" x14ac:dyDescent="0.4">
      <c r="B75" s="54" t="s">
        <v>93</v>
      </c>
      <c r="C75" s="55">
        <f>_xll.AnalizExpert.AnalizExpertIslem.KalemFAVOK($B75,"2021/06K","TL",1,1,1,1)</f>
        <v>993008000</v>
      </c>
      <c r="D75" s="63">
        <f>_xll.AnalizExpert.AnalizExpertIslem.KalemFAVOK($B75,"2022/06K","TL",1,1,1,1)</f>
        <v>2378996000</v>
      </c>
      <c r="E75" s="67">
        <f t="shared" si="2"/>
        <v>1.3957470634677667</v>
      </c>
    </row>
    <row r="76" spans="2:5" hidden="1" x14ac:dyDescent="0.35">
      <c r="B76" s="46" t="s">
        <v>70</v>
      </c>
      <c r="C76" s="49">
        <f>_xll.AnalizExpert.AnalizExpertIslem.KalemFAVOK($B76,"2021/06K","TL",1,1,1,1)</f>
        <v>3062996000</v>
      </c>
      <c r="D76" s="60">
        <f>_xll.AnalizExpert.AnalizExpertIslem.KalemFAVOK($B76,"2022/06K","TL",1,1,1,1)</f>
        <v>2852143000</v>
      </c>
      <c r="E76" s="50">
        <f t="shared" si="2"/>
        <v>-6.8838810106183645E-2</v>
      </c>
    </row>
    <row r="77" spans="2:5" x14ac:dyDescent="0.35">
      <c r="B77" s="45" t="s">
        <v>49</v>
      </c>
      <c r="C77" s="53">
        <f>_xll.AnalizExpert.AnalizExpertIslem.KalemFAVOK($B77,"2021/06K","TL",1,1,1,1)</f>
        <v>79643466</v>
      </c>
      <c r="D77" s="61">
        <f>_xll.AnalizExpert.AnalizExpertIslem.KalemFAVOK($B77,"2022/06K","TL",1,1,1,1)</f>
        <v>190245468</v>
      </c>
      <c r="E77" s="64">
        <f t="shared" si="2"/>
        <v>1.3887140722881148</v>
      </c>
    </row>
    <row r="78" spans="2:5" x14ac:dyDescent="0.35">
      <c r="B78" s="46" t="s">
        <v>10</v>
      </c>
      <c r="C78" s="49">
        <f>_xll.AnalizExpert.AnalizExpertIslem.KalemFAVOK($B78,"2021/06K","TL",1,1,1,1)</f>
        <v>4291769000</v>
      </c>
      <c r="D78" s="60">
        <f>_xll.AnalizExpert.AnalizExpertIslem.KalemFAVOK($B78,"2022/06K","TL",1,1,1,1)</f>
        <v>9984465000</v>
      </c>
      <c r="E78" s="65">
        <f t="shared" si="2"/>
        <v>1.3264218088158986</v>
      </c>
    </row>
    <row r="79" spans="2:5" ht="15" thickBot="1" x14ac:dyDescent="0.4">
      <c r="B79" s="47" t="s">
        <v>34</v>
      </c>
      <c r="C79" s="51">
        <f>_xll.AnalizExpert.AnalizExpertIslem.KalemFAVOK($B79,"2021/06K","TL",1,1,1,1)</f>
        <v>3069972000</v>
      </c>
      <c r="D79" s="62">
        <f>_xll.AnalizExpert.AnalizExpertIslem.KalemFAVOK($B79,"2022/06K","TL",1,1,1,1)</f>
        <v>7119943000</v>
      </c>
      <c r="E79" s="66">
        <f t="shared" si="2"/>
        <v>1.3192208267697554</v>
      </c>
    </row>
    <row r="80" spans="2:5" hidden="1" x14ac:dyDescent="0.35">
      <c r="B80" s="46" t="s">
        <v>74</v>
      </c>
      <c r="C80" s="49">
        <f>_xll.AnalizExpert.AnalizExpertIslem.KalemFAVOK($B80,"2021/06K","TL",1,1,1,1)</f>
        <v>724085800</v>
      </c>
      <c r="D80" s="60">
        <f>_xll.AnalizExpert.AnalizExpertIslem.KalemFAVOK($B80,"2022/06K","TL",1,1,1,1)</f>
        <v>1112750830</v>
      </c>
      <c r="E80" s="50">
        <f t="shared" si="2"/>
        <v>0.53676654065029306</v>
      </c>
    </row>
    <row r="81" spans="2:5" hidden="1" x14ac:dyDescent="0.35">
      <c r="B81" s="46" t="s">
        <v>75</v>
      </c>
      <c r="C81" s="49">
        <f>_xll.AnalizExpert.AnalizExpertIslem.KalemFAVOK($B81,"2021/06K","TL",1,1,1,1)</f>
        <v>75613858</v>
      </c>
      <c r="D81" s="60">
        <f>_xll.AnalizExpert.AnalizExpertIslem.KalemFAVOK($B81,"2022/06K","TL",1,1,1,1)</f>
        <v>-35848464</v>
      </c>
      <c r="E81" s="50">
        <f t="shared" si="2"/>
        <v>-1.4740991261152154</v>
      </c>
    </row>
    <row r="82" spans="2:5" hidden="1" x14ac:dyDescent="0.35">
      <c r="B82" s="46" t="s">
        <v>76</v>
      </c>
      <c r="C82" s="49">
        <f>_xll.AnalizExpert.AnalizExpertIslem.KalemFAVOK($B82,"2021/06K","TL",1,1,1,1)</f>
        <v>0</v>
      </c>
      <c r="D82" s="60">
        <f>_xll.AnalizExpert.AnalizExpertIslem.KalemFAVOK($B82,"2022/06K","TL",1,1,1,1)</f>
        <v>0</v>
      </c>
      <c r="E82" s="50" t="e">
        <f t="shared" si="2"/>
        <v>#DIV/0!</v>
      </c>
    </row>
    <row r="83" spans="2:5" ht="15" thickBot="1" x14ac:dyDescent="0.4">
      <c r="B83" s="54" t="s">
        <v>83</v>
      </c>
      <c r="C83" s="55">
        <f>_xll.AnalizExpert.AnalizExpertIslem.KalemFAVOK($B83,"2021/06K","TL",1,1,1,1)</f>
        <v>241684000</v>
      </c>
      <c r="D83" s="63">
        <f>_xll.AnalizExpert.AnalizExpertIslem.KalemFAVOK($B83,"2022/06K","TL",1,1,1,1)</f>
        <v>546675000</v>
      </c>
      <c r="E83" s="67">
        <f t="shared" si="2"/>
        <v>1.2619412124923453</v>
      </c>
    </row>
    <row r="84" spans="2:5" hidden="1" x14ac:dyDescent="0.35">
      <c r="B84" s="46" t="s">
        <v>78</v>
      </c>
      <c r="C84" s="49">
        <f>_xll.AnalizExpert.AnalizExpertIslem.KalemFAVOK($B84,"2021/06K","TL",1,1,1,1)</f>
        <v>1255171162</v>
      </c>
      <c r="D84" s="60">
        <f>_xll.AnalizExpert.AnalizExpertIslem.KalemFAVOK($B84,"2022/06K","TL",1,1,1,1)</f>
        <v>1992822607</v>
      </c>
      <c r="E84" s="50">
        <f t="shared" si="2"/>
        <v>0.5876899241571325</v>
      </c>
    </row>
    <row r="85" spans="2:5" hidden="1" x14ac:dyDescent="0.35">
      <c r="B85" s="46" t="s">
        <v>79</v>
      </c>
      <c r="C85" s="49">
        <f>_xll.AnalizExpert.AnalizExpertIslem.KalemFAVOK($B85,"2021/06K","TL",1,1,1,1)</f>
        <v>0</v>
      </c>
      <c r="D85" s="60">
        <f>_xll.AnalizExpert.AnalizExpertIslem.KalemFAVOK($B85,"2022/06K","TL",1,1,1,1)</f>
        <v>0</v>
      </c>
      <c r="E85" s="50" t="e">
        <f t="shared" si="2"/>
        <v>#DIV/0!</v>
      </c>
    </row>
    <row r="86" spans="2:5" hidden="1" x14ac:dyDescent="0.35">
      <c r="B86" s="46" t="s">
        <v>80</v>
      </c>
      <c r="C86" s="49">
        <f>_xll.AnalizExpert.AnalizExpertIslem.KalemFAVOK($B86,"2021/06K","TL",1,1,1,1)</f>
        <v>0</v>
      </c>
      <c r="D86" s="60">
        <f>_xll.AnalizExpert.AnalizExpertIslem.KalemFAVOK($B86,"2022/06K","TL",1,1,1,1)</f>
        <v>0</v>
      </c>
      <c r="E86" s="50" t="e">
        <f t="shared" si="2"/>
        <v>#DIV/0!</v>
      </c>
    </row>
    <row r="87" spans="2:5" ht="15" thickBot="1" x14ac:dyDescent="0.4">
      <c r="B87" s="54" t="s">
        <v>21</v>
      </c>
      <c r="C87" s="55">
        <f>_xll.AnalizExpert.AnalizExpertIslem.KalemFAVOK($B87,"2021/06K","TL",1,1,1,1)</f>
        <v>2066237000</v>
      </c>
      <c r="D87" s="63">
        <f>_xll.AnalizExpert.AnalizExpertIslem.KalemFAVOK($B87,"2022/06K","TL",1,1,1,1)</f>
        <v>4550543000</v>
      </c>
      <c r="E87" s="67">
        <f t="shared" si="2"/>
        <v>1.2023335174038601</v>
      </c>
    </row>
    <row r="88" spans="2:5" hidden="1" x14ac:dyDescent="0.35">
      <c r="B88" s="46" t="s">
        <v>82</v>
      </c>
      <c r="C88" s="49">
        <f>_xll.AnalizExpert.AnalizExpertIslem.KalemFAVOK($B88,"2021/06K","TL",1,1,1,1)</f>
        <v>785614000</v>
      </c>
      <c r="D88" s="60">
        <f>_xll.AnalizExpert.AnalizExpertIslem.KalemFAVOK($B88,"2022/06K","TL",1,1,1,1)</f>
        <v>1246001000</v>
      </c>
      <c r="E88" s="50">
        <f t="shared" si="2"/>
        <v>0.58602188861196458</v>
      </c>
    </row>
    <row r="89" spans="2:5" x14ac:dyDescent="0.35">
      <c r="B89" s="45" t="s">
        <v>33</v>
      </c>
      <c r="C89" s="53">
        <f>_xll.AnalizExpert.AnalizExpertIslem.KalemFAVOK($B89,"2021/06K","TL",1,1,1,1)</f>
        <v>9470644000</v>
      </c>
      <c r="D89" s="61">
        <f>_xll.AnalizExpert.AnalizExpertIslem.KalemFAVOK($B89,"2022/06K","TL",1,1,1,1)</f>
        <v>20615610000</v>
      </c>
      <c r="E89" s="64">
        <f t="shared" si="2"/>
        <v>1.1767907229962398</v>
      </c>
    </row>
    <row r="90" spans="2:5" x14ac:dyDescent="0.35">
      <c r="B90" s="46" t="s">
        <v>37</v>
      </c>
      <c r="C90" s="49">
        <f>_xll.AnalizExpert.AnalizExpertIslem.KalemFAVOK($B90,"2021/06K","TL",1,1,1,1)</f>
        <v>181142648</v>
      </c>
      <c r="D90" s="60">
        <f>_xll.AnalizExpert.AnalizExpertIslem.KalemFAVOK($B90,"2022/06K","TL",1,1,1,1)</f>
        <v>393724287</v>
      </c>
      <c r="E90" s="65">
        <f t="shared" si="2"/>
        <v>1.1735592989675188</v>
      </c>
    </row>
    <row r="91" spans="2:5" ht="15" thickBot="1" x14ac:dyDescent="0.4">
      <c r="B91" s="47" t="s">
        <v>67</v>
      </c>
      <c r="C91" s="51">
        <f>_xll.AnalizExpert.AnalizExpertIslem.KalemFAVOK($B91,"2021/06K","TL",1,1,1,1)</f>
        <v>121944399</v>
      </c>
      <c r="D91" s="62">
        <f>_xll.AnalizExpert.AnalizExpertIslem.KalemFAVOK($B91,"2022/06K","TL",1,1,1,1)</f>
        <v>259759678</v>
      </c>
      <c r="E91" s="66">
        <f t="shared" si="2"/>
        <v>1.1301484949710563</v>
      </c>
    </row>
    <row r="92" spans="2:5" hidden="1" x14ac:dyDescent="0.35">
      <c r="B92" s="46" t="s">
        <v>86</v>
      </c>
      <c r="C92" s="49">
        <f>_xll.AnalizExpert.AnalizExpertIslem.KalemFAVOK($B92,"2021/06K","TL",1,1,1,1)</f>
        <v>6868701000</v>
      </c>
      <c r="D92" s="60">
        <f>_xll.AnalizExpert.AnalizExpertIslem.KalemFAVOK($B92,"2022/06K","TL",1,1,1,1)</f>
        <v>9311251000</v>
      </c>
      <c r="E92" s="50">
        <f t="shared" si="2"/>
        <v>0.35560581251098289</v>
      </c>
    </row>
    <row r="93" spans="2:5" x14ac:dyDescent="0.35">
      <c r="B93" s="45" t="s">
        <v>31</v>
      </c>
      <c r="C93" s="53">
        <f>_xll.AnalizExpert.AnalizExpertIslem.KalemFAVOK($B93,"2021/06K","TL",1,1,1,1)</f>
        <v>2781267000</v>
      </c>
      <c r="D93" s="61">
        <f>_xll.AnalizExpert.AnalizExpertIslem.KalemFAVOK($B93,"2022/06K","TL",1,1,1,1)</f>
        <v>5757177000</v>
      </c>
      <c r="E93" s="64">
        <f t="shared" si="2"/>
        <v>1.0699835722352438</v>
      </c>
    </row>
    <row r="94" spans="2:5" ht="15" thickBot="1" x14ac:dyDescent="0.4">
      <c r="B94" s="47" t="s">
        <v>84</v>
      </c>
      <c r="C94" s="51">
        <f>_xll.AnalizExpert.AnalizExpertIslem.KalemFAVOK($B94,"2021/06K","TL",1,1,1,1)</f>
        <v>2087269000</v>
      </c>
      <c r="D94" s="62">
        <f>_xll.AnalizExpert.AnalizExpertIslem.KalemFAVOK($B94,"2022/06K","TL",1,1,1,1)</f>
        <v>4309704000</v>
      </c>
      <c r="E94" s="66">
        <f t="shared" si="2"/>
        <v>1.0647573456032737</v>
      </c>
    </row>
    <row r="95" spans="2:5" hidden="1" x14ac:dyDescent="0.35">
      <c r="B95" s="46" t="s">
        <v>89</v>
      </c>
      <c r="C95" s="49">
        <f>_xll.AnalizExpert.AnalizExpertIslem.KalemFAVOK($B95,"2021/06K","TL",1,1,1,1)</f>
        <v>84534360</v>
      </c>
      <c r="D95" s="60">
        <f>_xll.AnalizExpert.AnalizExpertIslem.KalemFAVOK($B95,"2022/06K","TL",1,1,1,1)</f>
        <v>35546336</v>
      </c>
      <c r="E95" s="50">
        <f t="shared" si="2"/>
        <v>-0.57950428677758958</v>
      </c>
    </row>
    <row r="96" spans="2:5" hidden="1" x14ac:dyDescent="0.35">
      <c r="B96" s="46" t="s">
        <v>90</v>
      </c>
      <c r="C96" s="49">
        <f>_xll.AnalizExpert.AnalizExpertIslem.KalemFAVOK($B96,"2021/06K","TL",1,1,1,1)</f>
        <v>7419777000</v>
      </c>
      <c r="D96" s="60">
        <f>_xll.AnalizExpert.AnalizExpertIslem.KalemFAVOK($B96,"2022/06K","TL",1,1,1,1)</f>
        <v>7994777000</v>
      </c>
      <c r="E96" s="50">
        <f t="shared" si="2"/>
        <v>7.7495590500900491E-2</v>
      </c>
    </row>
    <row r="97" spans="2:10" hidden="1" x14ac:dyDescent="0.35">
      <c r="B97" s="46" t="s">
        <v>91</v>
      </c>
      <c r="C97" s="49">
        <f>_xll.AnalizExpert.AnalizExpertIslem.KalemFAVOK($B97,"2021/06K","TL",1,1,1,1)</f>
        <v>862329897</v>
      </c>
      <c r="D97" s="60">
        <f>_xll.AnalizExpert.AnalizExpertIslem.KalemFAVOK($B97,"2022/06K","TL",1,1,1,1)</f>
        <v>1302993751</v>
      </c>
      <c r="E97" s="50">
        <f t="shared" si="2"/>
        <v>0.51101539623413994</v>
      </c>
    </row>
    <row r="98" spans="2:10" hidden="1" x14ac:dyDescent="0.35">
      <c r="B98" s="46" t="s">
        <v>92</v>
      </c>
      <c r="C98" s="49">
        <f>_xll.AnalizExpert.AnalizExpertIslem.KalemFAVOK($B98,"2021/06K","TL",1,1,1,1)</f>
        <v>0</v>
      </c>
      <c r="D98" s="60">
        <f>_xll.AnalizExpert.AnalizExpertIslem.KalemFAVOK($B98,"2022/06K","TL",1,1,1,1)</f>
        <v>0</v>
      </c>
      <c r="E98" s="50" t="e">
        <f t="shared" si="2"/>
        <v>#DIV/0!</v>
      </c>
    </row>
    <row r="99" spans="2:10" ht="15" thickBot="1" x14ac:dyDescent="0.4">
      <c r="B99" s="54" t="s">
        <v>100</v>
      </c>
      <c r="C99" s="55">
        <f>_xll.AnalizExpert.AnalizExpertIslem.KalemFAVOK($B99,"2021/06K","TL",1,1,1,1)</f>
        <v>1038576000</v>
      </c>
      <c r="D99" s="63">
        <f>_xll.AnalizExpert.AnalizExpertIslem.KalemFAVOK($B99,"2022/06K","TL",1,1,1,1)</f>
        <v>2102308000</v>
      </c>
      <c r="E99" s="67">
        <f t="shared" si="2"/>
        <v>1.0242216265347936</v>
      </c>
    </row>
    <row r="100" spans="2:10" hidden="1" x14ac:dyDescent="0.35">
      <c r="B100" s="46" t="s">
        <v>94</v>
      </c>
      <c r="C100" s="49">
        <f>_xll.AnalizExpert.AnalizExpertIslem.KalemFAVOK($B100,"2021/06K","TL",1,1,1,1)</f>
        <v>0</v>
      </c>
      <c r="D100" s="60">
        <f>_xll.AnalizExpert.AnalizExpertIslem.KalemFAVOK($B100,"2022/06K","TL",1,1,1,1)</f>
        <v>0</v>
      </c>
      <c r="E100" s="50" t="e">
        <f t="shared" si="2"/>
        <v>#DIV/0!</v>
      </c>
    </row>
    <row r="101" spans="2:10" hidden="1" x14ac:dyDescent="0.35">
      <c r="B101" s="46" t="s">
        <v>95</v>
      </c>
      <c r="C101" s="49">
        <f>_xll.AnalizExpert.AnalizExpertIslem.KalemFAVOK($B101,"2021/06K","TL",1,1,1,1)</f>
        <v>2182544000</v>
      </c>
      <c r="D101" s="60">
        <f>_xll.AnalizExpert.AnalizExpertIslem.KalemFAVOK($B101,"2022/06K","TL",1,1,1,1)</f>
        <v>3906562000</v>
      </c>
      <c r="E101" s="50">
        <f t="shared" si="2"/>
        <v>0.78991213922835013</v>
      </c>
    </row>
    <row r="102" spans="2:10" hidden="1" x14ac:dyDescent="0.35">
      <c r="B102" s="46" t="s">
        <v>96</v>
      </c>
      <c r="C102" s="49">
        <f>_xll.AnalizExpert.AnalizExpertIslem.KalemFAVOK($B102,"2021/06K","TL",1,1,1,1)</f>
        <v>1176067000</v>
      </c>
      <c r="D102" s="60">
        <f>_xll.AnalizExpert.AnalizExpertIslem.KalemFAVOK($B102,"2022/06K","TL",1,1,1,1)</f>
        <v>1916334000</v>
      </c>
      <c r="E102" s="50">
        <f t="shared" si="2"/>
        <v>0.62944288038011442</v>
      </c>
    </row>
    <row r="103" spans="2:10" hidden="1" x14ac:dyDescent="0.35">
      <c r="B103" s="46" t="s">
        <v>97</v>
      </c>
      <c r="C103" s="49">
        <f>_xll.AnalizExpert.AnalizExpertIslem.KalemFAVOK($B103,"2021/06K","TL",1,1,1,1)</f>
        <v>0</v>
      </c>
      <c r="D103" s="60">
        <f>_xll.AnalizExpert.AnalizExpertIslem.KalemFAVOK($B103,"2022/06K","TL",1,1,1,1)</f>
        <v>0</v>
      </c>
      <c r="E103" s="50" t="e">
        <f>D103/C103-1</f>
        <v>#DIV/0!</v>
      </c>
    </row>
    <row r="104" spans="2:10" x14ac:dyDescent="0.35">
      <c r="B104" s="45" t="s">
        <v>98</v>
      </c>
      <c r="C104" s="53">
        <f>_xll.AnalizExpert.AnalizExpertIslem.KalemFAVOK($B104,"2021/06K","TL",1,1,1,1)</f>
        <v>183681304</v>
      </c>
      <c r="D104" s="61">
        <f>_xll.AnalizExpert.AnalizExpertIslem.KalemFAVOK($B104,"2022/06K","TL",1,1,1,1)</f>
        <v>369558448</v>
      </c>
      <c r="E104" s="64">
        <f>D104/C104-1</f>
        <v>1.0119546189632889</v>
      </c>
    </row>
    <row r="105" spans="2:10" x14ac:dyDescent="0.35">
      <c r="B105" s="46" t="s">
        <v>85</v>
      </c>
      <c r="C105" s="49">
        <f>_xll.AnalizExpert.AnalizExpertIslem.KalemFAVOK($B105,"2021/06K","TL",1,1,1,1)</f>
        <v>419415000</v>
      </c>
      <c r="D105" s="60">
        <f>_xll.AnalizExpert.AnalizExpertIslem.KalemFAVOK($B105,"2022/06K","TL",1,1,1,1)</f>
        <v>842698000</v>
      </c>
      <c r="E105" s="65">
        <f>D105/C105-1</f>
        <v>1.0092223692524112</v>
      </c>
    </row>
    <row r="106" spans="2:10" ht="15" thickBot="1" x14ac:dyDescent="0.4">
      <c r="B106" s="47" t="s">
        <v>59</v>
      </c>
      <c r="C106" s="51">
        <f>_xll.AnalizExpert.AnalizExpertIslem.KalemFAVOK($B106,"2021/06K","TL",1,1,1,1)</f>
        <v>135233236</v>
      </c>
      <c r="D106" s="62">
        <f>_xll.AnalizExpert.AnalizExpertIslem.KalemFAVOK($B106,"2022/06K","TL",1,1,1,1)</f>
        <v>271461692</v>
      </c>
      <c r="E106" s="66">
        <f>D106/C106-1</f>
        <v>1.0073592855531461</v>
      </c>
    </row>
    <row r="107" spans="2:10" ht="15" customHeight="1" x14ac:dyDescent="0.35">
      <c r="B107" s="202" t="s">
        <v>134</v>
      </c>
      <c r="C107" s="203"/>
      <c r="D107" s="203"/>
      <c r="E107" s="204"/>
      <c r="F107" s="44"/>
      <c r="G107" s="44"/>
      <c r="H107" s="44"/>
      <c r="I107" s="44"/>
      <c r="J107" s="44"/>
    </row>
    <row r="108" spans="2:10" x14ac:dyDescent="0.35">
      <c r="B108" s="205"/>
      <c r="C108" s="206"/>
      <c r="D108" s="206"/>
      <c r="E108" s="207"/>
      <c r="F108" s="44"/>
      <c r="G108" s="44"/>
      <c r="H108" s="44"/>
      <c r="I108" s="44"/>
      <c r="J108" s="44"/>
    </row>
    <row r="109" spans="2:10" x14ac:dyDescent="0.35">
      <c r="B109" s="205"/>
      <c r="C109" s="206"/>
      <c r="D109" s="206"/>
      <c r="E109" s="207"/>
      <c r="F109" s="44"/>
      <c r="G109" s="44"/>
      <c r="H109" s="44"/>
      <c r="I109" s="44"/>
      <c r="J109" s="44"/>
    </row>
    <row r="110" spans="2:10" x14ac:dyDescent="0.35">
      <c r="B110" s="205"/>
      <c r="C110" s="206"/>
      <c r="D110" s="206"/>
      <c r="E110" s="207"/>
      <c r="F110" s="44"/>
      <c r="G110" s="44"/>
      <c r="H110" s="44"/>
      <c r="I110" s="44"/>
      <c r="J110" s="44"/>
    </row>
    <row r="111" spans="2:10" x14ac:dyDescent="0.35">
      <c r="B111" s="205"/>
      <c r="C111" s="206"/>
      <c r="D111" s="206"/>
      <c r="E111" s="207"/>
      <c r="F111" s="44"/>
      <c r="G111" s="44"/>
      <c r="H111" s="44"/>
      <c r="I111" s="44"/>
      <c r="J111" s="44"/>
    </row>
    <row r="112" spans="2:10" x14ac:dyDescent="0.35">
      <c r="B112" s="205"/>
      <c r="C112" s="206"/>
      <c r="D112" s="206"/>
      <c r="E112" s="207"/>
      <c r="F112" s="44"/>
      <c r="G112" s="44"/>
      <c r="H112" s="44"/>
      <c r="I112" s="44"/>
      <c r="J112" s="44"/>
    </row>
    <row r="113" spans="2:10" x14ac:dyDescent="0.35">
      <c r="B113" s="205"/>
      <c r="C113" s="206"/>
      <c r="D113" s="206"/>
      <c r="E113" s="207"/>
      <c r="F113" s="44"/>
      <c r="G113" s="44"/>
      <c r="H113" s="44"/>
      <c r="I113" s="44"/>
      <c r="J113" s="44"/>
    </row>
    <row r="114" spans="2:10" x14ac:dyDescent="0.35">
      <c r="B114" s="205"/>
      <c r="C114" s="206"/>
      <c r="D114" s="206"/>
      <c r="E114" s="207"/>
      <c r="F114" s="44"/>
      <c r="G114" s="44"/>
      <c r="H114" s="44"/>
      <c r="I114" s="44"/>
      <c r="J114" s="44"/>
    </row>
    <row r="115" spans="2:10" x14ac:dyDescent="0.35">
      <c r="B115" s="205"/>
      <c r="C115" s="206"/>
      <c r="D115" s="206"/>
      <c r="E115" s="207"/>
      <c r="F115" s="44"/>
      <c r="G115" s="44"/>
      <c r="H115" s="44"/>
      <c r="I115" s="44"/>
      <c r="J115" s="44"/>
    </row>
    <row r="116" spans="2:10" x14ac:dyDescent="0.35">
      <c r="B116" s="205"/>
      <c r="C116" s="206"/>
      <c r="D116" s="206"/>
      <c r="E116" s="207"/>
      <c r="F116" s="44"/>
      <c r="G116" s="44"/>
      <c r="H116" s="44"/>
      <c r="I116" s="44"/>
      <c r="J116" s="44"/>
    </row>
    <row r="117" spans="2:10" x14ac:dyDescent="0.35">
      <c r="B117" s="205"/>
      <c r="C117" s="206"/>
      <c r="D117" s="206"/>
      <c r="E117" s="207"/>
      <c r="F117" s="44"/>
      <c r="G117" s="44"/>
      <c r="H117" s="44"/>
      <c r="I117" s="44"/>
      <c r="J117" s="44"/>
    </row>
    <row r="118" spans="2:10" x14ac:dyDescent="0.35">
      <c r="B118" s="205"/>
      <c r="C118" s="206"/>
      <c r="D118" s="206"/>
      <c r="E118" s="207"/>
      <c r="F118" s="44"/>
      <c r="G118" s="44"/>
      <c r="H118" s="44"/>
      <c r="I118" s="44"/>
      <c r="J118" s="44"/>
    </row>
    <row r="119" spans="2:10" x14ac:dyDescent="0.35">
      <c r="B119" s="205"/>
      <c r="C119" s="206"/>
      <c r="D119" s="206"/>
      <c r="E119" s="207"/>
      <c r="F119" s="44"/>
      <c r="G119" s="44"/>
      <c r="H119" s="44"/>
      <c r="I119" s="44"/>
      <c r="J119" s="44"/>
    </row>
    <row r="120" spans="2:10" ht="15" thickBot="1" x14ac:dyDescent="0.4">
      <c r="B120" s="205"/>
      <c r="C120" s="206"/>
      <c r="D120" s="206"/>
      <c r="E120" s="207"/>
      <c r="F120" s="44"/>
      <c r="G120" s="44"/>
      <c r="H120" s="44"/>
      <c r="I120" s="44"/>
      <c r="J120" s="44"/>
    </row>
    <row r="121" spans="2:10" x14ac:dyDescent="0.35">
      <c r="B121" s="23"/>
      <c r="C121" s="24"/>
      <c r="D121" s="24"/>
      <c r="E121" s="25"/>
      <c r="F121" s="32"/>
      <c r="G121" s="32"/>
      <c r="H121" s="32"/>
      <c r="I121" s="32"/>
      <c r="J121" s="32"/>
    </row>
    <row r="122" spans="2:10" x14ac:dyDescent="0.35">
      <c r="B122" s="26"/>
      <c r="C122" s="27"/>
      <c r="D122" s="27"/>
      <c r="E122" s="28"/>
      <c r="F122" s="32"/>
      <c r="G122" s="32"/>
      <c r="H122" s="32"/>
      <c r="I122" s="32"/>
      <c r="J122" s="32"/>
    </row>
    <row r="123" spans="2:10" x14ac:dyDescent="0.35">
      <c r="B123" s="26"/>
      <c r="C123" s="27"/>
      <c r="D123" s="27"/>
      <c r="E123" s="28"/>
      <c r="F123" s="32"/>
      <c r="G123" s="32"/>
      <c r="H123" s="32"/>
      <c r="I123" s="32"/>
      <c r="J123" s="32"/>
    </row>
    <row r="124" spans="2:10" ht="15" thickBot="1" x14ac:dyDescent="0.4">
      <c r="B124" s="29"/>
      <c r="C124" s="30"/>
      <c r="D124" s="30"/>
      <c r="E124" s="31"/>
      <c r="F124" s="32"/>
      <c r="G124" s="32"/>
      <c r="H124" s="32"/>
      <c r="I124" s="32"/>
      <c r="J124" s="32"/>
    </row>
    <row r="125" spans="2:10" x14ac:dyDescent="0.35">
      <c r="F125" s="11"/>
      <c r="G125" s="11"/>
      <c r="H125" s="11"/>
      <c r="I125" s="11"/>
      <c r="J125" s="11"/>
    </row>
    <row r="126" spans="2:10" x14ac:dyDescent="0.35">
      <c r="F126" s="11"/>
      <c r="G126" s="11"/>
      <c r="H126" s="11"/>
      <c r="I126" s="11"/>
      <c r="J126" s="11"/>
    </row>
  </sheetData>
  <mergeCells count="2">
    <mergeCell ref="B107:E120"/>
    <mergeCell ref="D3:D4"/>
  </mergeCells>
  <pageMargins left="0.51181102362204722" right="0.51181102362204722" top="0.55118110236220474" bottom="0.55118110236220474" header="0.11811023622047245" footer="0.11811023622047245"/>
  <pageSetup paperSize="9" scale="68" fitToHeight="0"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K121"/>
  <sheetViews>
    <sheetView workbookViewId="0">
      <selection activeCell="H30" sqref="H30"/>
    </sheetView>
  </sheetViews>
  <sheetFormatPr defaultRowHeight="14.5" x14ac:dyDescent="0.35"/>
  <cols>
    <col min="1" max="1" width="3.1796875" customWidth="1"/>
    <col min="2" max="2" width="8" customWidth="1"/>
    <col min="3" max="3" width="13.81640625" customWidth="1"/>
    <col min="4" max="4" width="15.1796875" customWidth="1"/>
    <col min="5" max="5" width="18" customWidth="1"/>
    <col min="6" max="6" width="16.453125" customWidth="1"/>
    <col min="7" max="7" width="18.54296875" customWidth="1"/>
    <col min="8" max="8" width="18.453125" customWidth="1"/>
    <col min="9" max="9" width="22.81640625" customWidth="1"/>
    <col min="10" max="10" width="21" customWidth="1"/>
    <col min="11" max="11" width="23.81640625" bestFit="1" customWidth="1"/>
    <col min="12" max="12" width="3.81640625" customWidth="1"/>
  </cols>
  <sheetData>
    <row r="1" spans="2:11" ht="15" thickBot="1" x14ac:dyDescent="0.4"/>
    <row r="2" spans="2:11" ht="23.25" customHeight="1" x14ac:dyDescent="0.35">
      <c r="B2" s="12"/>
      <c r="C2" s="13"/>
      <c r="D2" s="190" t="s">
        <v>160</v>
      </c>
      <c r="E2" s="190"/>
      <c r="F2" s="190"/>
      <c r="G2" s="190"/>
      <c r="H2" s="190"/>
      <c r="I2" s="190"/>
      <c r="J2" s="190"/>
      <c r="K2" s="169">
        <f ca="1">TODAY()</f>
        <v>44886</v>
      </c>
    </row>
    <row r="3" spans="2:11" ht="15" customHeight="1" x14ac:dyDescent="0.35">
      <c r="B3" s="15"/>
      <c r="C3" s="16"/>
      <c r="D3" s="191"/>
      <c r="E3" s="191"/>
      <c r="F3" s="191"/>
      <c r="G3" s="191"/>
      <c r="H3" s="191"/>
      <c r="I3" s="191"/>
      <c r="J3" s="191"/>
      <c r="K3" s="170"/>
    </row>
    <row r="4" spans="2:11" ht="15" customHeight="1" thickBot="1" x14ac:dyDescent="0.4">
      <c r="B4" s="18"/>
      <c r="C4" s="19"/>
      <c r="D4" s="192"/>
      <c r="E4" s="192"/>
      <c r="F4" s="192"/>
      <c r="G4" s="192"/>
      <c r="H4" s="192"/>
      <c r="I4" s="192"/>
      <c r="J4" s="192"/>
      <c r="K4" s="171"/>
    </row>
    <row r="5" spans="2:11" ht="16" thickBot="1" x14ac:dyDescent="0.4">
      <c r="B5" s="76" t="s">
        <v>151</v>
      </c>
      <c r="C5" s="77" t="s">
        <v>152</v>
      </c>
      <c r="D5" s="77" t="s">
        <v>153</v>
      </c>
      <c r="E5" s="77" t="s">
        <v>154</v>
      </c>
      <c r="F5" s="77" t="s">
        <v>155</v>
      </c>
      <c r="G5" s="77" t="s">
        <v>156</v>
      </c>
      <c r="H5" s="77" t="s">
        <v>157</v>
      </c>
      <c r="I5" s="77" t="s">
        <v>158</v>
      </c>
      <c r="J5" s="77" t="s">
        <v>159</v>
      </c>
      <c r="K5" s="78" t="s">
        <v>150</v>
      </c>
    </row>
    <row r="6" spans="2:11" x14ac:dyDescent="0.35">
      <c r="B6" s="70" t="str">
        <f>[1]!ZRGYO.SEMBOL</f>
        <v>ZRGYO</v>
      </c>
      <c r="C6" s="71">
        <f>[1]!ZRGYO.SON</f>
        <v>5.05</v>
      </c>
      <c r="D6" s="79">
        <f>([1]!'ZRGYO.GUN.F%')/100</f>
        <v>6.0899999999999996E-2</v>
      </c>
      <c r="E6" s="79">
        <f>([1]!'ZRGYO.30GUNLUK.F%')/100</f>
        <v>0.24079999999999999</v>
      </c>
      <c r="F6" s="79">
        <f>([1]!'ZRGYO.BU.YIL.FARK%')/100</f>
        <v>1.0801000000000001</v>
      </c>
      <c r="G6" s="79">
        <f>([1]!'ZRGYO.52HAFTALIK.F%')/100</f>
        <v>1.1787000000000001</v>
      </c>
      <c r="H6" s="79">
        <f>([1]!ZRGYO.TKS.YAB.PAYY)/100</f>
        <v>5.4070090000000001E-2</v>
      </c>
      <c r="I6" s="79">
        <f>([1]!ZRGYO.TKS.YAB.HAF.PAYY)/100</f>
        <v>-1.6704830000000002E-3</v>
      </c>
      <c r="J6" s="79">
        <f>([1]!ZRGYO.TKS.YAB.AY.PAYY)/100</f>
        <v>0.13763420000000001</v>
      </c>
      <c r="K6" s="80">
        <f>([1]!ZRGYO.TKS.YAB.YIL.PAYY)/100</f>
        <v>4.8141889999999998</v>
      </c>
    </row>
    <row r="7" spans="2:11" x14ac:dyDescent="0.35">
      <c r="B7" s="72" t="str">
        <f>[1]!SNGYO.SEMBOL</f>
        <v>SNGYO</v>
      </c>
      <c r="C7" s="73">
        <f>[1]!SNGYO.SON</f>
        <v>3.02</v>
      </c>
      <c r="D7" s="81">
        <f>([1]!'SNGYO.GUN.F%')/100</f>
        <v>4.4999999999999998E-2</v>
      </c>
      <c r="E7" s="81">
        <f>([1]!'SNGYO.30GUNLUK.F%')/100</f>
        <v>-0.44280000000000003</v>
      </c>
      <c r="F7" s="81">
        <f>([1]!'SNGYO.BU.YIL.FARK%')/100</f>
        <v>0.215</v>
      </c>
      <c r="G7" s="81">
        <f>([1]!'SNGYO.52HAFTALIK.F%')/100</f>
        <v>0.26530000000000004</v>
      </c>
      <c r="H7" s="81">
        <f>([1]!SNGYO.TKS.YAB.PAYY)/100</f>
        <v>6.5887360000000006E-2</v>
      </c>
      <c r="I7" s="81">
        <f>([1]!SNGYO.TKS.YAB.HAF.PAYY)/100</f>
        <v>4.5364319999999993E-2</v>
      </c>
      <c r="J7" s="81">
        <f>([1]!SNGYO.TKS.YAB.AY.PAYY)/100</f>
        <v>2.8019169999999999E-2</v>
      </c>
      <c r="K7" s="82">
        <f>([1]!SNGYO.TKS.YAB.YIL.PAYY)/100</f>
        <v>5.6112210000000005</v>
      </c>
    </row>
    <row r="8" spans="2:11" x14ac:dyDescent="0.35">
      <c r="B8" s="72" t="str">
        <f>[1]!KONTR.SEMBOL</f>
        <v>KONTR</v>
      </c>
      <c r="C8" s="73">
        <f>[1]!KONTR.SON</f>
        <v>192.1</v>
      </c>
      <c r="D8" s="81">
        <f>([1]!'KONTR.GUN.F%')/100</f>
        <v>9.9600000000000008E-2</v>
      </c>
      <c r="E8" s="81">
        <f>([1]!'KONTR.30GUNLUK.F%')/100</f>
        <v>1.1274</v>
      </c>
      <c r="F8" s="81">
        <f>([1]!'KONTR.BU.YIL.FARK%')/100</f>
        <v>14.5627</v>
      </c>
      <c r="G8" s="81">
        <f>([1]!'KONTR.52HAFTALIK.F%')/100</f>
        <v>13.3384</v>
      </c>
      <c r="H8" s="81">
        <f>([1]!KONTR.TKS.YAB.PAYY)/100</f>
        <v>1.8208789999999999E-2</v>
      </c>
      <c r="I8" s="81">
        <f>([1]!KONTR.TKS.YAB.HAF.PAYY)/100</f>
        <v>0.42283520000000002</v>
      </c>
      <c r="J8" s="81">
        <f>([1]!KONTR.TKS.YAB.AY.PAYY)/100</f>
        <v>1.465028</v>
      </c>
      <c r="K8" s="82">
        <f>([1]!KONTR.TKS.YAB.YIL.PAYY)/100</f>
        <v>77.265320000000003</v>
      </c>
    </row>
    <row r="9" spans="2:11" x14ac:dyDescent="0.35">
      <c r="B9" s="72" t="str">
        <f>[1]!BASGZ.SEMBOL</f>
        <v>BASGZ</v>
      </c>
      <c r="C9" s="73">
        <f>[1]!BASGZ.SON</f>
        <v>17.420000000000002</v>
      </c>
      <c r="D9" s="81">
        <f>([1]!'BASGZ.GUN.F%')/100</f>
        <v>2.1099999999999997E-2</v>
      </c>
      <c r="E9" s="81">
        <f>([1]!'BASGZ.30GUNLUK.F%')/100</f>
        <v>-3.3799999999999997E-2</v>
      </c>
      <c r="F9" s="81">
        <f>([1]!'BASGZ.BU.YIL.FARK%')/100</f>
        <v>0.58860000000000001</v>
      </c>
      <c r="G9" s="81">
        <f>([1]!'BASGZ.52HAFTALIK.F%')/100</f>
        <v>0.37009999999999998</v>
      </c>
      <c r="H9" s="81">
        <f>([1]!BASGZ.TKS.YAB.PAYY)/100</f>
        <v>6.0345919999999997E-2</v>
      </c>
      <c r="I9" s="81">
        <f>([1]!BASGZ.TKS.YAB.HAF.PAYY)/100</f>
        <v>0.36123019999999995</v>
      </c>
      <c r="J9" s="81">
        <f>([1]!BASGZ.TKS.YAB.AY.PAYY)/100</f>
        <v>0.5035771</v>
      </c>
      <c r="K9" s="82">
        <f>([1]!BASGZ.TKS.YAB.YIL.PAYY)/100</f>
        <v>14.976610000000001</v>
      </c>
    </row>
    <row r="10" spans="2:11" x14ac:dyDescent="0.35">
      <c r="B10" s="72" t="str">
        <f>[1]!ISFIN.SEMBOL</f>
        <v>ISFIN</v>
      </c>
      <c r="C10" s="73">
        <f>[1]!ISFIN.SON</f>
        <v>8.92</v>
      </c>
      <c r="D10" s="81">
        <f>([1]!'ISFIN.GUN.F%')/100</f>
        <v>1.1299999999999999E-2</v>
      </c>
      <c r="E10" s="81">
        <f>([1]!'ISFIN.30GUNLUK.F%')/100</f>
        <v>0.10400000000000001</v>
      </c>
      <c r="F10" s="81">
        <f>([1]!'ISFIN.BU.YIL.FARK%')/100</f>
        <v>1.8774000000000002</v>
      </c>
      <c r="G10" s="81">
        <f>([1]!'ISFIN.52HAFTALIK.F%')/100</f>
        <v>1.6627000000000001</v>
      </c>
      <c r="H10" s="81">
        <f>([1]!ISFIN.TKS.YAB.PAYY)/100</f>
        <v>0.18894359999999999</v>
      </c>
      <c r="I10" s="81">
        <f>([1]!ISFIN.TKS.YAB.HAF.PAYY)/100</f>
        <v>-5.5619859999999997E-3</v>
      </c>
      <c r="J10" s="81">
        <f>([1]!ISFIN.TKS.YAB.AY.PAYY)/100</f>
        <v>-4.7399190000000008E-2</v>
      </c>
      <c r="K10" s="82">
        <f>([1]!ISFIN.TKS.YAB.YIL.PAYY)/100</f>
        <v>2.5390090000000001</v>
      </c>
    </row>
    <row r="11" spans="2:11" x14ac:dyDescent="0.35">
      <c r="B11" s="72" t="str">
        <f>[1]!VESBE.SEMBOL</f>
        <v>VESBE</v>
      </c>
      <c r="C11" s="73">
        <f>[1]!VESBE.SON</f>
        <v>9.83</v>
      </c>
      <c r="D11" s="81">
        <f>([1]!'VESBE.GUN.F%')/100</f>
        <v>7.1999999999999998E-3</v>
      </c>
      <c r="E11" s="81">
        <f>([1]!'VESBE.30GUNLUK.F%')/100</f>
        <v>2.0799999999999999E-2</v>
      </c>
      <c r="F11" s="81">
        <f>([1]!'VESBE.BU.YIL.FARK%')/100</f>
        <v>0.30620000000000003</v>
      </c>
      <c r="G11" s="81">
        <f>([1]!'VESBE.52HAFTALIK.F%')/100</f>
        <v>0.46210000000000001</v>
      </c>
      <c r="H11" s="81">
        <f>([1]!VESBE.TKS.YAB.PAYY)/100</f>
        <v>6.2511689999999995E-2</v>
      </c>
      <c r="I11" s="81">
        <f>([1]!VESBE.TKS.YAB.HAF.PAYY)/100</f>
        <v>0.11652</v>
      </c>
      <c r="J11" s="81">
        <f>([1]!VESBE.TKS.YAB.AY.PAYY)/100</f>
        <v>-0.15141949999999998</v>
      </c>
      <c r="K11" s="82">
        <f>([1]!VESBE.TKS.YAB.YIL.PAYY)/100</f>
        <v>-0.45731349999999998</v>
      </c>
    </row>
    <row r="12" spans="2:11" x14ac:dyDescent="0.35">
      <c r="B12" s="72" t="str">
        <f>[1]!PARSN.SEMBOL</f>
        <v>PARSN</v>
      </c>
      <c r="C12" s="73">
        <f>[1]!PARSN.SON</f>
        <v>64.099999999999994</v>
      </c>
      <c r="D12" s="81">
        <f>([1]!'PARSN.GUN.F%')/100</f>
        <v>9.3999999999999986E-3</v>
      </c>
      <c r="E12" s="81">
        <f>([1]!'PARSN.30GUNLUK.F%')/100</f>
        <v>0.1467</v>
      </c>
      <c r="F12" s="81">
        <f>([1]!'PARSN.BU.YIL.FARK%')/100</f>
        <v>1.0234000000000001</v>
      </c>
      <c r="G12" s="81">
        <f>([1]!'PARSN.52HAFTALIK.F%')/100</f>
        <v>0.93310000000000004</v>
      </c>
      <c r="H12" s="81">
        <f>([1]!PARSN.TKS.YAB.PAYY)/100</f>
        <v>5.1588120000000001E-2</v>
      </c>
      <c r="I12" s="81">
        <f>([1]!PARSN.TKS.YAB.HAF.PAYY)/100</f>
        <v>-1.8045189999999999E-2</v>
      </c>
      <c r="J12" s="81">
        <f>([1]!PARSN.TKS.YAB.AY.PAYY)/100</f>
        <v>2.3510770000000001</v>
      </c>
      <c r="K12" s="82">
        <f>([1]!PARSN.TKS.YAB.YIL.PAYY)/100</f>
        <v>3.506959E-3</v>
      </c>
    </row>
    <row r="13" spans="2:11" x14ac:dyDescent="0.35">
      <c r="B13" s="72" t="str">
        <f>[1]!TRGYO.SEMBOL</f>
        <v>TRGYO</v>
      </c>
      <c r="C13" s="73">
        <f>[1]!TRGYO.SON</f>
        <v>14.3</v>
      </c>
      <c r="D13" s="81">
        <f>([1]!'TRGYO.GUN.F%')/100</f>
        <v>4.9200000000000001E-2</v>
      </c>
      <c r="E13" s="81">
        <f>([1]!'TRGYO.30GUNLUK.F%')/100</f>
        <v>0.25769999999999998</v>
      </c>
      <c r="F13" s="81">
        <f>([1]!'TRGYO.BU.YIL.FARK%')/100</f>
        <v>2.6480000000000001</v>
      </c>
      <c r="G13" s="81">
        <f>([1]!'TRGYO.52HAFTALIK.F%')/100</f>
        <v>2.593</v>
      </c>
      <c r="H13" s="81">
        <f>([1]!TRGYO.TKS.YAB.PAYY)/100</f>
        <v>0.25106249999999997</v>
      </c>
      <c r="I13" s="81">
        <f>([1]!TRGYO.TKS.YAB.HAF.PAYY)/100</f>
        <v>-5.9804070000000001E-3</v>
      </c>
      <c r="J13" s="81">
        <f>([1]!TRGYO.TKS.YAB.AY.PAYY)/100</f>
        <v>-7.3463319999999999E-2</v>
      </c>
      <c r="K13" s="82">
        <f>([1]!TRGYO.TKS.YAB.YIL.PAYY)/100</f>
        <v>2.8433609999999998</v>
      </c>
    </row>
    <row r="14" spans="2:11" x14ac:dyDescent="0.35">
      <c r="B14" s="72" t="str">
        <f>[1]!TKNSA.SEMBOL</f>
        <v>TKNSA</v>
      </c>
      <c r="C14" s="73">
        <f>[1]!TKNSA.SON</f>
        <v>23.82</v>
      </c>
      <c r="D14" s="81">
        <f>([1]!'TKNSA.GUN.F%')/100</f>
        <v>2.58E-2</v>
      </c>
      <c r="E14" s="81">
        <f>([1]!'TKNSA.30GUNLUK.F%')/100</f>
        <v>0.39460000000000001</v>
      </c>
      <c r="F14" s="81">
        <f>([1]!'TKNSA.BU.YIL.FARK%')/100</f>
        <v>2.7689999999999997</v>
      </c>
      <c r="G14" s="81">
        <f>([1]!'TKNSA.52HAFTALIK.F%')/100</f>
        <v>2.7511999999999999</v>
      </c>
      <c r="H14" s="81">
        <f>([1]!TKNSA.TKS.YAB.PAYY)/100</f>
        <v>4.0639909999999994E-2</v>
      </c>
      <c r="I14" s="81">
        <f>([1]!TKNSA.TKS.YAB.HAF.PAYY)/100</f>
        <v>0.10771570000000001</v>
      </c>
      <c r="J14" s="81">
        <f>([1]!TKNSA.TKS.YAB.AY.PAYY)/100</f>
        <v>-0.30471999999999999</v>
      </c>
      <c r="K14" s="82">
        <f>([1]!TKNSA.TKS.YAB.YIL.PAYY)/100</f>
        <v>3.7482330000000004</v>
      </c>
    </row>
    <row r="15" spans="2:11" x14ac:dyDescent="0.35">
      <c r="B15" s="72" t="str">
        <f>[1]!KARSN.SEMBOL</f>
        <v>KARSN</v>
      </c>
      <c r="C15" s="73">
        <f>[1]!KARSN.SON</f>
        <v>12.85</v>
      </c>
      <c r="D15" s="81">
        <f>([1]!'KARSN.GUN.F%')/100</f>
        <v>4.6999999999999993E-3</v>
      </c>
      <c r="E15" s="81">
        <f>([1]!'KARSN.30GUNLUK.F%')/100</f>
        <v>0.39829999999999999</v>
      </c>
      <c r="F15" s="81">
        <f>([1]!'KARSN.BU.YIL.FARK%')/100</f>
        <v>2.7355</v>
      </c>
      <c r="G15" s="81">
        <f>([1]!'KARSN.52HAFTALIK.F%')/100</f>
        <v>2.1265000000000001</v>
      </c>
      <c r="H15" s="81">
        <f>([1]!KARSN.TKS.YAB.PAYY)/100</f>
        <v>4.0506900000000005E-2</v>
      </c>
      <c r="I15" s="81">
        <f>([1]!KARSN.TKS.YAB.HAF.PAYY)/100</f>
        <v>7.6252719999999996E-2</v>
      </c>
      <c r="J15" s="81">
        <f>([1]!KARSN.TKS.YAB.AY.PAYY)/100</f>
        <v>1.42693</v>
      </c>
      <c r="K15" s="82">
        <f>([1]!KARSN.TKS.YAB.YIL.PAYY)/100</f>
        <v>1.700626</v>
      </c>
    </row>
    <row r="16" spans="2:11" x14ac:dyDescent="0.35">
      <c r="B16" s="72" t="str">
        <f>[1]!ALBRK.SEMBOL</f>
        <v>ALBRK</v>
      </c>
      <c r="C16" s="73">
        <f>[1]!ALBRK.SON</f>
        <v>3.49</v>
      </c>
      <c r="D16" s="81">
        <f>([1]!'ALBRK.GUN.F%')/100</f>
        <v>1.1599999999999999E-2</v>
      </c>
      <c r="E16" s="81">
        <f>([1]!'ALBRK.30GUNLUK.F%')/100</f>
        <v>0.55110000000000003</v>
      </c>
      <c r="F16" s="81">
        <f>([1]!'ALBRK.BU.YIL.FARK%')/100</f>
        <v>1.5263999999999998</v>
      </c>
      <c r="G16" s="81">
        <f>([1]!'ALBRK.52HAFTALIK.F%')/100</f>
        <v>1.1338999999999999</v>
      </c>
      <c r="H16" s="81">
        <f>([1]!ALBRK.TKS.YAB.PAYY)/100</f>
        <v>0.17043420000000001</v>
      </c>
      <c r="I16" s="81">
        <f>([1]!ALBRK.TKS.YAB.HAF.PAYY)/100</f>
        <v>1.7267640000000001E-2</v>
      </c>
      <c r="J16" s="81">
        <f>([1]!ALBRK.TKS.YAB.AY.PAYY)/100</f>
        <v>0.3302677</v>
      </c>
      <c r="K16" s="82">
        <f>([1]!ALBRK.TKS.YAB.YIL.PAYY)/100</f>
        <v>4.1852970000000003</v>
      </c>
    </row>
    <row r="17" spans="2:11" x14ac:dyDescent="0.35">
      <c r="B17" s="72" t="str">
        <f>[1]!ODAS.SEMBOL</f>
        <v>ODAS</v>
      </c>
      <c r="C17" s="73">
        <f>[1]!ODAS.SON</f>
        <v>10.78</v>
      </c>
      <c r="D17" s="81">
        <f>([1]!'ODAS.GUN.F%')/100</f>
        <v>-3.4099999999999998E-2</v>
      </c>
      <c r="E17" s="81">
        <f>([1]!'ODAS.30GUNLUK.F%')/100</f>
        <v>0.3594</v>
      </c>
      <c r="F17" s="81">
        <f>([1]!'ODAS.BU.YIL.FARK%')/100</f>
        <v>7.0448000000000004</v>
      </c>
      <c r="G17" s="81">
        <f>([1]!'ODAS.52HAFTALIK.F%')/100</f>
        <v>5.7374999999999998</v>
      </c>
      <c r="H17" s="81">
        <f>([1]!ODAS.TKS.YAB.PAYY)/100</f>
        <v>8.79611E-2</v>
      </c>
      <c r="I17" s="81">
        <f>([1]!ODAS.TKS.YAB.HAF.PAYY)/100</f>
        <v>0.16522329999999999</v>
      </c>
      <c r="J17" s="81">
        <f>([1]!ODAS.TKS.YAB.AY.PAYY)/100</f>
        <v>0.47519919999999999</v>
      </c>
      <c r="K17" s="82">
        <f>([1]!ODAS.TKS.YAB.YIL.PAYY)/100</f>
        <v>1.9186050000000001</v>
      </c>
    </row>
    <row r="18" spans="2:11" x14ac:dyDescent="0.35">
      <c r="B18" s="72" t="str">
        <f>[1]!BUCIM.SEMBOL</f>
        <v>BUCIM</v>
      </c>
      <c r="C18" s="73">
        <f>[1]!BUCIM.SON</f>
        <v>5.43</v>
      </c>
      <c r="D18" s="81">
        <f>([1]!'BUCIM.GUN.F%')/100</f>
        <v>2.4500000000000001E-2</v>
      </c>
      <c r="E18" s="81">
        <f>([1]!'BUCIM.30GUNLUK.F%')/100</f>
        <v>0.1804</v>
      </c>
      <c r="F18" s="81">
        <f>([1]!'BUCIM.BU.YIL.FARK%')/100</f>
        <v>1.5958000000000001</v>
      </c>
      <c r="G18" s="81">
        <f>([1]!'BUCIM.52HAFTALIK.F%')/100</f>
        <v>1.3999000000000001</v>
      </c>
      <c r="H18" s="81">
        <f>([1]!BUCIM.TKS.YAB.PAYY)/100</f>
        <v>1.356487E-2</v>
      </c>
      <c r="I18" s="81">
        <f>([1]!BUCIM.TKS.YAB.HAF.PAYY)/100</f>
        <v>0.19535229999999998</v>
      </c>
      <c r="J18" s="81">
        <f>([1]!BUCIM.TKS.YAB.AY.PAYY)/100</f>
        <v>0.90688000000000002</v>
      </c>
      <c r="K18" s="82">
        <f>([1]!BUCIM.TKS.YAB.YIL.PAYY)/100</f>
        <v>9.3846349999999994</v>
      </c>
    </row>
    <row r="19" spans="2:11" x14ac:dyDescent="0.35">
      <c r="B19" s="72" t="str">
        <f>[1]!BRYAT.SEMBOL</f>
        <v>BRYAT</v>
      </c>
      <c r="C19" s="73">
        <f>[1]!BRYAT.SON</f>
        <v>956</v>
      </c>
      <c r="D19" s="81">
        <f>([1]!'BRYAT.GUN.F%')/100</f>
        <v>-2.9900000000000003E-2</v>
      </c>
      <c r="E19" s="81">
        <f>([1]!'BRYAT.30GUNLUK.F%')/100</f>
        <v>0.27179999999999999</v>
      </c>
      <c r="F19" s="81">
        <f>([1]!'BRYAT.BU.YIL.FARK%')/100</f>
        <v>1.5515000000000001</v>
      </c>
      <c r="G19" s="81">
        <f>([1]!'BRYAT.52HAFTALIK.F%')/100</f>
        <v>1.6918</v>
      </c>
      <c r="H19" s="81">
        <f>([1]!BRYAT.TKS.YAB.PAYY)/100</f>
        <v>5.9908859999999994E-2</v>
      </c>
      <c r="I19" s="81">
        <f>([1]!BRYAT.TKS.YAB.HAF.PAYY)/100</f>
        <v>4.5179039999999997E-2</v>
      </c>
      <c r="J19" s="81">
        <f>([1]!BRYAT.TKS.YAB.AY.PAYY)/100</f>
        <v>7.5249110000000008E-2</v>
      </c>
      <c r="K19" s="82">
        <f>([1]!BRYAT.TKS.YAB.YIL.PAYY)/100</f>
        <v>0.59825499999999998</v>
      </c>
    </row>
    <row r="20" spans="2:11" x14ac:dyDescent="0.35">
      <c r="B20" s="72" t="str">
        <f>[1]!ZOREN.SEMBOL</f>
        <v>ZOREN</v>
      </c>
      <c r="C20" s="73">
        <f>[1]!ZOREN.SON</f>
        <v>8.19</v>
      </c>
      <c r="D20" s="81">
        <f>([1]!'ZOREN.GUN.F%')/100</f>
        <v>5.6799999999999996E-2</v>
      </c>
      <c r="E20" s="81">
        <f>([1]!'ZOREN.30GUNLUK.F%')/100</f>
        <v>0.81599999999999995</v>
      </c>
      <c r="F20" s="81">
        <f>([1]!'ZOREN.BU.YIL.FARK%')/100</f>
        <v>3.9337</v>
      </c>
      <c r="G20" s="81">
        <f>([1]!'ZOREN.52HAFTALIK.F%')/100</f>
        <v>3.8462000000000001</v>
      </c>
      <c r="H20" s="81">
        <f>([1]!ZOREN.TKS.YAB.PAYY)/100</f>
        <v>5.2247620000000002E-2</v>
      </c>
      <c r="I20" s="81">
        <f>([1]!ZOREN.TKS.YAB.HAF.PAYY)/100</f>
        <v>0.13473540000000001</v>
      </c>
      <c r="J20" s="81">
        <f>([1]!ZOREN.TKS.YAB.AY.PAYY)/100</f>
        <v>-0.3160346</v>
      </c>
      <c r="K20" s="82">
        <f>([1]!ZOREN.TKS.YAB.YIL.PAYY)/100</f>
        <v>0.56550820000000002</v>
      </c>
    </row>
    <row r="21" spans="2:11" x14ac:dyDescent="0.35">
      <c r="B21" s="72" t="str">
        <f>[1]!ISCTR.SEMBOL</f>
        <v>ISCTR</v>
      </c>
      <c r="C21" s="73">
        <f>[1]!ISCTR.SON</f>
        <v>9.75</v>
      </c>
      <c r="D21" s="81">
        <f>([1]!'ISCTR.GUN.F%')/100</f>
        <v>2.0899999999999998E-2</v>
      </c>
      <c r="E21" s="81">
        <f>([1]!'ISCTR.30GUNLUK.F%')/100</f>
        <v>-8.1000000000000013E-3</v>
      </c>
      <c r="F21" s="81">
        <f>([1]!'ISCTR.BU.YIL.FARK%')/100</f>
        <v>2.1227999999999998</v>
      </c>
      <c r="G21" s="81">
        <f>([1]!'ISCTR.52HAFTALIK.F%')/100</f>
        <v>2.1446999999999998</v>
      </c>
      <c r="H21" s="81">
        <f>([1]!ISCTR.TKS.YAB.PAYY)/100</f>
        <v>0.3492498</v>
      </c>
      <c r="I21" s="81">
        <f>([1]!ISCTR.TKS.YAB.HAF.PAYY)/100</f>
        <v>9.2163280000000011E-3</v>
      </c>
      <c r="J21" s="81">
        <f>([1]!ISCTR.TKS.YAB.AY.PAYY)/100</f>
        <v>-2.2899590000000001E-2</v>
      </c>
      <c r="K21" s="82">
        <f>([1]!ISCTR.TKS.YAB.YIL.PAYY)/100</f>
        <v>1.2539979999999999</v>
      </c>
    </row>
    <row r="22" spans="2:11" x14ac:dyDescent="0.35">
      <c r="B22" s="72" t="str">
        <f>[1]!QUAGR.SEMBOL</f>
        <v>QUAGR</v>
      </c>
      <c r="C22" s="73">
        <f>[1]!QUAGR.SON</f>
        <v>56.4</v>
      </c>
      <c r="D22" s="81">
        <f>([1]!'QUAGR.GUN.F%')/100</f>
        <v>1.6200000000000003E-2</v>
      </c>
      <c r="E22" s="81">
        <f>([1]!'QUAGR.30GUNLUK.F%')/100</f>
        <v>0.34799999999999998</v>
      </c>
      <c r="F22" s="81">
        <f>([1]!'QUAGR.BU.YIL.FARK%')/100</f>
        <v>3.6343000000000001</v>
      </c>
      <c r="G22" s="81">
        <f>([1]!'QUAGR.52HAFTALIK.F%')/100</f>
        <v>4.0357000000000003</v>
      </c>
      <c r="H22" s="81">
        <f>([1]!QUAGR.TKS.YAB.PAYY)/100</f>
        <v>9.6407379999999994E-3</v>
      </c>
      <c r="I22" s="81">
        <f>([1]!QUAGR.TKS.YAB.HAF.PAYY)/100</f>
        <v>-0.16002759999999999</v>
      </c>
      <c r="J22" s="81">
        <f>([1]!QUAGR.TKS.YAB.AY.PAYY)/100</f>
        <v>-0.57486780000000004</v>
      </c>
      <c r="K22" s="82">
        <f>([1]!QUAGR.TKS.YAB.YIL.PAYY)/100</f>
        <v>10.521279999999999</v>
      </c>
    </row>
    <row r="23" spans="2:11" x14ac:dyDescent="0.35">
      <c r="B23" s="72" t="str">
        <f>[1]!GENIL.SEMBOL</f>
        <v>GENIL</v>
      </c>
      <c r="C23" s="73">
        <f>[1]!GENIL.SON</f>
        <v>35.799999999999997</v>
      </c>
      <c r="D23" s="81">
        <f>([1]!'GENIL.GUN.F%')/100</f>
        <v>8.8800000000000004E-2</v>
      </c>
      <c r="E23" s="81">
        <f>([1]!'GENIL.30GUNLUK.F%')/100</f>
        <v>0.3085</v>
      </c>
      <c r="F23" s="81">
        <f>([1]!'GENIL.BU.YIL.FARK%')/100</f>
        <v>1.3862000000000001</v>
      </c>
      <c r="G23" s="81">
        <f>([1]!'GENIL.52HAFTALIK.F%')/100</f>
        <v>1.8089</v>
      </c>
      <c r="H23" s="81">
        <f>([1]!GENIL.TKS.YAB.PAYY)/100</f>
        <v>0.18149789999999999</v>
      </c>
      <c r="I23" s="81">
        <f>([1]!GENIL.TKS.YAB.HAF.PAYY)/100</f>
        <v>4.16949E-2</v>
      </c>
      <c r="J23" s="81">
        <f>([1]!GENIL.TKS.YAB.AY.PAYY)/100</f>
        <v>8.1197829999999999E-2</v>
      </c>
      <c r="K23" s="82">
        <f>([1]!GENIL.TKS.YAB.YIL.PAYY)/100</f>
        <v>1.1204540000000001</v>
      </c>
    </row>
    <row r="24" spans="2:11" x14ac:dyDescent="0.35">
      <c r="B24" s="72" t="str">
        <f>[1]!ALGYO.SEMBOL</f>
        <v>ALGYO</v>
      </c>
      <c r="C24" s="73">
        <f>[1]!ALGYO.SON</f>
        <v>69.900000000000006</v>
      </c>
      <c r="D24" s="81">
        <f>([1]!'ALGYO.GUN.F%')/100</f>
        <v>-7.0999999999999995E-3</v>
      </c>
      <c r="E24" s="81">
        <f>([1]!'ALGYO.30GUNLUK.F%')/100</f>
        <v>0.1888</v>
      </c>
      <c r="F24" s="81">
        <f>([1]!'ALGYO.BU.YIL.FARK%')/100</f>
        <v>1.2162999999999999</v>
      </c>
      <c r="G24" s="81">
        <f>([1]!'ALGYO.52HAFTALIK.F%')/100</f>
        <v>1.7533000000000001</v>
      </c>
      <c r="H24" s="81">
        <f>([1]!ALGYO.TKS.YAB.PAYY)/100</f>
        <v>6.6664189999999998E-2</v>
      </c>
      <c r="I24" s="81">
        <f>([1]!ALGYO.TKS.YAB.HAF.PAYY)/100</f>
        <v>-9.9913550000000004E-2</v>
      </c>
      <c r="J24" s="81">
        <f>([1]!ALGYO.TKS.YAB.AY.PAYY)/100</f>
        <v>0.1079772</v>
      </c>
      <c r="K24" s="82">
        <f>([1]!ALGYO.TKS.YAB.YIL.PAYY)/100</f>
        <v>0.81019490000000005</v>
      </c>
    </row>
    <row r="25" spans="2:11" x14ac:dyDescent="0.35">
      <c r="B25" s="72" t="str">
        <f>[1]!IPEKE.SEMBOL</f>
        <v>IPEKE</v>
      </c>
      <c r="C25" s="73">
        <f>[1]!IPEKE.SON</f>
        <v>31.54</v>
      </c>
      <c r="D25" s="81">
        <f>([1]!'IPEKE.GUN.F%')/100</f>
        <v>4.9200000000000001E-2</v>
      </c>
      <c r="E25" s="81">
        <f>([1]!'IPEKE.30GUNLUK.F%')/100</f>
        <v>0.19109999999999999</v>
      </c>
      <c r="F25" s="81">
        <f>([1]!'IPEKE.BU.YIL.FARK%')/100</f>
        <v>1.3140000000000001</v>
      </c>
      <c r="G25" s="81">
        <f>([1]!'IPEKE.52HAFTALIK.F%')/100</f>
        <v>1.2529000000000001</v>
      </c>
      <c r="H25" s="81">
        <f>([1]!IPEKE.TKS.YAB.PAYY)/100</f>
        <v>0.16609940000000001</v>
      </c>
      <c r="I25" s="81">
        <f>([1]!IPEKE.TKS.YAB.HAF.PAYY)/100</f>
        <v>0.13896520000000001</v>
      </c>
      <c r="J25" s="81">
        <f>([1]!IPEKE.TKS.YAB.AY.PAYY)/100</f>
        <v>0.4817515</v>
      </c>
      <c r="K25" s="82">
        <f>([1]!IPEKE.TKS.YAB.YIL.PAYY)/100</f>
        <v>-0.11725849999999999</v>
      </c>
    </row>
    <row r="26" spans="2:11" x14ac:dyDescent="0.35">
      <c r="B26" s="72" t="str">
        <f>[1]!ALARK.SEMBOL</f>
        <v>ALARK</v>
      </c>
      <c r="C26" s="73">
        <f>[1]!ALARK.SON</f>
        <v>77.95</v>
      </c>
      <c r="D26" s="81">
        <f>([1]!'ALARK.GUN.F%')/100</f>
        <v>-4.5000000000000005E-3</v>
      </c>
      <c r="E26" s="81">
        <f>([1]!'ALARK.30GUNLUK.F%')/100</f>
        <v>0.2412</v>
      </c>
      <c r="F26" s="81">
        <f>([1]!'ALARK.BU.YIL.FARK%')/100</f>
        <v>5.34</v>
      </c>
      <c r="G26" s="81">
        <f>([1]!'ALARK.52HAFTALIK.F%')/100</f>
        <v>6.1729999999999992</v>
      </c>
      <c r="H26" s="81">
        <f>([1]!ALARK.TKS.YAB.PAYY)/100</f>
        <v>9.8616109999999993E-2</v>
      </c>
      <c r="I26" s="81">
        <f>([1]!ALARK.TKS.YAB.HAF.PAYY)/100</f>
        <v>0.11982849999999999</v>
      </c>
      <c r="J26" s="81">
        <f>([1]!ALARK.TKS.YAB.AY.PAYY)/100</f>
        <v>-7.0798849999999997E-2</v>
      </c>
      <c r="K26" s="82">
        <f>([1]!ALARK.TKS.YAB.YIL.PAYY)/100</f>
        <v>5.2682380000000001E-2</v>
      </c>
    </row>
    <row r="27" spans="2:11" x14ac:dyDescent="0.35">
      <c r="B27" s="72" t="str">
        <f>[1]!AKSEN.SEMBOL</f>
        <v>AKSEN</v>
      </c>
      <c r="C27" s="73">
        <f>[1]!AKSEN.SON</f>
        <v>48.5</v>
      </c>
      <c r="D27" s="81">
        <f>([1]!'AKSEN.GUN.F%')/100</f>
        <v>3.6799999999999999E-2</v>
      </c>
      <c r="E27" s="81">
        <f>([1]!'AKSEN.30GUNLUK.F%')/100</f>
        <v>0.14169999999999999</v>
      </c>
      <c r="F27" s="81">
        <f>([1]!'AKSEN.BU.YIL.FARK%')/100</f>
        <v>3.9555000000000002</v>
      </c>
      <c r="G27" s="81">
        <f>([1]!'AKSEN.52HAFTALIK.F%')/100</f>
        <v>5.1497999999999999</v>
      </c>
      <c r="H27" s="81">
        <f>([1]!AKSEN.TKS.YAB.PAYY)/100</f>
        <v>6.981192E-2</v>
      </c>
      <c r="I27" s="81">
        <f>([1]!AKSEN.TKS.YAB.HAF.PAYY)/100</f>
        <v>-2.6849450000000002E-3</v>
      </c>
      <c r="J27" s="81">
        <f>([1]!AKSEN.TKS.YAB.AY.PAYY)/100</f>
        <v>0.1202213</v>
      </c>
      <c r="K27" s="82">
        <f>([1]!AKSEN.TKS.YAB.YIL.PAYY)/100</f>
        <v>3.171475E-2</v>
      </c>
    </row>
    <row r="28" spans="2:11" x14ac:dyDescent="0.35">
      <c r="B28" s="72" t="str">
        <f>[1]!OYAKC.SEMBOL</f>
        <v>OYAKC</v>
      </c>
      <c r="C28" s="73">
        <f>[1]!OYAKC.SON</f>
        <v>17.27</v>
      </c>
      <c r="D28" s="81">
        <f>([1]!'OYAKC.GUN.F%')/100</f>
        <v>1.89E-2</v>
      </c>
      <c r="E28" s="81">
        <f>([1]!'OYAKC.30GUNLUK.F%')/100</f>
        <v>0.1085</v>
      </c>
      <c r="F28" s="81">
        <f>([1]!'OYAKC.BU.YIL.FARK%')/100</f>
        <v>1.1860999999999999</v>
      </c>
      <c r="G28" s="81">
        <f>([1]!'OYAKC.52HAFTALIK.F%')/100</f>
        <v>1.3722999999999999</v>
      </c>
      <c r="H28" s="81">
        <f>([1]!OYAKC.TKS.YAB.PAYY)/100</f>
        <v>3.1683340000000004E-2</v>
      </c>
      <c r="I28" s="81">
        <f>([1]!OYAKC.TKS.YAB.HAF.PAYY)/100</f>
        <v>-3.0479489999999999E-3</v>
      </c>
      <c r="J28" s="81">
        <f>([1]!OYAKC.TKS.YAB.AY.PAYY)/100</f>
        <v>5.8650890000000004E-2</v>
      </c>
      <c r="K28" s="82">
        <f>([1]!OYAKC.TKS.YAB.YIL.PAYY)/100</f>
        <v>0.84835930000000004</v>
      </c>
    </row>
    <row r="29" spans="2:11" x14ac:dyDescent="0.35">
      <c r="B29" s="72" t="str">
        <f>[1]!TUPRS.SEMBOL</f>
        <v>TUPRS</v>
      </c>
      <c r="C29" s="73">
        <f>[1]!TUPRS.SON</f>
        <v>432.8</v>
      </c>
      <c r="D29" s="81">
        <f>([1]!'TUPRS.GUN.F%')/100</f>
        <v>1.6899999999999998E-2</v>
      </c>
      <c r="E29" s="81">
        <f>([1]!'TUPRS.30GUNLUK.F%')/100</f>
        <v>0.1389</v>
      </c>
      <c r="F29" s="81">
        <f>([1]!'TUPRS.BU.YIL.FARK%')/100</f>
        <v>1.8030999999999999</v>
      </c>
      <c r="G29" s="81">
        <f>([1]!'TUPRS.52HAFTALIK.F%')/100</f>
        <v>1.7905000000000002</v>
      </c>
      <c r="H29" s="81">
        <f>([1]!TUPRS.TKS.YAB.PAYY)/100</f>
        <v>0.4066903</v>
      </c>
      <c r="I29" s="81">
        <f>([1]!TUPRS.TKS.YAB.HAF.PAYY)/100</f>
        <v>-7.4848250000000005E-3</v>
      </c>
      <c r="J29" s="81">
        <f>([1]!TUPRS.TKS.YAB.AY.PAYY)/100</f>
        <v>-9.8283970000000012E-2</v>
      </c>
      <c r="K29" s="82">
        <f>([1]!TUPRS.TKS.YAB.YIL.PAYY)/100</f>
        <v>-0.23727209999999999</v>
      </c>
    </row>
    <row r="30" spans="2:11" x14ac:dyDescent="0.35">
      <c r="B30" s="72" t="str">
        <f>[1]!THYAO.SEMBOL</f>
        <v>THYAO</v>
      </c>
      <c r="C30" s="73">
        <f>[1]!THYAO.SON</f>
        <v>106.9</v>
      </c>
      <c r="D30" s="81">
        <f>([1]!'THYAO.GUN.F%')/100</f>
        <v>2.8000000000000004E-3</v>
      </c>
      <c r="E30" s="81">
        <f>([1]!'THYAO.30GUNLUK.F%')/100</f>
        <v>9.1400000000000009E-2</v>
      </c>
      <c r="F30" s="81">
        <f>([1]!'THYAO.BU.YIL.FARK%')/100</f>
        <v>4.3397000000000006</v>
      </c>
      <c r="G30" s="81">
        <f>([1]!'THYAO.52HAFTALIK.F%')/100</f>
        <v>5.2550999999999997</v>
      </c>
      <c r="H30" s="81">
        <f>([1]!THYAO.TKS.YAB.PAYY)/100</f>
        <v>0.30613449999999998</v>
      </c>
      <c r="I30" s="81">
        <f>([1]!THYAO.TKS.YAB.HAF.PAYY)/100</f>
        <v>-5.8595920000000003E-2</v>
      </c>
      <c r="J30" s="81">
        <f>([1]!THYAO.TKS.YAB.AY.PAYY)/100</f>
        <v>-1.646887E-2</v>
      </c>
      <c r="K30" s="82">
        <f>([1]!THYAO.TKS.YAB.YIL.PAYY)/100</f>
        <v>-0.24392520000000001</v>
      </c>
    </row>
    <row r="31" spans="2:11" x14ac:dyDescent="0.35">
      <c r="B31" s="72" t="str">
        <f>[1]!MAVI.SEMBOL</f>
        <v>MAVI</v>
      </c>
      <c r="C31" s="73">
        <f>[1]!MAVI.SON</f>
        <v>97.05</v>
      </c>
      <c r="D31" s="81">
        <f>([1]!'MAVI.GUN.F%')/100</f>
        <v>4.6900000000000004E-2</v>
      </c>
      <c r="E31" s="81">
        <f>([1]!'MAVI.30GUNLUK.F%')/100</f>
        <v>0.1066</v>
      </c>
      <c r="F31" s="81">
        <f>([1]!'MAVI.BU.YIL.FARK%')/100</f>
        <v>1.8371999999999999</v>
      </c>
      <c r="G31" s="81">
        <f>([1]!'MAVI.52HAFTALIK.F%')/100</f>
        <v>1.5533000000000001</v>
      </c>
      <c r="H31" s="81">
        <f>([1]!MAVI.TKS.YAB.PAYY)/100</f>
        <v>0.36032569999999997</v>
      </c>
      <c r="I31" s="81">
        <f>([1]!MAVI.TKS.YAB.HAF.PAYY)/100</f>
        <v>6.790361E-3</v>
      </c>
      <c r="J31" s="81">
        <f>([1]!MAVI.TKS.YAB.AY.PAYY)/100</f>
        <v>-3.8312209999999999E-2</v>
      </c>
      <c r="K31" s="82">
        <f>([1]!MAVI.TKS.YAB.YIL.PAYY)/100</f>
        <v>0.1100353</v>
      </c>
    </row>
    <row r="32" spans="2:11" x14ac:dyDescent="0.35">
      <c r="B32" s="72" t="str">
        <f>[1]!VAKBN.SEMBOL</f>
        <v>VAKBN</v>
      </c>
      <c r="C32" s="73">
        <f>[1]!VAKBN.SON</f>
        <v>9.5399999999999991</v>
      </c>
      <c r="D32" s="81">
        <f>([1]!'VAKBN.GUN.F%')/100</f>
        <v>2.0999999999999999E-3</v>
      </c>
      <c r="E32" s="81">
        <f>([1]!'VAKBN.30GUNLUK.F%')/100</f>
        <v>7.0699999999999999E-2</v>
      </c>
      <c r="F32" s="81">
        <f>([1]!'VAKBN.BU.YIL.FARK%')/100</f>
        <v>1.5924</v>
      </c>
      <c r="G32" s="81">
        <f>([1]!'VAKBN.52HAFTALIK.F%')/100</f>
        <v>1.4275</v>
      </c>
      <c r="H32" s="81">
        <f>([1]!VAKBN.TKS.YAB.PAYY)/100</f>
        <v>4.0300870000000003E-2</v>
      </c>
      <c r="I32" s="81">
        <f>([1]!VAKBN.TKS.YAB.HAF.PAYY)/100</f>
        <v>0.1112939</v>
      </c>
      <c r="J32" s="81">
        <f>([1]!VAKBN.TKS.YAB.AY.PAYY)/100</f>
        <v>0.2788042</v>
      </c>
      <c r="K32" s="82">
        <f>([1]!VAKBN.TKS.YAB.YIL.PAYY)/100</f>
        <v>1.0476300000000001</v>
      </c>
    </row>
    <row r="33" spans="2:11" x14ac:dyDescent="0.35">
      <c r="B33" s="72" t="str">
        <f>[1]!HEKTS.SEMBOL</f>
        <v>HEKTS</v>
      </c>
      <c r="C33" s="73">
        <f>[1]!HEKTS.SON</f>
        <v>37.4</v>
      </c>
      <c r="D33" s="81">
        <f>([1]!'HEKTS.GUN.F%')/100</f>
        <v>-9.9700000000000011E-2</v>
      </c>
      <c r="E33" s="81">
        <f>([1]!'HEKTS.30GUNLUK.F%')/100</f>
        <v>0.26780000000000004</v>
      </c>
      <c r="F33" s="81">
        <f>([1]!'HEKTS.BU.YIL.FARK%')/100</f>
        <v>6.2297000000000002</v>
      </c>
      <c r="G33" s="81">
        <f>([1]!'HEKTS.52HAFTALIK.F%')/100</f>
        <v>10.1174</v>
      </c>
      <c r="H33" s="81">
        <f>([1]!HEKTS.TKS.YAB.PAYY)/100</f>
        <v>0.12587960000000001</v>
      </c>
      <c r="I33" s="81">
        <f>([1]!HEKTS.TKS.YAB.HAF.PAYY)/100</f>
        <v>4.2259650000000003E-2</v>
      </c>
      <c r="J33" s="81">
        <f>([1]!HEKTS.TKS.YAB.AY.PAYY)/100</f>
        <v>1.117988</v>
      </c>
      <c r="K33" s="82">
        <f>([1]!HEKTS.TKS.YAB.YIL.PAYY)/100</f>
        <v>4.7192090000000002</v>
      </c>
    </row>
    <row r="34" spans="2:11" x14ac:dyDescent="0.35">
      <c r="B34" s="72" t="str">
        <f>[1]!ERBOS.SEMBOL</f>
        <v>ERBOS</v>
      </c>
      <c r="C34" s="73">
        <f>[1]!ERBOS.SON</f>
        <v>155.6</v>
      </c>
      <c r="D34" s="81">
        <f>([1]!'ERBOS.GUN.F%')/100</f>
        <v>2.98E-2</v>
      </c>
      <c r="E34" s="81">
        <f>([1]!'ERBOS.30GUNLUK.F%')/100</f>
        <v>-1.2699999999999999E-2</v>
      </c>
      <c r="F34" s="81">
        <f>([1]!'ERBOS.BU.YIL.FARK%')/100</f>
        <v>0.40899999999999997</v>
      </c>
      <c r="G34" s="81">
        <f>([1]!'ERBOS.52HAFTALIK.F%')/100</f>
        <v>0.32500000000000001</v>
      </c>
      <c r="H34" s="81">
        <f>([1]!ERBOS.TKS.YAB.PAYY)/100</f>
        <v>1.842922E-2</v>
      </c>
      <c r="I34" s="81">
        <f>([1]!ERBOS.TKS.YAB.HAF.PAYY)/100</f>
        <v>1.0557989999999999</v>
      </c>
      <c r="J34" s="81">
        <f>([1]!ERBOS.TKS.YAB.AY.PAYY)/100</f>
        <v>0.80306820000000001</v>
      </c>
      <c r="K34" s="82">
        <f>([1]!ERBOS.TKS.YAB.YIL.PAYY)/100</f>
        <v>0.80111260000000006</v>
      </c>
    </row>
    <row r="35" spans="2:11" x14ac:dyDescent="0.35">
      <c r="B35" s="72" t="str">
        <f>[1]!YKBNK.SEMBOL</f>
        <v>YKBNK</v>
      </c>
      <c r="C35" s="73">
        <f>[1]!YKBNK.SON</f>
        <v>11.41</v>
      </c>
      <c r="D35" s="81">
        <f>([1]!'YKBNK.GUN.F%')/100</f>
        <v>4.2000000000000003E-2</v>
      </c>
      <c r="E35" s="81">
        <f>([1]!'YKBNK.30GUNLUK.F%')/100</f>
        <v>0.2036</v>
      </c>
      <c r="F35" s="81">
        <f>([1]!'YKBNK.BU.YIL.FARK%')/100</f>
        <v>2.4546999999999999</v>
      </c>
      <c r="G35" s="81">
        <f>([1]!'YKBNK.52HAFTALIK.F%')/100</f>
        <v>2.2892999999999999</v>
      </c>
      <c r="H35" s="81">
        <f>([1]!YKBNK.TKS.YAB.PAYY)/100</f>
        <v>0.19978219999999999</v>
      </c>
      <c r="I35" s="81">
        <f>([1]!YKBNK.TKS.YAB.HAF.PAYY)/100</f>
        <v>2.2092589999999999E-2</v>
      </c>
      <c r="J35" s="81">
        <f>([1]!YKBNK.TKS.YAB.AY.PAYY)/100</f>
        <v>8.1897929999999994E-2</v>
      </c>
      <c r="K35" s="82">
        <f>([1]!YKBNK.TKS.YAB.YIL.PAYY)/100</f>
        <v>-4.1229430000000004E-2</v>
      </c>
    </row>
    <row r="36" spans="2:11" x14ac:dyDescent="0.35">
      <c r="B36" s="72" t="str">
        <f>[1]!DOAS.SEMBOL</f>
        <v>DOAS</v>
      </c>
      <c r="C36" s="73">
        <f>[1]!DOAS.SON</f>
        <v>148.1</v>
      </c>
      <c r="D36" s="81">
        <f>([1]!'DOAS.GUN.F%')/100</f>
        <v>4.5899999999999996E-2</v>
      </c>
      <c r="E36" s="81">
        <f>([1]!'DOAS.30GUNLUK.F%')/100</f>
        <v>0.40189999999999998</v>
      </c>
      <c r="F36" s="81">
        <f>([1]!'DOAS.BU.YIL.FARK%')/100</f>
        <v>2.7812999999999999</v>
      </c>
      <c r="G36" s="81">
        <f>([1]!'DOAS.52HAFTALIK.F%')/100</f>
        <v>2.7708999999999997</v>
      </c>
      <c r="H36" s="81">
        <f>([1]!DOAS.TKS.YAB.PAYY)/100</f>
        <v>0.2119511</v>
      </c>
      <c r="I36" s="81">
        <f>([1]!DOAS.TKS.YAB.HAF.PAYY)/100</f>
        <v>-3.1089699999999998E-2</v>
      </c>
      <c r="J36" s="81">
        <f>([1]!DOAS.TKS.YAB.AY.PAYY)/100</f>
        <v>-0.1080817</v>
      </c>
      <c r="K36" s="82">
        <f>([1]!DOAS.TKS.YAB.YIL.PAYY)/100</f>
        <v>-0.1700004</v>
      </c>
    </row>
    <row r="37" spans="2:11" x14ac:dyDescent="0.35">
      <c r="B37" s="72" t="str">
        <f>[1]!SASA.SEMBOL</f>
        <v>SASA</v>
      </c>
      <c r="C37" s="73">
        <f>[1]!SASA.SON</f>
        <v>135.9</v>
      </c>
      <c r="D37" s="81">
        <f>([1]!'SASA.GUN.F%')/100</f>
        <v>-0.1</v>
      </c>
      <c r="E37" s="81">
        <f>([1]!'SASA.30GUNLUK.F%')/100</f>
        <v>0.45890000000000003</v>
      </c>
      <c r="F37" s="81">
        <f>([1]!'SASA.BU.YIL.FARK%')/100</f>
        <v>4.1429</v>
      </c>
      <c r="G37" s="81">
        <f>([1]!'SASA.52HAFTALIK.F%')/100</f>
        <v>7.1230999999999991</v>
      </c>
      <c r="H37" s="81">
        <f>([1]!SASA.TKS.YAB.PAYY)/100</f>
        <v>3.349183E-2</v>
      </c>
      <c r="I37" s="81">
        <f>([1]!SASA.TKS.YAB.HAF.PAYY)/100</f>
        <v>1.5887490000000002E-3</v>
      </c>
      <c r="J37" s="81">
        <f>([1]!SASA.TKS.YAB.AY.PAYY)/100</f>
        <v>0.1435263</v>
      </c>
      <c r="K37" s="82">
        <f>([1]!SASA.TKS.YAB.YIL.PAYY)/100</f>
        <v>0.86617490000000008</v>
      </c>
    </row>
    <row r="38" spans="2:11" x14ac:dyDescent="0.35">
      <c r="B38" s="72" t="str">
        <f>[1]!SKBNK.SEMBOL</f>
        <v>SKBNK</v>
      </c>
      <c r="C38" s="73">
        <f>[1]!SKBNK.SON</f>
        <v>2.4500000000000002</v>
      </c>
      <c r="D38" s="81">
        <f>([1]!'SKBNK.GUN.F%')/100</f>
        <v>8.199999999999999E-3</v>
      </c>
      <c r="E38" s="81">
        <f>([1]!'SKBNK.30GUNLUK.F%')/100</f>
        <v>0.25</v>
      </c>
      <c r="F38" s="81">
        <f>([1]!'SKBNK.BU.YIL.FARK%')/100</f>
        <v>1.4257</v>
      </c>
      <c r="G38" s="81">
        <f>([1]!'SKBNK.52HAFTALIK.F%')/100</f>
        <v>1.1491</v>
      </c>
      <c r="H38" s="81">
        <f>([1]!SKBNK.TKS.YAB.PAYY)/100</f>
        <v>5.4408960000000006E-2</v>
      </c>
      <c r="I38" s="81">
        <f>([1]!SKBNK.TKS.YAB.HAF.PAYY)/100</f>
        <v>-0.25235980000000002</v>
      </c>
      <c r="J38" s="81">
        <f>([1]!SKBNK.TKS.YAB.AY.PAYY)/100</f>
        <v>-8.4439799999999995E-2</v>
      </c>
      <c r="K38" s="82">
        <f>([1]!SKBNK.TKS.YAB.YIL.PAYY)/100</f>
        <v>1.9047530000000001</v>
      </c>
    </row>
    <row r="39" spans="2:11" x14ac:dyDescent="0.35">
      <c r="B39" s="72" t="str">
        <f>[1]!BAGFS.SEMBOL</f>
        <v>BAGFS</v>
      </c>
      <c r="C39" s="73">
        <f>[1]!BAGFS.SON</f>
        <v>41.06</v>
      </c>
      <c r="D39" s="81">
        <f>([1]!'BAGFS.GUN.F%')/100</f>
        <v>-3.4000000000000002E-3</v>
      </c>
      <c r="E39" s="81">
        <f>([1]!'BAGFS.30GUNLUK.F%')/100</f>
        <v>0.2286</v>
      </c>
      <c r="F39" s="81">
        <f>([1]!'BAGFS.BU.YIL.FARK%')/100</f>
        <v>1.3463000000000001</v>
      </c>
      <c r="G39" s="81">
        <f>([1]!'BAGFS.52HAFTALIK.F%')/100</f>
        <v>3.4523999999999999</v>
      </c>
      <c r="H39" s="81">
        <f>([1]!BAGFS.TKS.YAB.PAYY)/100</f>
        <v>4.4602389999999995E-3</v>
      </c>
      <c r="I39" s="81">
        <f>([1]!BAGFS.TKS.YAB.HAF.PAYY)/100</f>
        <v>0.27553080000000002</v>
      </c>
      <c r="J39" s="81">
        <f>([1]!BAGFS.TKS.YAB.AY.PAYY)/100</f>
        <v>0.27778179999999997</v>
      </c>
      <c r="K39" s="82">
        <f>([1]!BAGFS.TKS.YAB.YIL.PAYY)/100</f>
        <v>3.4668049999999999E-2</v>
      </c>
    </row>
    <row r="40" spans="2:11" x14ac:dyDescent="0.35">
      <c r="B40" s="72" t="str">
        <f>[1]!NUGYO.SEMBOL</f>
        <v>NUGYO</v>
      </c>
      <c r="C40" s="73">
        <f>[1]!NUGYO.SON</f>
        <v>6.35</v>
      </c>
      <c r="D40" s="81">
        <f>([1]!'NUGYO.GUN.F%')/100</f>
        <v>3.7599999999999995E-2</v>
      </c>
      <c r="E40" s="81">
        <f>([1]!'NUGYO.30GUNLUK.F%')/100</f>
        <v>5.1299999999999998E-2</v>
      </c>
      <c r="F40" s="81">
        <f>([1]!'NUGYO.BU.YIL.FARK%')/100</f>
        <v>9.4800000000000009E-2</v>
      </c>
      <c r="G40" s="81">
        <f>([1]!'NUGYO.52HAFTALIK.F%')/100</f>
        <v>-0.3775</v>
      </c>
      <c r="H40" s="81">
        <f>([1]!NUGYO.TKS.YAB.PAYY)/100</f>
        <v>3.7623570000000002E-2</v>
      </c>
      <c r="I40" s="81">
        <f>([1]!NUGYO.TKS.YAB.HAF.PAYY)/100</f>
        <v>-1.4751780000000001E-2</v>
      </c>
      <c r="J40" s="81">
        <f>([1]!NUGYO.TKS.YAB.AY.PAYY)/100</f>
        <v>-9.0906149999999991E-2</v>
      </c>
      <c r="K40" s="82">
        <f>([1]!NUGYO.TKS.YAB.YIL.PAYY)/100</f>
        <v>1.4198800000000001E-2</v>
      </c>
    </row>
    <row r="41" spans="2:11" x14ac:dyDescent="0.35">
      <c r="B41" s="72" t="str">
        <f>[1]!AGHOL.SEMBOL</f>
        <v>AGHOL</v>
      </c>
      <c r="C41" s="73">
        <f>[1]!AGHOL.SON</f>
        <v>90.5</v>
      </c>
      <c r="D41" s="81">
        <f>([1]!'AGHOL.GUN.F%')/100</f>
        <v>1.1000000000000001E-3</v>
      </c>
      <c r="E41" s="81">
        <f>([1]!'AGHOL.30GUNLUK.F%')/100</f>
        <v>4.0199999999999993E-2</v>
      </c>
      <c r="F41" s="81">
        <f>([1]!'AGHOL.BU.YIL.FARK%')/100</f>
        <v>1.3178000000000001</v>
      </c>
      <c r="G41" s="81">
        <f>([1]!'AGHOL.52HAFTALIK.F%')/100</f>
        <v>1.6962999999999999</v>
      </c>
      <c r="H41" s="81">
        <f>([1]!AGHOL.TKS.YAB.PAYY)/100</f>
        <v>0.23056889999999999</v>
      </c>
      <c r="I41" s="81">
        <f>([1]!AGHOL.TKS.YAB.HAF.PAYY)/100</f>
        <v>-9.6455480000000003E-3</v>
      </c>
      <c r="J41" s="81">
        <f>([1]!AGHOL.TKS.YAB.AY.PAYY)/100</f>
        <v>4.6228470000000002E-3</v>
      </c>
      <c r="K41" s="82">
        <f>([1]!AGHOL.TKS.YAB.YIL.PAYY)/100</f>
        <v>0.30750879999999997</v>
      </c>
    </row>
    <row r="42" spans="2:11" x14ac:dyDescent="0.35">
      <c r="B42" s="72" t="str">
        <f>[1]!ALKIM.SEMBOL</f>
        <v>ALKIM</v>
      </c>
      <c r="C42" s="73">
        <f>[1]!ALKIM.SON</f>
        <v>38.119999999999997</v>
      </c>
      <c r="D42" s="81">
        <f>([1]!'ALKIM.GUN.F%')/100</f>
        <v>1.38E-2</v>
      </c>
      <c r="E42" s="81">
        <f>([1]!'ALKIM.30GUNLUK.F%')/100</f>
        <v>-4.8000000000000001E-2</v>
      </c>
      <c r="F42" s="81">
        <f>([1]!'ALKIM.BU.YIL.FARK%')/100</f>
        <v>1.3391999999999999</v>
      </c>
      <c r="G42" s="81">
        <f>([1]!'ALKIM.52HAFTALIK.F%')/100</f>
        <v>1.1862999999999999</v>
      </c>
      <c r="H42" s="81">
        <f>([1]!ALKIM.TKS.YAB.PAYY)/100</f>
        <v>0.1646465</v>
      </c>
      <c r="I42" s="81">
        <f>([1]!ALKIM.TKS.YAB.HAF.PAYY)/100</f>
        <v>-5.1654310000000002E-2</v>
      </c>
      <c r="J42" s="81">
        <f>([1]!ALKIM.TKS.YAB.AY.PAYY)/100</f>
        <v>-0.1100771</v>
      </c>
      <c r="K42" s="82">
        <f>([1]!ALKIM.TKS.YAB.YIL.PAYY)/100</f>
        <v>0.149261</v>
      </c>
    </row>
    <row r="43" spans="2:11" x14ac:dyDescent="0.35">
      <c r="B43" s="72" t="str">
        <f>[1]!AYDEM.SEMBOL</f>
        <v>AYDEM</v>
      </c>
      <c r="C43" s="73">
        <f>[1]!AYDEM.SON</f>
        <v>18.55</v>
      </c>
      <c r="D43" s="81">
        <f>([1]!'AYDEM.GUN.F%')/100</f>
        <v>6.3600000000000004E-2</v>
      </c>
      <c r="E43" s="81">
        <f>([1]!'AYDEM.30GUNLUK.F%')/100</f>
        <v>3.6299999999999999E-2</v>
      </c>
      <c r="F43" s="81">
        <f>([1]!'AYDEM.BU.YIL.FARK%')/100</f>
        <v>2.1175999999999999</v>
      </c>
      <c r="G43" s="81">
        <f>([1]!'AYDEM.52HAFTALIK.F%')/100</f>
        <v>1.8190999999999999</v>
      </c>
      <c r="H43" s="81">
        <f>([1]!AYDEM.TKS.YAB.PAYY)/100</f>
        <v>0.1283261</v>
      </c>
      <c r="I43" s="81">
        <f>([1]!AYDEM.TKS.YAB.HAF.PAYY)/100</f>
        <v>-6.8469639999999998E-2</v>
      </c>
      <c r="J43" s="81">
        <f>([1]!AYDEM.TKS.YAB.AY.PAYY)/100</f>
        <v>-0.21398209999999998</v>
      </c>
      <c r="K43" s="82">
        <f>([1]!AYDEM.TKS.YAB.YIL.PAYY)/100</f>
        <v>-4.7340660000000003E-3</v>
      </c>
    </row>
    <row r="44" spans="2:11" x14ac:dyDescent="0.35">
      <c r="B44" s="72" t="str">
        <f>[1]!PGSUS.SEMBOL</f>
        <v>PGSUS</v>
      </c>
      <c r="C44" s="73">
        <f>[1]!PGSUS.SON</f>
        <v>340.2</v>
      </c>
      <c r="D44" s="81">
        <f>([1]!'PGSUS.GUN.F%')/100</f>
        <v>-1.7600000000000001E-2</v>
      </c>
      <c r="E44" s="81">
        <f>([1]!'PGSUS.30GUNLUK.F%')/100</f>
        <v>3.56E-2</v>
      </c>
      <c r="F44" s="81">
        <f>([1]!'PGSUS.BU.YIL.FARK%')/100</f>
        <v>3.0047000000000001</v>
      </c>
      <c r="G44" s="81">
        <f>([1]!'PGSUS.52HAFTALIK.F%')/100</f>
        <v>2.6699000000000002</v>
      </c>
      <c r="H44" s="81">
        <f>([1]!PGSUS.TKS.YAB.PAYY)/100</f>
        <v>0.26965</v>
      </c>
      <c r="I44" s="81">
        <f>([1]!PGSUS.TKS.YAB.HAF.PAYY)/100</f>
        <v>4.4160269999999995E-2</v>
      </c>
      <c r="J44" s="81">
        <f>([1]!PGSUS.TKS.YAB.AY.PAYY)/100</f>
        <v>-7.7283869999999991E-2</v>
      </c>
      <c r="K44" s="82">
        <f>([1]!PGSUS.TKS.YAB.YIL.PAYY)/100</f>
        <v>-0.34123570000000003</v>
      </c>
    </row>
    <row r="45" spans="2:11" x14ac:dyDescent="0.35">
      <c r="B45" s="72" t="str">
        <f>[1]!EGEEN.SEMBOL</f>
        <v>EGEEN</v>
      </c>
      <c r="C45" s="73">
        <f>[1]!EGEEN.SON</f>
        <v>3476.3</v>
      </c>
      <c r="D45" s="81">
        <f>([1]!'EGEEN.GUN.F%')/100</f>
        <v>1.4999999999999999E-2</v>
      </c>
      <c r="E45" s="81">
        <f>([1]!'EGEEN.30GUNLUK.F%')/100</f>
        <v>0.16670000000000001</v>
      </c>
      <c r="F45" s="81">
        <f>([1]!'EGEEN.BU.YIL.FARK%')/100</f>
        <v>1.0593999999999999</v>
      </c>
      <c r="G45" s="81">
        <f>([1]!'EGEEN.52HAFTALIK.F%')/100</f>
        <v>1.3430000000000002</v>
      </c>
      <c r="H45" s="81">
        <f>([1]!EGEEN.TKS.YAB.PAYY)/100</f>
        <v>7.4967660000000005E-2</v>
      </c>
      <c r="I45" s="81">
        <f>([1]!EGEEN.TKS.YAB.HAF.PAYY)/100</f>
        <v>0.18098289999999997</v>
      </c>
      <c r="J45" s="81">
        <f>([1]!EGEEN.TKS.YAB.AY.PAYY)/100</f>
        <v>0.22981950000000001</v>
      </c>
      <c r="K45" s="82">
        <f>([1]!EGEEN.TKS.YAB.YIL.PAYY)/100</f>
        <v>0.11510020000000001</v>
      </c>
    </row>
    <row r="46" spans="2:11" x14ac:dyDescent="0.35">
      <c r="B46" s="72" t="str">
        <f>[1]!GLYHO.SEMBOL</f>
        <v>GLYHO</v>
      </c>
      <c r="C46" s="73">
        <f>[1]!GLYHO.SON</f>
        <v>9.07</v>
      </c>
      <c r="D46" s="81">
        <f>([1]!'GLYHO.GUN.F%')/100</f>
        <v>5.5000000000000005E-3</v>
      </c>
      <c r="E46" s="81">
        <f>([1]!'GLYHO.30GUNLUK.F%')/100</f>
        <v>0.40399999999999997</v>
      </c>
      <c r="F46" s="81">
        <f>([1]!'GLYHO.BU.YIL.FARK%')/100</f>
        <v>3.5808</v>
      </c>
      <c r="G46" s="81">
        <f>([1]!'GLYHO.52HAFTALIK.F%')/100</f>
        <v>3.2986</v>
      </c>
      <c r="H46" s="81">
        <f>([1]!GLYHO.TKS.YAB.PAYY)/100</f>
        <v>0.18301970000000001</v>
      </c>
      <c r="I46" s="81">
        <f>([1]!GLYHO.TKS.YAB.HAF.PAYY)/100</f>
        <v>-4.3620280000000004E-3</v>
      </c>
      <c r="J46" s="81">
        <f>([1]!GLYHO.TKS.YAB.AY.PAYY)/100</f>
        <v>-9.5041379999999995E-2</v>
      </c>
      <c r="K46" s="82">
        <f>([1]!GLYHO.TKS.YAB.YIL.PAYY)/100</f>
        <v>-0.1097393</v>
      </c>
    </row>
    <row r="47" spans="2:11" x14ac:dyDescent="0.35">
      <c r="B47" s="72" t="str">
        <f>[1]!NTHOL.SEMBOL</f>
        <v>NTHOL</v>
      </c>
      <c r="C47" s="73">
        <f>[1]!NTHOL.SON</f>
        <v>12.96</v>
      </c>
      <c r="D47" s="81">
        <f>([1]!'NTHOL.GUN.F%')/100</f>
        <v>-1.0700000000000001E-2</v>
      </c>
      <c r="E47" s="81">
        <f>([1]!'NTHOL.30GUNLUK.F%')/100</f>
        <v>-1.5E-3</v>
      </c>
      <c r="F47" s="81">
        <f>([1]!'NTHOL.BU.YIL.FARK%')/100</f>
        <v>0.94010000000000005</v>
      </c>
      <c r="G47" s="81">
        <f>([1]!'NTHOL.52HAFTALIK.F%')/100</f>
        <v>1.4875</v>
      </c>
      <c r="H47" s="81">
        <f>([1]!NTHOL.TKS.YAB.PAYY)/100</f>
        <v>3.7484839999999998E-2</v>
      </c>
      <c r="I47" s="81">
        <f>([1]!NTHOL.TKS.YAB.HAF.PAYY)/100</f>
        <v>-0.1436759</v>
      </c>
      <c r="J47" s="81">
        <f>([1]!NTHOL.TKS.YAB.AY.PAYY)/100</f>
        <v>-3.527048E-2</v>
      </c>
      <c r="K47" s="82">
        <f>([1]!NTHOL.TKS.YAB.YIL.PAYY)/100</f>
        <v>-0.11784610000000001</v>
      </c>
    </row>
    <row r="48" spans="2:11" x14ac:dyDescent="0.35">
      <c r="B48" s="72" t="str">
        <f>[1]!EKGYO.SEMBOL</f>
        <v>EKGYO</v>
      </c>
      <c r="C48" s="73">
        <f>[1]!EKGYO.SON</f>
        <v>5.78</v>
      </c>
      <c r="D48" s="81">
        <f>([1]!'EKGYO.GUN.F%')/100</f>
        <v>5.28E-2</v>
      </c>
      <c r="E48" s="81">
        <f>([1]!'EKGYO.30GUNLUK.F%')/100</f>
        <v>0.2457</v>
      </c>
      <c r="F48" s="81">
        <f>([1]!'EKGYO.BU.YIL.FARK%')/100</f>
        <v>1.7997000000000001</v>
      </c>
      <c r="G48" s="81">
        <f>([1]!'EKGYO.52HAFTALIK.F%')/100</f>
        <v>1.7484</v>
      </c>
      <c r="H48" s="81">
        <f>([1]!EKGYO.TKS.YAB.PAYY)/100</f>
        <v>0.23680399999999999</v>
      </c>
      <c r="I48" s="81">
        <f>([1]!EKGYO.TKS.YAB.HAF.PAYY)/100</f>
        <v>-6.614515E-2</v>
      </c>
      <c r="J48" s="81">
        <f>([1]!EKGYO.TKS.YAB.AY.PAYY)/100</f>
        <v>-5.4285670000000001E-2</v>
      </c>
      <c r="K48" s="82">
        <f>([1]!EKGYO.TKS.YAB.YIL.PAYY)/100</f>
        <v>-0.16783229999999999</v>
      </c>
    </row>
    <row r="49" spans="2:11" x14ac:dyDescent="0.35">
      <c r="B49" s="72" t="str">
        <f>[1]!ISMEN.SEMBOL</f>
        <v>ISMEN</v>
      </c>
      <c r="C49" s="73">
        <f>[1]!ISMEN.SON</f>
        <v>40.799999999999997</v>
      </c>
      <c r="D49" s="81">
        <f>([1]!'ISMEN.GUN.F%')/100</f>
        <v>4.24E-2</v>
      </c>
      <c r="E49" s="81">
        <f>([1]!'ISMEN.30GUNLUK.F%')/100</f>
        <v>0.2165</v>
      </c>
      <c r="F49" s="81">
        <f>([1]!'ISMEN.BU.YIL.FARK%')/100</f>
        <v>0.84970000000000001</v>
      </c>
      <c r="G49" s="81">
        <f>([1]!'ISMEN.52HAFTALIK.F%')/100</f>
        <v>1.2604</v>
      </c>
      <c r="H49" s="81">
        <f>([1]!ISMEN.TKS.YAB.PAYY)/100</f>
        <v>0.29863430000000002</v>
      </c>
      <c r="I49" s="81">
        <f>([1]!ISMEN.TKS.YAB.HAF.PAYY)/100</f>
        <v>-1.2144790000000001E-2</v>
      </c>
      <c r="J49" s="81">
        <f>([1]!ISMEN.TKS.YAB.AY.PAYY)/100</f>
        <v>-4.7475589999999998E-2</v>
      </c>
      <c r="K49" s="82">
        <f>([1]!ISMEN.TKS.YAB.YIL.PAYY)/100</f>
        <v>-3.6968620000000001E-2</v>
      </c>
    </row>
    <row r="50" spans="2:11" x14ac:dyDescent="0.35">
      <c r="B50" s="72" t="str">
        <f>[1]!CCOLA.SEMBOL</f>
        <v>CCOLA</v>
      </c>
      <c r="C50" s="73">
        <f>[1]!CCOLA.SON</f>
        <v>173.4</v>
      </c>
      <c r="D50" s="81">
        <f>([1]!'CCOLA.GUN.F%')/100</f>
        <v>5.1999999999999998E-3</v>
      </c>
      <c r="E50" s="81">
        <f>([1]!'CCOLA.30GUNLUK.F%')/100</f>
        <v>4.1399999999999999E-2</v>
      </c>
      <c r="F50" s="81">
        <f>([1]!'CCOLA.BU.YIL.FARK%')/100</f>
        <v>0.99560000000000004</v>
      </c>
      <c r="G50" s="81">
        <f>([1]!'CCOLA.52HAFTALIK.F%')/100</f>
        <v>0.88090000000000002</v>
      </c>
      <c r="H50" s="81">
        <f>([1]!CCOLA.TKS.YAB.PAYY)/100</f>
        <v>0.82742609999999994</v>
      </c>
      <c r="I50" s="81">
        <f>([1]!CCOLA.TKS.YAB.HAF.PAYY)/100</f>
        <v>3.93152E-3</v>
      </c>
      <c r="J50" s="81">
        <f>([1]!CCOLA.TKS.YAB.AY.PAYY)/100</f>
        <v>4.966074E-3</v>
      </c>
      <c r="K50" s="82">
        <f>([1]!CCOLA.TKS.YAB.YIL.PAYY)/100</f>
        <v>3.6795689999999999E-2</v>
      </c>
    </row>
    <row r="51" spans="2:11" x14ac:dyDescent="0.35">
      <c r="B51" s="72" t="str">
        <f>[1]!GUBRF.SEMBOL</f>
        <v>GUBRF</v>
      </c>
      <c r="C51" s="73">
        <f>[1]!GUBRF.SON</f>
        <v>169.4</v>
      </c>
      <c r="D51" s="81">
        <f>([1]!'GUBRF.GUN.F%')/100</f>
        <v>5.5500000000000001E-2</v>
      </c>
      <c r="E51" s="81">
        <f>([1]!'GUBRF.30GUNLUK.F%')/100</f>
        <v>0.1946</v>
      </c>
      <c r="F51" s="81">
        <f>([1]!'GUBRF.BU.YIL.FARK%')/100</f>
        <v>1.2043000000000001</v>
      </c>
      <c r="G51" s="81">
        <f>([1]!'GUBRF.52HAFTALIK.F%')/100</f>
        <v>1.3494999999999999</v>
      </c>
      <c r="H51" s="81">
        <f>([1]!GUBRF.TKS.YAB.PAYY)/100</f>
        <v>0.10150670000000001</v>
      </c>
      <c r="I51" s="81">
        <f>([1]!GUBRF.TKS.YAB.HAF.PAYY)/100</f>
        <v>2.8939260000000001E-2</v>
      </c>
      <c r="J51" s="81">
        <f>([1]!GUBRF.TKS.YAB.AY.PAYY)/100</f>
        <v>0.2332698</v>
      </c>
      <c r="K51" s="82">
        <f>([1]!GUBRF.TKS.YAB.YIL.PAYY)/100</f>
        <v>0.33031339999999998</v>
      </c>
    </row>
    <row r="52" spans="2:11" x14ac:dyDescent="0.35">
      <c r="B52" s="72" t="str">
        <f>[1]!KOZAA.SEMBOL</f>
        <v>KOZAA</v>
      </c>
      <c r="C52" s="73">
        <f>[1]!KOZAA.SON</f>
        <v>38.76</v>
      </c>
      <c r="D52" s="81">
        <f>([1]!'KOZAA.GUN.F%')/100</f>
        <v>3.3599999999999998E-2</v>
      </c>
      <c r="E52" s="81">
        <f>([1]!'KOZAA.30GUNLUK.F%')/100</f>
        <v>0.1978</v>
      </c>
      <c r="F52" s="81">
        <f>([1]!'KOZAA.BU.YIL.FARK%')/100</f>
        <v>1.1509</v>
      </c>
      <c r="G52" s="81">
        <f>([1]!'KOZAA.52HAFTALIK.F%')/100</f>
        <v>1.0705</v>
      </c>
      <c r="H52" s="81">
        <f>([1]!KOZAA.TKS.YAB.PAYY)/100</f>
        <v>0.23297390000000001</v>
      </c>
      <c r="I52" s="81">
        <f>([1]!KOZAA.TKS.YAB.HAF.PAYY)/100</f>
        <v>3.3893470000000002E-2</v>
      </c>
      <c r="J52" s="81">
        <f>([1]!KOZAA.TKS.YAB.AY.PAYY)/100</f>
        <v>0.1416018</v>
      </c>
      <c r="K52" s="82">
        <f>([1]!KOZAA.TKS.YAB.YIL.PAYY)/100</f>
        <v>-0.2515733</v>
      </c>
    </row>
    <row r="53" spans="2:11" x14ac:dyDescent="0.35">
      <c r="B53" s="72" t="str">
        <f>[1]!SELEC.SEMBOL</f>
        <v>SELEC</v>
      </c>
      <c r="C53" s="73">
        <f>[1]!SELEC.SON</f>
        <v>26.42</v>
      </c>
      <c r="D53" s="81">
        <f>([1]!'SELEC.GUN.F%')/100</f>
        <v>3.3599999999999998E-2</v>
      </c>
      <c r="E53" s="81">
        <f>([1]!'SELEC.30GUNLUK.F%')/100</f>
        <v>9.7200000000000009E-2</v>
      </c>
      <c r="F53" s="81">
        <f>([1]!'SELEC.BU.YIL.FARK%')/100</f>
        <v>1.3280000000000001</v>
      </c>
      <c r="G53" s="81">
        <f>([1]!'SELEC.52HAFTALIK.F%')/100</f>
        <v>1.6747999999999998</v>
      </c>
      <c r="H53" s="81">
        <f>([1]!SELEC.TKS.YAB.PAYY)/100</f>
        <v>0.21361989999999997</v>
      </c>
      <c r="I53" s="81">
        <f>([1]!SELEC.TKS.YAB.HAF.PAYY)/100</f>
        <v>2.8960689999999997E-2</v>
      </c>
      <c r="J53" s="81">
        <f>([1]!SELEC.TKS.YAB.AY.PAYY)/100</f>
        <v>5.9105009999999999E-2</v>
      </c>
      <c r="K53" s="82">
        <f>([1]!SELEC.TKS.YAB.YIL.PAYY)/100</f>
        <v>2.2501899999999998E-2</v>
      </c>
    </row>
    <row r="54" spans="2:11" x14ac:dyDescent="0.35">
      <c r="B54" s="72" t="str">
        <f>[1]!ENKAI.SEMBOL</f>
        <v>ENKAI</v>
      </c>
      <c r="C54" s="73">
        <f>[1]!ENKAI.SON</f>
        <v>21.18</v>
      </c>
      <c r="D54" s="81">
        <f>([1]!'ENKAI.GUN.F%')/100</f>
        <v>2.8000000000000004E-3</v>
      </c>
      <c r="E54" s="81">
        <f>([1]!'ENKAI.30GUNLUK.F%')/100</f>
        <v>0.17280000000000001</v>
      </c>
      <c r="F54" s="81">
        <f>([1]!'ENKAI.BU.YIL.FARK%')/100</f>
        <v>0.57469999999999999</v>
      </c>
      <c r="G54" s="81">
        <f>([1]!'ENKAI.52HAFTALIK.F%')/100</f>
        <v>0.85860000000000003</v>
      </c>
      <c r="H54" s="81">
        <f>([1]!ENKAI.TKS.YAB.PAYY)/100</f>
        <v>0.50156559999999994</v>
      </c>
      <c r="I54" s="81">
        <f>([1]!ENKAI.TKS.YAB.HAF.PAYY)/100</f>
        <v>-1.317171E-3</v>
      </c>
      <c r="J54" s="81">
        <f>([1]!ENKAI.TKS.YAB.AY.PAYY)/100</f>
        <v>-1.9819420000000001E-2</v>
      </c>
      <c r="K54" s="82">
        <f>([1]!ENKAI.TKS.YAB.YIL.PAYY)/100</f>
        <v>1.000562E-3</v>
      </c>
    </row>
    <row r="55" spans="2:11" x14ac:dyDescent="0.35">
      <c r="B55" s="72" t="str">
        <f>[1]!TKFEN.SEMBOL</f>
        <v>TKFEN</v>
      </c>
      <c r="C55" s="73">
        <f>[1]!TKFEN.SON</f>
        <v>37.44</v>
      </c>
      <c r="D55" s="81">
        <f>([1]!'TKFEN.GUN.F%')/100</f>
        <v>6.9999999999999993E-3</v>
      </c>
      <c r="E55" s="81">
        <f>([1]!'TKFEN.30GUNLUK.F%')/100</f>
        <v>0.17370000000000002</v>
      </c>
      <c r="F55" s="81">
        <f>([1]!'TKFEN.BU.YIL.FARK%')/100</f>
        <v>0.9073</v>
      </c>
      <c r="G55" s="81">
        <f>([1]!'TKFEN.52HAFTALIK.F%')/100</f>
        <v>1.1712</v>
      </c>
      <c r="H55" s="81">
        <f>([1]!TKFEN.TKS.YAB.PAYY)/100</f>
        <v>0.19536560000000003</v>
      </c>
      <c r="I55" s="81">
        <f>([1]!TKFEN.TKS.YAB.HAF.PAYY)/100</f>
        <v>-9.7985650000000004E-3</v>
      </c>
      <c r="J55" s="81">
        <f>([1]!TKFEN.TKS.YAB.AY.PAYY)/100</f>
        <v>0.15270149999999999</v>
      </c>
      <c r="K55" s="82">
        <f>([1]!TKFEN.TKS.YAB.YIL.PAYY)/100</f>
        <v>-8.7692530000000005E-2</v>
      </c>
    </row>
    <row r="56" spans="2:11" x14ac:dyDescent="0.35">
      <c r="B56" s="72" t="str">
        <f>[1]!INVES.SEMBOL</f>
        <v>INVES</v>
      </c>
      <c r="C56" s="73">
        <f>[1]!INVES.SON</f>
        <v>71.599999999999994</v>
      </c>
      <c r="D56" s="81">
        <f>([1]!'INVES.GUN.F%')/100</f>
        <v>-1.9199999999999998E-2</v>
      </c>
      <c r="E56" s="81">
        <f>([1]!'INVES.30GUNLUK.F%')/100</f>
        <v>0.44939999999999997</v>
      </c>
      <c r="F56" s="81" t="e">
        <f>([1]!'INVES.BU.YIL.FARK%')/100</f>
        <v>#VALUE!</v>
      </c>
      <c r="G56" s="81">
        <f>([1]!'INVES.52HAFTALIK.F%')/100</f>
        <v>0</v>
      </c>
      <c r="H56" s="81">
        <f>([1]!INVES.TKS.YAB.PAYY)/100</f>
        <v>2.2581070000000001E-3</v>
      </c>
      <c r="I56" s="81">
        <f>([1]!INVES.TKS.YAB.HAF.PAYY)/100</f>
        <v>-3.985532E-2</v>
      </c>
      <c r="J56" s="81">
        <f>([1]!INVES.TKS.YAB.AY.PAYY)/100</f>
        <v>-0.1095888</v>
      </c>
      <c r="K56" s="82">
        <f>([1]!INVES.TKS.YAB.YIL.PAYY)/100</f>
        <v>0</v>
      </c>
    </row>
    <row r="57" spans="2:11" x14ac:dyDescent="0.35">
      <c r="B57" s="72" t="str">
        <f>[1]!PSGYO.SEMBOL</f>
        <v>PSGYO</v>
      </c>
      <c r="C57" s="73">
        <f>[1]!PSGYO.SON</f>
        <v>9.08</v>
      </c>
      <c r="D57" s="81">
        <f>([1]!'PSGYO.GUN.F%')/100</f>
        <v>6.7000000000000004E-2</v>
      </c>
      <c r="E57" s="81">
        <f>([1]!'PSGYO.30GUNLUK.F%')/100</f>
        <v>0.29339999999999999</v>
      </c>
      <c r="F57" s="81">
        <f>([1]!'PSGYO.BU.YIL.FARK%')/100</f>
        <v>1.4108000000000001</v>
      </c>
      <c r="G57" s="81">
        <f>([1]!'PSGYO.52HAFTALIK.F%')/100</f>
        <v>0</v>
      </c>
      <c r="H57" s="81">
        <f>([1]!PSGYO.TKS.YAB.PAYY)/100</f>
        <v>2.9591660000000002E-2</v>
      </c>
      <c r="I57" s="81">
        <f>([1]!PSGYO.TKS.YAB.HAF.PAYY)/100</f>
        <v>0.47996220000000001</v>
      </c>
      <c r="J57" s="81">
        <f>([1]!PSGYO.TKS.YAB.AY.PAYY)/100</f>
        <v>0.26891280000000001</v>
      </c>
      <c r="K57" s="82">
        <f>([1]!PSGYO.TKS.YAB.YIL.PAYY)/100</f>
        <v>0</v>
      </c>
    </row>
    <row r="58" spans="2:11" x14ac:dyDescent="0.35">
      <c r="B58" s="72" t="str">
        <f>[1]!AKBNK.SEMBOL</f>
        <v>AKBNK</v>
      </c>
      <c r="C58" s="73">
        <f>[1]!AKBNK.SON</f>
        <v>16.53</v>
      </c>
      <c r="D58" s="81">
        <f>([1]!'AKBNK.GUN.F%')/100</f>
        <v>1.72E-2</v>
      </c>
      <c r="E58" s="81">
        <f>([1]!'AKBNK.30GUNLUK.F%')/100</f>
        <v>6.3E-2</v>
      </c>
      <c r="F58" s="81">
        <f>([1]!'AKBNK.BU.YIL.FARK%')/100</f>
        <v>1.3711000000000002</v>
      </c>
      <c r="G58" s="81">
        <f>([1]!'AKBNK.52HAFTALIK.F%')/100</f>
        <v>1.3613</v>
      </c>
      <c r="H58" s="81">
        <f>([1]!AKBNK.TKS.YAB.PAYY)/100</f>
        <v>0.4953902</v>
      </c>
      <c r="I58" s="81">
        <f>([1]!AKBNK.TKS.YAB.HAF.PAYY)/100</f>
        <v>1.883545E-2</v>
      </c>
      <c r="J58" s="81">
        <f>([1]!AKBNK.TKS.YAB.AY.PAYY)/100</f>
        <v>3.4576380000000004E-2</v>
      </c>
      <c r="K58" s="82">
        <f>([1]!AKBNK.TKS.YAB.YIL.PAYY)/100</f>
        <v>-0.13933220000000002</v>
      </c>
    </row>
    <row r="59" spans="2:11" x14ac:dyDescent="0.35">
      <c r="B59" s="72" t="str">
        <f>[1]!MGROS.SEMBOL</f>
        <v>MGROS</v>
      </c>
      <c r="C59" s="73">
        <f>[1]!MGROS.SON</f>
        <v>127.3</v>
      </c>
      <c r="D59" s="81">
        <f>([1]!'MGROS.GUN.F%')/100</f>
        <v>-4.9299999999999997E-2</v>
      </c>
      <c r="E59" s="81">
        <f>([1]!'MGROS.30GUNLUK.F%')/100</f>
        <v>3.1600000000000003E-2</v>
      </c>
      <c r="F59" s="81">
        <f>([1]!'MGROS.BU.YIL.FARK%')/100</f>
        <v>2.3553000000000002</v>
      </c>
      <c r="G59" s="81">
        <f>([1]!'MGROS.52HAFTALIK.F%')/100</f>
        <v>2.0209000000000001</v>
      </c>
      <c r="H59" s="81">
        <f>([1]!MGROS.TKS.YAB.PAYY)/100</f>
        <v>0.33714949999999999</v>
      </c>
      <c r="I59" s="81">
        <f>([1]!MGROS.TKS.YAB.HAF.PAYY)/100</f>
        <v>-7.1007299999999995E-3</v>
      </c>
      <c r="J59" s="81">
        <f>([1]!MGROS.TKS.YAB.AY.PAYY)/100</f>
        <v>-2.1105489999999998E-2</v>
      </c>
      <c r="K59" s="82">
        <f>([1]!MGROS.TKS.YAB.YIL.PAYY)/100</f>
        <v>-0.11779479999999999</v>
      </c>
    </row>
    <row r="60" spans="2:11" x14ac:dyDescent="0.35">
      <c r="B60" s="72" t="str">
        <f>[1]!ECILC.SEMBOL</f>
        <v>ECILC</v>
      </c>
      <c r="C60" s="73">
        <f>[1]!ECILC.SON</f>
        <v>22.8</v>
      </c>
      <c r="D60" s="81">
        <f>([1]!'ECILC.GUN.F%')/100</f>
        <v>4.4000000000000003E-3</v>
      </c>
      <c r="E60" s="81">
        <f>([1]!'ECILC.30GUNLUK.F%')/100</f>
        <v>0.17219999999999999</v>
      </c>
      <c r="F60" s="81">
        <f>([1]!'ECILC.BU.YIL.FARK%')/100</f>
        <v>2.1396000000000002</v>
      </c>
      <c r="G60" s="81">
        <f>([1]!'ECILC.52HAFTALIK.F%')/100</f>
        <v>2.5255000000000001</v>
      </c>
      <c r="H60" s="81">
        <f>([1]!ECILC.TKS.YAB.PAYY)/100</f>
        <v>5.2011370000000001E-2</v>
      </c>
      <c r="I60" s="81">
        <f>([1]!ECILC.TKS.YAB.HAF.PAYY)/100</f>
        <v>2.4590299999999999E-2</v>
      </c>
      <c r="J60" s="81">
        <f>([1]!ECILC.TKS.YAB.AY.PAYY)/100</f>
        <v>0.1189011</v>
      </c>
      <c r="K60" s="82">
        <f>([1]!ECILC.TKS.YAB.YIL.PAYY)/100</f>
        <v>0.29998900000000001</v>
      </c>
    </row>
    <row r="61" spans="2:11" x14ac:dyDescent="0.35">
      <c r="B61" s="72" t="str">
        <f>[1]!TAVHL.SEMBOL</f>
        <v>TAVHL</v>
      </c>
      <c r="C61" s="73">
        <f>[1]!TAVHL.SON</f>
        <v>79</v>
      </c>
      <c r="D61" s="81">
        <f>([1]!'TAVHL.GUN.F%')/100</f>
        <v>1.54E-2</v>
      </c>
      <c r="E61" s="81">
        <f>([1]!'TAVHL.30GUNLUK.F%')/100</f>
        <v>-3.0099999999999998E-2</v>
      </c>
      <c r="F61" s="81">
        <f>([1]!'TAVHL.BU.YIL.FARK%')/100</f>
        <v>1.4158999999999999</v>
      </c>
      <c r="G61" s="81">
        <f>([1]!'TAVHL.52HAFTALIK.F%')/100</f>
        <v>1.8478999999999999</v>
      </c>
      <c r="H61" s="81">
        <f>([1]!TAVHL.TKS.YAB.PAYY)/100</f>
        <v>0.46323839999999999</v>
      </c>
      <c r="I61" s="81">
        <f>([1]!TAVHL.TKS.YAB.HAF.PAYY)/100</f>
        <v>4.7132400000000005E-3</v>
      </c>
      <c r="J61" s="81">
        <f>([1]!TAVHL.TKS.YAB.AY.PAYY)/100</f>
        <v>5.9306520000000001E-2</v>
      </c>
      <c r="K61" s="82">
        <f>([1]!TAVHL.TKS.YAB.YIL.PAYY)/100</f>
        <v>-0.1197698</v>
      </c>
    </row>
    <row r="62" spans="2:11" x14ac:dyDescent="0.35">
      <c r="B62" s="72" t="str">
        <f>[1]!ENJSA.SEMBOL</f>
        <v>ENJSA</v>
      </c>
      <c r="C62" s="73">
        <f>[1]!ENJSA.SON</f>
        <v>26.2</v>
      </c>
      <c r="D62" s="81">
        <f>([1]!'ENJSA.GUN.F%')/100</f>
        <v>4.8799999999999996E-2</v>
      </c>
      <c r="E62" s="81">
        <f>([1]!'ENJSA.30GUNLUK.F%')/100</f>
        <v>0.35749999999999998</v>
      </c>
      <c r="F62" s="81">
        <f>([1]!'ENJSA.BU.YIL.FARK%')/100</f>
        <v>1.1921999999999999</v>
      </c>
      <c r="G62" s="81">
        <f>([1]!'ENJSA.52HAFTALIK.F%')/100</f>
        <v>1.2059</v>
      </c>
      <c r="H62" s="81">
        <f>([1]!ENJSA.TKS.YAB.PAYY)/100</f>
        <v>0.34356019999999998</v>
      </c>
      <c r="I62" s="81">
        <f>([1]!ENJSA.TKS.YAB.HAF.PAYY)/100</f>
        <v>-0.1583212</v>
      </c>
      <c r="J62" s="81">
        <f>([1]!ENJSA.TKS.YAB.AY.PAYY)/100</f>
        <v>-0.26545220000000003</v>
      </c>
      <c r="K62" s="82">
        <f>([1]!ENJSA.TKS.YAB.YIL.PAYY)/100</f>
        <v>-0.45442070000000001</v>
      </c>
    </row>
    <row r="63" spans="2:11" x14ac:dyDescent="0.35">
      <c r="B63" s="72" t="str">
        <f>[1]!TSKB.SEMBOL</f>
        <v>TSKB</v>
      </c>
      <c r="C63" s="73">
        <f>[1]!TSKB.SON</f>
        <v>3.44</v>
      </c>
      <c r="D63" s="81">
        <f>([1]!'TSKB.GUN.F%')/100</f>
        <v>1.78E-2</v>
      </c>
      <c r="E63" s="81">
        <f>([1]!'TSKB.30GUNLUK.F%')/100</f>
        <v>0.1862</v>
      </c>
      <c r="F63" s="81">
        <f>([1]!'TSKB.BU.YIL.FARK%')/100</f>
        <v>1.3888999999999998</v>
      </c>
      <c r="G63" s="81">
        <f>([1]!'TSKB.52HAFTALIK.F%')/100</f>
        <v>1.2194</v>
      </c>
      <c r="H63" s="81">
        <f>([1]!TSKB.TKS.YAB.PAYY)/100</f>
        <v>0.20065729999999998</v>
      </c>
      <c r="I63" s="81">
        <f>([1]!TSKB.TKS.YAB.HAF.PAYY)/100</f>
        <v>0.13976820000000001</v>
      </c>
      <c r="J63" s="81">
        <f>([1]!TSKB.TKS.YAB.AY.PAYY)/100</f>
        <v>0.2374317</v>
      </c>
      <c r="K63" s="82">
        <f>([1]!TSKB.TKS.YAB.YIL.PAYY)/100</f>
        <v>0.20625309999999999</v>
      </c>
    </row>
    <row r="64" spans="2:11" x14ac:dyDescent="0.35">
      <c r="B64" s="72" t="str">
        <f>[1]!OTKAR.SEMBOL</f>
        <v>OTKAR</v>
      </c>
      <c r="C64" s="73">
        <f>[1]!OTKAR.SON</f>
        <v>762.1</v>
      </c>
      <c r="D64" s="81">
        <f>([1]!'OTKAR.GUN.F%')/100</f>
        <v>-1.38E-2</v>
      </c>
      <c r="E64" s="81">
        <f>([1]!'OTKAR.30GUNLUK.F%')/100</f>
        <v>0.40479999999999999</v>
      </c>
      <c r="F64" s="81">
        <f>([1]!'OTKAR.BU.YIL.FARK%')/100</f>
        <v>1.2504</v>
      </c>
      <c r="G64" s="81">
        <f>([1]!'OTKAR.52HAFTALIK.F%')/100</f>
        <v>1.1007</v>
      </c>
      <c r="H64" s="81">
        <f>([1]!OTKAR.TKS.YAB.PAYY)/100</f>
        <v>0.1029398</v>
      </c>
      <c r="I64" s="81">
        <f>([1]!OTKAR.TKS.YAB.HAF.PAYY)/100</f>
        <v>-3.577487E-2</v>
      </c>
      <c r="J64" s="81">
        <f>([1]!OTKAR.TKS.YAB.AY.PAYY)/100</f>
        <v>-3.8545299999999998E-2</v>
      </c>
      <c r="K64" s="82">
        <f>([1]!OTKAR.TKS.YAB.YIL.PAYY)/100</f>
        <v>-0.3461707</v>
      </c>
    </row>
    <row r="65" spans="2:11" x14ac:dyDescent="0.35">
      <c r="B65" s="72" t="str">
        <f>[1]!DOHOL.SEMBOL</f>
        <v>DOHOL</v>
      </c>
      <c r="C65" s="73">
        <f>[1]!DOHOL.SON</f>
        <v>6.85</v>
      </c>
      <c r="D65" s="81">
        <f>([1]!'DOHOL.GUN.F%')/100</f>
        <v>1.4800000000000001E-2</v>
      </c>
      <c r="E65" s="81">
        <f>([1]!'DOHOL.30GUNLUK.F%')/100</f>
        <v>0.1048</v>
      </c>
      <c r="F65" s="81">
        <f>([1]!'DOHOL.BU.YIL.FARK%')/100</f>
        <v>1.5719999999999998</v>
      </c>
      <c r="G65" s="81">
        <f>([1]!'DOHOL.52HAFTALIK.F%')/100</f>
        <v>1.2963999999999998</v>
      </c>
      <c r="H65" s="81">
        <f>([1]!DOHOL.TKS.YAB.PAYY)/100</f>
        <v>0.19729150000000001</v>
      </c>
      <c r="I65" s="81">
        <f>([1]!DOHOL.TKS.YAB.HAF.PAYY)/100</f>
        <v>1.1095829999999999E-2</v>
      </c>
      <c r="J65" s="81">
        <f>([1]!DOHOL.TKS.YAB.AY.PAYY)/100</f>
        <v>-0.22394760000000002</v>
      </c>
      <c r="K65" s="82">
        <f>([1]!DOHOL.TKS.YAB.YIL.PAYY)/100</f>
        <v>-0.21940380000000001</v>
      </c>
    </row>
    <row r="66" spans="2:11" x14ac:dyDescent="0.35">
      <c r="B66" s="72" t="str">
        <f>[1]!TCELL.SEMBOL</f>
        <v>TCELL</v>
      </c>
      <c r="C66" s="73">
        <f>[1]!TCELL.SON</f>
        <v>31.68</v>
      </c>
      <c r="D66" s="81">
        <f>([1]!'TCELL.GUN.F%')/100</f>
        <v>1.15E-2</v>
      </c>
      <c r="E66" s="81">
        <f>([1]!'TCELL.30GUNLUK.F%')/100</f>
        <v>0.25609999999999999</v>
      </c>
      <c r="F66" s="81">
        <f>([1]!'TCELL.BU.YIL.FARK%')/100</f>
        <v>0.77319999999999989</v>
      </c>
      <c r="G66" s="81">
        <f>([1]!'TCELL.52HAFTALIK.F%')/100</f>
        <v>0.8165</v>
      </c>
      <c r="H66" s="81">
        <f>([1]!TCELL.TKS.YAB.PAYY)/100</f>
        <v>0.78090979999999999</v>
      </c>
      <c r="I66" s="81">
        <f>([1]!TCELL.TKS.YAB.HAF.PAYY)/100</f>
        <v>8.4863980000000009E-3</v>
      </c>
      <c r="J66" s="81">
        <f>([1]!TCELL.TKS.YAB.AY.PAYY)/100</f>
        <v>4.1748479999999998E-2</v>
      </c>
      <c r="K66" s="82">
        <f>([1]!TCELL.TKS.YAB.YIL.PAYY)/100</f>
        <v>-9.8314819999999997E-2</v>
      </c>
    </row>
    <row r="67" spans="2:11" x14ac:dyDescent="0.35">
      <c r="B67" s="72" t="str">
        <f>[1]!JANTS.SEMBOL</f>
        <v>JANTS</v>
      </c>
      <c r="C67" s="73">
        <f>[1]!JANTS.SON</f>
        <v>136.9</v>
      </c>
      <c r="D67" s="81">
        <f>([1]!'JANTS.GUN.F%')/100</f>
        <v>-4.4000000000000004E-2</v>
      </c>
      <c r="E67" s="81">
        <f>([1]!'JANTS.30GUNLUK.F%')/100</f>
        <v>0.42229999999999995</v>
      </c>
      <c r="F67" s="81">
        <f>([1]!'JANTS.BU.YIL.FARK%')/100</f>
        <v>1.1356999999999999</v>
      </c>
      <c r="G67" s="81">
        <f>([1]!'JANTS.52HAFTALIK.F%')/100</f>
        <v>1.3041</v>
      </c>
      <c r="H67" s="81">
        <f>([1]!JANTS.TKS.YAB.PAYY)/100</f>
        <v>4.8313350000000005E-2</v>
      </c>
      <c r="I67" s="81">
        <f>([1]!JANTS.TKS.YAB.HAF.PAYY)/100</f>
        <v>0.65051640000000011</v>
      </c>
      <c r="J67" s="81">
        <f>([1]!JANTS.TKS.YAB.AY.PAYY)/100</f>
        <v>0.47241320000000003</v>
      </c>
      <c r="K67" s="82">
        <f>([1]!JANTS.TKS.YAB.YIL.PAYY)/100</f>
        <v>0.8566142000000001</v>
      </c>
    </row>
    <row r="68" spans="2:11" x14ac:dyDescent="0.35">
      <c r="B68" s="72" t="str">
        <f>[1]!SOKM.SEMBOL</f>
        <v>SOKM</v>
      </c>
      <c r="C68" s="73">
        <f>[1]!SOKM.SON</f>
        <v>22.5</v>
      </c>
      <c r="D68" s="81">
        <f>([1]!'SOKM.GUN.F%')/100</f>
        <v>-2.4300000000000002E-2</v>
      </c>
      <c r="E68" s="81">
        <f>([1]!'SOKM.30GUNLUK.F%')/100</f>
        <v>-8.2400000000000001E-2</v>
      </c>
      <c r="F68" s="81">
        <f>([1]!'SOKM.BU.YIL.FARK%')/100</f>
        <v>0.71629999999999994</v>
      </c>
      <c r="G68" s="81">
        <f>([1]!'SOKM.52HAFTALIK.F%')/100</f>
        <v>0.54059999999999997</v>
      </c>
      <c r="H68" s="81">
        <f>([1]!SOKM.TKS.YAB.PAYY)/100</f>
        <v>0.3660947</v>
      </c>
      <c r="I68" s="81">
        <f>([1]!SOKM.TKS.YAB.HAF.PAYY)/100</f>
        <v>-1.526959E-2</v>
      </c>
      <c r="J68" s="81">
        <f>([1]!SOKM.TKS.YAB.AY.PAYY)/100</f>
        <v>-6.8393469999999998E-2</v>
      </c>
      <c r="K68" s="82">
        <f>([1]!SOKM.TKS.YAB.YIL.PAYY)/100</f>
        <v>-0.14648459999999999</v>
      </c>
    </row>
    <row r="69" spans="2:11" x14ac:dyDescent="0.35">
      <c r="B69" s="72" t="str">
        <f>[1]!KCHOL.SEMBOL</f>
        <v>KCHOL</v>
      </c>
      <c r="C69" s="73">
        <f>[1]!KCHOL.SON</f>
        <v>65.8</v>
      </c>
      <c r="D69" s="81">
        <f>([1]!'KCHOL.GUN.F%')/100</f>
        <v>4.53E-2</v>
      </c>
      <c r="E69" s="81">
        <f>([1]!'KCHOL.30GUNLUK.F%')/100</f>
        <v>0.15740000000000001</v>
      </c>
      <c r="F69" s="81">
        <f>([1]!'KCHOL.BU.YIL.FARK%')/100</f>
        <v>1.3722999999999999</v>
      </c>
      <c r="G69" s="81">
        <f>([1]!'KCHOL.52HAFTALIK.F%')/100</f>
        <v>1.4358000000000002</v>
      </c>
      <c r="H69" s="81">
        <f>([1]!KCHOL.TKS.YAB.PAYY)/100</f>
        <v>0.58219310000000002</v>
      </c>
      <c r="I69" s="81">
        <f>([1]!KCHOL.TKS.YAB.HAF.PAYY)/100</f>
        <v>-1.566352E-2</v>
      </c>
      <c r="J69" s="81">
        <f>([1]!KCHOL.TKS.YAB.AY.PAYY)/100</f>
        <v>-2.7497430000000002E-3</v>
      </c>
      <c r="K69" s="82">
        <f>([1]!KCHOL.TKS.YAB.YIL.PAYY)/100</f>
        <v>-0.155364</v>
      </c>
    </row>
    <row r="70" spans="2:11" x14ac:dyDescent="0.35">
      <c r="B70" s="72" t="str">
        <f>[1]!GOZDE.SEMBOL</f>
        <v>GOZDE</v>
      </c>
      <c r="C70" s="73">
        <f>[1]!GOZDE.SON</f>
        <v>13.93</v>
      </c>
      <c r="D70" s="81">
        <f>([1]!'GOZDE.GUN.F%')/100</f>
        <v>5.3699999999999998E-2</v>
      </c>
      <c r="E70" s="81">
        <f>([1]!'GOZDE.30GUNLUK.F%')/100</f>
        <v>0.1234</v>
      </c>
      <c r="F70" s="81">
        <f>([1]!'GOZDE.BU.YIL.FARK%')/100</f>
        <v>0.53920000000000001</v>
      </c>
      <c r="G70" s="81">
        <f>([1]!'GOZDE.52HAFTALIK.F%')/100</f>
        <v>0.56340000000000001</v>
      </c>
      <c r="H70" s="81">
        <f>([1]!GOZDE.TKS.YAB.PAYY)/100</f>
        <v>6.8027889999999994E-2</v>
      </c>
      <c r="I70" s="81">
        <f>([1]!GOZDE.TKS.YAB.HAF.PAYY)/100</f>
        <v>8.9001610000000009E-2</v>
      </c>
      <c r="J70" s="81">
        <f>([1]!GOZDE.TKS.YAB.AY.PAYY)/100</f>
        <v>8.5395310000000002E-2</v>
      </c>
      <c r="K70" s="82">
        <f>([1]!GOZDE.TKS.YAB.YIL.PAYY)/100</f>
        <v>-7.3528880000000005E-2</v>
      </c>
    </row>
    <row r="71" spans="2:11" x14ac:dyDescent="0.35">
      <c r="B71" s="72" t="str">
        <f>[1]!KORDS.SEMBOL</f>
        <v>KORDS</v>
      </c>
      <c r="C71" s="73">
        <f>[1]!KORDS.SON</f>
        <v>68.849999999999994</v>
      </c>
      <c r="D71" s="81">
        <f>([1]!'KORDS.GUN.F%')/100</f>
        <v>3.0699999999999998E-2</v>
      </c>
      <c r="E71" s="81">
        <f>([1]!'KORDS.30GUNLUK.F%')/100</f>
        <v>0.14269999999999999</v>
      </c>
      <c r="F71" s="81">
        <f>([1]!'KORDS.BU.YIL.FARK%')/100</f>
        <v>1.2373000000000001</v>
      </c>
      <c r="G71" s="81">
        <f>([1]!'KORDS.52HAFTALIK.F%')/100</f>
        <v>1.2852000000000001</v>
      </c>
      <c r="H71" s="81">
        <f>([1]!KORDS.TKS.YAB.PAYY)/100</f>
        <v>0.1024139</v>
      </c>
      <c r="I71" s="81">
        <f>([1]!KORDS.TKS.YAB.HAF.PAYY)/100</f>
        <v>7.2870419999999991E-2</v>
      </c>
      <c r="J71" s="81">
        <f>([1]!KORDS.TKS.YAB.AY.PAYY)/100</f>
        <v>0.1350306</v>
      </c>
      <c r="K71" s="82">
        <f>([1]!KORDS.TKS.YAB.YIL.PAYY)/100</f>
        <v>-0.40345920000000002</v>
      </c>
    </row>
    <row r="72" spans="2:11" x14ac:dyDescent="0.35">
      <c r="B72" s="72" t="str">
        <f>[1]!GWIND.SEMBOL</f>
        <v>GWIND</v>
      </c>
      <c r="C72" s="73">
        <f>[1]!GWIND.SON</f>
        <v>25.7</v>
      </c>
      <c r="D72" s="81">
        <f>([1]!'GWIND.GUN.F%')/100</f>
        <v>5.67E-2</v>
      </c>
      <c r="E72" s="81">
        <f>([1]!'GWIND.30GUNLUK.F%')/100</f>
        <v>0.36049999999999999</v>
      </c>
      <c r="F72" s="81">
        <f>([1]!'GWIND.BU.YIL.FARK%')/100</f>
        <v>3.5804</v>
      </c>
      <c r="G72" s="81">
        <f>([1]!'GWIND.52HAFTALIK.F%')/100</f>
        <v>4.4368999999999996</v>
      </c>
      <c r="H72" s="81">
        <f>([1]!GWIND.TKS.YAB.PAYY)/100</f>
        <v>7.4395959999999997E-2</v>
      </c>
      <c r="I72" s="81">
        <f>([1]!GWIND.TKS.YAB.HAF.PAYY)/100</f>
        <v>0.19955629999999999</v>
      </c>
      <c r="J72" s="81">
        <f>([1]!GWIND.TKS.YAB.AY.PAYY)/100</f>
        <v>0.25652510000000001</v>
      </c>
      <c r="K72" s="82">
        <f>([1]!GWIND.TKS.YAB.YIL.PAYY)/100</f>
        <v>-0.55401649999999991</v>
      </c>
    </row>
    <row r="73" spans="2:11" x14ac:dyDescent="0.35">
      <c r="B73" s="72" t="str">
        <f>[1]!ISGYO.SEMBOL</f>
        <v>ISGYO</v>
      </c>
      <c r="C73" s="73">
        <f>[1]!ISGYO.SON</f>
        <v>8.84</v>
      </c>
      <c r="D73" s="81">
        <f>([1]!'ISGYO.GUN.F%')/100</f>
        <v>5.1100000000000007E-2</v>
      </c>
      <c r="E73" s="81">
        <f>([1]!'ISGYO.30GUNLUK.F%')/100</f>
        <v>0.21260000000000001</v>
      </c>
      <c r="F73" s="81">
        <f>([1]!'ISGYO.BU.YIL.FARK%')/100</f>
        <v>1.9175</v>
      </c>
      <c r="G73" s="81">
        <f>([1]!'ISGYO.52HAFTALIK.F%')/100</f>
        <v>2.6833</v>
      </c>
      <c r="H73" s="81">
        <f>([1]!ISGYO.TKS.YAB.PAYY)/100</f>
        <v>9.0543940000000003E-2</v>
      </c>
      <c r="I73" s="81">
        <f>([1]!ISGYO.TKS.YAB.HAF.PAYY)/100</f>
        <v>2.3457430000000001E-2</v>
      </c>
      <c r="J73" s="81">
        <f>([1]!ISGYO.TKS.YAB.AY.PAYY)/100</f>
        <v>-0.18160000000000001</v>
      </c>
      <c r="K73" s="82">
        <f>([1]!ISGYO.TKS.YAB.YIL.PAYY)/100</f>
        <v>-0.39808439999999995</v>
      </c>
    </row>
    <row r="74" spans="2:11" x14ac:dyDescent="0.35">
      <c r="B74" s="72" t="str">
        <f>[1]!BIMAS.SEMBOL</f>
        <v>BIMAS</v>
      </c>
      <c r="C74" s="73">
        <f>[1]!BIMAS.SON</f>
        <v>128.19999999999999</v>
      </c>
      <c r="D74" s="81">
        <f>([1]!'BIMAS.GUN.F%')/100</f>
        <v>-1.9099999999999999E-2</v>
      </c>
      <c r="E74" s="81">
        <f>([1]!'BIMAS.30GUNLUK.F%')/100</f>
        <v>-9.7200000000000009E-2</v>
      </c>
      <c r="F74" s="81">
        <f>([1]!'BIMAS.BU.YIL.FARK%')/100</f>
        <v>1.1294999999999999</v>
      </c>
      <c r="G74" s="81">
        <f>([1]!'BIMAS.52HAFTALIK.F%')/100</f>
        <v>0.95569999999999988</v>
      </c>
      <c r="H74" s="81">
        <f>([1]!BIMAS.TKS.YAB.PAYY)/100</f>
        <v>0.46892440000000002</v>
      </c>
      <c r="I74" s="81">
        <f>([1]!BIMAS.TKS.YAB.HAF.PAYY)/100</f>
        <v>-7.3637060000000002E-3</v>
      </c>
      <c r="J74" s="81">
        <f>([1]!BIMAS.TKS.YAB.AY.PAYY)/100</f>
        <v>-2.9441549999999997E-2</v>
      </c>
      <c r="K74" s="82">
        <f>([1]!BIMAS.TKS.YAB.YIL.PAYY)/100</f>
        <v>-0.15483169999999999</v>
      </c>
    </row>
    <row r="75" spans="2:11" x14ac:dyDescent="0.35">
      <c r="B75" s="72" t="str">
        <f>[1]!HALKB.SEMBOL</f>
        <v>HALKB</v>
      </c>
      <c r="C75" s="73">
        <f>[1]!HALKB.SON</f>
        <v>9.59</v>
      </c>
      <c r="D75" s="81">
        <f>([1]!'HALKB.GUN.F%')/100</f>
        <v>1E-3</v>
      </c>
      <c r="E75" s="81">
        <f>([1]!'HALKB.30GUNLUK.F%')/100</f>
        <v>9.7299999999999998E-2</v>
      </c>
      <c r="F75" s="81">
        <f>([1]!'HALKB.BU.YIL.FARK%')/100</f>
        <v>1.1264000000000001</v>
      </c>
      <c r="G75" s="81">
        <f>([1]!'HALKB.52HAFTALIK.F%')/100</f>
        <v>1.0231999999999999</v>
      </c>
      <c r="H75" s="81">
        <f>([1]!HALKB.TKS.YAB.PAYY)/100</f>
        <v>3.6163250000000001E-2</v>
      </c>
      <c r="I75" s="81">
        <f>([1]!HALKB.TKS.YAB.HAF.PAYY)/100</f>
        <v>0.3550316</v>
      </c>
      <c r="J75" s="81">
        <f>([1]!HALKB.TKS.YAB.AY.PAYY)/100</f>
        <v>1.308154</v>
      </c>
      <c r="K75" s="82">
        <f>([1]!HALKB.TKS.YAB.YIL.PAYY)/100</f>
        <v>0.3153205</v>
      </c>
    </row>
    <row r="76" spans="2:11" x14ac:dyDescent="0.35">
      <c r="B76" s="72" t="str">
        <f>[1]!SAHOL.SEMBOL</f>
        <v>SAHOL</v>
      </c>
      <c r="C76" s="73">
        <f>[1]!SAHOL.SON</f>
        <v>38.5</v>
      </c>
      <c r="D76" s="81">
        <f>([1]!'SAHOL.GUN.F%')/100</f>
        <v>5.7699999999999994E-2</v>
      </c>
      <c r="E76" s="81">
        <f>([1]!'SAHOL.30GUNLUK.F%')/100</f>
        <v>0.14649999999999999</v>
      </c>
      <c r="F76" s="81">
        <f>([1]!'SAHOL.BU.YIL.FARK%')/100</f>
        <v>2.04</v>
      </c>
      <c r="G76" s="81">
        <f>([1]!'SAHOL.52HAFTALIK.F%')/100</f>
        <v>1.9059999999999999</v>
      </c>
      <c r="H76" s="81">
        <f>([1]!SAHOL.TKS.YAB.PAYY)/100</f>
        <v>0.43936180000000002</v>
      </c>
      <c r="I76" s="81">
        <f>([1]!SAHOL.TKS.YAB.HAF.PAYY)/100</f>
        <v>-1.11118E-2</v>
      </c>
      <c r="J76" s="81">
        <f>([1]!SAHOL.TKS.YAB.AY.PAYY)/100</f>
        <v>-2.7457560000000002E-2</v>
      </c>
      <c r="K76" s="82">
        <f>([1]!SAHOL.TKS.YAB.YIL.PAYY)/100</f>
        <v>-0.30951669999999998</v>
      </c>
    </row>
    <row r="77" spans="2:11" x14ac:dyDescent="0.35">
      <c r="B77" s="72" t="str">
        <f>[1]!CIMSA.SEMBOL</f>
        <v>CIMSA</v>
      </c>
      <c r="C77" s="73">
        <f>[1]!CIMSA.SON</f>
        <v>80.7</v>
      </c>
      <c r="D77" s="81">
        <f>([1]!'CIMSA.GUN.F%')/100</f>
        <v>3.7900000000000003E-2</v>
      </c>
      <c r="E77" s="81">
        <f>([1]!'CIMSA.30GUNLUK.F%')/100</f>
        <v>0.18679999999999999</v>
      </c>
      <c r="F77" s="81">
        <f>([1]!'CIMSA.BU.YIL.FARK%')/100</f>
        <v>1.7322</v>
      </c>
      <c r="G77" s="81">
        <f>([1]!'CIMSA.52HAFTALIK.F%')/100</f>
        <v>1.8089</v>
      </c>
      <c r="H77" s="81">
        <f>([1]!CIMSA.TKS.YAB.PAYY)/100</f>
        <v>6.8895850000000008E-2</v>
      </c>
      <c r="I77" s="81">
        <f>([1]!CIMSA.TKS.YAB.HAF.PAYY)/100</f>
        <v>1.4320679999999999E-2</v>
      </c>
      <c r="J77" s="81">
        <f>([1]!CIMSA.TKS.YAB.AY.PAYY)/100</f>
        <v>-0.16070290000000001</v>
      </c>
      <c r="K77" s="82">
        <f>([1]!CIMSA.TKS.YAB.YIL.PAYY)/100</f>
        <v>-0.47996270000000002</v>
      </c>
    </row>
    <row r="78" spans="2:11" x14ac:dyDescent="0.35">
      <c r="B78" s="72" t="str">
        <f>[1]!DEVA.SEMBOL</f>
        <v>DEVA</v>
      </c>
      <c r="C78" s="73">
        <f>[1]!DEVA.SON</f>
        <v>47.8</v>
      </c>
      <c r="D78" s="81">
        <f>([1]!'DEVA.GUN.F%')/100</f>
        <v>1.8799999999999997E-2</v>
      </c>
      <c r="E78" s="81">
        <f>([1]!'DEVA.30GUNLUK.F%')/100</f>
        <v>0.1414</v>
      </c>
      <c r="F78" s="81">
        <f>([1]!'DEVA.BU.YIL.FARK%')/100</f>
        <v>0.67110000000000003</v>
      </c>
      <c r="G78" s="81">
        <f>([1]!'DEVA.52HAFTALIK.F%')/100</f>
        <v>0.8206</v>
      </c>
      <c r="H78" s="81">
        <f>([1]!DEVA.TKS.YAB.PAYY)/100</f>
        <v>1.24931E-2</v>
      </c>
      <c r="I78" s="81">
        <f>([1]!DEVA.TKS.YAB.HAF.PAYY)/100</f>
        <v>7.7812069999999997E-2</v>
      </c>
      <c r="J78" s="81">
        <f>([1]!DEVA.TKS.YAB.AY.PAYY)/100</f>
        <v>0.10599069999999999</v>
      </c>
      <c r="K78" s="82">
        <f>([1]!DEVA.TKS.YAB.YIL.PAYY)/100</f>
        <v>1.0362119999999999</v>
      </c>
    </row>
    <row r="79" spans="2:11" x14ac:dyDescent="0.35">
      <c r="B79" s="72" t="str">
        <f>[1]!BERA.SEMBOL</f>
        <v>BERA</v>
      </c>
      <c r="C79" s="73">
        <f>[1]!BERA.SON</f>
        <v>28.98</v>
      </c>
      <c r="D79" s="81">
        <f>([1]!'BERA.GUN.F%')/100</f>
        <v>2.69E-2</v>
      </c>
      <c r="E79" s="81">
        <f>([1]!'BERA.30GUNLUK.F%')/100</f>
        <v>0.23949999999999999</v>
      </c>
      <c r="F79" s="81">
        <f>([1]!'BERA.BU.YIL.FARK%')/100</f>
        <v>2.0021</v>
      </c>
      <c r="G79" s="81">
        <f>([1]!'BERA.52HAFTALIK.F%')/100</f>
        <v>1.5663999999999998</v>
      </c>
      <c r="H79" s="81">
        <f>([1]!BERA.TKS.YAB.PAYY)/100</f>
        <v>0.11126799999999999</v>
      </c>
      <c r="I79" s="81">
        <f>([1]!BERA.TKS.YAB.HAF.PAYY)/100</f>
        <v>1.8927139999999999E-2</v>
      </c>
      <c r="J79" s="81">
        <f>([1]!BERA.TKS.YAB.AY.PAYY)/100</f>
        <v>1.4671449999999999E-2</v>
      </c>
      <c r="K79" s="82">
        <f>([1]!BERA.TKS.YAB.YIL.PAYY)/100</f>
        <v>-0.30315560000000003</v>
      </c>
    </row>
    <row r="80" spans="2:11" x14ac:dyDescent="0.35">
      <c r="B80" s="72" t="str">
        <f>[1]!TOASO.SEMBOL</f>
        <v>TOASO</v>
      </c>
      <c r="C80" s="73">
        <f>[1]!TOASO.SON</f>
        <v>127.5</v>
      </c>
      <c r="D80" s="81">
        <f>([1]!'TOASO.GUN.F%')/100</f>
        <v>2.0799999999999999E-2</v>
      </c>
      <c r="E80" s="81">
        <f>([1]!'TOASO.30GUNLUK.F%')/100</f>
        <v>0.31109999999999999</v>
      </c>
      <c r="F80" s="81">
        <f>([1]!'TOASO.BU.YIL.FARK%')/100</f>
        <v>0.82980000000000009</v>
      </c>
      <c r="G80" s="81">
        <f>([1]!'TOASO.52HAFTALIK.F%')/100</f>
        <v>1.1493</v>
      </c>
      <c r="H80" s="81">
        <f>([1]!TOASO.TKS.YAB.PAYY)/100</f>
        <v>0.2820647</v>
      </c>
      <c r="I80" s="81">
        <f>([1]!TOASO.TKS.YAB.HAF.PAYY)/100</f>
        <v>-3.0921779999999999E-2</v>
      </c>
      <c r="J80" s="81">
        <f>([1]!TOASO.TKS.YAB.AY.PAYY)/100</f>
        <v>-0.20240010000000003</v>
      </c>
      <c r="K80" s="82">
        <f>([1]!TOASO.TKS.YAB.YIL.PAYY)/100</f>
        <v>-0.53410690000000005</v>
      </c>
    </row>
    <row r="81" spans="2:11" x14ac:dyDescent="0.35">
      <c r="B81" s="72" t="str">
        <f>[1]!KOZAL.SEMBOL</f>
        <v>KOZAL</v>
      </c>
      <c r="C81" s="73">
        <f>[1]!KOZAL.SON</f>
        <v>265</v>
      </c>
      <c r="D81" s="81">
        <f>([1]!'KOZAL.GUN.F%')/100</f>
        <v>3.7200000000000004E-2</v>
      </c>
      <c r="E81" s="81">
        <f>([1]!'KOZAL.30GUNLUK.F%')/100</f>
        <v>0.32500000000000001</v>
      </c>
      <c r="F81" s="81">
        <f>([1]!'KOZAL.BU.YIL.FARK%')/100</f>
        <v>1.5278999999999998</v>
      </c>
      <c r="G81" s="81">
        <f>([1]!'KOZAL.52HAFTALIK.F%')/100</f>
        <v>1.4333</v>
      </c>
      <c r="H81" s="81">
        <f>([1]!KOZAL.TKS.YAB.PAYY)/100</f>
        <v>0.26855020000000002</v>
      </c>
      <c r="I81" s="81">
        <f>([1]!KOZAL.TKS.YAB.HAF.PAYY)/100</f>
        <v>6.603908E-2</v>
      </c>
      <c r="J81" s="81">
        <f>([1]!KOZAL.TKS.YAB.AY.PAYY)/100</f>
        <v>0.3787643</v>
      </c>
      <c r="K81" s="82">
        <f>([1]!KOZAL.TKS.YAB.YIL.PAYY)/100</f>
        <v>0.10560280000000001</v>
      </c>
    </row>
    <row r="82" spans="2:11" x14ac:dyDescent="0.35">
      <c r="B82" s="72" t="str">
        <f>[1]!AEFES.SEMBOL</f>
        <v>AEFES</v>
      </c>
      <c r="C82" s="73">
        <f>[1]!AEFES.SON</f>
        <v>58.75</v>
      </c>
      <c r="D82" s="81">
        <f>([1]!'AEFES.GUN.F%')/100</f>
        <v>6.3299999999999995E-2</v>
      </c>
      <c r="E82" s="81">
        <f>([1]!'AEFES.30GUNLUK.F%')/100</f>
        <v>0.21640000000000001</v>
      </c>
      <c r="F82" s="81">
        <f>([1]!'AEFES.BU.YIL.FARK%')/100</f>
        <v>1.113</v>
      </c>
      <c r="G82" s="81">
        <f>([1]!'AEFES.52HAFTALIK.F%')/100</f>
        <v>1.5441999999999998</v>
      </c>
      <c r="H82" s="81">
        <f>([1]!AEFES.TKS.YAB.PAYY)/100</f>
        <v>0.53644130000000001</v>
      </c>
      <c r="I82" s="81">
        <f>([1]!AEFES.TKS.YAB.HAF.PAYY)/100</f>
        <v>1.272624E-3</v>
      </c>
      <c r="J82" s="81">
        <f>([1]!AEFES.TKS.YAB.AY.PAYY)/100</f>
        <v>3.7638379999999999E-2</v>
      </c>
      <c r="K82" s="82">
        <f>([1]!AEFES.TKS.YAB.YIL.PAYY)/100</f>
        <v>-0.16676749999999999</v>
      </c>
    </row>
    <row r="83" spans="2:11" x14ac:dyDescent="0.35">
      <c r="B83" s="72" t="str">
        <f>[1]!YATAS.SEMBOL</f>
        <v>YATAS</v>
      </c>
      <c r="C83" s="73">
        <f>[1]!YATAS.SON</f>
        <v>24</v>
      </c>
      <c r="D83" s="81">
        <f>([1]!'YATAS.GUN.F%')/100</f>
        <v>5.8200000000000002E-2</v>
      </c>
      <c r="E83" s="81">
        <f>([1]!'YATAS.30GUNLUK.F%')/100</f>
        <v>0.27050000000000002</v>
      </c>
      <c r="F83" s="81">
        <f>([1]!'YATAS.BU.YIL.FARK%')/100</f>
        <v>1.2499</v>
      </c>
      <c r="G83" s="81">
        <f>([1]!'YATAS.52HAFTALIK.F%')/100</f>
        <v>0.94099999999999995</v>
      </c>
      <c r="H83" s="81">
        <f>([1]!YATAS.TKS.YAB.PAYY)/100</f>
        <v>0.21455390000000002</v>
      </c>
      <c r="I83" s="81">
        <f>([1]!YATAS.TKS.YAB.HAF.PAYY)/100</f>
        <v>9.1645149999999995E-2</v>
      </c>
      <c r="J83" s="81">
        <f>([1]!YATAS.TKS.YAB.AY.PAYY)/100</f>
        <v>0.292601</v>
      </c>
      <c r="K83" s="82">
        <f>([1]!YATAS.TKS.YAB.YIL.PAYY)/100</f>
        <v>0.33629249999999999</v>
      </c>
    </row>
    <row r="84" spans="2:11" x14ac:dyDescent="0.35">
      <c r="B84" s="72" t="str">
        <f>[1]!TRILC.SEMBOL</f>
        <v>TRILC</v>
      </c>
      <c r="C84" s="73">
        <f>[1]!TRILC.SON</f>
        <v>11.32</v>
      </c>
      <c r="D84" s="81">
        <f>([1]!'TRILC.GUN.F%')/100</f>
        <v>1.2500000000000001E-2</v>
      </c>
      <c r="E84" s="81">
        <f>([1]!'TRILC.30GUNLUK.F%')/100</f>
        <v>-5.2699999999999997E-2</v>
      </c>
      <c r="F84" s="81">
        <f>([1]!'TRILC.BU.YIL.FARK%')/100</f>
        <v>-3.2500000000000001E-2</v>
      </c>
      <c r="G84" s="81">
        <f>([1]!'TRILC.52HAFTALIK.F%')/100</f>
        <v>0.15390000000000001</v>
      </c>
      <c r="H84" s="81">
        <f>([1]!TRILC.TKS.YAB.PAYY)/100</f>
        <v>5.4371280000000003E-3</v>
      </c>
      <c r="I84" s="81">
        <f>([1]!TRILC.TKS.YAB.HAF.PAYY)/100</f>
        <v>-0.8054268</v>
      </c>
      <c r="J84" s="81">
        <f>([1]!TRILC.TKS.YAB.AY.PAYY)/100</f>
        <v>-0.57880330000000002</v>
      </c>
      <c r="K84" s="82">
        <f>([1]!TRILC.TKS.YAB.YIL.PAYY)/100</f>
        <v>-0.79700979999999999</v>
      </c>
    </row>
    <row r="85" spans="2:11" x14ac:dyDescent="0.35">
      <c r="B85" s="72" t="str">
        <f>[1]!ISDMR.SEMBOL</f>
        <v>ISDMR</v>
      </c>
      <c r="C85" s="73">
        <f>[1]!ISDMR.SON</f>
        <v>29.56</v>
      </c>
      <c r="D85" s="81">
        <f>([1]!'ISDMR.GUN.F%')/100</f>
        <v>1.6500000000000001E-2</v>
      </c>
      <c r="E85" s="81">
        <f>([1]!'ISDMR.30GUNLUK.F%')/100</f>
        <v>0.17019999999999999</v>
      </c>
      <c r="F85" s="81">
        <f>([1]!'ISDMR.BU.YIL.FARK%')/100</f>
        <v>0.41759999999999997</v>
      </c>
      <c r="G85" s="81">
        <f>([1]!'ISDMR.52HAFTALIK.F%')/100</f>
        <v>1.0606</v>
      </c>
      <c r="H85" s="81">
        <f>([1]!ISDMR.TKS.YAB.PAYY)/100</f>
        <v>9.5578319999999994E-2</v>
      </c>
      <c r="I85" s="81">
        <f>([1]!ISDMR.TKS.YAB.HAF.PAYY)/100</f>
        <v>1.2315710000000001E-2</v>
      </c>
      <c r="J85" s="81">
        <f>([1]!ISDMR.TKS.YAB.AY.PAYY)/100</f>
        <v>6.5928760000000003E-2</v>
      </c>
      <c r="K85" s="82">
        <f>([1]!ISDMR.TKS.YAB.YIL.PAYY)/100</f>
        <v>-0.16109490000000001</v>
      </c>
    </row>
    <row r="86" spans="2:11" x14ac:dyDescent="0.35">
      <c r="B86" s="72" t="str">
        <f>[1]!FROTO.SEMBOL</f>
        <v>FROTO</v>
      </c>
      <c r="C86" s="73">
        <f>[1]!FROTO.SON</f>
        <v>434.6</v>
      </c>
      <c r="D86" s="81">
        <f>([1]!'FROTO.GUN.F%')/100</f>
        <v>2.1099999999999997E-2</v>
      </c>
      <c r="E86" s="81">
        <f>([1]!'FROTO.30GUNLUK.F%')/100</f>
        <v>0.1996</v>
      </c>
      <c r="F86" s="81">
        <f>([1]!'FROTO.BU.YIL.FARK%')/100</f>
        <v>0.90359999999999996</v>
      </c>
      <c r="G86" s="81">
        <f>([1]!'FROTO.52HAFTALIK.F%')/100</f>
        <v>1.0325</v>
      </c>
      <c r="H86" s="81">
        <f>([1]!FROTO.TKS.YAB.PAYY)/100</f>
        <v>0.37510800000000005</v>
      </c>
      <c r="I86" s="81">
        <f>([1]!FROTO.TKS.YAB.HAF.PAYY)/100</f>
        <v>-1.8809659999999999E-2</v>
      </c>
      <c r="J86" s="81">
        <f>([1]!FROTO.TKS.YAB.AY.PAYY)/100</f>
        <v>-0.13470750000000001</v>
      </c>
      <c r="K86" s="82">
        <f>([1]!FROTO.TKS.YAB.YIL.PAYY)/100</f>
        <v>-0.44115460000000001</v>
      </c>
    </row>
    <row r="87" spans="2:11" x14ac:dyDescent="0.35">
      <c r="B87" s="72" t="str">
        <f>[1]!LOGO.SEMBOL</f>
        <v>LOGO</v>
      </c>
      <c r="C87" s="73">
        <f>[1]!LOGO.SON</f>
        <v>57.4</v>
      </c>
      <c r="D87" s="81">
        <f>([1]!'LOGO.GUN.F%')/100</f>
        <v>3.4999999999999996E-3</v>
      </c>
      <c r="E87" s="81">
        <f>([1]!'LOGO.30GUNLUK.F%')/100</f>
        <v>5.5099999999999996E-2</v>
      </c>
      <c r="F87" s="81">
        <f>([1]!'LOGO.BU.YIL.FARK%')/100</f>
        <v>0.40860000000000002</v>
      </c>
      <c r="G87" s="81">
        <f>([1]!'LOGO.52HAFTALIK.F%')/100</f>
        <v>0.37939999999999996</v>
      </c>
      <c r="H87" s="81">
        <f>([1]!LOGO.TKS.YAB.PAYY)/100</f>
        <v>0.35513449999999996</v>
      </c>
      <c r="I87" s="81">
        <f>([1]!LOGO.TKS.YAB.HAF.PAYY)/100</f>
        <v>3.8782959999999998E-3</v>
      </c>
      <c r="J87" s="81">
        <f>([1]!LOGO.TKS.YAB.AY.PAYY)/100</f>
        <v>2.3484430000000001E-2</v>
      </c>
      <c r="K87" s="82">
        <f>([1]!LOGO.TKS.YAB.YIL.PAYY)/100</f>
        <v>-0.25881280000000001</v>
      </c>
    </row>
    <row r="88" spans="2:11" x14ac:dyDescent="0.35">
      <c r="B88" s="72" t="str">
        <f>[1]!ASELS.SEMBOL</f>
        <v>ASELS</v>
      </c>
      <c r="C88" s="73">
        <f>[1]!ASELS.SON</f>
        <v>41.58</v>
      </c>
      <c r="D88" s="81">
        <f>([1]!'ASELS.GUN.F%')/100</f>
        <v>4.6799999999999994E-2</v>
      </c>
      <c r="E88" s="81">
        <f>([1]!'ASELS.30GUNLUK.F%')/100</f>
        <v>0.31230000000000002</v>
      </c>
      <c r="F88" s="81">
        <f>([1]!'ASELS.BU.YIL.FARK%')/100</f>
        <v>1.0012000000000001</v>
      </c>
      <c r="G88" s="81">
        <f>([1]!'ASELS.52HAFTALIK.F%')/100</f>
        <v>1.2297</v>
      </c>
      <c r="H88" s="81">
        <f>([1]!ASELS.TKS.YAB.PAYY)/100</f>
        <v>0.26042680000000001</v>
      </c>
      <c r="I88" s="81">
        <f>([1]!ASELS.TKS.YAB.HAF.PAYY)/100</f>
        <v>4.5769039999999997E-2</v>
      </c>
      <c r="J88" s="81">
        <f>([1]!ASELS.TKS.YAB.AY.PAYY)/100</f>
        <v>0.2010961</v>
      </c>
      <c r="K88" s="82">
        <f>([1]!ASELS.TKS.YAB.YIL.PAYY)/100</f>
        <v>-0.20076229999999998</v>
      </c>
    </row>
    <row r="89" spans="2:11" x14ac:dyDescent="0.35">
      <c r="B89" s="72" t="str">
        <f>[1]!ULKER.SEMBOL</f>
        <v>ULKER</v>
      </c>
      <c r="C89" s="73">
        <f>[1]!ULKER.SON</f>
        <v>26.8</v>
      </c>
      <c r="D89" s="81">
        <f>([1]!'ULKER.GUN.F%')/100</f>
        <v>-3.0000000000000001E-3</v>
      </c>
      <c r="E89" s="81">
        <f>([1]!'ULKER.30GUNLUK.F%')/100</f>
        <v>0.16719999999999999</v>
      </c>
      <c r="F89" s="81">
        <f>([1]!'ULKER.BU.YIL.FARK%')/100</f>
        <v>0.53759999999999997</v>
      </c>
      <c r="G89" s="81">
        <f>([1]!'ULKER.52HAFTALIK.F%')/100</f>
        <v>0.37859999999999999</v>
      </c>
      <c r="H89" s="81">
        <f>([1]!ULKER.TKS.YAB.PAYY)/100</f>
        <v>0.14275389999999999</v>
      </c>
      <c r="I89" s="81">
        <f>([1]!ULKER.TKS.YAB.HAF.PAYY)/100</f>
        <v>-1.3245E-2</v>
      </c>
      <c r="J89" s="81">
        <f>([1]!ULKER.TKS.YAB.AY.PAYY)/100</f>
        <v>-0.2511005</v>
      </c>
      <c r="K89" s="82">
        <f>([1]!ULKER.TKS.YAB.YIL.PAYY)/100</f>
        <v>-0.52539769999999997</v>
      </c>
    </row>
    <row r="90" spans="2:11" x14ac:dyDescent="0.35">
      <c r="B90" s="72" t="str">
        <f>[1]!SISE.SEMBOL</f>
        <v>SISE</v>
      </c>
      <c r="C90" s="73">
        <f>[1]!SISE.SON</f>
        <v>35.74</v>
      </c>
      <c r="D90" s="81">
        <f>([1]!'SISE.GUN.F%')/100</f>
        <v>3.1200000000000002E-2</v>
      </c>
      <c r="E90" s="81">
        <f>([1]!'SISE.30GUNLUK.F%')/100</f>
        <v>0.11689999999999999</v>
      </c>
      <c r="F90" s="81">
        <f>([1]!'SISE.BU.YIL.FARK%')/100</f>
        <v>1.7238999999999998</v>
      </c>
      <c r="G90" s="81">
        <f>([1]!'SISE.52HAFTALIK.F%')/100</f>
        <v>2.2397</v>
      </c>
      <c r="H90" s="81">
        <f>([1]!SISE.TKS.YAB.PAYY)/100</f>
        <v>0.23101920000000001</v>
      </c>
      <c r="I90" s="81">
        <f>([1]!SISE.TKS.YAB.HAF.PAYY)/100</f>
        <v>-3.0752080000000001E-2</v>
      </c>
      <c r="J90" s="81">
        <f>([1]!SISE.TKS.YAB.AY.PAYY)/100</f>
        <v>-1.8177109999999998E-3</v>
      </c>
      <c r="K90" s="82">
        <f>([1]!SISE.TKS.YAB.YIL.PAYY)/100</f>
        <v>-0.29054059999999998</v>
      </c>
    </row>
    <row r="91" spans="2:11" x14ac:dyDescent="0.35">
      <c r="B91" s="72" t="str">
        <f>[1]!INDES.SEMBOL</f>
        <v>INDES</v>
      </c>
      <c r="C91" s="73">
        <f>[1]!INDES.SON</f>
        <v>17.86</v>
      </c>
      <c r="D91" s="81">
        <f>([1]!'INDES.GUN.F%')/100</f>
        <v>1.0200000000000001E-2</v>
      </c>
      <c r="E91" s="81">
        <f>([1]!'INDES.30GUNLUK.F%')/100</f>
        <v>0.34689999999999999</v>
      </c>
      <c r="F91" s="81">
        <f>([1]!'INDES.BU.YIL.FARK%')/100</f>
        <v>1.8568</v>
      </c>
      <c r="G91" s="81">
        <f>([1]!'INDES.52HAFTALIK.F%')/100</f>
        <v>1.6984000000000001</v>
      </c>
      <c r="H91" s="81">
        <f>([1]!INDES.TKS.YAB.PAYY)/100</f>
        <v>9.0475759999999988E-2</v>
      </c>
      <c r="I91" s="81">
        <f>([1]!INDES.TKS.YAB.HAF.PAYY)/100</f>
        <v>7.843646E-2</v>
      </c>
      <c r="J91" s="81">
        <f>([1]!INDES.TKS.YAB.AY.PAYY)/100</f>
        <v>-5.5019949999999998E-2</v>
      </c>
      <c r="K91" s="82">
        <f>([1]!INDES.TKS.YAB.YIL.PAYY)/100</f>
        <v>-0.25692139999999997</v>
      </c>
    </row>
    <row r="92" spans="2:11" x14ac:dyDescent="0.35">
      <c r="B92" s="72" t="str">
        <f>[1]!PETKM.SEMBOL</f>
        <v>PETKM</v>
      </c>
      <c r="C92" s="73">
        <f>[1]!PETKM.SON</f>
        <v>15.29</v>
      </c>
      <c r="D92" s="81">
        <f>([1]!'PETKM.GUN.F%')/100</f>
        <v>1.9299999999999998E-2</v>
      </c>
      <c r="E92" s="81">
        <f>([1]!'PETKM.30GUNLUK.F%')/100</f>
        <v>0.1462</v>
      </c>
      <c r="F92" s="81">
        <f>([1]!'PETKM.BU.YIL.FARK%')/100</f>
        <v>0.96030000000000004</v>
      </c>
      <c r="G92" s="81">
        <f>([1]!'PETKM.52HAFTALIK.F%')/100</f>
        <v>0.98060000000000003</v>
      </c>
      <c r="H92" s="81">
        <f>([1]!PETKM.TKS.YAB.PAYY)/100</f>
        <v>0.1498824</v>
      </c>
      <c r="I92" s="81">
        <f>([1]!PETKM.TKS.YAB.HAF.PAYY)/100</f>
        <v>-8.4399139999999997E-3</v>
      </c>
      <c r="J92" s="81">
        <f>([1]!PETKM.TKS.YAB.AY.PAYY)/100</f>
        <v>4.2542869999999997E-2</v>
      </c>
      <c r="K92" s="82">
        <f>([1]!PETKM.TKS.YAB.YIL.PAYY)/100</f>
        <v>-0.47570489999999999</v>
      </c>
    </row>
    <row r="93" spans="2:11" x14ac:dyDescent="0.35">
      <c r="B93" s="72" t="str">
        <f>[1]!CEMTS.SEMBOL</f>
        <v>CEMTS</v>
      </c>
      <c r="C93" s="73">
        <f>[1]!CEMTS.SON</f>
        <v>47.86</v>
      </c>
      <c r="D93" s="81">
        <f>([1]!'CEMTS.GUN.F%')/100</f>
        <v>3.4599999999999999E-2</v>
      </c>
      <c r="E93" s="81">
        <f>([1]!'CEMTS.30GUNLUK.F%')/100</f>
        <v>0.1673</v>
      </c>
      <c r="F93" s="81">
        <f>([1]!'CEMTS.BU.YIL.FARK%')/100</f>
        <v>1.5853999999999999</v>
      </c>
      <c r="G93" s="81">
        <f>([1]!'CEMTS.52HAFTALIK.F%')/100</f>
        <v>2.0144000000000002</v>
      </c>
      <c r="H93" s="81">
        <f>([1]!CEMTS.TKS.YAB.PAYY)/100</f>
        <v>2.0007830000000001E-2</v>
      </c>
      <c r="I93" s="81">
        <f>([1]!CEMTS.TKS.YAB.HAF.PAYY)/100</f>
        <v>9.7698279999999998E-2</v>
      </c>
      <c r="J93" s="81">
        <f>([1]!CEMTS.TKS.YAB.AY.PAYY)/100</f>
        <v>-0.24389420000000001</v>
      </c>
      <c r="K93" s="82">
        <f>([1]!CEMTS.TKS.YAB.YIL.PAYY)/100</f>
        <v>0.59905940000000002</v>
      </c>
    </row>
    <row r="94" spans="2:11" x14ac:dyDescent="0.35">
      <c r="B94" s="72" t="str">
        <f>[1]!EREGL.SEMBOL</f>
        <v>EREGL</v>
      </c>
      <c r="C94" s="73">
        <f>[1]!EREGL.SON</f>
        <v>37.700000000000003</v>
      </c>
      <c r="D94" s="81">
        <f>([1]!'EREGL.GUN.F%')/100</f>
        <v>2.1700000000000001E-2</v>
      </c>
      <c r="E94" s="81">
        <f>([1]!'EREGL.30GUNLUK.F%')/100</f>
        <v>0.2762</v>
      </c>
      <c r="F94" s="81">
        <f>([1]!'EREGL.BU.YIL.FARK%')/100</f>
        <v>0.52590000000000003</v>
      </c>
      <c r="G94" s="81">
        <f>([1]!'EREGL.52HAFTALIK.F%')/100</f>
        <v>1.0231000000000001</v>
      </c>
      <c r="H94" s="81">
        <f>([1]!EREGL.TKS.YAB.PAYY)/100</f>
        <v>0.19924890000000001</v>
      </c>
      <c r="I94" s="81">
        <f>([1]!EREGL.TKS.YAB.HAF.PAYY)/100</f>
        <v>-4.6914060000000004E-3</v>
      </c>
      <c r="J94" s="81">
        <f>([1]!EREGL.TKS.YAB.AY.PAYY)/100</f>
        <v>-2.9639929999999998E-2</v>
      </c>
      <c r="K94" s="82">
        <f>([1]!EREGL.TKS.YAB.YIL.PAYY)/100</f>
        <v>-0.42142209999999997</v>
      </c>
    </row>
    <row r="95" spans="2:11" x14ac:dyDescent="0.35">
      <c r="B95" s="72" t="str">
        <f>[1]!KRDMD.SEMBOL</f>
        <v>KRDMD</v>
      </c>
      <c r="C95" s="73">
        <f>[1]!KRDMD.SON</f>
        <v>13.15</v>
      </c>
      <c r="D95" s="81">
        <f>([1]!'KRDMD.GUN.F%')/100</f>
        <v>2.3300000000000001E-2</v>
      </c>
      <c r="E95" s="81">
        <f>([1]!'KRDMD.30GUNLUK.F%')/100</f>
        <v>6.7400000000000002E-2</v>
      </c>
      <c r="F95" s="81">
        <f>([1]!'KRDMD.BU.YIL.FARK%')/100</f>
        <v>0.47710000000000002</v>
      </c>
      <c r="G95" s="81">
        <f>([1]!'KRDMD.52HAFTALIK.F%')/100</f>
        <v>0.66480000000000006</v>
      </c>
      <c r="H95" s="81">
        <f>([1]!KRDMD.TKS.YAB.PAYY)/100</f>
        <v>0.1507647</v>
      </c>
      <c r="I95" s="81">
        <f>([1]!KRDMD.TKS.YAB.HAF.PAYY)/100</f>
        <v>0.13980519999999999</v>
      </c>
      <c r="J95" s="81">
        <f>([1]!KRDMD.TKS.YAB.AY.PAYY)/100</f>
        <v>0.19404299999999999</v>
      </c>
      <c r="K95" s="82">
        <f>([1]!KRDMD.TKS.YAB.YIL.PAYY)/100</f>
        <v>-0.242755</v>
      </c>
    </row>
    <row r="96" spans="2:11" x14ac:dyDescent="0.35">
      <c r="B96" s="72" t="str">
        <f>[1]!TTKOM.SEMBOL</f>
        <v>TTKOM</v>
      </c>
      <c r="C96" s="73">
        <f>[1]!TTKOM.SON</f>
        <v>14.7</v>
      </c>
      <c r="D96" s="81">
        <f>([1]!'TTKOM.GUN.F%')/100</f>
        <v>2.0099999999999996E-2</v>
      </c>
      <c r="E96" s="81">
        <f>([1]!'TTKOM.30GUNLUK.F%')/100</f>
        <v>0.1893</v>
      </c>
      <c r="F96" s="81">
        <f>([1]!'TTKOM.BU.YIL.FARK%')/100</f>
        <v>0.72230000000000005</v>
      </c>
      <c r="G96" s="81">
        <f>([1]!'TTKOM.52HAFTALIK.F%')/100</f>
        <v>0.8327</v>
      </c>
      <c r="H96" s="81">
        <f>([1]!TTKOM.TKS.YAB.PAYY)/100</f>
        <v>0.31582660000000001</v>
      </c>
      <c r="I96" s="81">
        <f>([1]!TTKOM.TKS.YAB.HAF.PAYY)/100</f>
        <v>-1.7758400000000001E-2</v>
      </c>
      <c r="J96" s="81">
        <f>([1]!TTKOM.TKS.YAB.AY.PAYY)/100</f>
        <v>0.24355769999999999</v>
      </c>
      <c r="K96" s="82">
        <f>([1]!TTKOM.TKS.YAB.YIL.PAYY)/100</f>
        <v>-0.42909419999999998</v>
      </c>
    </row>
    <row r="97" spans="2:11" x14ac:dyDescent="0.35">
      <c r="B97" s="72" t="str">
        <f>[1]!TTRAK.SEMBOL</f>
        <v>TTRAK</v>
      </c>
      <c r="C97" s="73">
        <f>[1]!TTRAK.SON</f>
        <v>444.8</v>
      </c>
      <c r="D97" s="81">
        <f>([1]!'TTRAK.GUN.F%')/100</f>
        <v>2.23E-2</v>
      </c>
      <c r="E97" s="81">
        <f>([1]!'TTRAK.30GUNLUK.F%')/100</f>
        <v>0.28960000000000002</v>
      </c>
      <c r="F97" s="81">
        <f>([1]!'TTRAK.BU.YIL.FARK%')/100</f>
        <v>1.1654</v>
      </c>
      <c r="G97" s="81">
        <f>([1]!'TTRAK.52HAFTALIK.F%')/100</f>
        <v>1.6418999999999999</v>
      </c>
      <c r="H97" s="81">
        <f>([1]!TTRAK.TKS.YAB.PAYY)/100</f>
        <v>0.38233069999999997</v>
      </c>
      <c r="I97" s="81">
        <f>([1]!TTRAK.TKS.YAB.HAF.PAYY)/100</f>
        <v>4.0506500000000001E-2</v>
      </c>
      <c r="J97" s="81">
        <f>([1]!TTRAK.TKS.YAB.AY.PAYY)/100</f>
        <v>0.20005249999999999</v>
      </c>
      <c r="K97" s="82">
        <f>([1]!TTRAK.TKS.YAB.YIL.PAYY)/100</f>
        <v>-7.3586370000000003E-3</v>
      </c>
    </row>
    <row r="98" spans="2:11" x14ac:dyDescent="0.35">
      <c r="B98" s="72" t="str">
        <f>[1]!AKSA.SEMBOL</f>
        <v>AKSA</v>
      </c>
      <c r="C98" s="73">
        <f>[1]!AKSA.SON</f>
        <v>78.7</v>
      </c>
      <c r="D98" s="81">
        <f>([1]!'AKSA.GUN.F%')/100</f>
        <v>-1.2999999999999999E-3</v>
      </c>
      <c r="E98" s="81">
        <f>([1]!'AKSA.30GUNLUK.F%')/100</f>
        <v>0.1275</v>
      </c>
      <c r="F98" s="81">
        <f>([1]!'AKSA.BU.YIL.FARK%')/100</f>
        <v>1.3862000000000001</v>
      </c>
      <c r="G98" s="81">
        <f>([1]!'AKSA.52HAFTALIK.F%')/100</f>
        <v>2.3550999999999997</v>
      </c>
      <c r="H98" s="81">
        <f>([1]!AKSA.TKS.YAB.PAYY)/100</f>
        <v>0.2377638</v>
      </c>
      <c r="I98" s="81">
        <f>([1]!AKSA.TKS.YAB.HAF.PAYY)/100</f>
        <v>2.8541180000000003E-2</v>
      </c>
      <c r="J98" s="81">
        <f>([1]!AKSA.TKS.YAB.AY.PAYY)/100</f>
        <v>6.2182170000000002E-2</v>
      </c>
      <c r="K98" s="82">
        <f>([1]!AKSA.TKS.YAB.YIL.PAYY)/100</f>
        <v>-0.4267609</v>
      </c>
    </row>
    <row r="99" spans="2:11" x14ac:dyDescent="0.35">
      <c r="B99" s="72" t="str">
        <f>[1]!AKFGY.SEMBOL</f>
        <v>AKFGY</v>
      </c>
      <c r="C99" s="73">
        <f>[1]!AKFGY.SON</f>
        <v>4.34</v>
      </c>
      <c r="D99" s="81">
        <f>([1]!'AKFGY.GUN.F%')/100</f>
        <v>1.1699999999999999E-2</v>
      </c>
      <c r="E99" s="81">
        <f>([1]!'AKFGY.30GUNLUK.F%')/100</f>
        <v>4.5999999999999999E-3</v>
      </c>
      <c r="F99" s="81">
        <f>([1]!'AKFGY.BU.YIL.FARK%')/100</f>
        <v>-0.40950000000000003</v>
      </c>
      <c r="G99" s="81">
        <f>([1]!'AKFGY.52HAFTALIK.F%')/100</f>
        <v>0.1295</v>
      </c>
      <c r="H99" s="81">
        <f>([1]!AKFGY.TKS.YAB.PAYY)/100</f>
        <v>1.2125209999999999E-2</v>
      </c>
      <c r="I99" s="81">
        <f>([1]!AKFGY.TKS.YAB.HAF.PAYY)/100</f>
        <v>-0.1018095</v>
      </c>
      <c r="J99" s="81">
        <f>([1]!AKFGY.TKS.YAB.AY.PAYY)/100</f>
        <v>2.0997450000000001E-2</v>
      </c>
      <c r="K99" s="82">
        <f>([1]!AKFGY.TKS.YAB.YIL.PAYY)/100</f>
        <v>-0.7164064</v>
      </c>
    </row>
    <row r="100" spans="2:11" x14ac:dyDescent="0.35">
      <c r="B100" s="72" t="str">
        <f>[1]!ARCLK.SEMBOL</f>
        <v>ARCLK</v>
      </c>
      <c r="C100" s="73">
        <f>[1]!ARCLK.SON</f>
        <v>88.8</v>
      </c>
      <c r="D100" s="81">
        <f>([1]!'ARCLK.GUN.F%')/100</f>
        <v>6.4699999999999994E-2</v>
      </c>
      <c r="E100" s="81">
        <f>([1]!'ARCLK.30GUNLUK.F%')/100</f>
        <v>0.21230000000000002</v>
      </c>
      <c r="F100" s="81">
        <f>([1]!'ARCLK.BU.YIL.FARK%')/100</f>
        <v>0.90799999999999992</v>
      </c>
      <c r="G100" s="81">
        <f>([1]!'ARCLK.52HAFTALIK.F%')/100</f>
        <v>1.2490999999999999</v>
      </c>
      <c r="H100" s="81" t="e">
        <f>([1]!arclk.TKS.YAB.PAYY)/100</f>
        <v>#NAME?</v>
      </c>
      <c r="I100" s="81">
        <f>([1]!ARCLK.TKS.YAB.HAF.PAYY)/100</f>
        <v>5.568265E-2</v>
      </c>
      <c r="J100" s="81">
        <f>([1]!ARCLK.TKS.YAB.AY.PAYY)/100</f>
        <v>1.4653740000000002E-3</v>
      </c>
      <c r="K100" s="82">
        <f>([1]!ARCLK.TKS.YAB.YIL.PAYY)/100</f>
        <v>-0.4890562</v>
      </c>
    </row>
    <row r="101" spans="2:11" x14ac:dyDescent="0.35">
      <c r="B101" s="72" t="str">
        <f>[1]!ARDYZ.SEMBOL</f>
        <v>ARDYZ</v>
      </c>
      <c r="C101" s="73">
        <f>[1]!ARDYZ.SON</f>
        <v>9.35</v>
      </c>
      <c r="D101" s="81">
        <f>([1]!'ARDYZ.GUN.F%')/100</f>
        <v>0.1</v>
      </c>
      <c r="E101" s="81">
        <f>([1]!'ARDYZ.30GUNLUK.F%')/100</f>
        <v>0.28789999999999999</v>
      </c>
      <c r="F101" s="81">
        <f>([1]!'ARDYZ.BU.YIL.FARK%')/100</f>
        <v>0.27560000000000001</v>
      </c>
      <c r="G101" s="81">
        <f>([1]!'ARDYZ.52HAFTALIK.F%')/100</f>
        <v>0.29059999999999997</v>
      </c>
      <c r="H101" s="81">
        <f>([1]!ARDYZ.TKS.YAB.PAYY)/100</f>
        <v>2.85083E-2</v>
      </c>
      <c r="I101" s="81">
        <f>([1]!ARDYZ.TKS.YAB.HAF.PAYY)/100</f>
        <v>1.735924</v>
      </c>
      <c r="J101" s="81">
        <f>([1]!ARDYZ.TKS.YAB.AY.PAYY)/100</f>
        <v>-0.14454549999999999</v>
      </c>
      <c r="K101" s="82">
        <f>([1]!ARDYZ.TKS.YAB.YIL.PAYY)/100</f>
        <v>0.81824669999999999</v>
      </c>
    </row>
    <row r="102" spans="2:11" x14ac:dyDescent="0.35">
      <c r="B102" s="72" t="str">
        <f>[1]!TURSG.SEMBOL</f>
        <v>TURSG</v>
      </c>
      <c r="C102" s="73">
        <f>[1]!TURSG.SON</f>
        <v>9.73</v>
      </c>
      <c r="D102" s="81">
        <f>([1]!'TURSG.GUN.F%')/100</f>
        <v>4.2900000000000001E-2</v>
      </c>
      <c r="E102" s="81">
        <f>([1]!'TURSG.30GUNLUK.F%')/100</f>
        <v>0.33110000000000001</v>
      </c>
      <c r="F102" s="81">
        <f>([1]!'TURSG.BU.YIL.FARK%')/100</f>
        <v>1.0927</v>
      </c>
      <c r="G102" s="81">
        <f>([1]!'TURSG.52HAFTALIK.F%')/100</f>
        <v>1.0641</v>
      </c>
      <c r="H102" s="81">
        <f>([1]!TURSG.TKS.YAB.PAYY)/100</f>
        <v>1.3323410000000001E-2</v>
      </c>
      <c r="I102" s="81">
        <f>([1]!TURSG.TKS.YAB.HAF.PAYY)/100</f>
        <v>9.1318099999999999E-2</v>
      </c>
      <c r="J102" s="81">
        <f>([1]!TURSG.TKS.YAB.AY.PAYY)/100</f>
        <v>0.2984385</v>
      </c>
      <c r="K102" s="82">
        <f>([1]!TURSG.TKS.YAB.YIL.PAYY)/100</f>
        <v>-0.12499969999999999</v>
      </c>
    </row>
    <row r="103" spans="2:11" x14ac:dyDescent="0.35">
      <c r="B103" s="72" t="str">
        <f>[1]!VESTL.SEMBOL</f>
        <v>VESTL</v>
      </c>
      <c r="C103" s="73">
        <f>[1]!VESTL.SON</f>
        <v>44</v>
      </c>
      <c r="D103" s="81">
        <f>([1]!'VESTL.GUN.F%')/100</f>
        <v>1.8500000000000003E-2</v>
      </c>
      <c r="E103" s="81">
        <f>([1]!'VESTL.30GUNLUK.F%')/100</f>
        <v>1.8500000000000003E-2</v>
      </c>
      <c r="F103" s="81">
        <f>([1]!'VESTL.BU.YIL.FARK%')/100</f>
        <v>0.75719999999999998</v>
      </c>
      <c r="G103" s="81">
        <f>([1]!'VESTL.52HAFTALIK.F%')/100</f>
        <v>0.63029999999999997</v>
      </c>
      <c r="H103" s="81">
        <f>([1]!VESTL.TKS.YAB.PAYY)/100</f>
        <v>4.3033979999999999E-2</v>
      </c>
      <c r="I103" s="81">
        <f>([1]!VESTL.TKS.YAB.HAF.PAYY)/100</f>
        <v>-6.0469419999999996E-2</v>
      </c>
      <c r="J103" s="81">
        <f>([1]!VESTL.TKS.YAB.AY.PAYY)/100</f>
        <v>-2.2099799999999998E-3</v>
      </c>
      <c r="K103" s="82">
        <f>([1]!VESTL.TKS.YAB.YIL.PAYY)/100</f>
        <v>-0.64267259999999993</v>
      </c>
    </row>
    <row r="104" spans="2:11" x14ac:dyDescent="0.35">
      <c r="B104" s="72" t="str">
        <f>[1]!GSDHO.SEMBOL</f>
        <v>GSDHO</v>
      </c>
      <c r="C104" s="73">
        <f>[1]!GSDHO.SON</f>
        <v>3.01</v>
      </c>
      <c r="D104" s="81">
        <f>([1]!'GSDHO.GUN.F%')/100</f>
        <v>1.3500000000000002E-2</v>
      </c>
      <c r="E104" s="81">
        <f>([1]!'GSDHO.30GUNLUK.F%')/100</f>
        <v>0.1613</v>
      </c>
      <c r="F104" s="81">
        <f>([1]!'GSDHO.BU.YIL.FARK%')/100</f>
        <v>1.3568</v>
      </c>
      <c r="G104" s="81">
        <f>([1]!'GSDHO.52HAFTALIK.F%')/100</f>
        <v>1.6003999999999998</v>
      </c>
      <c r="H104" s="81">
        <f>([1]!GSDHO.TKS.YAB.PAYY)/100</f>
        <v>6.2835820000000001E-2</v>
      </c>
      <c r="I104" s="81">
        <f>([1]!GSDHO.TKS.YAB.HAF.PAYY)/100</f>
        <v>1.040251</v>
      </c>
      <c r="J104" s="81">
        <f>([1]!GSDHO.TKS.YAB.AY.PAYY)/100</f>
        <v>1.1061190000000001</v>
      </c>
      <c r="K104" s="82">
        <f>([1]!GSDHO.TKS.YAB.YIL.PAYY)/100</f>
        <v>1.085923</v>
      </c>
    </row>
    <row r="105" spans="2:11" ht="15" thickBot="1" x14ac:dyDescent="0.4">
      <c r="B105" s="74" t="str">
        <f>[1]!GARAN.SEMBOL</f>
        <v>GARAN</v>
      </c>
      <c r="C105" s="75">
        <f>[1]!GARAN.SON</f>
        <v>26.16</v>
      </c>
      <c r="D105" s="83">
        <f>([1]!'GARAN.GUN.F%')/100</f>
        <v>3.0699999999999998E-2</v>
      </c>
      <c r="E105" s="83">
        <f>([1]!'GARAN.30GUNLUK.F%')/100</f>
        <v>4.8099999999999997E-2</v>
      </c>
      <c r="F105" s="83">
        <f>([1]!'GARAN.BU.YIL.FARK%')/100</f>
        <v>1.37</v>
      </c>
      <c r="G105" s="83">
        <f>([1]!'GARAN.52HAFTALIK.F%')/100</f>
        <v>1.2165999999999999</v>
      </c>
      <c r="H105" s="83">
        <f>([1]!GARAN.TKS.YAB.PAYY)/100</f>
        <v>9.3011669999999991E-2</v>
      </c>
      <c r="I105" s="83">
        <f>([1]!GARAN.TKS.YAB.HAF.PAYY)/100</f>
        <v>4.3336E-3</v>
      </c>
      <c r="J105" s="83">
        <f>([1]!GARAN.TKS.YAB.AY.PAYY)/100</f>
        <v>0.126974</v>
      </c>
      <c r="K105" s="84">
        <f>([1]!GARAN.TKS.YAB.YIL.PAYY)/100</f>
        <v>-0.8419295</v>
      </c>
    </row>
    <row r="106" spans="2:11" x14ac:dyDescent="0.35">
      <c r="B106" s="209" t="s">
        <v>134</v>
      </c>
      <c r="C106" s="210"/>
      <c r="D106" s="210"/>
      <c r="E106" s="210"/>
      <c r="F106" s="210"/>
      <c r="G106" s="210"/>
      <c r="H106" s="210"/>
      <c r="I106" s="210"/>
      <c r="J106" s="210"/>
      <c r="K106" s="211"/>
    </row>
    <row r="107" spans="2:11" x14ac:dyDescent="0.35">
      <c r="B107" s="209"/>
      <c r="C107" s="210"/>
      <c r="D107" s="210"/>
      <c r="E107" s="210"/>
      <c r="F107" s="210"/>
      <c r="G107" s="210"/>
      <c r="H107" s="210"/>
      <c r="I107" s="210"/>
      <c r="J107" s="210"/>
      <c r="K107" s="211"/>
    </row>
    <row r="108" spans="2:11" x14ac:dyDescent="0.35">
      <c r="B108" s="209"/>
      <c r="C108" s="210"/>
      <c r="D108" s="210"/>
      <c r="E108" s="210"/>
      <c r="F108" s="210"/>
      <c r="G108" s="210"/>
      <c r="H108" s="210"/>
      <c r="I108" s="210"/>
      <c r="J108" s="210"/>
      <c r="K108" s="211"/>
    </row>
    <row r="109" spans="2:11" x14ac:dyDescent="0.35">
      <c r="B109" s="209"/>
      <c r="C109" s="210"/>
      <c r="D109" s="210"/>
      <c r="E109" s="210"/>
      <c r="F109" s="210"/>
      <c r="G109" s="210"/>
      <c r="H109" s="210"/>
      <c r="I109" s="210"/>
      <c r="J109" s="210"/>
      <c r="K109" s="211"/>
    </row>
    <row r="110" spans="2:11" x14ac:dyDescent="0.35">
      <c r="B110" s="209"/>
      <c r="C110" s="210"/>
      <c r="D110" s="210"/>
      <c r="E110" s="210"/>
      <c r="F110" s="210"/>
      <c r="G110" s="210"/>
      <c r="H110" s="210"/>
      <c r="I110" s="210"/>
      <c r="J110" s="210"/>
      <c r="K110" s="211"/>
    </row>
    <row r="111" spans="2:11" x14ac:dyDescent="0.35">
      <c r="B111" s="209"/>
      <c r="C111" s="210"/>
      <c r="D111" s="210"/>
      <c r="E111" s="210"/>
      <c r="F111" s="210"/>
      <c r="G111" s="210"/>
      <c r="H111" s="210"/>
      <c r="I111" s="210"/>
      <c r="J111" s="210"/>
      <c r="K111" s="211"/>
    </row>
    <row r="112" spans="2:11" x14ac:dyDescent="0.35">
      <c r="B112" s="209"/>
      <c r="C112" s="210"/>
      <c r="D112" s="210"/>
      <c r="E112" s="210"/>
      <c r="F112" s="210"/>
      <c r="G112" s="210"/>
      <c r="H112" s="210"/>
      <c r="I112" s="210"/>
      <c r="J112" s="210"/>
      <c r="K112" s="211"/>
    </row>
    <row r="113" spans="2:11" x14ac:dyDescent="0.35">
      <c r="B113" s="209"/>
      <c r="C113" s="210"/>
      <c r="D113" s="210"/>
      <c r="E113" s="210"/>
      <c r="F113" s="210"/>
      <c r="G113" s="210"/>
      <c r="H113" s="210"/>
      <c r="I113" s="210"/>
      <c r="J113" s="210"/>
      <c r="K113" s="211"/>
    </row>
    <row r="114" spans="2:11" x14ac:dyDescent="0.35">
      <c r="B114" s="209"/>
      <c r="C114" s="210"/>
      <c r="D114" s="210"/>
      <c r="E114" s="210"/>
      <c r="F114" s="210"/>
      <c r="G114" s="210"/>
      <c r="H114" s="210"/>
      <c r="I114" s="210"/>
      <c r="J114" s="210"/>
      <c r="K114" s="211"/>
    </row>
    <row r="115" spans="2:11" x14ac:dyDescent="0.35">
      <c r="B115" s="209"/>
      <c r="C115" s="210"/>
      <c r="D115" s="210"/>
      <c r="E115" s="210"/>
      <c r="F115" s="210"/>
      <c r="G115" s="210"/>
      <c r="H115" s="210"/>
      <c r="I115" s="210"/>
      <c r="J115" s="210"/>
      <c r="K115" s="211"/>
    </row>
    <row r="116" spans="2:11" x14ac:dyDescent="0.35">
      <c r="B116" s="209"/>
      <c r="C116" s="210"/>
      <c r="D116" s="210"/>
      <c r="E116" s="210"/>
      <c r="F116" s="210"/>
      <c r="G116" s="210"/>
      <c r="H116" s="210"/>
      <c r="I116" s="210"/>
      <c r="J116" s="210"/>
      <c r="K116" s="211"/>
    </row>
    <row r="117" spans="2:11" ht="15" thickBot="1" x14ac:dyDescent="0.4">
      <c r="B117" s="209"/>
      <c r="C117" s="210"/>
      <c r="D117" s="210"/>
      <c r="E117" s="210"/>
      <c r="F117" s="210"/>
      <c r="G117" s="210"/>
      <c r="H117" s="210"/>
      <c r="I117" s="210"/>
      <c r="J117" s="210"/>
      <c r="K117" s="211"/>
    </row>
    <row r="118" spans="2:11" x14ac:dyDescent="0.35">
      <c r="B118" s="23"/>
      <c r="C118" s="24"/>
      <c r="D118" s="24"/>
      <c r="E118" s="24"/>
      <c r="F118" s="24"/>
      <c r="G118" s="24"/>
      <c r="H118" s="24"/>
      <c r="I118" s="24"/>
      <c r="J118" s="24"/>
      <c r="K118" s="25"/>
    </row>
    <row r="119" spans="2:11" x14ac:dyDescent="0.35">
      <c r="B119" s="26"/>
      <c r="C119" s="27"/>
      <c r="D119" s="27"/>
      <c r="E119" s="27"/>
      <c r="F119" s="27"/>
      <c r="G119" s="27"/>
      <c r="H119" s="27"/>
      <c r="I119" s="27"/>
      <c r="J119" s="27"/>
      <c r="K119" s="28"/>
    </row>
    <row r="120" spans="2:11" x14ac:dyDescent="0.35">
      <c r="B120" s="26"/>
      <c r="C120" s="27"/>
      <c r="D120" s="27"/>
      <c r="E120" s="27"/>
      <c r="F120" s="27"/>
      <c r="G120" s="27"/>
      <c r="H120" s="27"/>
      <c r="I120" s="27"/>
      <c r="J120" s="27"/>
      <c r="K120" s="28"/>
    </row>
    <row r="121" spans="2:11" ht="15" thickBot="1" x14ac:dyDescent="0.4">
      <c r="B121" s="29"/>
      <c r="C121" s="30"/>
      <c r="D121" s="30"/>
      <c r="E121" s="30"/>
      <c r="F121" s="30"/>
      <c r="G121" s="30"/>
      <c r="H121" s="30"/>
      <c r="I121" s="30"/>
      <c r="J121" s="30"/>
      <c r="K121" s="31"/>
    </row>
  </sheetData>
  <mergeCells count="3">
    <mergeCell ref="K2:K4"/>
    <mergeCell ref="D2:J4"/>
    <mergeCell ref="B106:K117"/>
  </mergeCells>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
  <sheetViews>
    <sheetView workbookViewId="0">
      <selection activeCell="B2" sqref="B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DESTEK DİRENÇ </vt:lpstr>
      <vt:lpstr>HİSSE GETİRİ</vt:lpstr>
      <vt:lpstr>TEKNİK GÖSTERGELER</vt:lpstr>
      <vt:lpstr>DEĞERLEME </vt:lpstr>
      <vt:lpstr>FAVÖK ÇARPANI </vt:lpstr>
      <vt:lpstr>YABANCI TAKASI </vt:lpstr>
      <vt:lpstr>Sheet1</vt:lpstr>
      <vt:lpstr>'DEĞERLEME '!Print_Area</vt:lpstr>
      <vt:lpstr>'DESTEK DİRENÇ '!Print_Area</vt:lpstr>
      <vt:lpstr>'HİSSE GETİRİ'!Print_Area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Selman İzmirli</dc:creator>
  <cp:lastModifiedBy>Selman İzmirli</cp:lastModifiedBy>
  <cp:lastPrinted>2022-11-21T19:03:00Z</cp:lastPrinted>
  <dcterms:created xsi:type="dcterms:W3CDTF">2022-08-31T14:19:57Z</dcterms:created>
  <dcterms:modified xsi:type="dcterms:W3CDTF">2022-11-21T19:07:07Z</dcterms:modified>
</cp:coreProperties>
</file>