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noj\Downloads\"/>
    </mc:Choice>
  </mc:AlternateContent>
  <xr:revisionPtr revIDLastSave="0" documentId="13_ncr:1_{49E9F97B-A00C-426F-93CF-F1DBAEBCFC5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ad" sheetId="1" r:id="rId1"/>
    <sheet name="Certificate &amp; Marksheet Printin" sheetId="2" r:id="rId2"/>
    <sheet name="Answerbook" sheetId="3" r:id="rId3"/>
    <sheet name="Coupons" sheetId="4" r:id="rId4"/>
    <sheet name="Thermal Rolls" sheetId="5" r:id="rId5"/>
    <sheet name="Cheque Stationery" sheetId="6" r:id="rId6"/>
  </sheets>
  <calcPr calcId="181029"/>
</workbook>
</file>

<file path=xl/calcChain.xml><?xml version="1.0" encoding="utf-8"?>
<calcChain xmlns="http://schemas.openxmlformats.org/spreadsheetml/2006/main">
  <c r="B12" i="4" l="1"/>
  <c r="B14" i="4" s="1"/>
  <c r="B16" i="4" s="1"/>
  <c r="J10" i="4"/>
  <c r="I10" i="4"/>
  <c r="H10" i="4"/>
  <c r="G10" i="4"/>
  <c r="F10" i="4"/>
  <c r="E10" i="4"/>
  <c r="D10" i="4"/>
  <c r="C10" i="4"/>
  <c r="B10" i="4"/>
  <c r="I8" i="4"/>
  <c r="H8" i="4"/>
  <c r="J7" i="4"/>
  <c r="I7" i="4"/>
  <c r="H7" i="4"/>
  <c r="G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J12" i="4" s="1"/>
  <c r="J14" i="4" s="1"/>
  <c r="J16" i="4" s="1"/>
  <c r="I5" i="4"/>
  <c r="I12" i="4" s="1"/>
  <c r="I14" i="4" s="1"/>
  <c r="I16" i="4" s="1"/>
  <c r="H5" i="4"/>
  <c r="H12" i="4" s="1"/>
  <c r="H14" i="4" s="1"/>
  <c r="H16" i="4" s="1"/>
  <c r="G5" i="4"/>
  <c r="G12" i="4" s="1"/>
  <c r="G14" i="4" s="1"/>
  <c r="G16" i="4" s="1"/>
  <c r="F5" i="4"/>
  <c r="F12" i="4" s="1"/>
  <c r="F14" i="4" s="1"/>
  <c r="F16" i="4" s="1"/>
  <c r="E5" i="4"/>
  <c r="E12" i="4" s="1"/>
  <c r="E14" i="4" s="1"/>
  <c r="E16" i="4" s="1"/>
  <c r="D5" i="4"/>
  <c r="D12" i="4" s="1"/>
  <c r="D14" i="4" s="1"/>
  <c r="D16" i="4" s="1"/>
  <c r="C5" i="4"/>
  <c r="C12" i="4" s="1"/>
  <c r="C14" i="4" s="1"/>
  <c r="C16" i="4" s="1"/>
  <c r="B5" i="4"/>
  <c r="P15" i="3"/>
  <c r="J15" i="3"/>
  <c r="L15" i="3" s="1"/>
  <c r="N13" i="3"/>
  <c r="U12" i="3"/>
  <c r="P12" i="3"/>
  <c r="J12" i="3"/>
  <c r="L12" i="3" s="1"/>
  <c r="P10" i="3"/>
  <c r="L10" i="3"/>
  <c r="R10" i="3" s="1"/>
  <c r="J10" i="3"/>
  <c r="U10" i="3" s="1"/>
  <c r="Q9" i="3"/>
  <c r="N9" i="3"/>
  <c r="P8" i="3"/>
  <c r="L8" i="3"/>
  <c r="R8" i="3" s="1"/>
  <c r="J8" i="3"/>
  <c r="U8" i="3" s="1"/>
  <c r="U6" i="3"/>
  <c r="S6" i="3"/>
  <c r="P6" i="3"/>
  <c r="L6" i="3"/>
  <c r="R6" i="3" s="1"/>
  <c r="J6" i="3"/>
  <c r="V6" i="3" s="1"/>
  <c r="E25" i="2"/>
  <c r="E24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11" i="1"/>
  <c r="B10" i="1"/>
  <c r="B13" i="1" s="1"/>
  <c r="B15" i="1" s="1"/>
  <c r="B9" i="1"/>
  <c r="B7" i="1"/>
  <c r="B6" i="1"/>
  <c r="B5" i="1"/>
  <c r="E20" i="2" l="1"/>
  <c r="E21" i="2" s="1"/>
  <c r="E22" i="2" s="1"/>
  <c r="B20" i="1"/>
  <c r="B17" i="1"/>
  <c r="X12" i="3"/>
  <c r="R12" i="3"/>
  <c r="Q12" i="3"/>
  <c r="N12" i="3"/>
  <c r="Y12" i="3" s="1"/>
  <c r="N15" i="3"/>
  <c r="Y15" i="3" s="1"/>
  <c r="X15" i="3"/>
  <c r="R15" i="3"/>
  <c r="Q15" i="3"/>
  <c r="Z15" i="3" s="1"/>
  <c r="AB15" i="3" s="1"/>
  <c r="AD15" i="3" s="1"/>
  <c r="V8" i="3"/>
  <c r="V10" i="3"/>
  <c r="X8" i="3"/>
  <c r="X10" i="3"/>
  <c r="N8" i="3"/>
  <c r="Y8" i="3" s="1"/>
  <c r="N10" i="3"/>
  <c r="Y10" i="3" s="1"/>
  <c r="X6" i="3"/>
  <c r="S15" i="3"/>
  <c r="N6" i="3"/>
  <c r="Q8" i="3"/>
  <c r="Q10" i="3"/>
  <c r="S12" i="3"/>
  <c r="U15" i="3"/>
  <c r="V15" i="3"/>
  <c r="Q6" i="3"/>
  <c r="S8" i="3"/>
  <c r="S10" i="3"/>
  <c r="V12" i="3"/>
  <c r="E26" i="2" l="1"/>
  <c r="E27" i="2" s="1"/>
  <c r="E23" i="2"/>
  <c r="Z8" i="3"/>
  <c r="AB8" i="3" s="1"/>
  <c r="AD8" i="3" s="1"/>
  <c r="N18" i="3"/>
  <c r="Y6" i="3"/>
  <c r="Z6" i="3" s="1"/>
  <c r="AB6" i="3" s="1"/>
  <c r="AD6" i="3" s="1"/>
  <c r="AD17" i="3" s="1"/>
  <c r="Z12" i="3"/>
  <c r="AB12" i="3" s="1"/>
  <c r="AD12" i="3" s="1"/>
  <c r="Z10" i="3"/>
  <c r="AB10" i="3" s="1"/>
  <c r="AD10" i="3" s="1"/>
  <c r="N19" i="3" l="1"/>
  <c r="N20" i="3"/>
  <c r="P20" i="3" s="1"/>
  <c r="E28" i="2"/>
  <c r="E29" i="2"/>
  <c r="E30" i="2" s="1"/>
  <c r="E31" i="2" l="1"/>
  <c r="E32" i="2" s="1"/>
  <c r="E33" i="2" s="1"/>
  <c r="E34" i="2"/>
  <c r="F34" i="2" s="1"/>
  <c r="F31" i="2" l="1"/>
</calcChain>
</file>

<file path=xl/sharedStrings.xml><?xml version="1.0" encoding="utf-8"?>
<sst xmlns="http://schemas.openxmlformats.org/spreadsheetml/2006/main" count="186" uniqueCount="116">
  <si>
    <t>Zoomol Wad</t>
  </si>
  <si>
    <t xml:space="preserve">Ups </t>
  </si>
  <si>
    <t>Software</t>
  </si>
  <si>
    <t>Paper</t>
  </si>
  <si>
    <t>Printing Front</t>
  </si>
  <si>
    <t>Printing Back</t>
  </si>
  <si>
    <t>Lamination</t>
  </si>
  <si>
    <t>Die Punch</t>
  </si>
  <si>
    <t>Cutting,QC, Sorting,Bundling,Packing</t>
  </si>
  <si>
    <t>Transport</t>
  </si>
  <si>
    <t>Cost Price</t>
  </si>
  <si>
    <t>Profit - DIPL</t>
  </si>
  <si>
    <t>Sell Price - DIPL</t>
  </si>
  <si>
    <t>Profit - SSSL</t>
  </si>
  <si>
    <t>Sell Price - SSSL</t>
  </si>
  <si>
    <t>DIPL to SSSL Price</t>
  </si>
  <si>
    <t>Note: Have considered 200micron Technova Paper</t>
  </si>
  <si>
    <t>Description</t>
  </si>
  <si>
    <t>Required (1/0)</t>
  </si>
  <si>
    <t>Min Setup Cost</t>
  </si>
  <si>
    <t>Cost per Piece</t>
  </si>
  <si>
    <t>&lt;-- Quantity</t>
  </si>
  <si>
    <t>Paper Type</t>
  </si>
  <si>
    <t>Base Price</t>
  </si>
  <si>
    <t>105gsm Maplitho</t>
  </si>
  <si>
    <t>Printing</t>
  </si>
  <si>
    <t>120gsm Maplitho</t>
  </si>
  <si>
    <t>Foiling</t>
  </si>
  <si>
    <t>105 Parchment</t>
  </si>
  <si>
    <t>Invisible</t>
  </si>
  <si>
    <t>120gsm Parchment</t>
  </si>
  <si>
    <t>Thermochromatic</t>
  </si>
  <si>
    <t>150gsm Parchment with UV Fibres</t>
  </si>
  <si>
    <t>Photochromic</t>
  </si>
  <si>
    <t>130gsm TR</t>
  </si>
  <si>
    <t>Flourscent</t>
  </si>
  <si>
    <t>150gsm TR</t>
  </si>
  <si>
    <t>Conductive Ink</t>
  </si>
  <si>
    <t>180gsm TR</t>
  </si>
  <si>
    <t>Embossing</t>
  </si>
  <si>
    <t>200gsm TR</t>
  </si>
  <si>
    <t>Sr. No.</t>
  </si>
  <si>
    <t>250gsm TR</t>
  </si>
  <si>
    <t>Sr. No. Penetrating</t>
  </si>
  <si>
    <t>160gsm NT</t>
  </si>
  <si>
    <t>Red Filter Text</t>
  </si>
  <si>
    <t>280gsm NT</t>
  </si>
  <si>
    <t>Hologram - Customized</t>
  </si>
  <si>
    <t>250 micron Teslin</t>
  </si>
  <si>
    <t>Hologram - (Original/Genuine)</t>
  </si>
  <si>
    <t>350 micron Teslin</t>
  </si>
  <si>
    <t>Checking</t>
  </si>
  <si>
    <t>Packing</t>
  </si>
  <si>
    <t>Dispatch</t>
  </si>
  <si>
    <t>Other</t>
  </si>
  <si>
    <t>Subtotal</t>
  </si>
  <si>
    <t>DIPL Profit</t>
  </si>
  <si>
    <t>DIPL Total</t>
  </si>
  <si>
    <t>DIPL - Per piece</t>
  </si>
  <si>
    <t>Design</t>
  </si>
  <si>
    <t>Admin</t>
  </si>
  <si>
    <t>Credit</t>
  </si>
  <si>
    <t>SubTotal 1</t>
  </si>
  <si>
    <t>Marketing Overhead</t>
  </si>
  <si>
    <t>SubTotal2</t>
  </si>
  <si>
    <t>Total</t>
  </si>
  <si>
    <t>SSSL Cost Per Pc</t>
  </si>
  <si>
    <t>Cost Per Pc</t>
  </si>
  <si>
    <t>Profit</t>
  </si>
  <si>
    <t>Final Cost Per Pc</t>
  </si>
  <si>
    <t>Final Total Amount</t>
  </si>
  <si>
    <t>Case 1 : Ideal Case : Marketing Overhead 20% and Profit Range is between 20% &amp; 40%</t>
  </si>
  <si>
    <t>Case 2 : Best Case :  Marketing Overhead 40% and Profit Range is between 20% &amp; 40%</t>
  </si>
  <si>
    <t>Case 3: Worst Case : Marketing Overhead 10% and Profit Range is between 10% &amp; 20%</t>
  </si>
  <si>
    <t>Case 4: If all the above prices are not acceptable by the client then talk to management</t>
  </si>
  <si>
    <t xml:space="preserve">Paper price </t>
  </si>
  <si>
    <t>12 June 2023</t>
  </si>
  <si>
    <t>JSS Mysuru</t>
  </si>
  <si>
    <t>all page</t>
  </si>
  <si>
    <t>qty</t>
  </si>
  <si>
    <t>size</t>
  </si>
  <si>
    <t>GSM</t>
  </si>
  <si>
    <t>pages</t>
  </si>
  <si>
    <t>shaeets</t>
  </si>
  <si>
    <t xml:space="preserve">weight / book </t>
  </si>
  <si>
    <t xml:space="preserve">total qty </t>
  </si>
  <si>
    <t>Price/kg</t>
  </si>
  <si>
    <t xml:space="preserve">paper size </t>
  </si>
  <si>
    <t>paper</t>
  </si>
  <si>
    <t xml:space="preserve">priint </t>
  </si>
  <si>
    <t>collation</t>
  </si>
  <si>
    <t>stiching</t>
  </si>
  <si>
    <t>folding</t>
  </si>
  <si>
    <t>barcode</t>
  </si>
  <si>
    <t>finish cut</t>
  </si>
  <si>
    <t>packing</t>
  </si>
  <si>
    <t xml:space="preserve">sub total </t>
  </si>
  <si>
    <t>profit</t>
  </si>
  <si>
    <t>total</t>
  </si>
  <si>
    <t>value</t>
  </si>
  <si>
    <t xml:space="preserve">a/b </t>
  </si>
  <si>
    <t xml:space="preserve"> </t>
  </si>
  <si>
    <t>A/b</t>
  </si>
  <si>
    <t xml:space="preserve">Wastage </t>
  </si>
  <si>
    <t>Escort</t>
  </si>
  <si>
    <t>Nandan</t>
  </si>
  <si>
    <t>Elvi Bardahl</t>
  </si>
  <si>
    <t>Magic Grip</t>
  </si>
  <si>
    <t>Arabian</t>
  </si>
  <si>
    <t>Raj Petro</t>
  </si>
  <si>
    <t>SuperBond</t>
  </si>
  <si>
    <t>55 Ups</t>
  </si>
  <si>
    <t>25 Ups</t>
  </si>
  <si>
    <t>65 Ups</t>
  </si>
  <si>
    <t>21 Ups</t>
  </si>
  <si>
    <t>DIPL to SSSL Price
(As confirmed between YJ and AS
on 18-11-2022)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</si>
</sst>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EA4335"/>
      <name val="Arial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DAEEF3"/>
        <bgColor rgb="FFDAEEF3"/>
      </patternFill>
    </fill>
    <fill>
      <patternFill patternType="solid">
        <fgColor rgb="FFD8E4BC"/>
        <bgColor rgb="FFD8E4BC"/>
      </patternFill>
    </fill>
    <fill>
      <patternFill patternType="solid">
        <fgColor rgb="FFFDE9D9"/>
        <bgColor rgb="FFFDE9D9"/>
      </patternFill>
    </fill>
    <fill>
      <patternFill patternType="solid">
        <fgColor rgb="FFC4D79B"/>
        <bgColor rgb="FFC4D79B"/>
      </patternFill>
    </fill>
    <fill>
      <patternFill patternType="solid">
        <fgColor rgb="FFFEF2CB"/>
        <bgColor rgb="FFFEF2CB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4" xfId="0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2" fontId="2" fillId="0" borderId="4" xfId="0" applyNumberFormat="1" applyFont="1" applyBorder="1" applyAlignment="1">
      <alignment horizontal="right"/>
    </xf>
    <xf numFmtId="9" fontId="2" fillId="0" borderId="4" xfId="0" applyNumberFormat="1" applyFont="1" applyBorder="1" applyAlignment="1">
      <alignment horizontal="right"/>
    </xf>
    <xf numFmtId="0" fontId="1" fillId="0" borderId="0" xfId="0" applyFont="1"/>
    <xf numFmtId="0" fontId="3" fillId="2" borderId="0" xfId="0" applyFont="1" applyFill="1"/>
    <xf numFmtId="2" fontId="3" fillId="2" borderId="0" xfId="0" applyNumberFormat="1" applyFont="1" applyFill="1" applyAlignment="1">
      <alignment horizontal="right"/>
    </xf>
    <xf numFmtId="0" fontId="4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3" fontId="5" fillId="3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1" fillId="4" borderId="0" xfId="0" applyFont="1" applyFill="1"/>
    <xf numFmtId="0" fontId="6" fillId="4" borderId="0" xfId="0" applyFont="1" applyFill="1" applyAlignment="1">
      <alignment horizontal="right"/>
    </xf>
    <xf numFmtId="4" fontId="6" fillId="4" borderId="0" xfId="0" applyNumberFormat="1" applyFont="1" applyFill="1" applyAlignment="1">
      <alignment horizontal="right"/>
    </xf>
    <xf numFmtId="0" fontId="5" fillId="5" borderId="0" xfId="0" applyFont="1" applyFill="1"/>
    <xf numFmtId="0" fontId="1" fillId="5" borderId="0" xfId="0" applyFont="1" applyFill="1"/>
    <xf numFmtId="4" fontId="5" fillId="5" borderId="0" xfId="0" applyNumberFormat="1" applyFont="1" applyFill="1" applyAlignment="1">
      <alignment horizontal="right"/>
    </xf>
    <xf numFmtId="0" fontId="5" fillId="6" borderId="0" xfId="0" applyFont="1" applyFill="1"/>
    <xf numFmtId="0" fontId="1" fillId="6" borderId="0" xfId="0" applyFont="1" applyFill="1"/>
    <xf numFmtId="0" fontId="5" fillId="6" borderId="0" xfId="0" applyFont="1" applyFill="1" applyAlignment="1">
      <alignment horizontal="right"/>
    </xf>
    <xf numFmtId="9" fontId="5" fillId="6" borderId="0" xfId="0" applyNumberFormat="1" applyFont="1" applyFill="1" applyAlignment="1">
      <alignment horizontal="right"/>
    </xf>
    <xf numFmtId="4" fontId="5" fillId="6" borderId="0" xfId="0" applyNumberFormat="1" applyFont="1" applyFill="1" applyAlignment="1">
      <alignment horizontal="right"/>
    </xf>
    <xf numFmtId="0" fontId="5" fillId="7" borderId="0" xfId="0" applyFont="1" applyFill="1"/>
    <xf numFmtId="0" fontId="1" fillId="7" borderId="0" xfId="0" applyFont="1" applyFill="1"/>
    <xf numFmtId="4" fontId="5" fillId="7" borderId="0" xfId="0" applyNumberFormat="1" applyFont="1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9" fontId="1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quotePrefix="1" applyFont="1"/>
    <xf numFmtId="0" fontId="8" fillId="8" borderId="0" xfId="0" applyFont="1" applyFill="1"/>
    <xf numFmtId="0" fontId="8" fillId="8" borderId="0" xfId="0" applyFont="1" applyFill="1" applyAlignment="1">
      <alignment horizontal="right"/>
    </xf>
    <xf numFmtId="9" fontId="8" fillId="8" borderId="0" xfId="0" applyNumberFormat="1" applyFont="1" applyFill="1" applyAlignment="1">
      <alignment horizontal="right"/>
    </xf>
    <xf numFmtId="9" fontId="8" fillId="8" borderId="0" xfId="0" applyNumberFormat="1" applyFont="1" applyFill="1"/>
    <xf numFmtId="9" fontId="8" fillId="0" borderId="0" xfId="0" applyNumberFormat="1" applyFont="1" applyAlignment="1">
      <alignment horizontal="right"/>
    </xf>
    <xf numFmtId="0" fontId="2" fillId="0" borderId="4" xfId="0" applyFont="1" applyBorder="1" applyAlignment="1">
      <alignment horizontal="center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workbookViewId="0">
      <selection activeCell="A4" sqref="A4:A11"/>
    </sheetView>
  </sheetViews>
  <sheetFormatPr defaultColWidth="12.5703125" defaultRowHeight="15.95" customHeight="1" x14ac:dyDescent="0.2"/>
  <cols>
    <col min="1" max="1" width="33.42578125" customWidth="1"/>
  </cols>
  <sheetData>
    <row r="1" spans="1:2" ht="12.75" x14ac:dyDescent="0.2">
      <c r="A1" s="1"/>
      <c r="B1" s="1"/>
    </row>
    <row r="2" spans="1:2" ht="12.75" x14ac:dyDescent="0.2">
      <c r="A2" s="2"/>
      <c r="B2" s="3" t="s">
        <v>0</v>
      </c>
    </row>
    <row r="3" spans="1:2" ht="12.75" x14ac:dyDescent="0.2">
      <c r="A3" s="4" t="s">
        <v>1</v>
      </c>
      <c r="B3" s="5">
        <v>176</v>
      </c>
    </row>
    <row r="4" spans="1:2" ht="12.75" x14ac:dyDescent="0.2">
      <c r="A4" s="4" t="s">
        <v>2</v>
      </c>
      <c r="B4" s="6">
        <v>0.2</v>
      </c>
    </row>
    <row r="5" spans="1:2" ht="12.75" x14ac:dyDescent="0.2">
      <c r="A5" s="4" t="s">
        <v>3</v>
      </c>
      <c r="B5" s="7">
        <f>24/B3</f>
        <v>0.13636363636363635</v>
      </c>
    </row>
    <row r="6" spans="1:2" ht="12.75" x14ac:dyDescent="0.2">
      <c r="A6" s="4" t="s">
        <v>4</v>
      </c>
      <c r="B6" s="7">
        <f>8/B3</f>
        <v>4.5454545454545456E-2</v>
      </c>
    </row>
    <row r="7" spans="1:2" ht="12.75" x14ac:dyDescent="0.2">
      <c r="A7" s="4" t="s">
        <v>5</v>
      </c>
      <c r="B7" s="7">
        <f>8/B3</f>
        <v>4.5454545454545456E-2</v>
      </c>
    </row>
    <row r="8" spans="1:2" ht="12.75" x14ac:dyDescent="0.2">
      <c r="A8" s="4" t="s">
        <v>6</v>
      </c>
      <c r="B8" s="6">
        <v>0</v>
      </c>
    </row>
    <row r="9" spans="1:2" ht="12.75" x14ac:dyDescent="0.2">
      <c r="A9" s="4" t="s">
        <v>7</v>
      </c>
      <c r="B9" s="7">
        <f>20/B3</f>
        <v>0.11363636363636363</v>
      </c>
    </row>
    <row r="10" spans="1:2" ht="12.75" x14ac:dyDescent="0.2">
      <c r="A10" s="4" t="s">
        <v>8</v>
      </c>
      <c r="B10" s="8">
        <f>10/B3</f>
        <v>5.6818181818181816E-2</v>
      </c>
    </row>
    <row r="11" spans="1:2" ht="12.75" x14ac:dyDescent="0.2">
      <c r="A11" s="4" t="s">
        <v>9</v>
      </c>
      <c r="B11" s="6">
        <f>0.04</f>
        <v>0.04</v>
      </c>
    </row>
    <row r="12" spans="1:2" ht="12.75" x14ac:dyDescent="0.2">
      <c r="A12" s="9"/>
      <c r="B12" s="10"/>
    </row>
    <row r="13" spans="1:2" ht="12.75" x14ac:dyDescent="0.2">
      <c r="A13" s="4" t="s">
        <v>10</v>
      </c>
      <c r="B13" s="11">
        <f>SUM(B4:B12)</f>
        <v>0.6377272727272727</v>
      </c>
    </row>
    <row r="14" spans="1:2" ht="12.75" x14ac:dyDescent="0.2">
      <c r="A14" s="4" t="s">
        <v>11</v>
      </c>
      <c r="B14" s="12">
        <v>0.05</v>
      </c>
    </row>
    <row r="15" spans="1:2" ht="12.75" x14ac:dyDescent="0.2">
      <c r="A15" s="4" t="s">
        <v>12</v>
      </c>
      <c r="B15" s="11">
        <f>B13+(B13*B14)</f>
        <v>0.66961363636363636</v>
      </c>
    </row>
    <row r="16" spans="1:2" ht="12.75" x14ac:dyDescent="0.2">
      <c r="A16" s="4" t="s">
        <v>13</v>
      </c>
      <c r="B16" s="12">
        <v>0.2</v>
      </c>
    </row>
    <row r="17" spans="1:2" ht="12.75" x14ac:dyDescent="0.2">
      <c r="A17" s="4" t="s">
        <v>14</v>
      </c>
      <c r="B17" s="11">
        <f>B15+(B15*B16)</f>
        <v>0.8035363636363636</v>
      </c>
    </row>
    <row r="18" spans="1:2" ht="12.75" x14ac:dyDescent="0.2">
      <c r="A18" s="13"/>
      <c r="B18" s="13"/>
    </row>
    <row r="19" spans="1:2" ht="12.75" x14ac:dyDescent="0.2">
      <c r="A19" s="13"/>
      <c r="B19" s="13"/>
    </row>
    <row r="20" spans="1:2" ht="15.95" customHeight="1" x14ac:dyDescent="0.25">
      <c r="A20" s="14" t="s">
        <v>15</v>
      </c>
      <c r="B20" s="15">
        <f>B15-B4</f>
        <v>0.46961363636363634</v>
      </c>
    </row>
    <row r="21" spans="1:2" ht="12.75" x14ac:dyDescent="0.2">
      <c r="A21" s="1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0"/>
  <sheetViews>
    <sheetView tabSelected="1" workbookViewId="0">
      <selection activeCell="C19" sqref="C19"/>
    </sheetView>
  </sheetViews>
  <sheetFormatPr defaultColWidth="12.5703125" defaultRowHeight="15.95" customHeight="1" x14ac:dyDescent="0.2"/>
  <cols>
    <col min="1" max="1" width="27.28515625" customWidth="1"/>
    <col min="8" max="8" width="26.7109375" customWidth="1"/>
  </cols>
  <sheetData>
    <row r="1" spans="1:9" ht="15.95" customHeight="1" x14ac:dyDescent="0.2">
      <c r="A1" s="17" t="s">
        <v>17</v>
      </c>
      <c r="B1" s="18" t="s">
        <v>18</v>
      </c>
      <c r="C1" s="17" t="s">
        <v>19</v>
      </c>
      <c r="D1" s="17" t="s">
        <v>20</v>
      </c>
      <c r="E1" s="19">
        <v>10000</v>
      </c>
      <c r="F1" s="20" t="s">
        <v>21</v>
      </c>
      <c r="H1" s="21" t="s">
        <v>22</v>
      </c>
      <c r="I1" s="22" t="s">
        <v>23</v>
      </c>
    </row>
    <row r="2" spans="1:9" ht="15.95" customHeight="1" x14ac:dyDescent="0.2">
      <c r="A2" s="23" t="s">
        <v>3</v>
      </c>
      <c r="B2" s="24">
        <v>1</v>
      </c>
      <c r="C2" s="25"/>
      <c r="D2" s="26">
        <v>4</v>
      </c>
      <c r="E2" s="27">
        <f t="shared" ref="E2:E19" si="0">B2*(($E$1*D2)+C2)</f>
        <v>40000</v>
      </c>
      <c r="F2" s="20"/>
      <c r="H2" s="9" t="s">
        <v>24</v>
      </c>
      <c r="I2" s="6">
        <v>1.2</v>
      </c>
    </row>
    <row r="3" spans="1:9" ht="15.95" customHeight="1" x14ac:dyDescent="0.2">
      <c r="A3" s="23" t="s">
        <v>25</v>
      </c>
      <c r="B3" s="24">
        <v>1</v>
      </c>
      <c r="C3" s="26">
        <v>3000</v>
      </c>
      <c r="D3" s="26">
        <v>0.75</v>
      </c>
      <c r="E3" s="27">
        <f t="shared" si="0"/>
        <v>10500</v>
      </c>
      <c r="F3" s="20"/>
      <c r="H3" s="9" t="s">
        <v>26</v>
      </c>
      <c r="I3" s="6">
        <v>1.4</v>
      </c>
    </row>
    <row r="4" spans="1:9" ht="15.95" customHeight="1" x14ac:dyDescent="0.2">
      <c r="A4" s="23" t="s">
        <v>27</v>
      </c>
      <c r="B4" s="24">
        <v>1</v>
      </c>
      <c r="C4" s="26">
        <v>1750</v>
      </c>
      <c r="D4" s="26">
        <v>0.5</v>
      </c>
      <c r="E4" s="27">
        <f t="shared" si="0"/>
        <v>6750</v>
      </c>
      <c r="F4" s="20"/>
      <c r="H4" s="9" t="s">
        <v>28</v>
      </c>
      <c r="I4" s="6">
        <v>1.5</v>
      </c>
    </row>
    <row r="5" spans="1:9" ht="15.95" customHeight="1" x14ac:dyDescent="0.2">
      <c r="A5" s="23" t="s">
        <v>29</v>
      </c>
      <c r="B5" s="24">
        <v>1</v>
      </c>
      <c r="C5" s="26">
        <v>750</v>
      </c>
      <c r="D5" s="26">
        <v>0.6</v>
      </c>
      <c r="E5" s="27">
        <f t="shared" si="0"/>
        <v>6750</v>
      </c>
      <c r="F5" s="20"/>
      <c r="H5" s="9" t="s">
        <v>30</v>
      </c>
      <c r="I5" s="6">
        <v>2</v>
      </c>
    </row>
    <row r="6" spans="1:9" ht="15.95" customHeight="1" x14ac:dyDescent="0.2">
      <c r="A6" s="23" t="s">
        <v>31</v>
      </c>
      <c r="B6" s="24">
        <v>0</v>
      </c>
      <c r="C6" s="26">
        <v>750</v>
      </c>
      <c r="D6" s="26">
        <v>0.75</v>
      </c>
      <c r="E6" s="27">
        <f t="shared" si="0"/>
        <v>0</v>
      </c>
      <c r="F6" s="20"/>
      <c r="H6" s="9" t="s">
        <v>32</v>
      </c>
      <c r="I6" s="6">
        <v>2.75</v>
      </c>
    </row>
    <row r="7" spans="1:9" ht="15.95" customHeight="1" x14ac:dyDescent="0.2">
      <c r="A7" s="23" t="s">
        <v>33</v>
      </c>
      <c r="B7" s="24">
        <v>0</v>
      </c>
      <c r="C7" s="26">
        <v>750</v>
      </c>
      <c r="D7" s="26">
        <v>0.75</v>
      </c>
      <c r="E7" s="27">
        <f t="shared" si="0"/>
        <v>0</v>
      </c>
      <c r="F7" s="20"/>
      <c r="H7" s="9" t="s">
        <v>34</v>
      </c>
      <c r="I7" s="6">
        <v>3.5</v>
      </c>
    </row>
    <row r="8" spans="1:9" ht="15.95" customHeight="1" x14ac:dyDescent="0.2">
      <c r="A8" s="23" t="s">
        <v>35</v>
      </c>
      <c r="B8" s="24">
        <v>0</v>
      </c>
      <c r="C8" s="26">
        <v>1000</v>
      </c>
      <c r="D8" s="26">
        <v>0.5</v>
      </c>
      <c r="E8" s="27">
        <f t="shared" si="0"/>
        <v>0</v>
      </c>
      <c r="F8" s="20"/>
      <c r="H8" s="9" t="s">
        <v>36</v>
      </c>
      <c r="I8" s="6">
        <v>3.75</v>
      </c>
    </row>
    <row r="9" spans="1:9" ht="15.95" customHeight="1" x14ac:dyDescent="0.2">
      <c r="A9" s="23" t="s">
        <v>37</v>
      </c>
      <c r="B9" s="24">
        <v>0</v>
      </c>
      <c r="C9" s="26">
        <v>1500</v>
      </c>
      <c r="D9" s="26">
        <v>0.5</v>
      </c>
      <c r="E9" s="27">
        <f t="shared" si="0"/>
        <v>0</v>
      </c>
      <c r="F9" s="20"/>
      <c r="H9" s="9" t="s">
        <v>38</v>
      </c>
      <c r="I9" s="6">
        <v>4</v>
      </c>
    </row>
    <row r="10" spans="1:9" ht="15.95" customHeight="1" x14ac:dyDescent="0.2">
      <c r="A10" s="23" t="s">
        <v>39</v>
      </c>
      <c r="B10" s="24">
        <v>0</v>
      </c>
      <c r="C10" s="26">
        <v>1500</v>
      </c>
      <c r="D10" s="26">
        <v>0.4</v>
      </c>
      <c r="E10" s="27">
        <f t="shared" si="0"/>
        <v>0</v>
      </c>
      <c r="F10" s="20"/>
      <c r="H10" s="9" t="s">
        <v>40</v>
      </c>
      <c r="I10" s="6">
        <v>4.25</v>
      </c>
    </row>
    <row r="11" spans="1:9" ht="15.95" customHeight="1" x14ac:dyDescent="0.2">
      <c r="A11" s="23" t="s">
        <v>41</v>
      </c>
      <c r="B11" s="24">
        <v>1</v>
      </c>
      <c r="C11" s="26">
        <v>750</v>
      </c>
      <c r="D11" s="26">
        <v>0.5</v>
      </c>
      <c r="E11" s="27">
        <f t="shared" si="0"/>
        <v>5750</v>
      </c>
      <c r="F11" s="20"/>
      <c r="H11" s="9" t="s">
        <v>42</v>
      </c>
      <c r="I11" s="6">
        <v>4</v>
      </c>
    </row>
    <row r="12" spans="1:9" ht="15.95" customHeight="1" x14ac:dyDescent="0.2">
      <c r="A12" s="23" t="s">
        <v>43</v>
      </c>
      <c r="B12" s="24">
        <v>0</v>
      </c>
      <c r="C12" s="26">
        <v>750</v>
      </c>
      <c r="D12" s="26">
        <v>0.6</v>
      </c>
      <c r="E12" s="27">
        <f t="shared" si="0"/>
        <v>0</v>
      </c>
      <c r="F12" s="20"/>
      <c r="H12" s="9" t="s">
        <v>44</v>
      </c>
      <c r="I12" s="6">
        <v>9</v>
      </c>
    </row>
    <row r="13" spans="1:9" ht="15.95" customHeight="1" x14ac:dyDescent="0.2">
      <c r="A13" s="23" t="s">
        <v>45</v>
      </c>
      <c r="B13" s="24">
        <v>0</v>
      </c>
      <c r="C13" s="26">
        <v>1500</v>
      </c>
      <c r="D13" s="26">
        <v>0.5</v>
      </c>
      <c r="E13" s="27">
        <f t="shared" si="0"/>
        <v>0</v>
      </c>
      <c r="F13" s="20"/>
      <c r="H13" s="9" t="s">
        <v>46</v>
      </c>
      <c r="I13" s="6">
        <v>12</v>
      </c>
    </row>
    <row r="14" spans="1:9" ht="15.95" customHeight="1" x14ac:dyDescent="0.2">
      <c r="A14" s="23" t="s">
        <v>47</v>
      </c>
      <c r="B14" s="24">
        <v>0</v>
      </c>
      <c r="C14" s="26">
        <v>15000</v>
      </c>
      <c r="D14" s="26">
        <v>0.75</v>
      </c>
      <c r="E14" s="27">
        <f t="shared" si="0"/>
        <v>0</v>
      </c>
      <c r="F14" s="20"/>
      <c r="H14" s="9" t="s">
        <v>48</v>
      </c>
      <c r="I14" s="6">
        <v>23</v>
      </c>
    </row>
    <row r="15" spans="1:9" ht="15.95" customHeight="1" x14ac:dyDescent="0.2">
      <c r="A15" s="23" t="s">
        <v>49</v>
      </c>
      <c r="B15" s="24">
        <v>0</v>
      </c>
      <c r="C15" s="26">
        <v>1000</v>
      </c>
      <c r="D15" s="26">
        <v>0.5</v>
      </c>
      <c r="E15" s="27">
        <f t="shared" si="0"/>
        <v>0</v>
      </c>
      <c r="F15" s="20"/>
      <c r="H15" s="9" t="s">
        <v>50</v>
      </c>
      <c r="I15" s="6">
        <v>33</v>
      </c>
    </row>
    <row r="16" spans="1:9" ht="15.95" customHeight="1" x14ac:dyDescent="0.2">
      <c r="A16" s="23" t="s">
        <v>51</v>
      </c>
      <c r="B16" s="24">
        <v>1</v>
      </c>
      <c r="C16" s="26">
        <v>0</v>
      </c>
      <c r="D16" s="26">
        <v>0.1</v>
      </c>
      <c r="E16" s="27">
        <f t="shared" si="0"/>
        <v>1000</v>
      </c>
      <c r="F16" s="20"/>
    </row>
    <row r="17" spans="1:6" ht="15.95" customHeight="1" x14ac:dyDescent="0.2">
      <c r="A17" s="23" t="s">
        <v>52</v>
      </c>
      <c r="B17" s="24">
        <v>1</v>
      </c>
      <c r="C17" s="26">
        <v>500</v>
      </c>
      <c r="D17" s="26">
        <v>0.1</v>
      </c>
      <c r="E17" s="27">
        <f t="shared" si="0"/>
        <v>1500</v>
      </c>
      <c r="F17" s="20"/>
    </row>
    <row r="18" spans="1:6" ht="15.95" customHeight="1" x14ac:dyDescent="0.2">
      <c r="A18" s="23" t="s">
        <v>53</v>
      </c>
      <c r="B18" s="24">
        <v>1</v>
      </c>
      <c r="C18" s="26">
        <v>500</v>
      </c>
      <c r="D18" s="26">
        <v>0.5</v>
      </c>
      <c r="E18" s="27">
        <f t="shared" si="0"/>
        <v>5500</v>
      </c>
      <c r="F18" s="20"/>
    </row>
    <row r="19" spans="1:6" ht="15.95" customHeight="1" x14ac:dyDescent="0.2">
      <c r="A19" s="23" t="s">
        <v>54</v>
      </c>
      <c r="B19" s="24">
        <v>0</v>
      </c>
      <c r="C19" s="26">
        <v>2000</v>
      </c>
      <c r="D19" s="25"/>
      <c r="E19" s="27">
        <f t="shared" si="0"/>
        <v>0</v>
      </c>
      <c r="F19" s="20"/>
    </row>
    <row r="20" spans="1:6" ht="15.95" customHeight="1" x14ac:dyDescent="0.2">
      <c r="A20" s="28" t="s">
        <v>55</v>
      </c>
      <c r="B20" s="29"/>
      <c r="C20" s="29"/>
      <c r="D20" s="29"/>
      <c r="E20" s="30">
        <f>SUM(E2:E19)</f>
        <v>77750</v>
      </c>
      <c r="F20" s="20"/>
    </row>
    <row r="21" spans="1:6" ht="15.95" customHeight="1" x14ac:dyDescent="0.2">
      <c r="A21" s="31" t="s">
        <v>56</v>
      </c>
      <c r="B21" s="32"/>
      <c r="C21" s="33">
        <v>1000</v>
      </c>
      <c r="D21" s="34">
        <v>0.05</v>
      </c>
      <c r="E21" s="35">
        <f>(E20*D21)+C21</f>
        <v>4887.5</v>
      </c>
      <c r="F21" s="20"/>
    </row>
    <row r="22" spans="1:6" ht="15.95" customHeight="1" x14ac:dyDescent="0.2">
      <c r="A22" s="28" t="s">
        <v>57</v>
      </c>
      <c r="B22" s="29"/>
      <c r="C22" s="29"/>
      <c r="D22" s="29"/>
      <c r="E22" s="30">
        <f>SUM(E20:E21)</f>
        <v>82637.5</v>
      </c>
      <c r="F22" s="20"/>
    </row>
    <row r="23" spans="1:6" ht="15.95" customHeight="1" x14ac:dyDescent="0.2">
      <c r="A23" s="36" t="s">
        <v>58</v>
      </c>
      <c r="B23" s="37"/>
      <c r="C23" s="37"/>
      <c r="D23" s="37"/>
      <c r="E23" s="38">
        <f>E22/E1</f>
        <v>8.2637499999999999</v>
      </c>
      <c r="F23" s="20"/>
    </row>
    <row r="24" spans="1:6" ht="12.75" x14ac:dyDescent="0.2">
      <c r="A24" s="39" t="s">
        <v>59</v>
      </c>
      <c r="B24" s="40">
        <v>1</v>
      </c>
      <c r="C24" s="40">
        <v>7500</v>
      </c>
      <c r="D24" s="13"/>
      <c r="E24" s="41">
        <f t="shared" ref="E24:E25" si="1">B24*C24</f>
        <v>7500</v>
      </c>
      <c r="F24" s="20"/>
    </row>
    <row r="25" spans="1:6" ht="12.75" x14ac:dyDescent="0.2">
      <c r="A25" s="39" t="s">
        <v>60</v>
      </c>
      <c r="B25" s="40">
        <v>1</v>
      </c>
      <c r="C25" s="40">
        <v>7500</v>
      </c>
      <c r="D25" s="13"/>
      <c r="E25" s="41">
        <f t="shared" si="1"/>
        <v>7500</v>
      </c>
      <c r="F25" s="20"/>
    </row>
    <row r="26" spans="1:6" ht="12.75" x14ac:dyDescent="0.2">
      <c r="A26" s="39" t="s">
        <v>61</v>
      </c>
      <c r="B26" s="40">
        <v>1</v>
      </c>
      <c r="C26" s="42">
        <v>0.03</v>
      </c>
      <c r="D26" s="13"/>
      <c r="E26" s="41">
        <f>B26*C26*E22</f>
        <v>2479.125</v>
      </c>
      <c r="F26" s="20"/>
    </row>
    <row r="27" spans="1:6" ht="12.75" x14ac:dyDescent="0.2">
      <c r="A27" s="39" t="s">
        <v>62</v>
      </c>
      <c r="B27" s="13"/>
      <c r="C27" s="13"/>
      <c r="D27" s="13"/>
      <c r="E27" s="41">
        <f>E22+E24+E25+E26</f>
        <v>100116.625</v>
      </c>
      <c r="F27" s="20"/>
    </row>
    <row r="28" spans="1:6" ht="12.75" x14ac:dyDescent="0.2">
      <c r="A28" s="39" t="s">
        <v>63</v>
      </c>
      <c r="B28" s="13"/>
      <c r="C28" s="42">
        <v>0.2</v>
      </c>
      <c r="D28" s="13"/>
      <c r="E28" s="41">
        <f>E27*C28</f>
        <v>20023.325000000001</v>
      </c>
      <c r="F28" s="20"/>
    </row>
    <row r="29" spans="1:6" ht="12.75" x14ac:dyDescent="0.2">
      <c r="A29" s="39" t="s">
        <v>64</v>
      </c>
      <c r="B29" s="39" t="s">
        <v>65</v>
      </c>
      <c r="C29" s="13"/>
      <c r="D29" s="13"/>
      <c r="E29" s="41">
        <f>SUM(E27:E28)</f>
        <v>120139.95</v>
      </c>
      <c r="F29" s="20"/>
    </row>
    <row r="30" spans="1:6" ht="12.75" x14ac:dyDescent="0.2">
      <c r="A30" s="39" t="s">
        <v>66</v>
      </c>
      <c r="B30" s="39" t="s">
        <v>67</v>
      </c>
      <c r="C30" s="13"/>
      <c r="D30" s="13"/>
      <c r="E30" s="41">
        <f>E29/E1</f>
        <v>12.013995</v>
      </c>
      <c r="F30" s="20"/>
    </row>
    <row r="31" spans="1:6" ht="12.75" x14ac:dyDescent="0.2">
      <c r="A31" s="39" t="s">
        <v>68</v>
      </c>
      <c r="B31" s="13"/>
      <c r="C31" s="42">
        <v>0.2</v>
      </c>
      <c r="D31" s="13"/>
      <c r="E31" s="41">
        <f>C31*E30</f>
        <v>2.4027989999999999</v>
      </c>
      <c r="F31" s="43">
        <f>E30+E31</f>
        <v>14.416793999999999</v>
      </c>
    </row>
    <row r="32" spans="1:6" ht="12.75" x14ac:dyDescent="0.2">
      <c r="A32" s="39" t="s">
        <v>69</v>
      </c>
      <c r="B32" s="13"/>
      <c r="C32" s="44"/>
      <c r="D32" s="44"/>
      <c r="E32" s="41">
        <f>E30+E31</f>
        <v>14.416793999999999</v>
      </c>
      <c r="F32" s="20"/>
    </row>
    <row r="33" spans="1:6" ht="12.75" x14ac:dyDescent="0.2">
      <c r="A33" s="39" t="s">
        <v>70</v>
      </c>
      <c r="B33" s="13"/>
      <c r="C33" s="44"/>
      <c r="D33" s="44"/>
      <c r="E33" s="41">
        <f>E32*E1</f>
        <v>144167.94</v>
      </c>
      <c r="F33" s="20"/>
    </row>
    <row r="34" spans="1:6" ht="12.75" x14ac:dyDescent="0.2">
      <c r="A34" s="13"/>
      <c r="B34" s="13"/>
      <c r="C34" s="42">
        <v>0.4</v>
      </c>
      <c r="D34" s="44"/>
      <c r="E34" s="41">
        <f>C34*E30</f>
        <v>4.8055979999999998</v>
      </c>
      <c r="F34" s="43">
        <f>E30+E34</f>
        <v>16.819592999999998</v>
      </c>
    </row>
    <row r="35" spans="1:6" ht="12.75" x14ac:dyDescent="0.2">
      <c r="A35" s="13"/>
      <c r="B35" s="13"/>
      <c r="C35" s="13"/>
      <c r="D35" s="13"/>
      <c r="E35" s="13"/>
      <c r="F35" s="13"/>
    </row>
    <row r="37" spans="1:6" ht="12.75" x14ac:dyDescent="0.2">
      <c r="A37" s="16" t="s">
        <v>71</v>
      </c>
    </row>
    <row r="38" spans="1:6" ht="12.75" x14ac:dyDescent="0.2">
      <c r="A38" s="16" t="s">
        <v>72</v>
      </c>
    </row>
    <row r="39" spans="1:6" ht="12.75" x14ac:dyDescent="0.2">
      <c r="A39" s="16" t="s">
        <v>73</v>
      </c>
    </row>
    <row r="40" spans="1:6" ht="12.75" x14ac:dyDescent="0.2">
      <c r="A40" s="16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20"/>
  <sheetViews>
    <sheetView topLeftCell="E1" workbookViewId="0">
      <selection activeCell="L6" sqref="L6"/>
    </sheetView>
  </sheetViews>
  <sheetFormatPr defaultColWidth="12.5703125" defaultRowHeight="15.95" customHeight="1" x14ac:dyDescent="0.2"/>
  <sheetData>
    <row r="1" spans="1:30" ht="15.9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0" ht="15.9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 t="s">
        <v>75</v>
      </c>
      <c r="O2" s="46">
        <v>90</v>
      </c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.95" customHeight="1" x14ac:dyDescent="0.25">
      <c r="A3" s="45"/>
      <c r="B3" s="45"/>
      <c r="C3" s="45"/>
      <c r="D3" s="47" t="s">
        <v>76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 spans="1:30" ht="15.95" customHeight="1" x14ac:dyDescent="0.25">
      <c r="A4" s="45"/>
      <c r="B4" s="45"/>
      <c r="C4" s="45"/>
      <c r="D4" s="45" t="s">
        <v>77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 t="s">
        <v>3</v>
      </c>
      <c r="P4" s="45"/>
      <c r="Q4" s="48"/>
      <c r="R4" s="48"/>
      <c r="S4" s="48"/>
      <c r="T4" s="48"/>
      <c r="U4" s="48"/>
      <c r="V4" s="48" t="s">
        <v>78</v>
      </c>
      <c r="W4" s="48"/>
      <c r="X4" s="48"/>
      <c r="Y4" s="48"/>
      <c r="Z4" s="48"/>
      <c r="AA4" s="48"/>
      <c r="AB4" s="45"/>
      <c r="AC4" s="45"/>
      <c r="AD4" s="45"/>
    </row>
    <row r="5" spans="1:30" ht="15.95" customHeight="1" x14ac:dyDescent="0.25">
      <c r="A5" s="45"/>
      <c r="B5" s="45"/>
      <c r="C5" s="45"/>
      <c r="D5" s="45"/>
      <c r="E5" s="45" t="s">
        <v>79</v>
      </c>
      <c r="F5" s="45" t="s">
        <v>80</v>
      </c>
      <c r="G5" s="45"/>
      <c r="H5" s="45" t="s">
        <v>81</v>
      </c>
      <c r="I5" s="45" t="s">
        <v>82</v>
      </c>
      <c r="J5" s="45" t="s">
        <v>83</v>
      </c>
      <c r="K5" s="45"/>
      <c r="L5" s="45" t="s">
        <v>84</v>
      </c>
      <c r="M5" s="45"/>
      <c r="N5" s="45" t="s">
        <v>85</v>
      </c>
      <c r="O5" s="45" t="s">
        <v>86</v>
      </c>
      <c r="P5" s="45" t="s">
        <v>87</v>
      </c>
      <c r="Q5" s="48" t="s">
        <v>88</v>
      </c>
      <c r="R5" s="48" t="s">
        <v>89</v>
      </c>
      <c r="S5" s="48" t="s">
        <v>90</v>
      </c>
      <c r="T5" s="48" t="s">
        <v>91</v>
      </c>
      <c r="U5" s="48" t="s">
        <v>92</v>
      </c>
      <c r="V5" s="48" t="s">
        <v>93</v>
      </c>
      <c r="W5" s="48" t="s">
        <v>94</v>
      </c>
      <c r="X5" s="48" t="s">
        <v>95</v>
      </c>
      <c r="Y5" s="48" t="s">
        <v>9</v>
      </c>
      <c r="Z5" s="48" t="s">
        <v>96</v>
      </c>
      <c r="AA5" s="48" t="s">
        <v>97</v>
      </c>
      <c r="AB5" s="48" t="s">
        <v>98</v>
      </c>
      <c r="AC5" s="45"/>
      <c r="AD5" s="48" t="s">
        <v>99</v>
      </c>
    </row>
    <row r="6" spans="1:30" ht="15.95" customHeight="1" x14ac:dyDescent="0.25">
      <c r="A6" s="45"/>
      <c r="B6" s="45"/>
      <c r="C6" s="45"/>
      <c r="D6" s="45" t="s">
        <v>100</v>
      </c>
      <c r="E6" s="46">
        <v>15000</v>
      </c>
      <c r="F6" s="46">
        <v>8.5</v>
      </c>
      <c r="G6" s="46">
        <v>12</v>
      </c>
      <c r="H6" s="46">
        <v>80</v>
      </c>
      <c r="I6" s="46">
        <v>52</v>
      </c>
      <c r="J6" s="46">
        <f>I6/2</f>
        <v>26</v>
      </c>
      <c r="K6" s="45" t="s">
        <v>101</v>
      </c>
      <c r="L6" s="46">
        <f>((F6+0.5)*G6*H6/1550)/1000*J6</f>
        <v>0.14492903225806453</v>
      </c>
      <c r="M6" s="45"/>
      <c r="N6" s="46">
        <f>(L6*E6)*1.05</f>
        <v>2282.6322580645165</v>
      </c>
      <c r="O6" s="46">
        <v>90</v>
      </c>
      <c r="P6" s="46">
        <f>F6*2+0.5</f>
        <v>17.5</v>
      </c>
      <c r="Q6" s="49">
        <f>L6*O6</f>
        <v>13.043612903225807</v>
      </c>
      <c r="R6" s="49">
        <f>30*L6</f>
        <v>4.3478709677419358</v>
      </c>
      <c r="S6" s="49">
        <f>J6/4*0.2</f>
        <v>1.3</v>
      </c>
      <c r="T6" s="49">
        <v>0.3</v>
      </c>
      <c r="U6" s="49">
        <f>J6/4*0.2</f>
        <v>1.3</v>
      </c>
      <c r="V6" s="49">
        <f>0.25*J6</f>
        <v>6.5</v>
      </c>
      <c r="W6" s="49">
        <v>0.15</v>
      </c>
      <c r="X6" s="49">
        <f>3*L6</f>
        <v>0.43478709677419358</v>
      </c>
      <c r="Y6" s="49">
        <f>N6*12/E6</f>
        <v>1.8261058064516131</v>
      </c>
      <c r="Z6" s="49">
        <f>SUM(Q6:Y6)</f>
        <v>29.202376774193553</v>
      </c>
      <c r="AA6" s="50">
        <v>0.1</v>
      </c>
      <c r="AB6" s="46">
        <f>(Z6*AA6)+Z6</f>
        <v>32.122614451612911</v>
      </c>
      <c r="AC6" s="45"/>
      <c r="AD6" s="46">
        <f>AB6*E6</f>
        <v>481839.21677419369</v>
      </c>
    </row>
    <row r="7" spans="1:30" ht="15.95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 t="s">
        <v>101</v>
      </c>
      <c r="K7" s="45" t="s">
        <v>101</v>
      </c>
      <c r="L7" s="45" t="s">
        <v>101</v>
      </c>
      <c r="M7" s="45" t="s">
        <v>101</v>
      </c>
      <c r="N7" s="45" t="s">
        <v>101</v>
      </c>
      <c r="O7" s="45"/>
      <c r="P7" s="45" t="s">
        <v>101</v>
      </c>
      <c r="Q7" s="48" t="s">
        <v>101</v>
      </c>
      <c r="R7" s="48" t="s">
        <v>101</v>
      </c>
      <c r="S7" s="48"/>
      <c r="T7" s="48" t="s">
        <v>101</v>
      </c>
      <c r="U7" s="48"/>
      <c r="V7" s="48"/>
      <c r="W7" s="48"/>
      <c r="X7" s="48" t="s">
        <v>101</v>
      </c>
      <c r="Y7" s="48"/>
      <c r="Z7" s="48"/>
      <c r="AA7" s="48"/>
      <c r="AB7" s="45" t="s">
        <v>101</v>
      </c>
      <c r="AC7" s="45"/>
      <c r="AD7" s="45" t="s">
        <v>101</v>
      </c>
    </row>
    <row r="8" spans="1:30" ht="15.95" customHeight="1" x14ac:dyDescent="0.25">
      <c r="A8" s="45"/>
      <c r="B8" s="45"/>
      <c r="C8" s="45"/>
      <c r="D8" s="45" t="s">
        <v>102</v>
      </c>
      <c r="E8" s="46">
        <v>15000</v>
      </c>
      <c r="F8" s="46">
        <v>8.5</v>
      </c>
      <c r="G8" s="46">
        <v>12</v>
      </c>
      <c r="H8" s="46">
        <v>80</v>
      </c>
      <c r="I8" s="46">
        <v>44</v>
      </c>
      <c r="J8" s="46">
        <f>I8/2</f>
        <v>22</v>
      </c>
      <c r="K8" s="45" t="s">
        <v>101</v>
      </c>
      <c r="L8" s="46">
        <f>((F8+0.5)*G8*H8/1550)/1000*J8</f>
        <v>0.12263225806451614</v>
      </c>
      <c r="M8" s="45"/>
      <c r="N8" s="46">
        <f t="shared" ref="N8:N10" si="0">(L8*E8)*1.05</f>
        <v>1931.4580645161291</v>
      </c>
      <c r="O8" s="46">
        <v>90</v>
      </c>
      <c r="P8" s="46">
        <f>F8*2+0.5</f>
        <v>17.5</v>
      </c>
      <c r="Q8" s="49">
        <f t="shared" ref="Q8:Q10" si="1">L8*O8</f>
        <v>11.036903225806451</v>
      </c>
      <c r="R8" s="49">
        <f>30*L8</f>
        <v>3.6789677419354843</v>
      </c>
      <c r="S8" s="49">
        <f>J8/4*0.2</f>
        <v>1.1000000000000001</v>
      </c>
      <c r="T8" s="49">
        <v>0.3</v>
      </c>
      <c r="U8" s="49">
        <f>J8/4*0.2</f>
        <v>1.1000000000000001</v>
      </c>
      <c r="V8" s="49">
        <f>0.25*J8</f>
        <v>5.5</v>
      </c>
      <c r="W8" s="49">
        <v>0.15</v>
      </c>
      <c r="X8" s="49">
        <f>3*L8</f>
        <v>0.36789677419354838</v>
      </c>
      <c r="Y8" s="49">
        <f>N8*12/E8</f>
        <v>1.5451664516129031</v>
      </c>
      <c r="Z8" s="49">
        <f>SUM(Q8:Y8)</f>
        <v>24.778934193548384</v>
      </c>
      <c r="AA8" s="50">
        <v>0.1</v>
      </c>
      <c r="AB8" s="46">
        <f>(Z8*AA8)+Z8</f>
        <v>27.256827612903223</v>
      </c>
      <c r="AC8" s="45"/>
      <c r="AD8" s="46">
        <f>AB8*E8</f>
        <v>408852.41419354832</v>
      </c>
    </row>
    <row r="9" spans="1:30" ht="15.95" customHeigh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>
        <f t="shared" si="0"/>
        <v>0</v>
      </c>
      <c r="O9" s="45"/>
      <c r="P9" s="45"/>
      <c r="Q9" s="49">
        <f t="shared" si="1"/>
        <v>0</v>
      </c>
      <c r="R9" s="48"/>
      <c r="S9" s="48"/>
      <c r="T9" s="48"/>
      <c r="U9" s="48"/>
      <c r="V9" s="48"/>
      <c r="W9" s="48"/>
      <c r="X9" s="48"/>
      <c r="Y9" s="48"/>
      <c r="Z9" s="48"/>
      <c r="AA9" s="51"/>
      <c r="AB9" s="45"/>
      <c r="AC9" s="45"/>
      <c r="AD9" s="45"/>
    </row>
    <row r="10" spans="1:30" ht="15.95" customHeight="1" x14ac:dyDescent="0.25">
      <c r="A10" s="45"/>
      <c r="B10" s="45"/>
      <c r="C10" s="45"/>
      <c r="D10" s="45" t="s">
        <v>100</v>
      </c>
      <c r="E10" s="46">
        <v>30000</v>
      </c>
      <c r="F10" s="46">
        <v>8.5</v>
      </c>
      <c r="G10" s="46">
        <v>12</v>
      </c>
      <c r="H10" s="46">
        <v>80</v>
      </c>
      <c r="I10" s="46">
        <v>32</v>
      </c>
      <c r="J10" s="46">
        <f>I10/2</f>
        <v>16</v>
      </c>
      <c r="K10" s="45" t="s">
        <v>101</v>
      </c>
      <c r="L10" s="46">
        <f>((F10+0.5)*G10*H10/1550)/1000*J10</f>
        <v>8.918709677419355E-2</v>
      </c>
      <c r="M10" s="45"/>
      <c r="N10" s="46">
        <f t="shared" si="0"/>
        <v>2809.3935483870969</v>
      </c>
      <c r="O10" s="46">
        <v>90</v>
      </c>
      <c r="P10" s="46">
        <f>F10*2+0.5</f>
        <v>17.5</v>
      </c>
      <c r="Q10" s="49">
        <f t="shared" si="1"/>
        <v>8.0268387096774187</v>
      </c>
      <c r="R10" s="49">
        <f>30*L10</f>
        <v>2.6756129032258067</v>
      </c>
      <c r="S10" s="49">
        <f>J10/4*0.2</f>
        <v>0.8</v>
      </c>
      <c r="T10" s="49">
        <v>0.3</v>
      </c>
      <c r="U10" s="49">
        <f>J10/4*0.2</f>
        <v>0.8</v>
      </c>
      <c r="V10" s="49">
        <f>0.25*J10</f>
        <v>4</v>
      </c>
      <c r="W10" s="49">
        <v>0.15</v>
      </c>
      <c r="X10" s="49">
        <f>3*L10</f>
        <v>0.26756129032258064</v>
      </c>
      <c r="Y10" s="49">
        <f>N10*12/E10</f>
        <v>1.1237574193548387</v>
      </c>
      <c r="Z10" s="49">
        <f>SUM(Q10:Y10)</f>
        <v>18.143770322580643</v>
      </c>
      <c r="AA10" s="50">
        <v>0.1</v>
      </c>
      <c r="AB10" s="46">
        <f>(Z10*AA10)+Z10</f>
        <v>19.958147354838708</v>
      </c>
      <c r="AC10" s="45"/>
      <c r="AD10" s="46">
        <f>AB10*E10</f>
        <v>598744.4206451613</v>
      </c>
    </row>
    <row r="11" spans="1:30" ht="15.95" customHeight="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 t="s">
        <v>101</v>
      </c>
      <c r="K11" s="45" t="s">
        <v>101</v>
      </c>
      <c r="L11" s="45" t="s">
        <v>101</v>
      </c>
      <c r="M11" s="45" t="s">
        <v>101</v>
      </c>
      <c r="N11" s="45" t="s">
        <v>101</v>
      </c>
      <c r="O11" s="45" t="s">
        <v>101</v>
      </c>
      <c r="P11" s="45" t="s">
        <v>101</v>
      </c>
      <c r="Q11" s="48" t="s">
        <v>101</v>
      </c>
      <c r="R11" s="48" t="s">
        <v>101</v>
      </c>
      <c r="S11" s="48"/>
      <c r="T11" s="48" t="s">
        <v>101</v>
      </c>
      <c r="U11" s="48"/>
      <c r="V11" s="48"/>
      <c r="W11" s="48"/>
      <c r="X11" s="48" t="s">
        <v>101</v>
      </c>
      <c r="Y11" s="48"/>
      <c r="Z11" s="48"/>
      <c r="AA11" s="48"/>
      <c r="AB11" s="45" t="s">
        <v>101</v>
      </c>
      <c r="AC11" s="45"/>
      <c r="AD11" s="45" t="s">
        <v>101</v>
      </c>
    </row>
    <row r="12" spans="1:30" ht="15.95" customHeight="1" x14ac:dyDescent="0.25">
      <c r="A12" s="45"/>
      <c r="B12" s="45"/>
      <c r="C12" s="45"/>
      <c r="D12" s="45" t="s">
        <v>102</v>
      </c>
      <c r="E12" s="46">
        <v>1</v>
      </c>
      <c r="F12" s="46">
        <v>8.5</v>
      </c>
      <c r="G12" s="46">
        <v>12</v>
      </c>
      <c r="H12" s="46">
        <v>70</v>
      </c>
      <c r="I12" s="46">
        <v>28</v>
      </c>
      <c r="J12" s="46">
        <f>I12/2</f>
        <v>14</v>
      </c>
      <c r="K12" s="45" t="s">
        <v>101</v>
      </c>
      <c r="L12" s="46">
        <f>((F12+0.5)*G12*H12/1550)/1000*J12</f>
        <v>6.8283870967741939E-2</v>
      </c>
      <c r="M12" s="45"/>
      <c r="N12" s="46">
        <f t="shared" ref="N12:N13" si="2">(L12*E12)*1.05</f>
        <v>7.1698064516129034E-2</v>
      </c>
      <c r="O12" s="46">
        <v>92</v>
      </c>
      <c r="P12" s="46">
        <f>F12*2+0.5</f>
        <v>17.5</v>
      </c>
      <c r="Q12" s="49">
        <f>L12*O12</f>
        <v>6.282116129032258</v>
      </c>
      <c r="R12" s="49">
        <f>30*L12</f>
        <v>2.048516129032258</v>
      </c>
      <c r="S12" s="49">
        <f>J12/4*0.2</f>
        <v>0.70000000000000007</v>
      </c>
      <c r="T12" s="49">
        <v>0.3</v>
      </c>
      <c r="U12" s="49">
        <f>J12/4*0.2</f>
        <v>0.70000000000000007</v>
      </c>
      <c r="V12" s="49">
        <f>0.25*J12</f>
        <v>3.5</v>
      </c>
      <c r="W12" s="49">
        <v>0.1</v>
      </c>
      <c r="X12" s="49">
        <f>3*L12</f>
        <v>0.20485161290322582</v>
      </c>
      <c r="Y12" s="49">
        <f>N12*12/E12</f>
        <v>0.86037677419354841</v>
      </c>
      <c r="Z12" s="49">
        <f>SUM(Q12:Y12)</f>
        <v>14.695860645161289</v>
      </c>
      <c r="AA12" s="50">
        <v>0.1</v>
      </c>
      <c r="AB12" s="46">
        <f>(Z12*AA12)+Z12</f>
        <v>16.165446709677418</v>
      </c>
      <c r="AC12" s="45"/>
      <c r="AD12" s="46">
        <f>AB12*E12</f>
        <v>16.165446709677418</v>
      </c>
    </row>
    <row r="13" spans="1:30" ht="15.95" customHeight="1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6">
        <f t="shared" si="2"/>
        <v>0</v>
      </c>
      <c r="O13" s="45"/>
      <c r="P13" s="45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51"/>
      <c r="AB13" s="45"/>
      <c r="AC13" s="45"/>
      <c r="AD13" s="45"/>
    </row>
    <row r="14" spans="1:30" ht="15.95" customHeight="1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 t="s">
        <v>101</v>
      </c>
      <c r="K14" s="45" t="s">
        <v>101</v>
      </c>
      <c r="L14" s="45" t="s">
        <v>101</v>
      </c>
      <c r="M14" s="45" t="s">
        <v>101</v>
      </c>
      <c r="N14" s="45" t="s">
        <v>101</v>
      </c>
      <c r="O14" s="45" t="s">
        <v>101</v>
      </c>
      <c r="P14" s="45" t="s">
        <v>101</v>
      </c>
      <c r="Q14" s="48" t="s">
        <v>101</v>
      </c>
      <c r="R14" s="48" t="s">
        <v>101</v>
      </c>
      <c r="S14" s="48"/>
      <c r="T14" s="48" t="s">
        <v>101</v>
      </c>
      <c r="U14" s="48"/>
      <c r="V14" s="48"/>
      <c r="W14" s="48"/>
      <c r="X14" s="48" t="s">
        <v>101</v>
      </c>
      <c r="Y14" s="48"/>
      <c r="Z14" s="48"/>
      <c r="AA14" s="48"/>
      <c r="AB14" s="45" t="s">
        <v>101</v>
      </c>
      <c r="AC14" s="45"/>
      <c r="AD14" s="45" t="s">
        <v>101</v>
      </c>
    </row>
    <row r="15" spans="1:30" ht="15.95" customHeight="1" x14ac:dyDescent="0.25">
      <c r="A15" s="45"/>
      <c r="B15" s="45"/>
      <c r="C15" s="45"/>
      <c r="D15" s="45" t="s">
        <v>102</v>
      </c>
      <c r="E15" s="46">
        <v>1</v>
      </c>
      <c r="F15" s="46">
        <v>8.5</v>
      </c>
      <c r="G15" s="46">
        <v>12</v>
      </c>
      <c r="H15" s="46">
        <v>70</v>
      </c>
      <c r="I15" s="46">
        <v>4</v>
      </c>
      <c r="J15" s="46">
        <f>I15/2</f>
        <v>2</v>
      </c>
      <c r="K15" s="45" t="s">
        <v>101</v>
      </c>
      <c r="L15" s="46">
        <f>((F15+0.5)*G15*H15/1550)/1000*J15</f>
        <v>9.7548387096774193E-3</v>
      </c>
      <c r="M15" s="45"/>
      <c r="N15" s="46">
        <f>(L15*E15)*1.05</f>
        <v>1.024258064516129E-2</v>
      </c>
      <c r="O15" s="46">
        <v>92</v>
      </c>
      <c r="P15" s="46">
        <f>F15*2+0.5</f>
        <v>17.5</v>
      </c>
      <c r="Q15" s="49">
        <f>L15*O20</f>
        <v>0.89744516129032259</v>
      </c>
      <c r="R15" s="49">
        <f>30*L15</f>
        <v>0.29264516129032259</v>
      </c>
      <c r="S15" s="49">
        <f>J15/4*0.2</f>
        <v>0.1</v>
      </c>
      <c r="T15" s="49">
        <v>0</v>
      </c>
      <c r="U15" s="49">
        <f>J15/4*0.2</f>
        <v>0.1</v>
      </c>
      <c r="V15" s="49">
        <f>0.25*J15</f>
        <v>0.5</v>
      </c>
      <c r="W15" s="49">
        <v>0.1</v>
      </c>
      <c r="X15" s="49">
        <f>3*L15</f>
        <v>2.9264516129032258E-2</v>
      </c>
      <c r="Y15" s="49">
        <f>N15*12/E15</f>
        <v>0.12291096774193548</v>
      </c>
      <c r="Z15" s="49">
        <f>SUM(Q15:Y15)</f>
        <v>2.1422658064516131</v>
      </c>
      <c r="AA15" s="50">
        <v>0.1</v>
      </c>
      <c r="AB15" s="46">
        <f>(Z15*AA15)+Z15</f>
        <v>2.3564923870967744</v>
      </c>
      <c r="AC15" s="45"/>
      <c r="AD15" s="46">
        <f>AB15*E15</f>
        <v>2.3564923870967744</v>
      </c>
    </row>
    <row r="16" spans="1:30" ht="15.95" customHeight="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 t="s">
        <v>101</v>
      </c>
      <c r="M16" s="45"/>
      <c r="N16" s="45" t="s">
        <v>101</v>
      </c>
      <c r="O16" s="45"/>
      <c r="P16" s="45"/>
      <c r="Q16" s="48"/>
      <c r="R16" s="48"/>
      <c r="S16" s="48"/>
      <c r="T16" s="48"/>
      <c r="U16" s="48"/>
      <c r="V16" s="48" t="s">
        <v>101</v>
      </c>
      <c r="W16" s="48"/>
      <c r="X16" s="48"/>
      <c r="Y16" s="48"/>
      <c r="Z16" s="48"/>
      <c r="AA16" s="48"/>
      <c r="AB16" s="45"/>
      <c r="AC16" s="45"/>
      <c r="AD16" s="45"/>
    </row>
    <row r="17" spans="1:30" ht="15.95" customHeight="1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5"/>
      <c r="AC17" s="45"/>
      <c r="AD17" s="46">
        <f>SUM(AD6:AD16)</f>
        <v>1489454.5735520001</v>
      </c>
    </row>
    <row r="18" spans="1:30" ht="15.9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>
        <f>SUM(N6:N17)</f>
        <v>7023.5658116129043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ht="15.95" customHeight="1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 t="s">
        <v>103</v>
      </c>
      <c r="M19" s="52">
        <v>0</v>
      </c>
      <c r="N19" s="46">
        <f>N18*M19</f>
        <v>0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ht="15.95" customHeight="1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6">
        <f>SUM(N18:N19)</f>
        <v>7023.5658116129043</v>
      </c>
      <c r="O20" s="46">
        <v>92</v>
      </c>
      <c r="P20" s="46">
        <f>N20*O20</f>
        <v>646168.05466838717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1"/>
  <sheetViews>
    <sheetView workbookViewId="0">
      <selection activeCell="A5" sqref="A5:A8"/>
    </sheetView>
  </sheetViews>
  <sheetFormatPr defaultColWidth="12.5703125" defaultRowHeight="15.95" customHeight="1" x14ac:dyDescent="0.2"/>
  <cols>
    <col min="1" max="1" width="33.42578125" customWidth="1"/>
  </cols>
  <sheetData>
    <row r="1" spans="1:10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.75" x14ac:dyDescent="0.2">
      <c r="A2" s="2"/>
      <c r="B2" s="3" t="s">
        <v>104</v>
      </c>
      <c r="C2" s="3" t="s">
        <v>104</v>
      </c>
      <c r="D2" s="53" t="s">
        <v>105</v>
      </c>
      <c r="E2" s="53" t="s">
        <v>106</v>
      </c>
      <c r="F2" s="53" t="s">
        <v>107</v>
      </c>
      <c r="G2" s="53" t="s">
        <v>108</v>
      </c>
      <c r="H2" s="53" t="s">
        <v>109</v>
      </c>
      <c r="I2" s="53" t="s">
        <v>110</v>
      </c>
      <c r="J2" s="53" t="s">
        <v>106</v>
      </c>
    </row>
    <row r="3" spans="1:10" ht="12.75" x14ac:dyDescent="0.2">
      <c r="A3" s="9"/>
      <c r="B3" s="5" t="s">
        <v>111</v>
      </c>
      <c r="C3" s="5" t="s">
        <v>112</v>
      </c>
      <c r="D3" s="5" t="s">
        <v>113</v>
      </c>
      <c r="E3" s="5" t="s">
        <v>113</v>
      </c>
      <c r="F3" s="5" t="s">
        <v>113</v>
      </c>
      <c r="G3" s="5" t="s">
        <v>113</v>
      </c>
      <c r="H3" s="5" t="s">
        <v>113</v>
      </c>
      <c r="I3" s="5" t="s">
        <v>113</v>
      </c>
      <c r="J3" s="5" t="s">
        <v>114</v>
      </c>
    </row>
    <row r="4" spans="1:10" ht="12.75" x14ac:dyDescent="0.2">
      <c r="A4" s="4" t="s">
        <v>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</row>
    <row r="5" spans="1:10" ht="12.75" x14ac:dyDescent="0.2">
      <c r="A5" s="4" t="s">
        <v>3</v>
      </c>
      <c r="B5" s="7">
        <f>18/55</f>
        <v>0.32727272727272727</v>
      </c>
      <c r="C5" s="7">
        <f>18/25</f>
        <v>0.72</v>
      </c>
      <c r="D5" s="7">
        <f t="shared" ref="D5:I5" si="0">18/65</f>
        <v>0.27692307692307694</v>
      </c>
      <c r="E5" s="7">
        <f t="shared" si="0"/>
        <v>0.27692307692307694</v>
      </c>
      <c r="F5" s="7">
        <f t="shared" si="0"/>
        <v>0.27692307692307694</v>
      </c>
      <c r="G5" s="7">
        <f t="shared" si="0"/>
        <v>0.27692307692307694</v>
      </c>
      <c r="H5" s="7">
        <f t="shared" si="0"/>
        <v>0.27692307692307694</v>
      </c>
      <c r="I5" s="7">
        <f t="shared" si="0"/>
        <v>0.27692307692307694</v>
      </c>
      <c r="J5" s="7">
        <f>22/21</f>
        <v>1.0476190476190477</v>
      </c>
    </row>
    <row r="6" spans="1:10" ht="12.75" x14ac:dyDescent="0.2">
      <c r="A6" s="4" t="s">
        <v>4</v>
      </c>
      <c r="B6" s="7">
        <f t="shared" ref="B6:B7" si="1">6/55</f>
        <v>0.10909090909090909</v>
      </c>
      <c r="C6" s="7">
        <f t="shared" ref="C6:C7" si="2">6/25</f>
        <v>0.24</v>
      </c>
      <c r="D6" s="7">
        <f t="shared" ref="D6:I6" si="3">6/65</f>
        <v>9.2307692307692313E-2</v>
      </c>
      <c r="E6" s="7">
        <f t="shared" si="3"/>
        <v>9.2307692307692313E-2</v>
      </c>
      <c r="F6" s="7">
        <f t="shared" si="3"/>
        <v>9.2307692307692313E-2</v>
      </c>
      <c r="G6" s="7">
        <f t="shared" si="3"/>
        <v>9.2307692307692313E-2</v>
      </c>
      <c r="H6" s="7">
        <f t="shared" si="3"/>
        <v>9.2307692307692313E-2</v>
      </c>
      <c r="I6" s="7">
        <f t="shared" si="3"/>
        <v>9.2307692307692313E-2</v>
      </c>
      <c r="J6" s="7">
        <f t="shared" ref="J6:J7" si="4">6/21</f>
        <v>0.2857142857142857</v>
      </c>
    </row>
    <row r="7" spans="1:10" ht="12.75" x14ac:dyDescent="0.2">
      <c r="A7" s="4" t="s">
        <v>5</v>
      </c>
      <c r="B7" s="7">
        <f t="shared" si="1"/>
        <v>0.10909090909090909</v>
      </c>
      <c r="C7" s="7">
        <f t="shared" si="2"/>
        <v>0.24</v>
      </c>
      <c r="D7" s="7">
        <f t="shared" ref="D7:E7" si="5">6/65</f>
        <v>9.2307692307692313E-2</v>
      </c>
      <c r="E7" s="7">
        <f t="shared" si="5"/>
        <v>9.2307692307692313E-2</v>
      </c>
      <c r="F7" s="7">
        <v>0</v>
      </c>
      <c r="G7" s="7">
        <f t="shared" ref="G7:I7" si="6">6/65</f>
        <v>9.2307692307692313E-2</v>
      </c>
      <c r="H7" s="7">
        <f t="shared" si="6"/>
        <v>9.2307692307692313E-2</v>
      </c>
      <c r="I7" s="7">
        <f t="shared" si="6"/>
        <v>9.2307692307692313E-2</v>
      </c>
      <c r="J7" s="7">
        <f t="shared" si="4"/>
        <v>0.2857142857142857</v>
      </c>
    </row>
    <row r="8" spans="1:10" ht="12.75" x14ac:dyDescent="0.2">
      <c r="A8" s="4" t="s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f t="shared" ref="H8:I8" si="7">10/65</f>
        <v>0.15384615384615385</v>
      </c>
      <c r="I8" s="7">
        <f t="shared" si="7"/>
        <v>0.15384615384615385</v>
      </c>
      <c r="J8" s="6">
        <v>0</v>
      </c>
    </row>
    <row r="9" spans="1:10" ht="12.75" x14ac:dyDescent="0.2">
      <c r="A9" s="4" t="s">
        <v>8</v>
      </c>
      <c r="B9" s="6">
        <v>0.05</v>
      </c>
      <c r="C9" s="6">
        <v>0.05</v>
      </c>
      <c r="D9" s="6">
        <v>0.05</v>
      </c>
      <c r="E9" s="6">
        <v>0.05</v>
      </c>
      <c r="F9" s="6">
        <v>0.05</v>
      </c>
      <c r="G9" s="6">
        <v>0.05</v>
      </c>
      <c r="H9" s="6">
        <v>0.05</v>
      </c>
      <c r="I9" s="6">
        <v>0.05</v>
      </c>
      <c r="J9" s="6">
        <v>0.05</v>
      </c>
    </row>
    <row r="10" spans="1:10" ht="12.75" x14ac:dyDescent="0.2">
      <c r="A10" s="4" t="s">
        <v>9</v>
      </c>
      <c r="B10" s="6">
        <f t="shared" ref="B10:J10" si="8">0.04*0</f>
        <v>0</v>
      </c>
      <c r="C10" s="6">
        <f t="shared" si="8"/>
        <v>0</v>
      </c>
      <c r="D10" s="6">
        <f t="shared" si="8"/>
        <v>0</v>
      </c>
      <c r="E10" s="6">
        <f t="shared" si="8"/>
        <v>0</v>
      </c>
      <c r="F10" s="6">
        <f t="shared" si="8"/>
        <v>0</v>
      </c>
      <c r="G10" s="6">
        <f t="shared" si="8"/>
        <v>0</v>
      </c>
      <c r="H10" s="6">
        <f t="shared" si="8"/>
        <v>0</v>
      </c>
      <c r="I10" s="6">
        <f t="shared" si="8"/>
        <v>0</v>
      </c>
      <c r="J10" s="6">
        <f t="shared" si="8"/>
        <v>0</v>
      </c>
    </row>
    <row r="11" spans="1:10" ht="12.75" x14ac:dyDescent="0.2">
      <c r="A11" s="9"/>
      <c r="B11" s="10"/>
      <c r="C11" s="10"/>
      <c r="D11" s="10"/>
      <c r="E11" s="10"/>
      <c r="F11" s="10"/>
      <c r="G11" s="10"/>
      <c r="H11" s="10"/>
      <c r="I11" s="10"/>
      <c r="J11" s="10"/>
    </row>
    <row r="12" spans="1:10" ht="12.75" x14ac:dyDescent="0.2">
      <c r="A12" s="4" t="s">
        <v>10</v>
      </c>
      <c r="B12" s="11">
        <f t="shared" ref="B12:J12" si="9">SUM(B4:B11)</f>
        <v>0.59545454545454546</v>
      </c>
      <c r="C12" s="11">
        <f t="shared" si="9"/>
        <v>1.25</v>
      </c>
      <c r="D12" s="11">
        <f t="shared" si="9"/>
        <v>0.51153846153846161</v>
      </c>
      <c r="E12" s="11">
        <f t="shared" si="9"/>
        <v>0.51153846153846161</v>
      </c>
      <c r="F12" s="11">
        <f t="shared" si="9"/>
        <v>0.41923076923076924</v>
      </c>
      <c r="G12" s="11">
        <f t="shared" si="9"/>
        <v>0.51153846153846161</v>
      </c>
      <c r="H12" s="11">
        <f t="shared" si="9"/>
        <v>0.66538461538461546</v>
      </c>
      <c r="I12" s="11">
        <f t="shared" si="9"/>
        <v>0.66538461538461546</v>
      </c>
      <c r="J12" s="11">
        <f t="shared" si="9"/>
        <v>1.6690476190476191</v>
      </c>
    </row>
    <row r="13" spans="1:10" ht="12.75" x14ac:dyDescent="0.2">
      <c r="A13" s="4" t="s">
        <v>11</v>
      </c>
      <c r="B13" s="12">
        <v>0.05</v>
      </c>
      <c r="C13" s="12">
        <v>0.05</v>
      </c>
      <c r="D13" s="12">
        <v>0.05</v>
      </c>
      <c r="E13" s="12">
        <v>0.05</v>
      </c>
      <c r="F13" s="12">
        <v>0.05</v>
      </c>
      <c r="G13" s="12">
        <v>0.05</v>
      </c>
      <c r="H13" s="12">
        <v>0.05</v>
      </c>
      <c r="I13" s="12">
        <v>0.05</v>
      </c>
      <c r="J13" s="12">
        <v>0.05</v>
      </c>
    </row>
    <row r="14" spans="1:10" ht="12.75" x14ac:dyDescent="0.2">
      <c r="A14" s="4" t="s">
        <v>12</v>
      </c>
      <c r="B14" s="11">
        <f t="shared" ref="B14:J14" si="10">B12+(B12*B13)</f>
        <v>0.62522727272727274</v>
      </c>
      <c r="C14" s="11">
        <f t="shared" si="10"/>
        <v>1.3125</v>
      </c>
      <c r="D14" s="11">
        <f t="shared" si="10"/>
        <v>0.53711538461538466</v>
      </c>
      <c r="E14" s="11">
        <f t="shared" si="10"/>
        <v>0.53711538461538466</v>
      </c>
      <c r="F14" s="11">
        <f t="shared" si="10"/>
        <v>0.44019230769230772</v>
      </c>
      <c r="G14" s="11">
        <f t="shared" si="10"/>
        <v>0.53711538461538466</v>
      </c>
      <c r="H14" s="11">
        <f t="shared" si="10"/>
        <v>0.69865384615384629</v>
      </c>
      <c r="I14" s="11">
        <f t="shared" si="10"/>
        <v>0.69865384615384629</v>
      </c>
      <c r="J14" s="11">
        <f t="shared" si="10"/>
        <v>1.7525000000000002</v>
      </c>
    </row>
    <row r="15" spans="1:10" ht="12.75" x14ac:dyDescent="0.2">
      <c r="A15" s="4" t="s">
        <v>13</v>
      </c>
      <c r="B15" s="12">
        <v>0.2</v>
      </c>
      <c r="C15" s="12">
        <v>0.14000000000000001</v>
      </c>
      <c r="D15" s="12">
        <v>0.2</v>
      </c>
      <c r="E15" s="12">
        <v>0.2</v>
      </c>
      <c r="F15" s="12">
        <v>0.2</v>
      </c>
      <c r="G15" s="12">
        <v>0.2</v>
      </c>
      <c r="H15" s="12">
        <v>0.2</v>
      </c>
      <c r="I15" s="12">
        <v>0.2</v>
      </c>
      <c r="J15" s="12">
        <v>0.4</v>
      </c>
    </row>
    <row r="16" spans="1:10" ht="12.75" x14ac:dyDescent="0.2">
      <c r="A16" s="4" t="s">
        <v>14</v>
      </c>
      <c r="B16" s="11">
        <f t="shared" ref="B16:J16" si="11">B14+(B14*B15)</f>
        <v>0.75027272727272731</v>
      </c>
      <c r="C16" s="11">
        <f t="shared" si="11"/>
        <v>1.4962500000000001</v>
      </c>
      <c r="D16" s="11">
        <f t="shared" si="11"/>
        <v>0.64453846153846162</v>
      </c>
      <c r="E16" s="11">
        <f t="shared" si="11"/>
        <v>0.64453846153846162</v>
      </c>
      <c r="F16" s="11">
        <f t="shared" si="11"/>
        <v>0.52823076923076928</v>
      </c>
      <c r="G16" s="11">
        <f t="shared" si="11"/>
        <v>0.64453846153846162</v>
      </c>
      <c r="H16" s="11">
        <f t="shared" si="11"/>
        <v>0.83838461538461551</v>
      </c>
      <c r="I16" s="11">
        <f t="shared" si="11"/>
        <v>0.83838461538461551</v>
      </c>
      <c r="J16" s="11">
        <f t="shared" si="11"/>
        <v>2.4535</v>
      </c>
    </row>
    <row r="17" spans="1:10" ht="12.7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12.7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5.95" customHeight="1" x14ac:dyDescent="0.25">
      <c r="A19" s="14" t="s">
        <v>115</v>
      </c>
      <c r="B19" s="54">
        <v>0.65</v>
      </c>
      <c r="C19" s="54">
        <v>1.3</v>
      </c>
      <c r="D19" s="54">
        <v>0.55000000000000004</v>
      </c>
      <c r="E19" s="54">
        <v>0.55000000000000004</v>
      </c>
      <c r="F19" s="54">
        <v>0.45</v>
      </c>
      <c r="G19" s="54">
        <v>0.55000000000000004</v>
      </c>
      <c r="H19" s="54">
        <v>0.7</v>
      </c>
      <c r="I19" s="54">
        <v>0.7</v>
      </c>
      <c r="J19" s="13"/>
    </row>
    <row r="20" spans="1:10" ht="12.7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ht="12.7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.95" customHeight="1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703125" defaultRowHeight="15.9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Wad</vt:lpstr>
      <vt:lpstr>Certificate &amp; Marksheet Printin</vt:lpstr>
      <vt:lpstr>Answerbook</vt:lpstr>
      <vt:lpstr>Coupons</vt:lpstr>
      <vt:lpstr>Thermal Rolls</vt:lpstr>
      <vt:lpstr>Cheque Stationery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</cp:lastModifiedBy>
  <dcterms:modified xsi:type="dcterms:W3CDTF">2023-07-18T06:36:29Z</dcterms:modified>
</cp:coreProperties>
</file>