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2240" windowHeight="7935" tabRatio="860" activeTab="1"/>
  </bookViews>
  <sheets>
    <sheet name="Pattern" sheetId="3" r:id="rId1"/>
    <sheet name="Sample-Paper-Questions" sheetId="24" r:id="rId2"/>
    <sheet name="Sample-Paper-Marked Answers" sheetId="2" r:id="rId3"/>
    <sheet name="Sol.2" sheetId="15" r:id="rId4"/>
    <sheet name="Sol.4" sheetId="17" r:id="rId5"/>
    <sheet name="Sol.10" sheetId="18" r:id="rId6"/>
    <sheet name="Sol.13" sheetId="19" r:id="rId7"/>
    <sheet name="Sol.16" sheetId="20" r:id="rId8"/>
    <sheet name="Sol.17" sheetId="21" r:id="rId9"/>
    <sheet name="Sol.18" sheetId="22" r:id="rId10"/>
    <sheet name="Sol.27" sheetId="23" r:id="rId11"/>
    <sheet name="Sol.30" sheetId="16" r:id="rId12"/>
  </sheets>
  <externalReferences>
    <externalReference r:id="rId13"/>
    <externalReference r:id="rId14"/>
  </externalReferences>
  <definedNames>
    <definedName name="list1" localSheetId="5">[1]lists!$A$1:$A$6</definedName>
    <definedName name="list1">[2]lists!$A$1:$A$6</definedName>
  </definedNames>
  <calcPr calcId="125725"/>
</workbook>
</file>

<file path=xl/calcChain.xml><?xml version="1.0" encoding="utf-8"?>
<calcChain xmlns="http://schemas.openxmlformats.org/spreadsheetml/2006/main">
  <c r="C323" i="2"/>
  <c r="L28" i="23"/>
  <c r="Q20"/>
  <c r="Q19"/>
  <c r="L19"/>
  <c r="Q18"/>
  <c r="L11"/>
  <c r="L7"/>
  <c r="L6"/>
  <c r="L8" s="1"/>
  <c r="L10" s="1"/>
  <c r="L12" s="1"/>
  <c r="L13" l="1"/>
  <c r="L14" s="1"/>
  <c r="Q17" s="1"/>
  <c r="Q21" s="1"/>
  <c r="Q25" s="1"/>
  <c r="Q28" s="1"/>
  <c r="L20" l="1"/>
  <c r="L21" s="1"/>
  <c r="L30" s="1"/>
  <c r="B243" i="2" l="1"/>
  <c r="B233"/>
  <c r="K26" i="22"/>
  <c r="P18"/>
  <c r="O15"/>
  <c r="P15" s="1"/>
  <c r="Q15" s="1"/>
  <c r="R15" s="1"/>
  <c r="S15" s="1"/>
  <c r="L9"/>
  <c r="K18" s="1"/>
  <c r="K7"/>
  <c r="K6"/>
  <c r="C24" i="21"/>
  <c r="D24" s="1"/>
  <c r="C23"/>
  <c r="D23" s="1"/>
  <c r="C22"/>
  <c r="D22" s="1"/>
  <c r="C20"/>
  <c r="C14"/>
  <c r="D13"/>
  <c r="E13" s="1"/>
  <c r="E8"/>
  <c r="D8"/>
  <c r="D19" s="1"/>
  <c r="C8"/>
  <c r="M20" i="20"/>
  <c r="P19"/>
  <c r="P21" s="1"/>
  <c r="K19"/>
  <c r="K14"/>
  <c r="K11"/>
  <c r="K7"/>
  <c r="K8" s="1"/>
  <c r="K9" s="1"/>
  <c r="K22" l="1"/>
  <c r="C21" i="21"/>
  <c r="K15" i="20"/>
  <c r="L15" s="1"/>
  <c r="M15" s="1"/>
  <c r="K8" i="22"/>
  <c r="K9" s="1"/>
  <c r="K14" s="1"/>
  <c r="L14" s="1"/>
  <c r="M14" s="1"/>
  <c r="P20"/>
  <c r="M18" s="1"/>
  <c r="E23" i="21"/>
  <c r="E12" s="1"/>
  <c r="D12"/>
  <c r="E19"/>
  <c r="E22"/>
  <c r="E11" s="1"/>
  <c r="E14" s="1"/>
  <c r="D11"/>
  <c r="D16"/>
  <c r="D20" s="1"/>
  <c r="E24"/>
  <c r="E16" s="1"/>
  <c r="E20" s="1"/>
  <c r="L24" i="20" l="1"/>
  <c r="D14" i="21"/>
  <c r="D21" s="1"/>
  <c r="M19" i="22"/>
  <c r="K21" s="1"/>
  <c r="L23" s="1"/>
  <c r="N14"/>
  <c r="E21" i="21"/>
  <c r="M24" i="20"/>
  <c r="N15"/>
  <c r="N23" i="22" l="1"/>
  <c r="O14"/>
  <c r="M23"/>
  <c r="N24" i="20"/>
  <c r="O15"/>
  <c r="O23" i="22" l="1"/>
  <c r="P14"/>
  <c r="O24" i="20"/>
  <c r="P15"/>
  <c r="P23" i="22" l="1"/>
  <c r="Q14"/>
  <c r="P24" i="20"/>
  <c r="Q15"/>
  <c r="P25" s="1"/>
  <c r="Q23" i="22" l="1"/>
  <c r="R14"/>
  <c r="K26" i="20"/>
  <c r="K28" s="1"/>
  <c r="R23" i="22" l="1"/>
  <c r="S14"/>
  <c r="S23" l="1"/>
  <c r="R24"/>
  <c r="K25" s="1"/>
  <c r="K27" s="1"/>
  <c r="K29" s="1"/>
  <c r="C150" i="2" l="1"/>
  <c r="N21" i="19"/>
  <c r="M21"/>
  <c r="L21"/>
  <c r="N19"/>
  <c r="M19"/>
  <c r="L19"/>
  <c r="O11"/>
  <c r="L11" s="1"/>
  <c r="N11"/>
  <c r="M11"/>
  <c r="O10"/>
  <c r="N10" s="1"/>
  <c r="M10"/>
  <c r="M12" s="1"/>
  <c r="L10"/>
  <c r="N8"/>
  <c r="N16" s="1"/>
  <c r="M8"/>
  <c r="M16" s="1"/>
  <c r="L8"/>
  <c r="L16" s="1"/>
  <c r="L12" l="1"/>
  <c r="L14" s="1"/>
  <c r="L18" s="1"/>
  <c r="L20" s="1"/>
  <c r="L22" s="1"/>
  <c r="N12"/>
  <c r="N14"/>
  <c r="N18" s="1"/>
  <c r="N20" s="1"/>
  <c r="N22" s="1"/>
  <c r="M14"/>
  <c r="M18" s="1"/>
  <c r="M20" s="1"/>
  <c r="M22" s="1"/>
  <c r="M23" l="1"/>
  <c r="M24" s="1"/>
  <c r="L23"/>
  <c r="L24" s="1"/>
  <c r="N25"/>
  <c r="N23"/>
  <c r="N24" s="1"/>
  <c r="L24" i="18" l="1"/>
  <c r="C21"/>
  <c r="B18"/>
  <c r="G22" s="1"/>
  <c r="H13"/>
  <c r="I13" s="1"/>
  <c r="J13" s="1"/>
  <c r="K13" s="1"/>
  <c r="L13" s="1"/>
  <c r="L12"/>
  <c r="K12"/>
  <c r="J12"/>
  <c r="I12"/>
  <c r="H12"/>
  <c r="H9"/>
  <c r="I9" s="1"/>
  <c r="J9" s="1"/>
  <c r="K9" s="1"/>
  <c r="L9" s="1"/>
  <c r="H8"/>
  <c r="I8" s="1"/>
  <c r="J8" s="1"/>
  <c r="K8" s="1"/>
  <c r="L8" s="1"/>
  <c r="H6"/>
  <c r="I6" s="1"/>
  <c r="J6" s="1"/>
  <c r="K6" s="1"/>
  <c r="L6" s="1"/>
  <c r="I5"/>
  <c r="J5" s="1"/>
  <c r="H5"/>
  <c r="H11" s="1"/>
  <c r="J11" l="1"/>
  <c r="K5"/>
  <c r="H14"/>
  <c r="H15" s="1"/>
  <c r="B19"/>
  <c r="I11"/>
  <c r="I14" l="1"/>
  <c r="I15" s="1"/>
  <c r="K16"/>
  <c r="I16"/>
  <c r="J16"/>
  <c r="G23"/>
  <c r="L16"/>
  <c r="H16"/>
  <c r="H17" s="1"/>
  <c r="L5"/>
  <c r="L11" s="1"/>
  <c r="K11"/>
  <c r="J14"/>
  <c r="J15" s="1"/>
  <c r="J17" s="1"/>
  <c r="B21"/>
  <c r="I17" l="1"/>
  <c r="H18"/>
  <c r="H19" s="1"/>
  <c r="H21" s="1"/>
  <c r="H25" s="1"/>
  <c r="I18"/>
  <c r="I19" s="1"/>
  <c r="I21" s="1"/>
  <c r="I25" s="1"/>
  <c r="J18"/>
  <c r="J19" s="1"/>
  <c r="J21" s="1"/>
  <c r="J25" s="1"/>
  <c r="L14"/>
  <c r="L15" s="1"/>
  <c r="L17" s="1"/>
  <c r="K14"/>
  <c r="K15"/>
  <c r="K17" s="1"/>
  <c r="L23"/>
  <c r="G25"/>
  <c r="L18" l="1"/>
  <c r="L19" s="1"/>
  <c r="L21" s="1"/>
  <c r="L25" s="1"/>
  <c r="K18"/>
  <c r="K19" s="1"/>
  <c r="K21" s="1"/>
  <c r="K25" s="1"/>
  <c r="G27" l="1"/>
  <c r="G28"/>
  <c r="P15" i="17" l="1"/>
  <c r="P14"/>
  <c r="P12"/>
  <c r="P13" s="1"/>
  <c r="P8"/>
  <c r="P6"/>
  <c r="P4"/>
  <c r="P10" s="1"/>
  <c r="R4" l="1"/>
  <c r="P17"/>
  <c r="P19" s="1"/>
  <c r="R13"/>
  <c r="Q7" i="16" l="1"/>
  <c r="Q5"/>
  <c r="Q9" l="1"/>
  <c r="Q11" s="1"/>
  <c r="Q13" l="1"/>
  <c r="Q15" s="1"/>
  <c r="Q17" s="1"/>
  <c r="N19" i="15"/>
  <c r="O19" s="1"/>
  <c r="P19" s="1"/>
  <c r="Q19" s="1"/>
  <c r="M19"/>
  <c r="L19"/>
  <c r="O18"/>
  <c r="P18" s="1"/>
  <c r="Q18" s="1"/>
  <c r="N14"/>
  <c r="N22" s="1"/>
  <c r="L14"/>
  <c r="L22" s="1"/>
  <c r="O13"/>
  <c r="P13" s="1"/>
  <c r="Q13" s="1"/>
  <c r="M13"/>
  <c r="L10"/>
  <c r="L8"/>
  <c r="L11" s="1"/>
  <c r="M7"/>
  <c r="N7" s="1"/>
  <c r="M5"/>
  <c r="N5" s="1"/>
  <c r="L26" l="1"/>
  <c r="M10"/>
  <c r="N10"/>
  <c r="N26" s="1"/>
  <c r="O26" s="1"/>
  <c r="P26" s="1"/>
  <c r="Q26" s="1"/>
  <c r="Q14"/>
  <c r="Q22" s="1"/>
  <c r="N8"/>
  <c r="N11" s="1"/>
  <c r="P14"/>
  <c r="P22" s="1"/>
  <c r="L15"/>
  <c r="L23" s="1"/>
  <c r="L27" s="1"/>
  <c r="N15"/>
  <c r="N23" s="1"/>
  <c r="P15"/>
  <c r="P23" s="1"/>
  <c r="M8"/>
  <c r="M11" s="1"/>
  <c r="M14"/>
  <c r="M22" s="1"/>
  <c r="M26" s="1"/>
  <c r="O14"/>
  <c r="O22" s="1"/>
  <c r="P10" l="1"/>
  <c r="O10"/>
  <c r="Q10"/>
  <c r="Q15"/>
  <c r="Q23" s="1"/>
  <c r="M15"/>
  <c r="M23" s="1"/>
  <c r="M27" s="1"/>
  <c r="N27"/>
  <c r="O27" s="1"/>
  <c r="P27" s="1"/>
  <c r="Q27" s="1"/>
  <c r="Q11" s="1"/>
  <c r="O15"/>
  <c r="O23" s="1"/>
  <c r="Q5" l="1"/>
  <c r="Q8" s="1"/>
  <c r="O11"/>
  <c r="P11"/>
  <c r="O5" l="1"/>
  <c r="O7" s="1"/>
  <c r="P5"/>
  <c r="P7" s="1"/>
  <c r="Q7"/>
  <c r="P8" l="1"/>
  <c r="O8"/>
  <c r="A8" i="3" l="1"/>
  <c r="C7"/>
  <c r="C6"/>
  <c r="C5"/>
  <c r="C8" l="1"/>
</calcChain>
</file>

<file path=xl/sharedStrings.xml><?xml version="1.0" encoding="utf-8"?>
<sst xmlns="http://schemas.openxmlformats.org/spreadsheetml/2006/main" count="736" uniqueCount="293">
  <si>
    <t xml:space="preserve">QUESTION PAPER  </t>
  </si>
  <si>
    <t xml:space="preserve">  </t>
  </si>
  <si>
    <t xml:space="preserve">[1 Marks]  </t>
  </si>
  <si>
    <t xml:space="preserve">(e)    Not Attempted  </t>
  </si>
  <si>
    <t xml:space="preserve"> </t>
  </si>
  <si>
    <t xml:space="preserve">[10 Marks]  </t>
  </si>
  <si>
    <t xml:space="preserve">(a)    18899  </t>
  </si>
  <si>
    <t xml:space="preserve">(c)    23246  </t>
  </si>
  <si>
    <t xml:space="preserve">[5 Marks]  </t>
  </si>
  <si>
    <t xml:space="preserve">(a)    5.48  </t>
  </si>
  <si>
    <t xml:space="preserve">(c)    3.49  </t>
  </si>
  <si>
    <t xml:space="preserve">(d)    None of the above  </t>
  </si>
  <si>
    <t xml:space="preserve">(a)    Excel containing historical financial data  </t>
  </si>
  <si>
    <t xml:space="preserve">(b)    Basic calculaition tool  </t>
  </si>
  <si>
    <t xml:space="preserve">(c)    A decision making tool  </t>
  </si>
  <si>
    <t xml:space="preserve">(d)    Excel spreadsheet with numbers  </t>
  </si>
  <si>
    <t xml:space="preserve">(a)    Inflation  </t>
  </si>
  <si>
    <t xml:space="preserve">(b)    Unemployment  </t>
  </si>
  <si>
    <t xml:space="preserve">(c)    Money Supply  </t>
  </si>
  <si>
    <t xml:space="preserve">(d)    Crowding Out  </t>
  </si>
  <si>
    <t xml:space="preserve">(a)    Oligopoly  </t>
  </si>
  <si>
    <t xml:space="preserve">(b)    Monopoly  </t>
  </si>
  <si>
    <t xml:space="preserve">(c)    Monopsony  </t>
  </si>
  <si>
    <t xml:space="preserve">(a)    Merger Valuation  </t>
  </si>
  <si>
    <t xml:space="preserve">(b)    Project Appraisal  </t>
  </si>
  <si>
    <t xml:space="preserve">(c)    Equity Research  </t>
  </si>
  <si>
    <t xml:space="preserve">(d)    All of the above  </t>
  </si>
  <si>
    <t xml:space="preserve">(b)    Rs. 11,820.40  </t>
  </si>
  <si>
    <t xml:space="preserve">(c)    Rs. 12,642.26  </t>
  </si>
  <si>
    <t xml:space="preserve">(a)    2.1  </t>
  </si>
  <si>
    <t xml:space="preserve">(b)    2  </t>
  </si>
  <si>
    <t xml:space="preserve">(d)    2.5  </t>
  </si>
  <si>
    <t xml:space="preserve">(a)    15%  </t>
  </si>
  <si>
    <t xml:space="preserve">(b)    14%  </t>
  </si>
  <si>
    <t xml:space="preserve">(c)    10%  </t>
  </si>
  <si>
    <t xml:space="preserve">(a)    25874  </t>
  </si>
  <si>
    <t xml:space="preserve">(b)    29514  </t>
  </si>
  <si>
    <t xml:space="preserve">(c)    24325  </t>
  </si>
  <si>
    <t xml:space="preserve">(c)    20.18  </t>
  </si>
  <si>
    <t xml:space="preserve">(a)    150000  </t>
  </si>
  <si>
    <t xml:space="preserve">(b)    19.74%  </t>
  </si>
  <si>
    <t xml:space="preserve">(a)    34mn  </t>
  </si>
  <si>
    <t xml:space="preserve">(b)    45mn  </t>
  </si>
  <si>
    <t xml:space="preserve">(c)    38mn  </t>
  </si>
  <si>
    <t xml:space="preserve">(a)    1.75  </t>
  </si>
  <si>
    <t xml:space="preserve">(b)    1.5  </t>
  </si>
  <si>
    <t xml:space="preserve">(d)    2  </t>
  </si>
  <si>
    <t xml:space="preserve">(a)    NPV  </t>
  </si>
  <si>
    <t xml:space="preserve">(b)    IRR  </t>
  </si>
  <si>
    <t xml:space="preserve">(c)    Payback Period  </t>
  </si>
  <si>
    <t xml:space="preserve">(b)    Rs. 1,500  </t>
  </si>
  <si>
    <t xml:space="preserve">(a)    650  </t>
  </si>
  <si>
    <t xml:space="preserve">(b)    450  </t>
  </si>
  <si>
    <t xml:space="preserve">(c)    350  </t>
  </si>
  <si>
    <t xml:space="preserve">(d)    550  </t>
  </si>
  <si>
    <t xml:space="preserve">(a)    Weighted Average Method  </t>
  </si>
  <si>
    <t xml:space="preserve">(b)    FIFO Method  </t>
  </si>
  <si>
    <t xml:space="preserve">(c)    LIFO Method  </t>
  </si>
  <si>
    <t xml:space="preserve">(d)    Average Method  </t>
  </si>
  <si>
    <t xml:space="preserve">(a)    1050.45  </t>
  </si>
  <si>
    <t xml:space="preserve">(c)    1224.64  </t>
  </si>
  <si>
    <t xml:space="preserve">(c)    1.5  </t>
  </si>
  <si>
    <t xml:space="preserve">(b)    12%  </t>
  </si>
  <si>
    <t>(b)    20618</t>
  </si>
  <si>
    <t xml:space="preserve">3.  Which of the following is a correct representation of formula in excel?   </t>
  </si>
  <si>
    <t>(a)    =sum(AB)</t>
  </si>
  <si>
    <t>(c)    =sum(A1:B1)</t>
  </si>
  <si>
    <t>(d)    =sum(A1B1)</t>
  </si>
  <si>
    <t>(b)    4.42</t>
  </si>
  <si>
    <t>7.  Which of the following is the most accurate statement regarding a Financial Model:</t>
  </si>
  <si>
    <t>8.  Increase in government spending causes ______________ of private investment.</t>
  </si>
  <si>
    <t xml:space="preserve">(d)    Duopoly  </t>
  </si>
  <si>
    <t xml:space="preserve">12.  Which amongst the following are applications of a financial model?   </t>
  </si>
  <si>
    <t>(d)    Rs. 11,360.67</t>
  </si>
  <si>
    <t xml:space="preserve">(d)    8%  </t>
  </si>
  <si>
    <t xml:space="preserve">(a)    11%  </t>
  </si>
  <si>
    <t xml:space="preserve">(c)    13%  </t>
  </si>
  <si>
    <t xml:space="preserve">(d)    9%  </t>
  </si>
  <si>
    <t xml:space="preserve">(d)    54mn  </t>
  </si>
  <si>
    <t xml:space="preserve">(c)    1  </t>
  </si>
  <si>
    <t>25.  For non conventional cash flows, which of the following capital budgeting criteria should be preferred?</t>
  </si>
  <si>
    <t xml:space="preserve">(a)    Rs. 3,000  </t>
  </si>
  <si>
    <t xml:space="preserve">(d)    Rs. 1,000  </t>
  </si>
  <si>
    <t>(d)    21825</t>
  </si>
  <si>
    <t>(a)    17.52</t>
  </si>
  <si>
    <t xml:space="preserve">(d)    1,038.25  </t>
  </si>
  <si>
    <t>Questions</t>
  </si>
  <si>
    <t>Marks</t>
  </si>
  <si>
    <t>Total</t>
  </si>
  <si>
    <t>Exam Pattern</t>
  </si>
  <si>
    <t>&lt;== Theory (Excel, Accounts, Eco FM)</t>
  </si>
  <si>
    <t>&lt;== Valuation models and Franchise Case</t>
  </si>
  <si>
    <t>&lt;== Project FSA cases, IS completion, BS completion, CFS completion, Revenue Analysis</t>
  </si>
  <si>
    <t>70+</t>
  </si>
  <si>
    <t>Grade A</t>
  </si>
  <si>
    <t>60-70</t>
  </si>
  <si>
    <t>50-60</t>
  </si>
  <si>
    <t>&lt;50</t>
  </si>
  <si>
    <t>Not Clear</t>
  </si>
  <si>
    <t>Grade C</t>
  </si>
  <si>
    <t>Grade B</t>
  </si>
  <si>
    <t>No negative marking</t>
  </si>
  <si>
    <t>Syllabus</t>
  </si>
  <si>
    <t>(d)    None of the above</t>
  </si>
  <si>
    <t xml:space="preserve">Sample Question Paper </t>
  </si>
  <si>
    <t xml:space="preserve">11.  _______ is a market structures in which there exists a single seller, and single buyer.   </t>
  </si>
  <si>
    <t>D/E</t>
  </si>
  <si>
    <t>Debt</t>
  </si>
  <si>
    <t>Int</t>
  </si>
  <si>
    <t>Cash</t>
  </si>
  <si>
    <t>Equity</t>
  </si>
  <si>
    <t>EV</t>
  </si>
  <si>
    <t>NI</t>
  </si>
  <si>
    <t>Dep</t>
  </si>
  <si>
    <t>Tax</t>
  </si>
  <si>
    <t>PBT</t>
  </si>
  <si>
    <t>EBITDA</t>
  </si>
  <si>
    <t>EV/EBITDA</t>
  </si>
  <si>
    <t>EBIT</t>
  </si>
  <si>
    <t>PAT</t>
  </si>
  <si>
    <t>Year-0</t>
  </si>
  <si>
    <t>Year-1</t>
  </si>
  <si>
    <t>Year-2</t>
  </si>
  <si>
    <t>Year-3</t>
  </si>
  <si>
    <t>Year-4</t>
  </si>
  <si>
    <t>Year-5</t>
  </si>
  <si>
    <t>Contribution</t>
  </si>
  <si>
    <t>Deposit</t>
  </si>
  <si>
    <t>Interest Expense</t>
  </si>
  <si>
    <t>Deposit Refund</t>
  </si>
  <si>
    <t>IRR</t>
  </si>
  <si>
    <t>Seg-1</t>
  </si>
  <si>
    <t>Seg-2</t>
  </si>
  <si>
    <t>Gross Profit</t>
  </si>
  <si>
    <t>EBT</t>
  </si>
  <si>
    <t>T</t>
  </si>
  <si>
    <t>NOS</t>
  </si>
  <si>
    <t>EPS</t>
  </si>
  <si>
    <t>CMP</t>
  </si>
  <si>
    <t>P/E</t>
  </si>
  <si>
    <t>Total Revenue</t>
  </si>
  <si>
    <t>Capex</t>
  </si>
  <si>
    <t>Net Income</t>
  </si>
  <si>
    <t>DA</t>
  </si>
  <si>
    <t>FCFF</t>
  </si>
  <si>
    <t>Cash Flow</t>
  </si>
  <si>
    <t>NPV</t>
  </si>
  <si>
    <t>NOPAT</t>
  </si>
  <si>
    <t>Year-6</t>
  </si>
  <si>
    <t>Year-7</t>
  </si>
  <si>
    <t>Year-8</t>
  </si>
  <si>
    <t>we</t>
  </si>
  <si>
    <t>wd</t>
  </si>
  <si>
    <t>ke</t>
  </si>
  <si>
    <t>kd</t>
  </si>
  <si>
    <t>WACC</t>
  </si>
  <si>
    <t>CFO</t>
  </si>
  <si>
    <t>Revenues</t>
  </si>
  <si>
    <t>COGS</t>
  </si>
  <si>
    <t>DSO</t>
  </si>
  <si>
    <t>DOH</t>
  </si>
  <si>
    <t>Payable Days</t>
  </si>
  <si>
    <t>Retained Earning</t>
  </si>
  <si>
    <t>Onsite Rev</t>
  </si>
  <si>
    <t>Offshore Rev</t>
  </si>
  <si>
    <t>Onsite</t>
  </si>
  <si>
    <t>Offshore</t>
  </si>
  <si>
    <t>Billing Rate</t>
  </si>
  <si>
    <t>Following are the details of an IT Company's revenue for the past 3 years - Year-1 = 12000, Year-2 = 14500, Year-3=17000, million INR. 40% of the revenue comes from onsite and remaining from offshore.The number of employees working onsite is 15% of the total employee strength every year.The employee count for the company each year is 5000, 6000 and 6800.The onsite utilisation is 87% for all 3 years.The offshore utilisation has been 2000 bps lower than onsite utilisation. Assuming that the onsite and offshore billing rates per hour increase at 2% per year, project the revenues for the next 3 years. Assume 250 working days per year and 8 hours of working for every day.Company expects to add 500 employees every year.15% of the total employees would be onsite, others offshore.Utiilisation rates are expected to remain same, for both onsite and offshore as that in year-3, for the next 3 years.What is the revenue for Year-6?</t>
  </si>
  <si>
    <t>2. Following are the details of an IT Company's revenue for the past 3 years - Year-1 = 12000, Year-2 = 14500, Year-3=17000, million INR. 40% of the revenue comes from onsite and remaining from offshore.The number of employees working onsite is 15% of the total employee strength every year.The employee count for the company each year is 5000, 6000 and 6800.The onsite utilisation is 87% for all 3 years.The offshore utilisation has been 2000 bps lower than onsite utilisation. Assuming that the onsite and offshore billing rates per hour increase at 2% per year, project the revenues for the next 3 years. Assume 250 working days per year and 8 hours of working for every day.Company expects to add 500 employees every year.15% of the total employees would be onsite, others offshore.Utiilisation rates are expected to remain same, for both onsite and offshore as that in year-3, for the next 3 years.What is the revenue for Year-6?</t>
  </si>
  <si>
    <t>1.  When a unit change in supply results in a unit change in price, supply is referred to as  _________</t>
  </si>
  <si>
    <t>(a)    Perfectly Elastic</t>
  </si>
  <si>
    <t>(b)    Perfectly Inelastic</t>
  </si>
  <si>
    <t>(c)    Unitary Elastic</t>
  </si>
  <si>
    <t>(d)    22020</t>
  </si>
  <si>
    <t>Question</t>
  </si>
  <si>
    <t>Revenue</t>
  </si>
  <si>
    <t>Employees</t>
  </si>
  <si>
    <t>Utilisation</t>
  </si>
  <si>
    <t>Hours Billed</t>
  </si>
  <si>
    <t>(b)    =sum(A1,B1)</t>
  </si>
  <si>
    <t>Company ABC Ltd. is a Oil and Gas company. The operating profit of the company is Rs.1200 mn. The outstanding debt of the company is Rs.5500 mn bearing an interest rate of 15%. The tax rate is 30%. The dividend rate is 45%. The number of outstanding shares are 55 mn. Currently the stock is trading at Rs.55. Calculate the P/E ratio of the company.</t>
  </si>
  <si>
    <t>30.  Company ABC Ltd. is a Oil and Gas company. The operating profit of the company is Rs.1200 mn. The outstanding debt of the company is Rs.5500 mn bearing an interest rate of 15%. The tax rate is 30%. The dividend rate is 45%. The number of outstanding shares are 55 mn. Currently the stock is trading at Rs.55. Calculate the P/E ratio of the company.</t>
  </si>
  <si>
    <t>(d)    11.52</t>
  </si>
  <si>
    <t>Dividend Payout</t>
  </si>
  <si>
    <t>A company has a D/E of 0.6. As per the balance sheet, the outstanding debt is Rs.10000 bearing an interest rate of 12%. The cash and cash equivalent is Rs.1500. The net income of the company is Rs.5500 and the tax rate is 30%. The depreciation and amortization amount is Rs.2500. Calculate the EV/EBITDA of the company.  Consider the book value of equity same as the market value of equity of the company.</t>
  </si>
  <si>
    <t>Depreciation</t>
  </si>
  <si>
    <t>4.  A company has a D/E of 0.6. As per the balance sheet, the outstanding debt is Rs.10000 bearing an interest rate of 12%. The cash and cash equivalent is Rs.1500. The net income of the company is Rs.5500 and the tax rate is 30%. The depreciation and amortization amount is Rs.2500. Calculate the EV/EBITDA of the company.  Consider the book value of equity same as the market value of equity of the company.</t>
  </si>
  <si>
    <t>(d)    2.17</t>
  </si>
  <si>
    <t xml:space="preserve">(a)    14.13  </t>
  </si>
  <si>
    <t xml:space="preserve">(b)    18.73  </t>
  </si>
  <si>
    <t xml:space="preserve">(c)    12.13  </t>
  </si>
  <si>
    <t xml:space="preserve">5.  _______ is a market structures in which there exists a single buyer, but many sellers. </t>
  </si>
  <si>
    <t xml:space="preserve">(b)    Bilateral Monopoly  </t>
  </si>
  <si>
    <t xml:space="preserve">6.  Calculate the ROE of the company with the use of following information: EBIT = Rs.4500, Tax rate = 35%, Interest rate = 15%, Outstanding debt = Rs.10000, Equity value = Rs.20000.   </t>
  </si>
  <si>
    <t xml:space="preserve">9.    _______ is a market structures in which there exists a single seller, and several buyers.   </t>
  </si>
  <si>
    <t>Strips/Day</t>
  </si>
  <si>
    <t>BOD Co a franchise of Dr. Reddyy pharmacy, sells 200 strips/day of low budget drugs  at an average contribution  of Rs.40/ strip and 150 strips/day of high budget drugs  at an average contribution of Rs.75/ strip.Sales volume and average price are expected to grow by 5% every year for both the drugs. To operate a franchise , it  needs to have a 1250 sqft space for retail shop with a lease rental of Rs.180 / sqft / month (rental contract for 5 years, deposit of Rs.15,00,000 at the start) A one time renovation of the premises worth Rs.30,00,000 will need to be incurred at the start. Required personnel costs are Rs 125,000/month.Wage inflation in the economy is 8%. Other operational expenses are expected to be 30% of the contribution, generated for the period.Tax rate in the economy is 35%. Tax losses cannot be carried forward.The initial investment (deposit + renovation) can be funded by 60% bank loan (@13% interest rate). The remaining should be funded using equity. The debt is to be repaid at the end of 5 years in lump sum. Other investment opportunity with BOD Co. is expected to provide a return of 25%. Evaluate the business opportunity with a project life of 5 years. After 5 years the franchise will be handed over to Dr. Reddyy and the deposit will be refunded to the BOD Co.(Ignore depreciation) If BOD Co. invests in the project, what is the expected IRR?</t>
  </si>
  <si>
    <t>Low Budget Drug</t>
  </si>
  <si>
    <t>High Budget Drug</t>
  </si>
  <si>
    <t>Growth y/y%</t>
  </si>
  <si>
    <t>Area</t>
  </si>
  <si>
    <t>Rental/Month/sqft</t>
  </si>
  <si>
    <t>Shop</t>
  </si>
  <si>
    <t>Rennovation Expense</t>
  </si>
  <si>
    <t>Personnel Costs</t>
  </si>
  <si>
    <t>Rs/Month</t>
  </si>
  <si>
    <t>Lease Expenses</t>
  </si>
  <si>
    <t>Inflation</t>
  </si>
  <si>
    <t>Personnel Expenses</t>
  </si>
  <si>
    <t>Other Expenses</t>
  </si>
  <si>
    <t>of Contribution</t>
  </si>
  <si>
    <t>Tax Rate</t>
  </si>
  <si>
    <t>Interest Expenses</t>
  </si>
  <si>
    <t>Intial Cost</t>
  </si>
  <si>
    <t>Interest Rate</t>
  </si>
  <si>
    <t>Cost of Equity</t>
  </si>
  <si>
    <t>Initial Cost</t>
  </si>
  <si>
    <t>Debt Raised / (Repaid)</t>
  </si>
  <si>
    <t>10. BOD Co a franchise of Dr. Reddyy pharmacy, sells 200 strips/day of low budget drugs  at an average contribution  of Rs.40/ strip and 150 strips/day of high budget drugs  at an average contribution of Rs.75/ strip.Sales volume and average price are expected to grow by 5% every year for both the drugs. To operate a franchise , it  needs to have a 1250 sqft space for retail shop with a lease rental of Rs.180 / sqft / month (rental contract for 5 years, deposit of Rs.15,00,000 at the start) A one time renovation of the premises worth Rs.30,00,000 will need to be incurred at the start. Required personnel costs are Rs 125,000/month.Wage inflation in the economy is 8%. Other operational expenses are expected to be 30% of the contribution, generated for the period.Tax rate in the economy is 35%. Tax losses cannot be carried forward.The initial investment (deposit + renovation) can be funded by 60% bank loan (@13% interest rate). The remaining should be funded using equity. The debt is to be repaid at the end of 5 years in lump sum. Other investment opportunity with BOD Co. is expected to provide a return of 25%. Evaluate the business opportunity with a project life of 5 years. After 5 years the franchise will be handed over to Dr. Reddyy and the deposit will be refunded to the BOD Co.(Ignore depreciation) If BOD Co. invests in the project, what is the expected IRR?</t>
  </si>
  <si>
    <t xml:space="preserve">(c)    15.00%  </t>
  </si>
  <si>
    <t xml:space="preserve">(d)    17.00%  </t>
  </si>
  <si>
    <t xml:space="preserve">(a)    18.74%  </t>
  </si>
  <si>
    <t>13. Following are the details of revenues from 2 segments for a company. Segment-1: Year-1 = 3000, Year-2 = 3500, Year-3 = 4500. Segment-2: Year-1 = 1500, Year-2 = 1400, Year-3 = 2000. Both segments have worked at a gross margin of 25% for segment-1 and 10% for segment-2 for all the 3 years. The selling and administration expenses have remained at 10% of the revenues for each year. The company additionally has a debt of 3400 since Year-1 to Year-3, which has an interest rate of 9%. Debt will be repaid at the end of 5 years. Company has fixed assets of 5500 for all 3 years. These were depreciated at 5% each year (assume depreciation remains same for all 3 years (SLM)). The tax rate for the company is 35%.Complete the Income statement of the company based on the given data and Compute the Net Profit for the year-3. Don't assume any interest income. Tax losses if any, are not carried forward.</t>
  </si>
  <si>
    <t>Following are the details of revenues from 2 segments for a company. Segment-1: Year-1 = 3000, Year-2 = 3500, Year-3 = 4500. Segment-2: Year-1 = 1500, Year-2 = 1400, Year-3 = 2000. Both segments have worked at a gross margin of 25% for segment-1 and 10% for segment-2 for all the 3 years. The selling and administration expenses have remained at 10% of the revenues for each year. The company additionally has a debt of 3400 since Year-1 to Year-3, which has an interest rate of 9%. Debt will be repaid at the end of 5 years. Company has fixed assets of 5500 for all 3 years. These were depreciated at 5% each year (assume depreciation remains same for all 3 years (SLM)). The tax rate for the company is 35%.Complete the Income statement of the company based on the given data and Compute the Net Profit for the year-3. Don't assume any interest income. Tax losses if any, are not carried forward.</t>
  </si>
  <si>
    <t>Total Costs</t>
  </si>
  <si>
    <t>SG&amp;A</t>
  </si>
  <si>
    <t>(a)    16</t>
  </si>
  <si>
    <t>(b)    -125</t>
  </si>
  <si>
    <t>(c)    -131</t>
  </si>
  <si>
    <t>(d)    125</t>
  </si>
  <si>
    <t xml:space="preserve">14.  Mr.XYZ has purchased a car by borrowing a loan of Rs.750000 bearing an interest rate of 12% per annum for 7 years. What would be EMI amount? The interest rate on the loan is compounded monthly and that the EMI is paid at the beginning of the month.   </t>
  </si>
  <si>
    <t>(a)    Rs. 13,108.46</t>
  </si>
  <si>
    <t xml:space="preserve">15.  What is the acid test ratio ratio of company which has current asset worth 25 mn, current liability worth 10 mn and inventory worth 10 mn?   </t>
  </si>
  <si>
    <t xml:space="preserve">16.  Current cash flow details of the company are as provided. Use these assumptions to estimate the FCFE for current period. Project the cash flows based on a 2 stage FCFE model and compute the Intrisic Value per share as per the FCFE model. Current period should not be considered for the valuation purpose. EBITDA for the company is 1750. Company has charged a depreciation of 300 in the current year. Company has a debt of 1500 at 8% interest rate. The tax rate of the company is 20%. During the year the company added new machinery worth 100 and working capital reduced by 50. Debt raised during the year was 150 and repaid was 275. Cost of equity for the company is 20%. Number of shares with the company are 500. The company's FCFE is expected to increase by 15% for the next 5 years and then expeected to remain constant at 5% forever. </t>
  </si>
  <si>
    <t xml:space="preserve">Current cash flow details of the company are as provided. Use these assumptions to estimate the FCFE for current period. Project the cash flows based on a 2 stage FCFE model and compute the Intrisic Value per share as per the FCFE model. Current period should not be considered for the valuation purpose. EBITDA for the company is 1750. Company has charged a depreciation of 300 in the current year. Company has a debt of 1500 at 8% interest rate. The tax rate of the company is 20%. During the year the company added new machinery worth 100 and working capital reduced by 50. Debt raised during the year was 150 and repaid was 275. Cost of equity for the company is 20%. Number of shares with the company are 500. The company's FCFE is expected to increase by 15% for the next 5 years and then expeected to remain constant at 5% forever. </t>
  </si>
  <si>
    <t>WC</t>
  </si>
  <si>
    <t>D</t>
  </si>
  <si>
    <t>E</t>
  </si>
  <si>
    <t>D+E</t>
  </si>
  <si>
    <t>PV of FCFE</t>
  </si>
  <si>
    <t>NoS</t>
  </si>
  <si>
    <t>Intrinsic Value</t>
  </si>
  <si>
    <t xml:space="preserve">(c)    29.43 </t>
  </si>
  <si>
    <t>(a)    23.94</t>
  </si>
  <si>
    <t xml:space="preserve">(b)    21.66  </t>
  </si>
  <si>
    <t xml:space="preserve">(d)    20.65  </t>
  </si>
  <si>
    <t>17.  Following is the selected financial data of a Services Company provided to the analyst.Year - 1 (Y1) is actual data and year-2 (Y2) and year-3 (Y3) are projections.Income Statement forecast details are as follows: Revenue Projection : Y1 = 9000, Y2=11000, Y3 = 12500.COGS Projection Y1 = 6000, Y2 = 7250 , Y3 = 8900.Depreciation : Y1 = 700, Y2 = 800, Y3 = 900 ; Tax : Y1 = 600, Y-2 = 650, Y-3=700.No other item is present in the Income Statement.Balance Sheet forecast details are as follows: Cash : Y1 = 4800, Y2 = 6031.94, Y3 = 7102.8, Accounts receivable : Y1 = 2500, Inventory : Y1 = 3000, PPE, Net : Y1 = 9000, Accounts payable : Y1 = 1500, Debt : Y1 = 7500,Y2 = 7500, Y3 = 7500, Equity : Y1 = 7500, Y2= 7500, Y3=7500, Retained earnings : Y1 = 2800.No other line items are present in the blanace sheet.DSO, DOH and Payable days are expected to remain the same for all the projection years as that of year-1.Every year the company is going to add 1000 of new capex.Assume new capex gets added at the start of the year and its depreciation is considered in the above given values.What is the total Liabilities and Shareholders’ Equity for the Year - 3?</t>
  </si>
  <si>
    <t>Actual</t>
  </si>
  <si>
    <t>Projection</t>
  </si>
  <si>
    <t>Following is the selected financial data of a Services Company provided to the analyst.Year - 1 (Y1) is actual data and year-2 (Y2) and year-3 (Y3) are projections.Income Statement forecast details are as follows: Revenue Projection : Y1 = 9000, Y2=11000, Y3 = 12500.COGS Projection Y1 = 6000, Y2 = 7250 , Y3 = 8900.Depreciation : Y1 = 700, Y2 = 800, Y3 = 900 ; Tax : Y1 = 600, Y-2 = 650, Y-3=700.No other item is present in the Income Statement.Balance Sheet forecast details are as follows: Cash : Y1 = 4800, Y2 = 6031.94, Y3 = 7102.8, Accounts receivable : Y1 = 2500, Inventory : Y1 = 3000, PPE, Net : Y1 = 9000, Accounts payable : Y1 = 1500, Debt : Y1 = 7500,Y2 = 7500, Y3 = 7500, Equity : Y1 = 7500, Y2= 7500, Y3=7500, Retained earnings : Y1 = 2800.No other line items are present in the blanace sheet.DSO, DOH and Payable days are expected to remain the same for all the projection years as that of year-1.Every year the company is going to add 1000 of new capex.Assume new capex gets added at the start of the year and its depreciation is considered in the above given values.What is the total Liabilities and Shareholders’ Equity for the Year - 3?</t>
  </si>
  <si>
    <t>Accounts Receivable</t>
  </si>
  <si>
    <t>Inventory</t>
  </si>
  <si>
    <t>PPPE, Net</t>
  </si>
  <si>
    <t>TA</t>
  </si>
  <si>
    <t>Accounts Payable</t>
  </si>
  <si>
    <t>Retained Earnings</t>
  </si>
  <si>
    <t>TL &amp; Sh Eq</t>
  </si>
  <si>
    <t>18.  Current cash flow details of the company are as provided. Use these assumptions to estimate the FCFF for current period. Project the cash flows based on a 3 stage FCFF model and compute the Intrisic Value per share as per the FCFF model. Current period should not be considered for the valuation purpose. Net Income for the company is 750, Tax rate is 35% and there is a debt on the books of the company worth 5000 at 10% interest rate. Depreciation charged during the current period is 125 and the capex done by the company is 225 . Working capital decreased by 50 during the current year. No additional borrowings or repayment was done by the company. The company's total shareholders' equity is 12000 and the cost of equity is 15%. Company's FCFF is expected to grow at 10% for the next 3 years, then linearly decline to 5% in the next  5 years and remain costant at 5% forever. Company is not having any cash on its books. Number of shares with the company are 500.</t>
  </si>
  <si>
    <t>Current cash flow details of the company are as provided. Use these assumptions to estimate the FCFF for current period. Project the cash flows based on a 3 stage FCFF model and compute the Intrisic Value per share as per the FCFF model. Current period should not be considered for the valuation purpose. Net Income for the company is 750, Tax rate is 35% and there is a debt on the books of the company worth 5000 at 10% interest rate. Depreciation charged during the current period is 125 and the capex done by the company is 225 . Working capital decreased by 50 during the current year. No additional borrowings or repayment was done by the company. The company's total shareholders' equity is 12000 and the cost of equity is 15%. Company's FCFF is expected to grow at 10% for the next 3 years, then linearly decline to 5% in the next  5 years and remain costant at 5% forever. Company is not having any cash on its books. Number of shares with the company are 500.</t>
  </si>
  <si>
    <t>PV of FCFF</t>
  </si>
  <si>
    <t>(d)    25.17</t>
  </si>
  <si>
    <t xml:space="preserve">(b)    32.18  </t>
  </si>
  <si>
    <t xml:space="preserve">19.  Calculate present value of annual infinite cash inflow of Rs 20,000 if rate of interest is 8.00%.   </t>
  </si>
  <si>
    <t>(d)    250000</t>
  </si>
  <si>
    <t xml:space="preserve">(c)    260000  </t>
  </si>
  <si>
    <t xml:space="preserve">(b)    245000  </t>
  </si>
  <si>
    <t xml:space="preserve">20.  A company has a beta of 1.7. The risk free rate is 3% and market return is 9%. Calculate the cost of equity?   </t>
  </si>
  <si>
    <t xml:space="preserve">(a)    10%  </t>
  </si>
  <si>
    <t xml:space="preserve">21.  A company has a beta of 1.5. The risk free rate is 4% and market return is 8%. Calculate the cost of equity?   </t>
  </si>
  <si>
    <t xml:space="preserve">22.  For a year, a company has an payable turnover ratio of 9. The accounts payable for the year is 6mn and the accounts payable for the previous year was 4mn. Calculate the cost of goods sold of the company for the current period?   </t>
  </si>
  <si>
    <t>23.  _______ is a market structures in which there exists a few sellers and several buyers.</t>
  </si>
  <si>
    <t xml:space="preserve">24.  What is the acid test ratio of company which has current asset worth 35 mn, current liability worth 20 mn and inventory worth 5 mn?   </t>
  </si>
  <si>
    <t xml:space="preserve">26.  Calculate the depreciation amount to be charged per year using the straight line depreciation method, if the cost of an asset is Rs.21000 and the salvage value is Rs.1000. The useful life of the asset is 5 years.   </t>
  </si>
  <si>
    <t xml:space="preserve">(c)    Rs. 4,000  </t>
  </si>
  <si>
    <t>27.  Given below are the details of Income Statement and Balance sheet of a company. Compute Ending cash balance for the company. Income Statement Details: Revenue =1200, COGS = 600, SG&amp;A is 15% of Revenues, Depreciation=50, Debt=500 and interest rate is 10%, Tax Rate is 30%. Balance Sheet Details: PPE, Gross = 2500, Accumulated Depreciation=1250, Capex done by the company = 99, Current Assets = 750 , Decrease in current assets = 200 . Equity = 100, Retained Earning = 1500, Current Liabilities = 250, Decrease in currrent liabilities=25. The company started the year with cash=0. Debt and equity has remained unchaged throughout the year.</t>
  </si>
  <si>
    <t>Given below are the details of Income Statement and Balance sheet of a company. Compute Ending cash balance for the company. Income Statement Details: Revenue =1200, COGS = 600, SG&amp;A is 15% of Revenues, Depreciation=50, Debt=500 and interest rate is 10%, Tax Rate is 30%. Balance Sheet Details: PPE, Gross = 2500, Accumulated Depreciation=1250, Capex done by the company = 99, Current Assets = 750 , Decrease in current assets = 200 . Equity = 100, Retained Earning = 1500, Current Liabilities = 250, Decrease in currrent liabilities=25. The company started the year with cash=0. Debt and equity has remained unchaged throughout the year.</t>
  </si>
  <si>
    <t>GP</t>
  </si>
  <si>
    <t>Current Assets</t>
  </si>
  <si>
    <t>decrease</t>
  </si>
  <si>
    <t>PPE,Gross</t>
  </si>
  <si>
    <t>Acc Depreciation</t>
  </si>
  <si>
    <t>PPe, Net</t>
  </si>
  <si>
    <t>CA Decrease</t>
  </si>
  <si>
    <t>CL Increase</t>
  </si>
  <si>
    <t>Current Liabilities</t>
  </si>
  <si>
    <t>Net Cash</t>
  </si>
  <si>
    <t>BOP Cash</t>
  </si>
  <si>
    <t>TL</t>
  </si>
  <si>
    <t>EOP Cash</t>
  </si>
  <si>
    <t xml:space="preserve">28.  During a period of steadily increasing prices which of the following methods of measuring the inventory is likely to result in the highest gross profit ?   </t>
  </si>
  <si>
    <t>(b)    1142.07</t>
  </si>
  <si>
    <t xml:space="preserve">29.  Calculate the present value (PV) following cash flow with a discount rate of 10%: 100,200,450,650. Assume the first cash flow comes at the beginning of the first year and the other cash flows come after that with an equal interval of 1 year.   </t>
  </si>
</sst>
</file>

<file path=xl/styles.xml><?xml version="1.0" encoding="utf-8"?>
<styleSheet xmlns="http://schemas.openxmlformats.org/spreadsheetml/2006/main">
  <numFmts count="8">
    <numFmt numFmtId="5" formatCode="&quot;$&quot;#,##0_);\(&quot;$&quot;#,##0\)"/>
    <numFmt numFmtId="43" formatCode="_(* #,##0.00_);_(* \(#,##0.00\);_(* &quot;-&quot;??_);_(@_)"/>
    <numFmt numFmtId="164" formatCode="&quot;£&quot;#,##0.00;[Red]\-&quot;£&quot;#,##0.00"/>
    <numFmt numFmtId="165" formatCode="_-* #,##0.00_-;\-* #,##0.00_-;_-* &quot;-&quot;??_-;_-@_-"/>
    <numFmt numFmtId="166" formatCode="_(* #,##0_);_(* \(#,##0\);_(* &quot;-&quot;??_);_(@_)"/>
    <numFmt numFmtId="167" formatCode="_(* #,##0.0_);_(* \(#,##0.0\);_(* &quot;-&quot;??_);_(@_)"/>
    <numFmt numFmtId="168" formatCode="0.0%"/>
    <numFmt numFmtId="169" formatCode="0.000%"/>
  </numFmts>
  <fonts count="12">
    <font>
      <sz val="10"/>
      <name val="Arial"/>
    </font>
    <font>
      <sz val="11"/>
      <color theme="1"/>
      <name val="Calibri"/>
      <family val="2"/>
      <scheme val="minor"/>
    </font>
    <font>
      <b/>
      <sz val="10"/>
      <name val="Arial"/>
      <family val="2"/>
    </font>
    <font>
      <sz val="10"/>
      <name val="Arial"/>
      <family val="2"/>
    </font>
    <font>
      <sz val="11"/>
      <color theme="1"/>
      <name val="Calibri"/>
      <family val="2"/>
      <scheme val="minor"/>
    </font>
    <font>
      <sz val="10"/>
      <name val="Arial"/>
    </font>
    <font>
      <b/>
      <sz val="11"/>
      <color theme="0"/>
      <name val="Calibri"/>
      <family val="2"/>
      <scheme val="minor"/>
    </font>
    <font>
      <sz val="11"/>
      <color rgb="FFFF0000"/>
      <name val="Calibri"/>
      <family val="2"/>
      <scheme val="minor"/>
    </font>
    <font>
      <b/>
      <sz val="11"/>
      <color theme="1"/>
      <name val="Calibri"/>
      <family val="2"/>
      <scheme val="minor"/>
    </font>
    <font>
      <sz val="11"/>
      <color rgb="FF00B0F0"/>
      <name val="Calibri"/>
      <family val="2"/>
      <scheme val="minor"/>
    </font>
    <font>
      <sz val="11"/>
      <name val="Calibri"/>
      <family val="2"/>
      <scheme val="minor"/>
    </font>
    <font>
      <sz val="11"/>
      <color theme="3" tint="0.3999755851924192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E9A3"/>
        <bgColor indexed="64"/>
      </patternFill>
    </fill>
    <fill>
      <patternFill patternType="solid">
        <fgColor rgb="FFFFE697"/>
        <bgColor indexed="64"/>
      </patternFill>
    </fill>
    <fill>
      <patternFill patternType="solid">
        <fgColor rgb="FFC00000"/>
        <bgColor indexed="64"/>
      </patternFill>
    </fill>
    <fill>
      <patternFill patternType="solid">
        <fgColor rgb="FFFFE285"/>
        <bgColor indexed="64"/>
      </patternFill>
    </fill>
    <fill>
      <patternFill patternType="solid">
        <fgColor rgb="FFFFC000"/>
        <bgColor indexed="64"/>
      </patternFill>
    </fill>
  </fills>
  <borders count="4">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5" fontId="4"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1" fillId="0" borderId="0"/>
    <xf numFmtId="5" fontId="1" fillId="0" borderId="0" applyFont="0" applyFill="0" applyBorder="0" applyAlignment="0" applyProtection="0"/>
    <xf numFmtId="9"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5" fontId="1" fillId="0" borderId="0" applyFont="0" applyFill="0" applyBorder="0" applyAlignment="0" applyProtection="0"/>
    <xf numFmtId="165" fontId="1" fillId="0" borderId="0" applyFont="0" applyFill="0" applyBorder="0" applyAlignment="0" applyProtection="0"/>
  </cellStyleXfs>
  <cellXfs count="71">
    <xf numFmtId="0" fontId="0" fillId="0" borderId="0" xfId="0"/>
    <xf numFmtId="0" fontId="3" fillId="0" borderId="0" xfId="0" applyFont="1"/>
    <xf numFmtId="0" fontId="0" fillId="0" borderId="0" xfId="0" applyFill="1"/>
    <xf numFmtId="0" fontId="2" fillId="0" borderId="0" xfId="0" applyFont="1" applyFill="1"/>
    <xf numFmtId="0" fontId="3" fillId="0" borderId="0" xfId="0" applyFont="1" applyFill="1"/>
    <xf numFmtId="0" fontId="3" fillId="2" borderId="0" xfId="0" applyFont="1" applyFill="1"/>
    <xf numFmtId="0" fontId="0" fillId="2" borderId="0" xfId="0" applyFill="1"/>
    <xf numFmtId="9" fontId="0" fillId="0" borderId="0" xfId="3" applyFont="1"/>
    <xf numFmtId="164" fontId="0" fillId="0" borderId="0" xfId="0" applyNumberFormat="1"/>
    <xf numFmtId="165" fontId="0" fillId="0" borderId="0" xfId="2" applyFont="1"/>
    <xf numFmtId="0" fontId="3" fillId="0" borderId="0" xfId="0" applyNumberFormat="1" applyFont="1" applyFill="1"/>
    <xf numFmtId="0" fontId="8" fillId="3" borderId="0" xfId="4" applyFont="1" applyFill="1"/>
    <xf numFmtId="0" fontId="1" fillId="3" borderId="0" xfId="4" applyFill="1"/>
    <xf numFmtId="0" fontId="1" fillId="0" borderId="0" xfId="4"/>
    <xf numFmtId="0" fontId="1" fillId="4" borderId="2" xfId="4" applyFill="1" applyBorder="1" applyAlignment="1">
      <alignment horizontal="center"/>
    </xf>
    <xf numFmtId="166" fontId="7" fillId="0" borderId="0" xfId="5" applyNumberFormat="1" applyFont="1"/>
    <xf numFmtId="166" fontId="1" fillId="0" borderId="0" xfId="5" applyNumberFormat="1" applyFont="1"/>
    <xf numFmtId="9" fontId="7" fillId="0" borderId="0" xfId="4" applyNumberFormat="1" applyFont="1"/>
    <xf numFmtId="9" fontId="1" fillId="0" borderId="0" xfId="6" applyFont="1"/>
    <xf numFmtId="9" fontId="1" fillId="0" borderId="0" xfId="4" applyNumberFormat="1"/>
    <xf numFmtId="167" fontId="1" fillId="0" borderId="0" xfId="5" applyNumberFormat="1" applyFont="1"/>
    <xf numFmtId="10" fontId="1" fillId="0" borderId="0" xfId="4" applyNumberFormat="1"/>
    <xf numFmtId="168" fontId="1" fillId="0" borderId="0" xfId="4" applyNumberFormat="1"/>
    <xf numFmtId="0" fontId="1" fillId="0" borderId="0" xfId="4" applyAlignment="1">
      <alignment horizontal="center"/>
    </xf>
    <xf numFmtId="0" fontId="8" fillId="3" borderId="0" xfId="4" applyFont="1" applyFill="1" applyAlignment="1">
      <alignment horizontal="center"/>
    </xf>
    <xf numFmtId="0" fontId="1" fillId="0" borderId="0" xfId="4" applyAlignment="1">
      <alignment horizontal="left"/>
    </xf>
    <xf numFmtId="0" fontId="1" fillId="5" borderId="2" xfId="4" applyFill="1" applyBorder="1" applyAlignment="1">
      <alignment horizontal="center"/>
    </xf>
    <xf numFmtId="166" fontId="1" fillId="0" borderId="0" xfId="7" applyNumberFormat="1" applyFont="1" applyAlignment="1">
      <alignment horizontal="center"/>
    </xf>
    <xf numFmtId="9" fontId="1" fillId="0" borderId="0" xfId="4" applyNumberFormat="1" applyAlignment="1">
      <alignment horizontal="right"/>
    </xf>
    <xf numFmtId="0" fontId="1" fillId="0" borderId="0" xfId="4" applyAlignment="1">
      <alignment horizontal="left" indent="1"/>
    </xf>
    <xf numFmtId="166" fontId="1" fillId="0" borderId="0" xfId="7" applyNumberFormat="1" applyFont="1"/>
    <xf numFmtId="166" fontId="1" fillId="0" borderId="0" xfId="7" applyNumberFormat="1" applyFont="1" applyAlignment="1">
      <alignment horizontal="right"/>
    </xf>
    <xf numFmtId="9" fontId="1" fillId="0" borderId="0" xfId="6" applyFont="1" applyAlignment="1">
      <alignment horizontal="right"/>
    </xf>
    <xf numFmtId="166" fontId="1" fillId="0" borderId="0" xfId="4" applyNumberFormat="1"/>
    <xf numFmtId="0" fontId="1" fillId="0" borderId="1" xfId="4" applyBorder="1"/>
    <xf numFmtId="166" fontId="1" fillId="0" borderId="1" xfId="4" applyNumberFormat="1" applyBorder="1"/>
    <xf numFmtId="9" fontId="1" fillId="0" borderId="0" xfId="4" applyNumberFormat="1" applyAlignment="1">
      <alignment horizontal="left"/>
    </xf>
    <xf numFmtId="166" fontId="1" fillId="0" borderId="1" xfId="7" applyNumberFormat="1" applyFont="1" applyBorder="1"/>
    <xf numFmtId="166" fontId="6" fillId="6" borderId="0" xfId="7" applyNumberFormat="1" applyFont="1" applyFill="1"/>
    <xf numFmtId="10" fontId="6" fillId="6" borderId="0" xfId="4" applyNumberFormat="1" applyFont="1" applyFill="1"/>
    <xf numFmtId="166" fontId="1" fillId="0" borderId="0" xfId="8" applyNumberFormat="1" applyFont="1"/>
    <xf numFmtId="166" fontId="9" fillId="0" borderId="0" xfId="8" applyNumberFormat="1" applyFont="1"/>
    <xf numFmtId="9" fontId="10" fillId="0" borderId="0" xfId="4" applyNumberFormat="1" applyFont="1"/>
    <xf numFmtId="9" fontId="9" fillId="0" borderId="0" xfId="4" applyNumberFormat="1" applyFont="1"/>
    <xf numFmtId="0" fontId="9" fillId="0" borderId="0" xfId="4" applyFont="1"/>
    <xf numFmtId="10" fontId="9" fillId="0" borderId="0" xfId="4" applyNumberFormat="1" applyFont="1"/>
    <xf numFmtId="0" fontId="1" fillId="7" borderId="2" xfId="4" applyFill="1" applyBorder="1" applyAlignment="1">
      <alignment horizontal="center"/>
    </xf>
    <xf numFmtId="167" fontId="1" fillId="0" borderId="0" xfId="9" applyNumberFormat="1" applyFont="1"/>
    <xf numFmtId="166" fontId="1" fillId="0" borderId="0" xfId="9" applyNumberFormat="1" applyFont="1"/>
    <xf numFmtId="43" fontId="1" fillId="0" borderId="0" xfId="9" applyNumberFormat="1" applyFont="1"/>
    <xf numFmtId="167" fontId="11" fillId="0" borderId="0" xfId="10" applyNumberFormat="1" applyFont="1"/>
    <xf numFmtId="167" fontId="1" fillId="0" borderId="1" xfId="10" applyNumberFormat="1" applyFont="1" applyBorder="1"/>
    <xf numFmtId="167" fontId="1" fillId="0" borderId="0" xfId="10" applyNumberFormat="1" applyFont="1"/>
    <xf numFmtId="0" fontId="1" fillId="0" borderId="3" xfId="4" applyBorder="1"/>
    <xf numFmtId="167" fontId="1" fillId="0" borderId="3" xfId="10" applyNumberFormat="1" applyFont="1" applyBorder="1"/>
    <xf numFmtId="165" fontId="1" fillId="0" borderId="0" xfId="4" applyNumberFormat="1"/>
    <xf numFmtId="43" fontId="1" fillId="0" borderId="0" xfId="10" applyNumberFormat="1" applyFont="1"/>
    <xf numFmtId="0" fontId="7" fillId="0" borderId="0" xfId="4" applyFont="1"/>
    <xf numFmtId="166" fontId="1" fillId="0" borderId="0" xfId="11" applyNumberFormat="1" applyFont="1"/>
    <xf numFmtId="168" fontId="0" fillId="0" borderId="0" xfId="0" applyNumberFormat="1"/>
    <xf numFmtId="169" fontId="0" fillId="0" borderId="0" xfId="0" applyNumberFormat="1"/>
    <xf numFmtId="166" fontId="9" fillId="0" borderId="0" xfId="12" applyNumberFormat="1" applyFont="1"/>
    <xf numFmtId="166" fontId="1" fillId="0" borderId="1" xfId="12" applyNumberFormat="1" applyFont="1" applyBorder="1"/>
    <xf numFmtId="166" fontId="1" fillId="0" borderId="0" xfId="12" applyNumberFormat="1" applyFont="1"/>
    <xf numFmtId="165" fontId="1" fillId="0" borderId="0" xfId="13" applyFont="1"/>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xf numFmtId="0" fontId="1" fillId="3" borderId="0" xfId="4" applyFill="1" applyAlignment="1">
      <alignment horizontal="left" vertical="top" wrapText="1"/>
    </xf>
    <xf numFmtId="0" fontId="1" fillId="0" borderId="0" xfId="4" applyAlignment="1">
      <alignment horizontal="left" vertical="top" wrapText="1"/>
    </xf>
    <xf numFmtId="0" fontId="1" fillId="8" borderId="2" xfId="4" applyFill="1" applyBorder="1" applyAlignment="1">
      <alignment horizontal="center"/>
    </xf>
    <xf numFmtId="0" fontId="1" fillId="0" borderId="0" xfId="4" applyFill="1" applyAlignment="1">
      <alignment horizontal="left" vertical="top" wrapText="1"/>
    </xf>
  </cellXfs>
  <cellStyles count="14">
    <cellStyle name="Comma" xfId="2" builtinId="3"/>
    <cellStyle name="Comma 2" xfId="1"/>
    <cellStyle name="Comma 2 2" xfId="5"/>
    <cellStyle name="Comma 2 3" xfId="8"/>
    <cellStyle name="Comma 2 4" xfId="9"/>
    <cellStyle name="Comma 2 5" xfId="11"/>
    <cellStyle name="Comma 2 6" xfId="12"/>
    <cellStyle name="Comma 3" xfId="7"/>
    <cellStyle name="Comma 4" xfId="10"/>
    <cellStyle name="Comma 5" xfId="13"/>
    <cellStyle name="Normal" xfId="0" builtinId="0"/>
    <cellStyle name="Normal 2" xfId="4"/>
    <cellStyle name="Percent" xfId="3" builtinId="5"/>
    <cellStyle name="Percent 2"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EER-PC\Final%20Revised%20NSE%20Test\Sameer\IMS_SanjayC\Final%20Revised%20NSE%20Test\New_NSE_Test\NSE_Final%20Test_QB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ameer\IMS_SanjayC\Final%20Revised%20NSE%20Test\NSE%20Test%20-%20Final%20Q%20Bank\Q%20Bank%20-%20Separate\NSE_Final%20Test_QBank.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_Marking_Scheme"/>
      <sheetName val="Objectives"/>
      <sheetName val="Equity Research Model"/>
      <sheetName val="lists"/>
      <sheetName val="Question Sample 3 (2)"/>
      <sheetName val="1"/>
      <sheetName val="2"/>
      <sheetName val="3"/>
      <sheetName val="4"/>
      <sheetName val="5"/>
      <sheetName val="6"/>
      <sheetName val="9"/>
      <sheetName val="10"/>
    </sheetNames>
    <sheetDataSet>
      <sheetData sheetId="0"/>
      <sheetData sheetId="1"/>
      <sheetData sheetId="2"/>
      <sheetData sheetId="3">
        <row r="1">
          <cell r="A1" t="str">
            <v>Awareness</v>
          </cell>
        </row>
        <row r="2">
          <cell r="A2" t="str">
            <v>Understanding</v>
          </cell>
        </row>
        <row r="3">
          <cell r="A3" t="str">
            <v>Application</v>
          </cell>
        </row>
        <row r="4">
          <cell r="A4" t="str">
            <v>Understanding/Application</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_Marking_Scheme"/>
      <sheetName val="Objectives"/>
      <sheetName val="Equity Research Model"/>
      <sheetName val="lists"/>
      <sheetName val="Question Sample 3 (2)"/>
      <sheetName val="1"/>
      <sheetName val="2"/>
      <sheetName val="3"/>
      <sheetName val="4"/>
      <sheetName val="5"/>
      <sheetName val="6"/>
      <sheetName val="9"/>
      <sheetName val="10"/>
    </sheetNames>
    <sheetDataSet>
      <sheetData sheetId="0"/>
      <sheetData sheetId="1"/>
      <sheetData sheetId="2"/>
      <sheetData sheetId="3">
        <row r="1">
          <cell r="A1" t="str">
            <v>Awareness</v>
          </cell>
        </row>
        <row r="2">
          <cell r="A2" t="str">
            <v>Understanding</v>
          </cell>
        </row>
        <row r="3">
          <cell r="A3" t="str">
            <v>Application</v>
          </cell>
        </row>
        <row r="4">
          <cell r="A4" t="str">
            <v>Understanding/Application</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1"/>
  <sheetViews>
    <sheetView zoomScale="130" zoomScaleNormal="130" workbookViewId="0">
      <selection activeCell="A15" sqref="A15"/>
    </sheetView>
  </sheetViews>
  <sheetFormatPr defaultRowHeight="12.75"/>
  <sheetData>
    <row r="1" spans="1:5">
      <c r="A1" s="1" t="s">
        <v>89</v>
      </c>
    </row>
    <row r="3" spans="1:5">
      <c r="A3" s="1" t="s">
        <v>86</v>
      </c>
      <c r="B3" s="1" t="s">
        <v>87</v>
      </c>
      <c r="C3" s="1" t="s">
        <v>88</v>
      </c>
      <c r="D3" s="1" t="s">
        <v>102</v>
      </c>
    </row>
    <row r="5" spans="1:5">
      <c r="A5">
        <v>20</v>
      </c>
      <c r="B5">
        <v>1</v>
      </c>
      <c r="C5">
        <f>B5*A5</f>
        <v>20</v>
      </c>
      <c r="D5" s="1" t="s">
        <v>90</v>
      </c>
    </row>
    <row r="6" spans="1:5">
      <c r="A6">
        <v>4</v>
      </c>
      <c r="B6">
        <v>5</v>
      </c>
      <c r="C6">
        <f t="shared" ref="C6:C7" si="0">B6*A6</f>
        <v>20</v>
      </c>
      <c r="D6" s="1" t="s">
        <v>91</v>
      </c>
    </row>
    <row r="7" spans="1:5">
      <c r="A7">
        <v>6</v>
      </c>
      <c r="B7">
        <v>10</v>
      </c>
      <c r="C7">
        <f t="shared" si="0"/>
        <v>60</v>
      </c>
      <c r="D7" s="1" t="s">
        <v>92</v>
      </c>
    </row>
    <row r="8" spans="1:5">
      <c r="A8">
        <f>SUM(A5:A7)</f>
        <v>30</v>
      </c>
      <c r="C8">
        <f>SUM(C5:C7)</f>
        <v>100</v>
      </c>
    </row>
    <row r="11" spans="1:5">
      <c r="B11" s="1" t="s">
        <v>93</v>
      </c>
      <c r="C11" s="1" t="s">
        <v>94</v>
      </c>
    </row>
    <row r="12" spans="1:5">
      <c r="B12" s="1" t="s">
        <v>95</v>
      </c>
      <c r="C12" s="1" t="s">
        <v>100</v>
      </c>
    </row>
    <row r="13" spans="1:5">
      <c r="B13" s="1" t="s">
        <v>96</v>
      </c>
      <c r="C13" s="1" t="s">
        <v>99</v>
      </c>
    </row>
    <row r="14" spans="1:5">
      <c r="B14" s="1" t="s">
        <v>97</v>
      </c>
      <c r="C14" s="1" t="s">
        <v>98</v>
      </c>
      <c r="E14" s="1" t="s">
        <v>101</v>
      </c>
    </row>
    <row r="16" spans="1:5">
      <c r="A16" s="1"/>
    </row>
    <row r="17" spans="1:1">
      <c r="A17" s="1"/>
    </row>
    <row r="19" spans="1:1">
      <c r="A19" s="1"/>
    </row>
    <row r="20" spans="1:1">
      <c r="A20" s="1"/>
    </row>
    <row r="21" spans="1:1">
      <c r="A21"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3:T29"/>
  <sheetViews>
    <sheetView zoomScale="85" zoomScaleNormal="85" workbookViewId="0">
      <selection activeCell="K29" sqref="K29"/>
    </sheetView>
  </sheetViews>
  <sheetFormatPr defaultRowHeight="15"/>
  <cols>
    <col min="1" max="9" width="9.140625" style="13"/>
    <col min="10" max="10" width="13.85546875" style="13" bestFit="1" customWidth="1"/>
    <col min="11" max="11" width="16.85546875" style="13" bestFit="1" customWidth="1"/>
    <col min="12" max="12" width="11.7109375" style="13" bestFit="1" customWidth="1"/>
    <col min="13" max="15" width="9.5703125" style="13" bestFit="1" customWidth="1"/>
    <col min="16" max="16" width="12.140625" style="13" bestFit="1" customWidth="1"/>
    <col min="17" max="19" width="9.5703125" style="13" bestFit="1" customWidth="1"/>
    <col min="20" max="16384" width="9.140625" style="13"/>
  </cols>
  <sheetData>
    <row r="3" spans="1:19">
      <c r="A3" s="11" t="s">
        <v>175</v>
      </c>
      <c r="B3" s="12"/>
      <c r="C3" s="12"/>
      <c r="D3" s="12"/>
      <c r="E3" s="12"/>
      <c r="F3" s="12"/>
      <c r="G3" s="12"/>
      <c r="H3" s="12"/>
      <c r="I3" s="12"/>
    </row>
    <row r="4" spans="1:19">
      <c r="K4" s="46" t="s">
        <v>120</v>
      </c>
      <c r="L4" s="46" t="s">
        <v>121</v>
      </c>
      <c r="M4" s="46" t="s">
        <v>122</v>
      </c>
      <c r="N4" s="46" t="s">
        <v>123</v>
      </c>
      <c r="O4" s="46" t="s">
        <v>124</v>
      </c>
      <c r="P4" s="46" t="s">
        <v>125</v>
      </c>
      <c r="Q4" s="46" t="s">
        <v>148</v>
      </c>
      <c r="R4" s="46" t="s">
        <v>149</v>
      </c>
      <c r="S4" s="46" t="s">
        <v>150</v>
      </c>
    </row>
    <row r="5" spans="1:19">
      <c r="A5" s="67" t="s">
        <v>259</v>
      </c>
      <c r="B5" s="67"/>
      <c r="C5" s="67"/>
      <c r="D5" s="67"/>
      <c r="E5" s="67"/>
      <c r="F5" s="67"/>
      <c r="G5" s="67"/>
      <c r="H5" s="67"/>
      <c r="I5" s="67"/>
      <c r="J5" s="13" t="s">
        <v>112</v>
      </c>
      <c r="K5" s="58">
        <v>750</v>
      </c>
    </row>
    <row r="6" spans="1:19">
      <c r="A6" s="67"/>
      <c r="B6" s="67"/>
      <c r="C6" s="67"/>
      <c r="D6" s="67"/>
      <c r="E6" s="67"/>
      <c r="F6" s="67"/>
      <c r="G6" s="67"/>
      <c r="H6" s="67"/>
      <c r="I6" s="67"/>
      <c r="J6" s="13" t="s">
        <v>115</v>
      </c>
      <c r="K6" s="58">
        <f>K5/(1-L6)</f>
        <v>1153.8461538461538</v>
      </c>
      <c r="L6" s="19">
        <v>0.35</v>
      </c>
    </row>
    <row r="7" spans="1:19">
      <c r="A7" s="67"/>
      <c r="B7" s="67"/>
      <c r="C7" s="67"/>
      <c r="D7" s="67"/>
      <c r="E7" s="67"/>
      <c r="F7" s="67"/>
      <c r="G7" s="67"/>
      <c r="H7" s="67"/>
      <c r="I7" s="67"/>
      <c r="J7" s="13" t="s">
        <v>108</v>
      </c>
      <c r="K7" s="58">
        <f>L7*M7</f>
        <v>500</v>
      </c>
      <c r="L7" s="13">
        <v>5000</v>
      </c>
      <c r="M7" s="19">
        <v>0.1</v>
      </c>
    </row>
    <row r="8" spans="1:19">
      <c r="A8" s="67"/>
      <c r="B8" s="67"/>
      <c r="C8" s="67"/>
      <c r="D8" s="67"/>
      <c r="E8" s="67"/>
      <c r="F8" s="67"/>
      <c r="G8" s="67"/>
      <c r="H8" s="67"/>
      <c r="I8" s="67"/>
      <c r="J8" s="13" t="s">
        <v>118</v>
      </c>
      <c r="K8" s="58">
        <f>K6+K7</f>
        <v>1653.8461538461538</v>
      </c>
    </row>
    <row r="9" spans="1:19">
      <c r="A9" s="67"/>
      <c r="B9" s="67"/>
      <c r="C9" s="67"/>
      <c r="D9" s="67"/>
      <c r="E9" s="67"/>
      <c r="F9" s="67"/>
      <c r="G9" s="67"/>
      <c r="H9" s="67"/>
      <c r="I9" s="67"/>
      <c r="J9" s="13" t="s">
        <v>147</v>
      </c>
      <c r="K9" s="58">
        <f>K8*(1-L9)</f>
        <v>1075</v>
      </c>
      <c r="L9" s="19">
        <f>L6</f>
        <v>0.35</v>
      </c>
    </row>
    <row r="10" spans="1:19">
      <c r="A10" s="67"/>
      <c r="B10" s="67"/>
      <c r="C10" s="67"/>
      <c r="D10" s="67"/>
      <c r="E10" s="67"/>
      <c r="F10" s="67"/>
      <c r="G10" s="67"/>
      <c r="H10" s="67"/>
      <c r="I10" s="67"/>
      <c r="K10" s="58"/>
    </row>
    <row r="11" spans="1:19">
      <c r="A11" s="67"/>
      <c r="B11" s="67"/>
      <c r="C11" s="67"/>
      <c r="D11" s="67"/>
      <c r="E11" s="67"/>
      <c r="F11" s="67"/>
      <c r="G11" s="67"/>
      <c r="H11" s="67"/>
      <c r="I11" s="67"/>
      <c r="J11" s="13" t="s">
        <v>113</v>
      </c>
      <c r="K11" s="58">
        <v>125</v>
      </c>
    </row>
    <row r="12" spans="1:19">
      <c r="A12" s="67"/>
      <c r="B12" s="67"/>
      <c r="C12" s="67"/>
      <c r="D12" s="67"/>
      <c r="E12" s="67"/>
      <c r="F12" s="67"/>
      <c r="G12" s="67"/>
      <c r="H12" s="67"/>
      <c r="I12" s="67"/>
      <c r="J12" s="13" t="s">
        <v>141</v>
      </c>
      <c r="K12" s="58">
        <v>-225</v>
      </c>
    </row>
    <row r="13" spans="1:19">
      <c r="A13" s="67"/>
      <c r="B13" s="67"/>
      <c r="C13" s="67"/>
      <c r="D13" s="67"/>
      <c r="E13" s="67"/>
      <c r="F13" s="67"/>
      <c r="G13" s="67"/>
      <c r="H13" s="67"/>
      <c r="I13" s="67"/>
      <c r="J13" s="13" t="s">
        <v>236</v>
      </c>
      <c r="K13" s="58">
        <v>50</v>
      </c>
    </row>
    <row r="14" spans="1:19">
      <c r="A14" s="67"/>
      <c r="B14" s="67"/>
      <c r="C14" s="67"/>
      <c r="D14" s="67"/>
      <c r="E14" s="67"/>
      <c r="F14" s="67"/>
      <c r="G14" s="67"/>
      <c r="H14" s="67"/>
      <c r="I14" s="67"/>
      <c r="J14" s="13" t="s">
        <v>144</v>
      </c>
      <c r="K14" s="58">
        <f>SUM(K9:K13)</f>
        <v>1025</v>
      </c>
      <c r="L14" s="58">
        <f t="shared" ref="L14:S14" si="0">K14*(1+L15)</f>
        <v>1127.5</v>
      </c>
      <c r="M14" s="58">
        <f t="shared" si="0"/>
        <v>1240.25</v>
      </c>
      <c r="N14" s="58">
        <f t="shared" si="0"/>
        <v>1364.2750000000001</v>
      </c>
      <c r="O14" s="58">
        <f t="shared" si="0"/>
        <v>1487.0597500000001</v>
      </c>
      <c r="P14" s="58">
        <f t="shared" si="0"/>
        <v>1606.0245300000001</v>
      </c>
      <c r="Q14" s="58">
        <f t="shared" si="0"/>
        <v>1718.4462471000002</v>
      </c>
      <c r="R14" s="58">
        <f t="shared" si="0"/>
        <v>1821.5530219260002</v>
      </c>
      <c r="S14" s="58">
        <f t="shared" si="0"/>
        <v>1912.6306730223002</v>
      </c>
    </row>
    <row r="15" spans="1:19">
      <c r="A15" s="67"/>
      <c r="B15" s="67"/>
      <c r="C15" s="67"/>
      <c r="D15" s="67"/>
      <c r="E15" s="67"/>
      <c r="F15" s="67"/>
      <c r="G15" s="67"/>
      <c r="H15" s="67"/>
      <c r="I15" s="67"/>
      <c r="L15" s="19">
        <v>0.1</v>
      </c>
      <c r="M15" s="19">
        <v>0.1</v>
      </c>
      <c r="N15" s="19">
        <v>0.1</v>
      </c>
      <c r="O15" s="21">
        <f>N15-1%</f>
        <v>9.0000000000000011E-2</v>
      </c>
      <c r="P15" s="21">
        <f>O15-1%</f>
        <v>8.0000000000000016E-2</v>
      </c>
      <c r="Q15" s="21">
        <f>P15-1%</f>
        <v>7.0000000000000021E-2</v>
      </c>
      <c r="R15" s="21">
        <f>Q15-1%</f>
        <v>6.0000000000000019E-2</v>
      </c>
      <c r="S15" s="21">
        <f>R15-1%</f>
        <v>5.0000000000000017E-2</v>
      </c>
    </row>
    <row r="16" spans="1:19">
      <c r="A16" s="67"/>
      <c r="B16" s="67"/>
      <c r="C16" s="67"/>
      <c r="D16" s="67"/>
      <c r="E16" s="67"/>
      <c r="F16" s="67"/>
      <c r="G16" s="67"/>
      <c r="H16" s="67"/>
      <c r="I16" s="67"/>
    </row>
    <row r="17" spans="10:20">
      <c r="J17" s="13" t="s">
        <v>155</v>
      </c>
    </row>
    <row r="18" spans="10:20">
      <c r="J18" s="13" t="s">
        <v>154</v>
      </c>
      <c r="K18" s="13">
        <f>M7*(1-L9)</f>
        <v>6.5000000000000002E-2</v>
      </c>
      <c r="L18" s="13" t="s">
        <v>152</v>
      </c>
      <c r="M18" s="13">
        <f>P18/P20</f>
        <v>0.29411764705882354</v>
      </c>
      <c r="O18" s="13" t="s">
        <v>237</v>
      </c>
      <c r="P18" s="13">
        <f>L7</f>
        <v>5000</v>
      </c>
    </row>
    <row r="19" spans="10:20">
      <c r="J19" s="13" t="s">
        <v>153</v>
      </c>
      <c r="K19" s="19">
        <v>0.15</v>
      </c>
      <c r="L19" s="13" t="s">
        <v>151</v>
      </c>
      <c r="M19" s="13">
        <f>1-M18</f>
        <v>0.70588235294117641</v>
      </c>
      <c r="O19" s="13" t="s">
        <v>238</v>
      </c>
      <c r="P19" s="13">
        <v>12000</v>
      </c>
    </row>
    <row r="20" spans="10:20">
      <c r="O20" s="13" t="s">
        <v>239</v>
      </c>
      <c r="P20" s="13">
        <f>SUM(P18:P19)</f>
        <v>17000</v>
      </c>
    </row>
    <row r="21" spans="10:20">
      <c r="J21" s="13" t="s">
        <v>155</v>
      </c>
      <c r="K21" s="13">
        <f>K18*M18+M19*K19</f>
        <v>0.12499999999999999</v>
      </c>
    </row>
    <row r="22" spans="10:20">
      <c r="L22" s="13">
        <v>1</v>
      </c>
      <c r="M22" s="13">
        <v>2</v>
      </c>
      <c r="N22" s="13">
        <v>3</v>
      </c>
      <c r="O22" s="13">
        <v>4</v>
      </c>
      <c r="P22" s="13">
        <v>5</v>
      </c>
      <c r="Q22" s="13">
        <v>6</v>
      </c>
      <c r="R22" s="13">
        <v>7</v>
      </c>
      <c r="S22" s="13">
        <v>8</v>
      </c>
    </row>
    <row r="23" spans="10:20">
      <c r="J23" s="13" t="s">
        <v>260</v>
      </c>
      <c r="L23" s="13">
        <f>L14/(1+$K$21)^L22</f>
        <v>1002.2222222222222</v>
      </c>
      <c r="M23" s="13">
        <f t="shared" ref="M23:S23" si="1">M14/(1+$K$21)^M22</f>
        <v>979.95061728395058</v>
      </c>
      <c r="N23" s="13">
        <f t="shared" si="1"/>
        <v>958.17393689986284</v>
      </c>
      <c r="O23" s="13">
        <f t="shared" si="1"/>
        <v>928.3640810852005</v>
      </c>
      <c r="P23" s="13">
        <f t="shared" si="1"/>
        <v>891.22951784179247</v>
      </c>
      <c r="Q23" s="13">
        <f t="shared" si="1"/>
        <v>847.6582969695271</v>
      </c>
      <c r="R23" s="13">
        <f t="shared" si="1"/>
        <v>798.68248425573222</v>
      </c>
      <c r="S23" s="13">
        <f t="shared" si="1"/>
        <v>745.43698530535005</v>
      </c>
    </row>
    <row r="24" spans="10:20">
      <c r="R24" s="13">
        <f>S14/(K21-T24)/(1+K21)^R22</f>
        <v>11181.554779580254</v>
      </c>
      <c r="T24" s="19">
        <v>0.05</v>
      </c>
    </row>
    <row r="25" spans="10:20">
      <c r="J25" s="13" t="s">
        <v>111</v>
      </c>
      <c r="K25" s="13">
        <f>SUM(L23:R24)</f>
        <v>17587.835936138545</v>
      </c>
    </row>
    <row r="26" spans="10:20">
      <c r="J26" s="13" t="s">
        <v>107</v>
      </c>
      <c r="K26" s="13">
        <f>L7</f>
        <v>5000</v>
      </c>
    </row>
    <row r="27" spans="10:20">
      <c r="J27" s="13" t="s">
        <v>110</v>
      </c>
      <c r="K27" s="13">
        <f>K25-K26</f>
        <v>12587.835936138545</v>
      </c>
    </row>
    <row r="28" spans="10:20">
      <c r="J28" s="13" t="s">
        <v>241</v>
      </c>
      <c r="K28" s="13">
        <v>500</v>
      </c>
    </row>
    <row r="29" spans="10:20">
      <c r="J29" s="13" t="s">
        <v>242</v>
      </c>
      <c r="K29" s="13">
        <f>K27/K28</f>
        <v>25.175671872277089</v>
      </c>
    </row>
  </sheetData>
  <mergeCells count="1">
    <mergeCell ref="A5:I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Q30"/>
  <sheetViews>
    <sheetView workbookViewId="0">
      <selection activeCell="B21" sqref="B21"/>
    </sheetView>
  </sheetViews>
  <sheetFormatPr defaultRowHeight="15"/>
  <cols>
    <col min="1" max="10" width="9.140625" style="13"/>
    <col min="11" max="11" width="16.85546875" style="13" bestFit="1" customWidth="1"/>
    <col min="12" max="12" width="11.5703125" style="13" bestFit="1" customWidth="1"/>
    <col min="13" max="15" width="9.140625" style="13"/>
    <col min="16" max="16" width="12" style="13" bestFit="1" customWidth="1"/>
    <col min="17" max="16384" width="9.140625" style="13"/>
  </cols>
  <sheetData>
    <row r="1" spans="1:14">
      <c r="A1" s="11" t="s">
        <v>175</v>
      </c>
      <c r="B1" s="12"/>
      <c r="C1" s="12"/>
      <c r="D1" s="12"/>
      <c r="E1" s="12"/>
      <c r="F1" s="12"/>
      <c r="G1" s="12"/>
      <c r="H1" s="12"/>
      <c r="I1" s="12"/>
    </row>
    <row r="2" spans="1:14">
      <c r="L2" s="14" t="s">
        <v>121</v>
      </c>
    </row>
    <row r="3" spans="1:14">
      <c r="A3" s="67" t="s">
        <v>276</v>
      </c>
      <c r="B3" s="67"/>
      <c r="C3" s="67"/>
      <c r="D3" s="67"/>
      <c r="E3" s="67"/>
      <c r="F3" s="67"/>
      <c r="G3" s="67"/>
      <c r="H3" s="67"/>
      <c r="I3" s="67"/>
    </row>
    <row r="4" spans="1:14">
      <c r="A4" s="67"/>
      <c r="B4" s="67"/>
      <c r="C4" s="67"/>
      <c r="D4" s="67"/>
      <c r="E4" s="67"/>
      <c r="F4" s="67"/>
      <c r="G4" s="67"/>
      <c r="H4" s="67"/>
      <c r="I4" s="67"/>
      <c r="K4" s="29" t="s">
        <v>176</v>
      </c>
      <c r="L4" s="61">
        <v>1200</v>
      </c>
    </row>
    <row r="5" spans="1:14">
      <c r="A5" s="67"/>
      <c r="B5" s="67"/>
      <c r="C5" s="67"/>
      <c r="D5" s="67"/>
      <c r="E5" s="67"/>
      <c r="F5" s="67"/>
      <c r="G5" s="67"/>
      <c r="H5" s="67"/>
      <c r="I5" s="67"/>
      <c r="K5" s="29" t="s">
        <v>158</v>
      </c>
      <c r="L5" s="61">
        <v>600</v>
      </c>
    </row>
    <row r="6" spans="1:14">
      <c r="A6" s="67"/>
      <c r="B6" s="67"/>
      <c r="C6" s="67"/>
      <c r="D6" s="67"/>
      <c r="E6" s="67"/>
      <c r="F6" s="67"/>
      <c r="G6" s="67"/>
      <c r="H6" s="67"/>
      <c r="I6" s="67"/>
      <c r="K6" s="34" t="s">
        <v>277</v>
      </c>
      <c r="L6" s="62">
        <f>L4-L5</f>
        <v>600</v>
      </c>
    </row>
    <row r="7" spans="1:14">
      <c r="A7" s="67"/>
      <c r="B7" s="67"/>
      <c r="C7" s="67"/>
      <c r="D7" s="67"/>
      <c r="E7" s="67"/>
      <c r="F7" s="67"/>
      <c r="G7" s="67"/>
      <c r="H7" s="67"/>
      <c r="I7" s="67"/>
      <c r="K7" s="29" t="s">
        <v>226</v>
      </c>
      <c r="L7" s="63">
        <f>M7*L4</f>
        <v>180</v>
      </c>
      <c r="M7" s="43">
        <v>0.15</v>
      </c>
    </row>
    <row r="8" spans="1:14">
      <c r="A8" s="67"/>
      <c r="B8" s="67"/>
      <c r="C8" s="67"/>
      <c r="D8" s="67"/>
      <c r="E8" s="67"/>
      <c r="F8" s="67"/>
      <c r="G8" s="67"/>
      <c r="H8" s="67"/>
      <c r="I8" s="67"/>
      <c r="K8" s="34" t="s">
        <v>116</v>
      </c>
      <c r="L8" s="62">
        <f>L6-L7</f>
        <v>420</v>
      </c>
    </row>
    <row r="9" spans="1:14">
      <c r="A9" s="67"/>
      <c r="B9" s="67"/>
      <c r="C9" s="67"/>
      <c r="D9" s="67"/>
      <c r="E9" s="67"/>
      <c r="F9" s="67"/>
      <c r="G9" s="67"/>
      <c r="H9" s="67"/>
      <c r="I9" s="67"/>
      <c r="K9" s="29" t="s">
        <v>143</v>
      </c>
      <c r="L9" s="61">
        <v>50</v>
      </c>
    </row>
    <row r="10" spans="1:14">
      <c r="A10" s="67"/>
      <c r="B10" s="67"/>
      <c r="C10" s="67"/>
      <c r="D10" s="67"/>
      <c r="E10" s="67"/>
      <c r="F10" s="67"/>
      <c r="G10" s="67"/>
      <c r="H10" s="67"/>
      <c r="I10" s="67"/>
      <c r="K10" s="34" t="s">
        <v>118</v>
      </c>
      <c r="L10" s="62">
        <f>L8-L9</f>
        <v>370</v>
      </c>
    </row>
    <row r="11" spans="1:14">
      <c r="A11" s="67"/>
      <c r="B11" s="67"/>
      <c r="C11" s="67"/>
      <c r="D11" s="67"/>
      <c r="E11" s="67"/>
      <c r="F11" s="67"/>
      <c r="G11" s="67"/>
      <c r="H11" s="67"/>
      <c r="I11" s="67"/>
      <c r="K11" s="29" t="s">
        <v>108</v>
      </c>
      <c r="L11" s="63">
        <f>M11*N11</f>
        <v>50</v>
      </c>
      <c r="M11" s="43">
        <v>0.1</v>
      </c>
      <c r="N11" s="44">
        <v>500</v>
      </c>
    </row>
    <row r="12" spans="1:14">
      <c r="A12" s="67"/>
      <c r="B12" s="67"/>
      <c r="C12" s="67"/>
      <c r="D12" s="67"/>
      <c r="E12" s="67"/>
      <c r="F12" s="67"/>
      <c r="G12" s="67"/>
      <c r="H12" s="67"/>
      <c r="I12" s="67"/>
      <c r="K12" s="34" t="s">
        <v>134</v>
      </c>
      <c r="L12" s="62">
        <f>L10-L11</f>
        <v>320</v>
      </c>
    </row>
    <row r="13" spans="1:14">
      <c r="A13" s="67"/>
      <c r="B13" s="67"/>
      <c r="C13" s="67"/>
      <c r="D13" s="67"/>
      <c r="E13" s="67"/>
      <c r="F13" s="67"/>
      <c r="G13" s="67"/>
      <c r="H13" s="67"/>
      <c r="I13" s="67"/>
      <c r="K13" s="29" t="s">
        <v>135</v>
      </c>
      <c r="L13" s="63">
        <f>L12*M13</f>
        <v>96</v>
      </c>
      <c r="M13" s="43">
        <v>0.3</v>
      </c>
    </row>
    <row r="14" spans="1:14">
      <c r="A14" s="67"/>
      <c r="B14" s="67"/>
      <c r="C14" s="67"/>
      <c r="D14" s="67"/>
      <c r="E14" s="67"/>
      <c r="F14" s="67"/>
      <c r="G14" s="67"/>
      <c r="H14" s="67"/>
      <c r="I14" s="67"/>
      <c r="K14" s="34" t="s">
        <v>119</v>
      </c>
      <c r="L14" s="62">
        <f>L12-L13</f>
        <v>224</v>
      </c>
    </row>
    <row r="15" spans="1:14">
      <c r="L15" s="63"/>
    </row>
    <row r="16" spans="1:14">
      <c r="K16" s="13" t="s">
        <v>278</v>
      </c>
      <c r="L16" s="61">
        <v>750</v>
      </c>
      <c r="M16" s="44">
        <v>200</v>
      </c>
      <c r="N16" s="13" t="s">
        <v>279</v>
      </c>
    </row>
    <row r="17" spans="5:17">
      <c r="K17" s="13" t="s">
        <v>280</v>
      </c>
      <c r="L17" s="61">
        <v>2500</v>
      </c>
      <c r="P17" s="13" t="s">
        <v>119</v>
      </c>
      <c r="Q17" s="63">
        <f>L14</f>
        <v>224</v>
      </c>
    </row>
    <row r="18" spans="5:17">
      <c r="E18" s="44"/>
      <c r="K18" s="13" t="s">
        <v>281</v>
      </c>
      <c r="L18" s="61">
        <v>1250</v>
      </c>
      <c r="P18" s="13" t="s">
        <v>113</v>
      </c>
      <c r="Q18" s="63">
        <f>L9</f>
        <v>50</v>
      </c>
    </row>
    <row r="19" spans="5:17">
      <c r="K19" s="13" t="s">
        <v>282</v>
      </c>
      <c r="L19" s="63">
        <f>L17-L18</f>
        <v>1250</v>
      </c>
      <c r="P19" s="13" t="s">
        <v>283</v>
      </c>
      <c r="Q19" s="63">
        <f>M16</f>
        <v>200</v>
      </c>
    </row>
    <row r="20" spans="5:17">
      <c r="K20" s="13" t="s">
        <v>109</v>
      </c>
      <c r="L20" s="63">
        <f>Q28</f>
        <v>350</v>
      </c>
      <c r="P20" s="13" t="s">
        <v>284</v>
      </c>
      <c r="Q20" s="63">
        <f>M24</f>
        <v>-25</v>
      </c>
    </row>
    <row r="21" spans="5:17">
      <c r="K21" s="13" t="s">
        <v>254</v>
      </c>
      <c r="L21" s="63">
        <f>SUM(L19:L20)+L16</f>
        <v>2350</v>
      </c>
      <c r="P21" s="13" t="s">
        <v>156</v>
      </c>
      <c r="Q21" s="63">
        <f>SUM(Q17:Q20)</f>
        <v>449</v>
      </c>
    </row>
    <row r="22" spans="5:17">
      <c r="L22" s="63"/>
      <c r="Q22" s="63"/>
    </row>
    <row r="23" spans="5:17">
      <c r="L23" s="63"/>
      <c r="Q23" s="63"/>
    </row>
    <row r="24" spans="5:17">
      <c r="K24" s="13" t="s">
        <v>285</v>
      </c>
      <c r="L24" s="61">
        <v>250</v>
      </c>
      <c r="M24" s="44">
        <v>-25</v>
      </c>
      <c r="N24" s="13" t="s">
        <v>279</v>
      </c>
      <c r="P24" s="13" t="s">
        <v>141</v>
      </c>
      <c r="Q24" s="61">
        <v>-99</v>
      </c>
    </row>
    <row r="25" spans="5:17">
      <c r="K25" s="13" t="s">
        <v>107</v>
      </c>
      <c r="L25" s="61">
        <v>500</v>
      </c>
      <c r="M25" s="43">
        <v>0.1</v>
      </c>
      <c r="P25" s="13" t="s">
        <v>286</v>
      </c>
      <c r="Q25" s="63">
        <f>Q24+Q21</f>
        <v>350</v>
      </c>
    </row>
    <row r="26" spans="5:17">
      <c r="K26" s="13" t="s">
        <v>110</v>
      </c>
      <c r="L26" s="61">
        <v>100</v>
      </c>
      <c r="Q26" s="63"/>
    </row>
    <row r="27" spans="5:17">
      <c r="K27" s="13" t="s">
        <v>162</v>
      </c>
      <c r="L27" s="61">
        <v>1500</v>
      </c>
      <c r="P27" s="13" t="s">
        <v>287</v>
      </c>
      <c r="Q27" s="63">
        <v>0</v>
      </c>
    </row>
    <row r="28" spans="5:17">
      <c r="K28" s="13" t="s">
        <v>288</v>
      </c>
      <c r="L28" s="63">
        <f>SUM(L24:L27)</f>
        <v>2350</v>
      </c>
      <c r="P28" s="13" t="s">
        <v>289</v>
      </c>
      <c r="Q28" s="63">
        <f>Q27+Q25</f>
        <v>350</v>
      </c>
    </row>
    <row r="29" spans="5:17">
      <c r="L29" s="63"/>
    </row>
    <row r="30" spans="5:17">
      <c r="L30" s="64">
        <f>L28-L21</f>
        <v>0</v>
      </c>
    </row>
  </sheetData>
  <mergeCells count="1">
    <mergeCell ref="A3:I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Q17"/>
  <sheetViews>
    <sheetView workbookViewId="0">
      <selection activeCell="G20" sqref="G20"/>
    </sheetView>
  </sheetViews>
  <sheetFormatPr defaultRowHeight="15"/>
  <cols>
    <col min="1" max="9" width="9.140625" style="13"/>
    <col min="10" max="10" width="13.85546875" style="13" bestFit="1" customWidth="1"/>
    <col min="11" max="11" width="16.85546875" style="13" bestFit="1" customWidth="1"/>
    <col min="12" max="12" width="11.7109375" style="13" bestFit="1" customWidth="1"/>
    <col min="13" max="15" width="9.5703125" style="13" bestFit="1" customWidth="1"/>
    <col min="16" max="16" width="12.140625" style="13" bestFit="1" customWidth="1"/>
    <col min="17" max="19" width="9.5703125" style="13" bestFit="1" customWidth="1"/>
    <col min="20" max="16384" width="9.140625" style="13"/>
  </cols>
  <sheetData>
    <row r="3" spans="1:17">
      <c r="A3" s="11" t="s">
        <v>175</v>
      </c>
      <c r="B3" s="12"/>
      <c r="C3" s="12"/>
      <c r="D3" s="12"/>
      <c r="E3" s="12"/>
      <c r="F3" s="12"/>
      <c r="G3" s="12"/>
      <c r="H3" s="12"/>
      <c r="I3" s="12"/>
    </row>
    <row r="5" spans="1:17">
      <c r="A5" s="67" t="s">
        <v>181</v>
      </c>
      <c r="B5" s="67"/>
      <c r="C5" s="67"/>
      <c r="D5" s="67"/>
      <c r="E5" s="67"/>
      <c r="F5" s="67"/>
      <c r="G5" s="67"/>
      <c r="H5" s="67"/>
      <c r="I5" s="67"/>
      <c r="K5" s="13" t="s">
        <v>118</v>
      </c>
      <c r="L5" s="13">
        <v>1200</v>
      </c>
      <c r="O5" s="13" t="s">
        <v>118</v>
      </c>
      <c r="Q5" s="13">
        <f>L5</f>
        <v>1200</v>
      </c>
    </row>
    <row r="6" spans="1:17">
      <c r="A6" s="67"/>
      <c r="B6" s="67"/>
      <c r="C6" s="67"/>
      <c r="D6" s="67"/>
      <c r="E6" s="67"/>
      <c r="F6" s="67"/>
      <c r="G6" s="67"/>
      <c r="H6" s="67"/>
      <c r="I6" s="67"/>
    </row>
    <row r="7" spans="1:17">
      <c r="A7" s="67"/>
      <c r="B7" s="67"/>
      <c r="C7" s="67"/>
      <c r="D7" s="67"/>
      <c r="E7" s="67"/>
      <c r="F7" s="67"/>
      <c r="G7" s="67"/>
      <c r="H7" s="67"/>
      <c r="I7" s="67"/>
      <c r="K7" s="13" t="s">
        <v>107</v>
      </c>
      <c r="L7" s="13">
        <v>5500</v>
      </c>
      <c r="M7" s="19">
        <v>0.15</v>
      </c>
      <c r="O7" s="13" t="s">
        <v>108</v>
      </c>
      <c r="Q7" s="13">
        <f>L7*M7</f>
        <v>825</v>
      </c>
    </row>
    <row r="8" spans="1:17">
      <c r="A8" s="67"/>
      <c r="B8" s="67"/>
      <c r="C8" s="67"/>
      <c r="D8" s="67"/>
      <c r="E8" s="67"/>
      <c r="F8" s="67"/>
      <c r="G8" s="67"/>
      <c r="H8" s="67"/>
      <c r="I8" s="67"/>
    </row>
    <row r="9" spans="1:17">
      <c r="A9" s="67"/>
      <c r="B9" s="67"/>
      <c r="C9" s="67"/>
      <c r="D9" s="67"/>
      <c r="E9" s="67"/>
      <c r="F9" s="67"/>
      <c r="G9" s="67"/>
      <c r="H9" s="67"/>
      <c r="I9" s="67"/>
      <c r="K9" s="13" t="s">
        <v>114</v>
      </c>
      <c r="L9" s="19">
        <v>0.3</v>
      </c>
      <c r="O9" s="13" t="s">
        <v>134</v>
      </c>
      <c r="Q9" s="13">
        <f>Q5-Q7</f>
        <v>375</v>
      </c>
    </row>
    <row r="10" spans="1:17">
      <c r="A10" s="67"/>
      <c r="B10" s="67"/>
      <c r="C10" s="67"/>
      <c r="D10" s="67"/>
      <c r="E10" s="67"/>
      <c r="F10" s="67"/>
      <c r="G10" s="67"/>
      <c r="H10" s="67"/>
      <c r="I10" s="67"/>
    </row>
    <row r="11" spans="1:17">
      <c r="A11" s="67"/>
      <c r="B11" s="67"/>
      <c r="C11" s="67"/>
      <c r="D11" s="67"/>
      <c r="E11" s="67"/>
      <c r="F11" s="67"/>
      <c r="G11" s="67"/>
      <c r="H11" s="67"/>
      <c r="I11" s="67"/>
      <c r="K11" s="13" t="s">
        <v>184</v>
      </c>
      <c r="L11" s="19">
        <v>0.45</v>
      </c>
      <c r="O11" s="13" t="s">
        <v>114</v>
      </c>
      <c r="Q11" s="13">
        <f>Q9*L9</f>
        <v>112.5</v>
      </c>
    </row>
    <row r="12" spans="1:17">
      <c r="A12" s="67"/>
      <c r="B12" s="67"/>
      <c r="C12" s="67"/>
      <c r="D12" s="67"/>
      <c r="E12" s="67"/>
      <c r="F12" s="67"/>
      <c r="G12" s="67"/>
      <c r="H12" s="67"/>
      <c r="I12" s="67"/>
    </row>
    <row r="13" spans="1:17">
      <c r="A13" s="67"/>
      <c r="B13" s="67"/>
      <c r="C13" s="67"/>
      <c r="D13" s="67"/>
      <c r="E13" s="67"/>
      <c r="F13" s="67"/>
      <c r="G13" s="67"/>
      <c r="H13" s="67"/>
      <c r="I13" s="67"/>
      <c r="K13" s="13" t="s">
        <v>136</v>
      </c>
      <c r="L13" s="13">
        <v>55</v>
      </c>
      <c r="O13" s="13" t="s">
        <v>119</v>
      </c>
      <c r="Q13" s="13">
        <f>Q9-Q11</f>
        <v>262.5</v>
      </c>
    </row>
    <row r="14" spans="1:17">
      <c r="A14" s="67"/>
      <c r="B14" s="67"/>
      <c r="C14" s="67"/>
      <c r="D14" s="67"/>
      <c r="E14" s="67"/>
      <c r="F14" s="67"/>
      <c r="G14" s="67"/>
      <c r="H14" s="67"/>
      <c r="I14" s="67"/>
    </row>
    <row r="15" spans="1:17">
      <c r="A15" s="67"/>
      <c r="B15" s="67"/>
      <c r="C15" s="67"/>
      <c r="D15" s="67"/>
      <c r="E15" s="67"/>
      <c r="F15" s="67"/>
      <c r="G15" s="67"/>
      <c r="H15" s="67"/>
      <c r="I15" s="67"/>
      <c r="K15" s="13" t="s">
        <v>138</v>
      </c>
      <c r="L15" s="13">
        <v>55</v>
      </c>
      <c r="O15" s="13" t="s">
        <v>137</v>
      </c>
      <c r="Q15" s="13">
        <f>Q13/L13</f>
        <v>4.7727272727272725</v>
      </c>
    </row>
    <row r="16" spans="1:17">
      <c r="A16" s="67"/>
      <c r="B16" s="67"/>
      <c r="C16" s="67"/>
      <c r="D16" s="67"/>
      <c r="E16" s="67"/>
      <c r="F16" s="67"/>
      <c r="G16" s="67"/>
      <c r="H16" s="67"/>
      <c r="I16" s="67"/>
    </row>
    <row r="17" spans="15:17">
      <c r="O17" s="13" t="s">
        <v>139</v>
      </c>
      <c r="Q17" s="13">
        <f>L15/Q15</f>
        <v>11.523809523809524</v>
      </c>
    </row>
  </sheetData>
  <mergeCells count="1">
    <mergeCell ref="A5:I1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337"/>
  <sheetViews>
    <sheetView tabSelected="1" zoomScale="115" zoomScaleNormal="115" workbookViewId="0">
      <pane ySplit="2" topLeftCell="A3" activePane="bottomLeft" state="frozen"/>
      <selection pane="bottomLeft"/>
    </sheetView>
  </sheetViews>
  <sheetFormatPr defaultColWidth="9.140625" defaultRowHeight="12.75"/>
  <cols>
    <col min="1" max="1" width="44.42578125" style="2" customWidth="1"/>
  </cols>
  <sheetData>
    <row r="1" spans="1:6">
      <c r="A1" s="3" t="s">
        <v>104</v>
      </c>
    </row>
    <row r="2" spans="1:6">
      <c r="A2" s="3" t="s">
        <v>0</v>
      </c>
    </row>
    <row r="4" spans="1:6">
      <c r="A4" s="4" t="s">
        <v>170</v>
      </c>
    </row>
    <row r="5" spans="1:6">
      <c r="A5" s="2" t="s">
        <v>2</v>
      </c>
    </row>
    <row r="6" spans="1:6">
      <c r="A6" s="4" t="s">
        <v>171</v>
      </c>
    </row>
    <row r="7" spans="1:6">
      <c r="A7" s="4" t="s">
        <v>172</v>
      </c>
    </row>
    <row r="8" spans="1:6">
      <c r="A8" s="4" t="s">
        <v>173</v>
      </c>
    </row>
    <row r="9" spans="1:6">
      <c r="A9" s="4" t="s">
        <v>103</v>
      </c>
    </row>
    <row r="10" spans="1:6">
      <c r="A10" s="2" t="s">
        <v>3</v>
      </c>
    </row>
    <row r="12" spans="1:6" ht="12.75" customHeight="1">
      <c r="A12" s="66" t="s">
        <v>169</v>
      </c>
      <c r="B12" s="66"/>
      <c r="C12" s="66"/>
      <c r="D12" s="66"/>
      <c r="E12" s="66"/>
      <c r="F12" s="66"/>
    </row>
    <row r="13" spans="1:6">
      <c r="A13" s="66"/>
      <c r="B13" s="66"/>
      <c r="C13" s="66"/>
      <c r="D13" s="66"/>
      <c r="E13" s="66"/>
      <c r="F13" s="66"/>
    </row>
    <row r="14" spans="1:6">
      <c r="A14" s="66"/>
      <c r="B14" s="66"/>
      <c r="C14" s="66"/>
      <c r="D14" s="66"/>
      <c r="E14" s="66"/>
      <c r="F14" s="66"/>
    </row>
    <row r="15" spans="1:6">
      <c r="A15" s="66"/>
      <c r="B15" s="66"/>
      <c r="C15" s="66"/>
      <c r="D15" s="66"/>
      <c r="E15" s="66"/>
      <c r="F15" s="66"/>
    </row>
    <row r="16" spans="1:6">
      <c r="A16" s="66"/>
      <c r="B16" s="66"/>
      <c r="C16" s="66"/>
      <c r="D16" s="66"/>
      <c r="E16" s="66"/>
      <c r="F16" s="66"/>
    </row>
    <row r="17" spans="1:6">
      <c r="A17" s="66"/>
      <c r="B17" s="66"/>
      <c r="C17" s="66"/>
      <c r="D17" s="66"/>
      <c r="E17" s="66"/>
      <c r="F17" s="66"/>
    </row>
    <row r="18" spans="1:6">
      <c r="A18" s="66"/>
      <c r="B18" s="66"/>
      <c r="C18" s="66"/>
      <c r="D18" s="66"/>
      <c r="E18" s="66"/>
      <c r="F18" s="66"/>
    </row>
    <row r="19" spans="1:6">
      <c r="A19" s="66"/>
      <c r="B19" s="66"/>
      <c r="C19" s="66"/>
      <c r="D19" s="66"/>
      <c r="E19" s="66"/>
      <c r="F19" s="66"/>
    </row>
    <row r="20" spans="1:6">
      <c r="A20" s="66"/>
      <c r="B20" s="66"/>
      <c r="C20" s="66"/>
      <c r="D20" s="66"/>
      <c r="E20" s="66"/>
      <c r="F20" s="66"/>
    </row>
    <row r="21" spans="1:6">
      <c r="A21" s="66"/>
      <c r="B21" s="66"/>
      <c r="C21" s="66"/>
      <c r="D21" s="66"/>
      <c r="E21" s="66"/>
      <c r="F21" s="66"/>
    </row>
    <row r="22" spans="1:6">
      <c r="A22" s="66"/>
      <c r="B22" s="66"/>
      <c r="C22" s="66"/>
      <c r="D22" s="66"/>
      <c r="E22" s="66"/>
      <c r="F22" s="66"/>
    </row>
    <row r="23" spans="1:6">
      <c r="A23" s="66"/>
      <c r="B23" s="66"/>
      <c r="C23" s="66"/>
      <c r="D23" s="66"/>
      <c r="E23" s="66"/>
      <c r="F23" s="66"/>
    </row>
    <row r="24" spans="1:6">
      <c r="A24" s="2" t="s">
        <v>5</v>
      </c>
    </row>
    <row r="25" spans="1:6">
      <c r="A25" s="2" t="s">
        <v>6</v>
      </c>
    </row>
    <row r="26" spans="1:6">
      <c r="A26" s="4" t="s">
        <v>63</v>
      </c>
    </row>
    <row r="27" spans="1:6">
      <c r="A27" s="2" t="s">
        <v>7</v>
      </c>
    </row>
    <row r="28" spans="1:6">
      <c r="A28" s="4" t="s">
        <v>174</v>
      </c>
    </row>
    <row r="29" spans="1:6">
      <c r="A29" s="2" t="s">
        <v>3</v>
      </c>
    </row>
    <row r="31" spans="1:6">
      <c r="A31" s="4" t="s">
        <v>64</v>
      </c>
    </row>
    <row r="32" spans="1:6">
      <c r="A32" s="2" t="s">
        <v>2</v>
      </c>
    </row>
    <row r="33" spans="1:7">
      <c r="A33" s="4" t="s">
        <v>65</v>
      </c>
    </row>
    <row r="34" spans="1:7">
      <c r="A34" s="4" t="s">
        <v>180</v>
      </c>
    </row>
    <row r="35" spans="1:7">
      <c r="A35" s="4" t="s">
        <v>66</v>
      </c>
    </row>
    <row r="36" spans="1:7">
      <c r="A36" s="4" t="s">
        <v>67</v>
      </c>
    </row>
    <row r="37" spans="1:7">
      <c r="A37" s="2" t="s">
        <v>3</v>
      </c>
    </row>
    <row r="39" spans="1:7">
      <c r="A39" s="2" t="s">
        <v>4</v>
      </c>
    </row>
    <row r="40" spans="1:7" ht="12.75" customHeight="1">
      <c r="A40" s="65" t="s">
        <v>187</v>
      </c>
      <c r="B40" s="65"/>
      <c r="C40" s="65"/>
      <c r="D40" s="65"/>
      <c r="E40" s="65"/>
      <c r="F40" s="65"/>
      <c r="G40" s="65"/>
    </row>
    <row r="41" spans="1:7">
      <c r="A41" s="65"/>
      <c r="B41" s="65"/>
      <c r="C41" s="65"/>
      <c r="D41" s="65"/>
      <c r="E41" s="65"/>
      <c r="F41" s="65"/>
      <c r="G41" s="65"/>
    </row>
    <row r="42" spans="1:7">
      <c r="A42" s="65"/>
      <c r="B42" s="65"/>
      <c r="C42" s="65"/>
      <c r="D42" s="65"/>
      <c r="E42" s="65"/>
      <c r="F42" s="65"/>
      <c r="G42" s="65"/>
    </row>
    <row r="43" spans="1:7">
      <c r="A43" s="65"/>
      <c r="B43" s="65"/>
      <c r="C43" s="65"/>
      <c r="D43" s="65"/>
      <c r="E43" s="65"/>
      <c r="F43" s="65"/>
      <c r="G43" s="65"/>
    </row>
    <row r="44" spans="1:7">
      <c r="A44" s="65"/>
      <c r="B44" s="65"/>
      <c r="C44" s="65"/>
      <c r="D44" s="65"/>
      <c r="E44" s="65"/>
      <c r="F44" s="65"/>
      <c r="G44" s="65"/>
    </row>
    <row r="45" spans="1:7">
      <c r="A45" s="65"/>
      <c r="B45" s="65"/>
      <c r="C45" s="65"/>
      <c r="D45" s="65"/>
      <c r="E45" s="65"/>
      <c r="F45" s="65"/>
      <c r="G45" s="65"/>
    </row>
    <row r="46" spans="1:7">
      <c r="A46" s="2" t="s">
        <v>8</v>
      </c>
    </row>
    <row r="47" spans="1:7">
      <c r="A47" s="2" t="s">
        <v>9</v>
      </c>
    </row>
    <row r="48" spans="1:7">
      <c r="A48" s="4" t="s">
        <v>68</v>
      </c>
    </row>
    <row r="49" spans="1:1">
      <c r="A49" s="2" t="s">
        <v>10</v>
      </c>
    </row>
    <row r="50" spans="1:1">
      <c r="A50" s="4" t="s">
        <v>188</v>
      </c>
    </row>
    <row r="51" spans="1:1">
      <c r="A51" s="2" t="s">
        <v>3</v>
      </c>
    </row>
    <row r="53" spans="1:1">
      <c r="A53" s="2" t="s">
        <v>4</v>
      </c>
    </row>
    <row r="54" spans="1:1">
      <c r="A54" s="4" t="s">
        <v>192</v>
      </c>
    </row>
    <row r="55" spans="1:1">
      <c r="A55" s="2" t="s">
        <v>2</v>
      </c>
    </row>
    <row r="56" spans="1:1">
      <c r="A56" s="2" t="s">
        <v>20</v>
      </c>
    </row>
    <row r="57" spans="1:1">
      <c r="A57" s="2" t="s">
        <v>21</v>
      </c>
    </row>
    <row r="58" spans="1:1">
      <c r="A58" s="2" t="s">
        <v>22</v>
      </c>
    </row>
    <row r="59" spans="1:1">
      <c r="A59" s="4" t="s">
        <v>71</v>
      </c>
    </row>
    <row r="60" spans="1:1">
      <c r="A60" s="2" t="s">
        <v>3</v>
      </c>
    </row>
    <row r="62" spans="1:1">
      <c r="A62" s="4" t="s">
        <v>194</v>
      </c>
    </row>
    <row r="63" spans="1:1">
      <c r="A63" s="2" t="s">
        <v>8</v>
      </c>
    </row>
    <row r="64" spans="1:1">
      <c r="A64" s="2" t="s">
        <v>32</v>
      </c>
    </row>
    <row r="65" spans="1:1">
      <c r="A65" s="2" t="s">
        <v>33</v>
      </c>
    </row>
    <row r="66" spans="1:1">
      <c r="A66" s="2" t="s">
        <v>34</v>
      </c>
    </row>
    <row r="67" spans="1:1">
      <c r="A67" s="2" t="s">
        <v>74</v>
      </c>
    </row>
    <row r="68" spans="1:1">
      <c r="A68" s="2" t="s">
        <v>3</v>
      </c>
    </row>
    <row r="70" spans="1:1">
      <c r="A70" s="2" t="s">
        <v>4</v>
      </c>
    </row>
    <row r="71" spans="1:1">
      <c r="A71" s="4" t="s">
        <v>69</v>
      </c>
    </row>
    <row r="72" spans="1:1">
      <c r="A72" s="2" t="s">
        <v>2</v>
      </c>
    </row>
    <row r="73" spans="1:1">
      <c r="A73" s="2" t="s">
        <v>12</v>
      </c>
    </row>
    <row r="74" spans="1:1">
      <c r="A74" s="2" t="s">
        <v>13</v>
      </c>
    </row>
    <row r="75" spans="1:1">
      <c r="A75" s="2" t="s">
        <v>14</v>
      </c>
    </row>
    <row r="76" spans="1:1">
      <c r="A76" s="2" t="s">
        <v>15</v>
      </c>
    </row>
    <row r="77" spans="1:1">
      <c r="A77" s="2" t="s">
        <v>3</v>
      </c>
    </row>
    <row r="79" spans="1:1">
      <c r="A79" s="4" t="s">
        <v>70</v>
      </c>
    </row>
    <row r="80" spans="1:1">
      <c r="A80" s="2" t="s">
        <v>2</v>
      </c>
    </row>
    <row r="81" spans="1:11">
      <c r="A81" s="2" t="s">
        <v>16</v>
      </c>
    </row>
    <row r="82" spans="1:11">
      <c r="A82" s="2" t="s">
        <v>17</v>
      </c>
    </row>
    <row r="83" spans="1:11">
      <c r="A83" s="2" t="s">
        <v>18</v>
      </c>
    </row>
    <row r="84" spans="1:11">
      <c r="A84" s="2" t="s">
        <v>19</v>
      </c>
    </row>
    <row r="85" spans="1:11">
      <c r="A85" s="2" t="s">
        <v>3</v>
      </c>
    </row>
    <row r="87" spans="1:11">
      <c r="A87" s="2" t="s">
        <v>4</v>
      </c>
    </row>
    <row r="88" spans="1:11">
      <c r="A88" s="4" t="s">
        <v>195</v>
      </c>
    </row>
    <row r="89" spans="1:11">
      <c r="A89" s="2" t="s">
        <v>2</v>
      </c>
    </row>
    <row r="90" spans="1:11">
      <c r="A90" s="2" t="s">
        <v>20</v>
      </c>
    </row>
    <row r="91" spans="1:11">
      <c r="A91" s="2" t="s">
        <v>21</v>
      </c>
    </row>
    <row r="92" spans="1:11">
      <c r="A92" s="2" t="s">
        <v>22</v>
      </c>
    </row>
    <row r="93" spans="1:11">
      <c r="A93" s="4" t="s">
        <v>71</v>
      </c>
    </row>
    <row r="94" spans="1:11">
      <c r="A94" s="2" t="s">
        <v>3</v>
      </c>
    </row>
    <row r="96" spans="1:11" ht="12.75" customHeight="1">
      <c r="A96" s="65" t="s">
        <v>219</v>
      </c>
      <c r="B96" s="65"/>
      <c r="C96" s="65"/>
      <c r="D96" s="65"/>
      <c r="E96" s="65"/>
      <c r="F96" s="65"/>
      <c r="G96" s="65"/>
      <c r="H96" s="65"/>
      <c r="I96" s="65"/>
      <c r="J96" s="65"/>
      <c r="K96" s="65"/>
    </row>
    <row r="97" spans="1:11">
      <c r="A97" s="65"/>
      <c r="B97" s="65"/>
      <c r="C97" s="65"/>
      <c r="D97" s="65"/>
      <c r="E97" s="65"/>
      <c r="F97" s="65"/>
      <c r="G97" s="65"/>
      <c r="H97" s="65"/>
      <c r="I97" s="65"/>
      <c r="J97" s="65"/>
      <c r="K97" s="65"/>
    </row>
    <row r="98" spans="1:11">
      <c r="A98" s="65"/>
      <c r="B98" s="65"/>
      <c r="C98" s="65"/>
      <c r="D98" s="65"/>
      <c r="E98" s="65"/>
      <c r="F98" s="65"/>
      <c r="G98" s="65"/>
      <c r="H98" s="65"/>
      <c r="I98" s="65"/>
      <c r="J98" s="65"/>
      <c r="K98" s="65"/>
    </row>
    <row r="99" spans="1:11">
      <c r="A99" s="65"/>
      <c r="B99" s="65"/>
      <c r="C99" s="65"/>
      <c r="D99" s="65"/>
      <c r="E99" s="65"/>
      <c r="F99" s="65"/>
      <c r="G99" s="65"/>
      <c r="H99" s="65"/>
      <c r="I99" s="65"/>
      <c r="J99" s="65"/>
      <c r="K99" s="65"/>
    </row>
    <row r="100" spans="1:11">
      <c r="A100" s="65"/>
      <c r="B100" s="65"/>
      <c r="C100" s="65"/>
      <c r="D100" s="65"/>
      <c r="E100" s="65"/>
      <c r="F100" s="65"/>
      <c r="G100" s="65"/>
      <c r="H100" s="65"/>
      <c r="I100" s="65"/>
      <c r="J100" s="65"/>
      <c r="K100" s="65"/>
    </row>
    <row r="101" spans="1:11">
      <c r="A101" s="65"/>
      <c r="B101" s="65"/>
      <c r="C101" s="65"/>
      <c r="D101" s="65"/>
      <c r="E101" s="65"/>
      <c r="F101" s="65"/>
      <c r="G101" s="65"/>
      <c r="H101" s="65"/>
      <c r="I101" s="65"/>
      <c r="J101" s="65"/>
      <c r="K101" s="65"/>
    </row>
    <row r="102" spans="1:11">
      <c r="A102" s="65"/>
      <c r="B102" s="65"/>
      <c r="C102" s="65"/>
      <c r="D102" s="65"/>
      <c r="E102" s="65"/>
      <c r="F102" s="65"/>
      <c r="G102" s="65"/>
      <c r="H102" s="65"/>
      <c r="I102" s="65"/>
      <c r="J102" s="65"/>
      <c r="K102" s="65"/>
    </row>
    <row r="103" spans="1:11">
      <c r="A103" s="65"/>
      <c r="B103" s="65"/>
      <c r="C103" s="65"/>
      <c r="D103" s="65"/>
      <c r="E103" s="65"/>
      <c r="F103" s="65"/>
      <c r="G103" s="65"/>
      <c r="H103" s="65"/>
      <c r="I103" s="65"/>
      <c r="J103" s="65"/>
      <c r="K103" s="65"/>
    </row>
    <row r="104" spans="1:11">
      <c r="A104" s="65"/>
      <c r="B104" s="65"/>
      <c r="C104" s="65"/>
      <c r="D104" s="65"/>
      <c r="E104" s="65"/>
      <c r="F104" s="65"/>
      <c r="G104" s="65"/>
      <c r="H104" s="65"/>
      <c r="I104" s="65"/>
      <c r="J104" s="65"/>
      <c r="K104" s="65"/>
    </row>
    <row r="105" spans="1:11">
      <c r="A105" s="65"/>
      <c r="B105" s="65"/>
      <c r="C105" s="65"/>
      <c r="D105" s="65"/>
      <c r="E105" s="65"/>
      <c r="F105" s="65"/>
      <c r="G105" s="65"/>
      <c r="H105" s="65"/>
      <c r="I105" s="65"/>
      <c r="J105" s="65"/>
      <c r="K105" s="65"/>
    </row>
    <row r="106" spans="1:11">
      <c r="A106" s="2" t="s">
        <v>5</v>
      </c>
    </row>
    <row r="107" spans="1:11">
      <c r="A107" s="4" t="s">
        <v>222</v>
      </c>
    </row>
    <row r="108" spans="1:11">
      <c r="A108" s="2" t="s">
        <v>40</v>
      </c>
    </row>
    <row r="109" spans="1:11">
      <c r="A109" s="4" t="s">
        <v>220</v>
      </c>
    </row>
    <row r="110" spans="1:11">
      <c r="A110" s="4" t="s">
        <v>221</v>
      </c>
    </row>
    <row r="111" spans="1:11">
      <c r="A111" s="2" t="s">
        <v>3</v>
      </c>
    </row>
    <row r="112" spans="1:11">
      <c r="A112" s="2" t="s">
        <v>4</v>
      </c>
    </row>
    <row r="113" spans="1:1">
      <c r="A113" s="4" t="s">
        <v>105</v>
      </c>
    </row>
    <row r="114" spans="1:1">
      <c r="A114" s="2" t="s">
        <v>2</v>
      </c>
    </row>
    <row r="115" spans="1:1">
      <c r="A115" s="2" t="s">
        <v>20</v>
      </c>
    </row>
    <row r="116" spans="1:1">
      <c r="A116" s="4" t="s">
        <v>193</v>
      </c>
    </row>
    <row r="117" spans="1:1">
      <c r="A117" s="2" t="s">
        <v>22</v>
      </c>
    </row>
    <row r="118" spans="1:1">
      <c r="A118" s="4" t="s">
        <v>71</v>
      </c>
    </row>
    <row r="119" spans="1:1">
      <c r="A119" s="2" t="s">
        <v>3</v>
      </c>
    </row>
    <row r="121" spans="1:1">
      <c r="A121" s="4" t="s">
        <v>72</v>
      </c>
    </row>
    <row r="122" spans="1:1">
      <c r="A122" s="2" t="s">
        <v>2</v>
      </c>
    </row>
    <row r="123" spans="1:1">
      <c r="A123" s="2" t="s">
        <v>23</v>
      </c>
    </row>
    <row r="124" spans="1:1">
      <c r="A124" s="2" t="s">
        <v>24</v>
      </c>
    </row>
    <row r="125" spans="1:1">
      <c r="A125" s="2" t="s">
        <v>25</v>
      </c>
    </row>
    <row r="126" spans="1:1">
      <c r="A126" s="2" t="s">
        <v>26</v>
      </c>
    </row>
    <row r="127" spans="1:1">
      <c r="A127" s="2" t="s">
        <v>3</v>
      </c>
    </row>
    <row r="129" spans="1:8">
      <c r="A129" s="2" t="s">
        <v>4</v>
      </c>
    </row>
    <row r="130" spans="1:8" ht="12.75" customHeight="1">
      <c r="A130" s="65" t="s">
        <v>223</v>
      </c>
      <c r="B130" s="65"/>
      <c r="C130" s="65"/>
      <c r="D130" s="65"/>
      <c r="E130" s="65"/>
      <c r="F130" s="65"/>
      <c r="G130" s="65"/>
      <c r="H130" s="65"/>
    </row>
    <row r="131" spans="1:8">
      <c r="A131" s="65"/>
      <c r="B131" s="65"/>
      <c r="C131" s="65"/>
      <c r="D131" s="65"/>
      <c r="E131" s="65"/>
      <c r="F131" s="65"/>
      <c r="G131" s="65"/>
      <c r="H131" s="65"/>
    </row>
    <row r="132" spans="1:8">
      <c r="A132" s="65"/>
      <c r="B132" s="65"/>
      <c r="C132" s="65"/>
      <c r="D132" s="65"/>
      <c r="E132" s="65"/>
      <c r="F132" s="65"/>
      <c r="G132" s="65"/>
      <c r="H132" s="65"/>
    </row>
    <row r="133" spans="1:8">
      <c r="A133" s="65"/>
      <c r="B133" s="65"/>
      <c r="C133" s="65"/>
      <c r="D133" s="65"/>
      <c r="E133" s="65"/>
      <c r="F133" s="65"/>
      <c r="G133" s="65"/>
      <c r="H133" s="65"/>
    </row>
    <row r="134" spans="1:8">
      <c r="A134" s="65"/>
      <c r="B134" s="65"/>
      <c r="C134" s="65"/>
      <c r="D134" s="65"/>
      <c r="E134" s="65"/>
      <c r="F134" s="65"/>
      <c r="G134" s="65"/>
      <c r="H134" s="65"/>
    </row>
    <row r="135" spans="1:8">
      <c r="A135" s="65"/>
      <c r="B135" s="65"/>
      <c r="C135" s="65"/>
      <c r="D135" s="65"/>
      <c r="E135" s="65"/>
      <c r="F135" s="65"/>
      <c r="G135" s="65"/>
      <c r="H135" s="65"/>
    </row>
    <row r="136" spans="1:8">
      <c r="A136" s="65"/>
      <c r="B136" s="65"/>
      <c r="C136" s="65"/>
      <c r="D136" s="65"/>
      <c r="E136" s="65"/>
      <c r="F136" s="65"/>
      <c r="G136" s="65"/>
      <c r="H136" s="65"/>
    </row>
    <row r="137" spans="1:8">
      <c r="A137" s="65"/>
      <c r="B137" s="65"/>
      <c r="C137" s="65"/>
      <c r="D137" s="65"/>
      <c r="E137" s="65"/>
      <c r="F137" s="65"/>
      <c r="G137" s="65"/>
      <c r="H137" s="65"/>
    </row>
    <row r="138" spans="1:8">
      <c r="A138" s="65"/>
      <c r="B138" s="65"/>
      <c r="C138" s="65"/>
      <c r="D138" s="65"/>
      <c r="E138" s="65"/>
      <c r="F138" s="65"/>
      <c r="G138" s="65"/>
      <c r="H138" s="65"/>
    </row>
    <row r="139" spans="1:8">
      <c r="A139" s="65"/>
      <c r="B139" s="65"/>
      <c r="C139" s="65"/>
      <c r="D139" s="65"/>
      <c r="E139" s="65"/>
      <c r="F139" s="65"/>
      <c r="G139" s="65"/>
      <c r="H139" s="65"/>
    </row>
    <row r="140" spans="1:8">
      <c r="A140" s="65"/>
      <c r="B140" s="65"/>
      <c r="C140" s="65"/>
      <c r="D140" s="65"/>
      <c r="E140" s="65"/>
      <c r="F140" s="65"/>
      <c r="G140" s="65"/>
      <c r="H140" s="65"/>
    </row>
    <row r="141" spans="1:8">
      <c r="A141" s="2" t="s">
        <v>5</v>
      </c>
    </row>
    <row r="142" spans="1:8">
      <c r="A142" s="4" t="s">
        <v>227</v>
      </c>
    </row>
    <row r="143" spans="1:8">
      <c r="A143" s="4" t="s">
        <v>228</v>
      </c>
    </row>
    <row r="144" spans="1:8">
      <c r="A144" s="4" t="s">
        <v>229</v>
      </c>
    </row>
    <row r="145" spans="1:1">
      <c r="A145" s="4" t="s">
        <v>230</v>
      </c>
    </row>
    <row r="146" spans="1:1">
      <c r="A146" s="2" t="s">
        <v>3</v>
      </c>
    </row>
    <row r="148" spans="1:1">
      <c r="A148" s="10" t="s">
        <v>231</v>
      </c>
    </row>
    <row r="149" spans="1:1">
      <c r="A149" s="2" t="s">
        <v>2</v>
      </c>
    </row>
    <row r="150" spans="1:1">
      <c r="A150" s="4" t="s">
        <v>232</v>
      </c>
    </row>
    <row r="151" spans="1:1">
      <c r="A151" s="2" t="s">
        <v>27</v>
      </c>
    </row>
    <row r="152" spans="1:1">
      <c r="A152" s="2" t="s">
        <v>28</v>
      </c>
    </row>
    <row r="153" spans="1:1">
      <c r="A153" s="2" t="s">
        <v>73</v>
      </c>
    </row>
    <row r="154" spans="1:1">
      <c r="A154" s="2" t="s">
        <v>3</v>
      </c>
    </row>
    <row r="156" spans="1:1">
      <c r="A156" s="4" t="s">
        <v>233</v>
      </c>
    </row>
    <row r="157" spans="1:1">
      <c r="A157" s="2" t="s">
        <v>2</v>
      </c>
    </row>
    <row r="158" spans="1:1">
      <c r="A158" s="2" t="s">
        <v>29</v>
      </c>
    </row>
    <row r="159" spans="1:1">
      <c r="A159" s="2" t="s">
        <v>30</v>
      </c>
    </row>
    <row r="160" spans="1:1">
      <c r="A160" s="2" t="s">
        <v>61</v>
      </c>
    </row>
    <row r="161" spans="1:9">
      <c r="A161" s="2" t="s">
        <v>31</v>
      </c>
    </row>
    <row r="162" spans="1:9">
      <c r="A162" s="2" t="s">
        <v>3</v>
      </c>
    </row>
    <row r="163" spans="1:9">
      <c r="A163" s="2" t="s">
        <v>4</v>
      </c>
    </row>
    <row r="164" spans="1:9" ht="12.75" customHeight="1">
      <c r="A164" s="65" t="s">
        <v>234</v>
      </c>
      <c r="B164" s="65"/>
      <c r="C164" s="65"/>
      <c r="D164" s="65"/>
      <c r="E164" s="65"/>
      <c r="F164" s="65"/>
      <c r="G164" s="65"/>
      <c r="H164" s="65"/>
      <c r="I164" s="65"/>
    </row>
    <row r="165" spans="1:9">
      <c r="A165" s="65"/>
      <c r="B165" s="65"/>
      <c r="C165" s="65"/>
      <c r="D165" s="65"/>
      <c r="E165" s="65"/>
      <c r="F165" s="65"/>
      <c r="G165" s="65"/>
      <c r="H165" s="65"/>
      <c r="I165" s="65"/>
    </row>
    <row r="166" spans="1:9">
      <c r="A166" s="65"/>
      <c r="B166" s="65"/>
      <c r="C166" s="65"/>
      <c r="D166" s="65"/>
      <c r="E166" s="65"/>
      <c r="F166" s="65"/>
      <c r="G166" s="65"/>
      <c r="H166" s="65"/>
      <c r="I166" s="65"/>
    </row>
    <row r="167" spans="1:9">
      <c r="A167" s="65"/>
      <c r="B167" s="65"/>
      <c r="C167" s="65"/>
      <c r="D167" s="65"/>
      <c r="E167" s="65"/>
      <c r="F167" s="65"/>
      <c r="G167" s="65"/>
      <c r="H167" s="65"/>
      <c r="I167" s="65"/>
    </row>
    <row r="168" spans="1:9">
      <c r="A168" s="65"/>
      <c r="B168" s="65"/>
      <c r="C168" s="65"/>
      <c r="D168" s="65"/>
      <c r="E168" s="65"/>
      <c r="F168" s="65"/>
      <c r="G168" s="65"/>
      <c r="H168" s="65"/>
      <c r="I168" s="65"/>
    </row>
    <row r="169" spans="1:9">
      <c r="A169" s="65"/>
      <c r="B169" s="65"/>
      <c r="C169" s="65"/>
      <c r="D169" s="65"/>
      <c r="E169" s="65"/>
      <c r="F169" s="65"/>
      <c r="G169" s="65"/>
      <c r="H169" s="65"/>
      <c r="I169" s="65"/>
    </row>
    <row r="170" spans="1:9">
      <c r="A170" s="65"/>
      <c r="B170" s="65"/>
      <c r="C170" s="65"/>
      <c r="D170" s="65"/>
      <c r="E170" s="65"/>
      <c r="F170" s="65"/>
      <c r="G170" s="65"/>
      <c r="H170" s="65"/>
      <c r="I170" s="65"/>
    </row>
    <row r="171" spans="1:9">
      <c r="A171" s="65"/>
      <c r="B171" s="65"/>
      <c r="C171" s="65"/>
      <c r="D171" s="65"/>
      <c r="E171" s="65"/>
      <c r="F171" s="65"/>
      <c r="G171" s="65"/>
      <c r="H171" s="65"/>
      <c r="I171" s="65"/>
    </row>
    <row r="172" spans="1:9">
      <c r="A172" s="65"/>
      <c r="B172" s="65"/>
      <c r="C172" s="65"/>
      <c r="D172" s="65"/>
      <c r="E172" s="65"/>
      <c r="F172" s="65"/>
      <c r="G172" s="65"/>
      <c r="H172" s="65"/>
      <c r="I172" s="65"/>
    </row>
    <row r="173" spans="1:9">
      <c r="A173" s="65"/>
      <c r="B173" s="65"/>
      <c r="C173" s="65"/>
      <c r="D173" s="65"/>
      <c r="E173" s="65"/>
      <c r="F173" s="65"/>
      <c r="G173" s="65"/>
      <c r="H173" s="65"/>
      <c r="I173" s="65"/>
    </row>
    <row r="174" spans="1:9">
      <c r="A174" s="65"/>
      <c r="B174" s="65"/>
      <c r="C174" s="65"/>
      <c r="D174" s="65"/>
      <c r="E174" s="65"/>
      <c r="F174" s="65"/>
      <c r="G174" s="65"/>
      <c r="H174" s="65"/>
      <c r="I174" s="65"/>
    </row>
    <row r="175" spans="1:9">
      <c r="A175" s="65"/>
      <c r="B175" s="65"/>
      <c r="C175" s="65"/>
      <c r="D175" s="65"/>
      <c r="E175" s="65"/>
      <c r="F175" s="65"/>
      <c r="G175" s="65"/>
      <c r="H175" s="65"/>
      <c r="I175" s="65"/>
    </row>
    <row r="176" spans="1:9">
      <c r="A176" s="2" t="s">
        <v>1</v>
      </c>
    </row>
    <row r="177" spans="1:8">
      <c r="A177" s="2" t="s">
        <v>8</v>
      </c>
    </row>
    <row r="178" spans="1:8">
      <c r="A178" s="4" t="s">
        <v>244</v>
      </c>
    </row>
    <row r="179" spans="1:8">
      <c r="A179" s="4" t="s">
        <v>245</v>
      </c>
    </row>
    <row r="180" spans="1:8">
      <c r="A180" s="4" t="s">
        <v>243</v>
      </c>
    </row>
    <row r="181" spans="1:8">
      <c r="A181" s="4" t="s">
        <v>246</v>
      </c>
    </row>
    <row r="182" spans="1:8">
      <c r="A182" s="2" t="s">
        <v>3</v>
      </c>
    </row>
    <row r="184" spans="1:8">
      <c r="A184" s="2" t="s">
        <v>4</v>
      </c>
    </row>
    <row r="185" spans="1:8" ht="12.75" customHeight="1">
      <c r="A185" s="65" t="s">
        <v>247</v>
      </c>
      <c r="B185" s="65"/>
      <c r="C185" s="65"/>
      <c r="D185" s="65"/>
      <c r="E185" s="65"/>
      <c r="F185" s="65"/>
      <c r="G185" s="65"/>
      <c r="H185" s="65"/>
    </row>
    <row r="186" spans="1:8">
      <c r="A186" s="65"/>
      <c r="B186" s="65"/>
      <c r="C186" s="65"/>
      <c r="D186" s="65"/>
      <c r="E186" s="65"/>
      <c r="F186" s="65"/>
      <c r="G186" s="65"/>
      <c r="H186" s="65"/>
    </row>
    <row r="187" spans="1:8">
      <c r="A187" s="65"/>
      <c r="B187" s="65"/>
      <c r="C187" s="65"/>
      <c r="D187" s="65"/>
      <c r="E187" s="65"/>
      <c r="F187" s="65"/>
      <c r="G187" s="65"/>
      <c r="H187" s="65"/>
    </row>
    <row r="188" spans="1:8">
      <c r="A188" s="65"/>
      <c r="B188" s="65"/>
      <c r="C188" s="65"/>
      <c r="D188" s="65"/>
      <c r="E188" s="65"/>
      <c r="F188" s="65"/>
      <c r="G188" s="65"/>
      <c r="H188" s="65"/>
    </row>
    <row r="189" spans="1:8">
      <c r="A189" s="65"/>
      <c r="B189" s="65"/>
      <c r="C189" s="65"/>
      <c r="D189" s="65"/>
      <c r="E189" s="65"/>
      <c r="F189" s="65"/>
      <c r="G189" s="65"/>
      <c r="H189" s="65"/>
    </row>
    <row r="190" spans="1:8">
      <c r="A190" s="65"/>
      <c r="B190" s="65"/>
      <c r="C190" s="65"/>
      <c r="D190" s="65"/>
      <c r="E190" s="65"/>
      <c r="F190" s="65"/>
      <c r="G190" s="65"/>
      <c r="H190" s="65"/>
    </row>
    <row r="191" spans="1:8">
      <c r="A191" s="65"/>
      <c r="B191" s="65"/>
      <c r="C191" s="65"/>
      <c r="D191" s="65"/>
      <c r="E191" s="65"/>
      <c r="F191" s="65"/>
      <c r="G191" s="65"/>
      <c r="H191" s="65"/>
    </row>
    <row r="192" spans="1:8">
      <c r="A192" s="65"/>
      <c r="B192" s="65"/>
      <c r="C192" s="65"/>
      <c r="D192" s="65"/>
      <c r="E192" s="65"/>
      <c r="F192" s="65"/>
      <c r="G192" s="65"/>
      <c r="H192" s="65"/>
    </row>
    <row r="193" spans="1:8">
      <c r="A193" s="65"/>
      <c r="B193" s="65"/>
      <c r="C193" s="65"/>
      <c r="D193" s="65"/>
      <c r="E193" s="65"/>
      <c r="F193" s="65"/>
      <c r="G193" s="65"/>
      <c r="H193" s="65"/>
    </row>
    <row r="194" spans="1:8">
      <c r="A194" s="65"/>
      <c r="B194" s="65"/>
      <c r="C194" s="65"/>
      <c r="D194" s="65"/>
      <c r="E194" s="65"/>
      <c r="F194" s="65"/>
      <c r="G194" s="65"/>
      <c r="H194" s="65"/>
    </row>
    <row r="195" spans="1:8">
      <c r="A195" s="65"/>
      <c r="B195" s="65"/>
      <c r="C195" s="65"/>
      <c r="D195" s="65"/>
      <c r="E195" s="65"/>
      <c r="F195" s="65"/>
      <c r="G195" s="65"/>
      <c r="H195" s="65"/>
    </row>
    <row r="196" spans="1:8">
      <c r="A196" s="65"/>
      <c r="B196" s="65"/>
      <c r="C196" s="65"/>
      <c r="D196" s="65"/>
      <c r="E196" s="65"/>
      <c r="F196" s="65"/>
      <c r="G196" s="65"/>
      <c r="H196" s="65"/>
    </row>
    <row r="197" spans="1:8">
      <c r="A197" s="2" t="s">
        <v>5</v>
      </c>
    </row>
    <row r="198" spans="1:8">
      <c r="A198" s="2" t="s">
        <v>35</v>
      </c>
    </row>
    <row r="199" spans="1:8">
      <c r="A199" s="2" t="s">
        <v>36</v>
      </c>
    </row>
    <row r="200" spans="1:8">
      <c r="A200" s="2" t="s">
        <v>37</v>
      </c>
    </row>
    <row r="201" spans="1:8">
      <c r="A201" s="2" t="s">
        <v>83</v>
      </c>
    </row>
    <row r="202" spans="1:8">
      <c r="A202" s="2" t="s">
        <v>3</v>
      </c>
    </row>
    <row r="204" spans="1:8">
      <c r="A204" s="2" t="s">
        <v>4</v>
      </c>
    </row>
    <row r="205" spans="1:8" ht="12.75" customHeight="1">
      <c r="A205" s="65" t="s">
        <v>258</v>
      </c>
      <c r="B205" s="65"/>
      <c r="C205" s="65"/>
      <c r="D205" s="65"/>
      <c r="E205" s="65"/>
      <c r="F205" s="65"/>
      <c r="G205" s="65"/>
      <c r="H205" s="65"/>
    </row>
    <row r="206" spans="1:8">
      <c r="A206" s="65"/>
      <c r="B206" s="65"/>
      <c r="C206" s="65"/>
      <c r="D206" s="65"/>
      <c r="E206" s="65"/>
      <c r="F206" s="65"/>
      <c r="G206" s="65"/>
      <c r="H206" s="65"/>
    </row>
    <row r="207" spans="1:8">
      <c r="A207" s="65"/>
      <c r="B207" s="65"/>
      <c r="C207" s="65"/>
      <c r="D207" s="65"/>
      <c r="E207" s="65"/>
      <c r="F207" s="65"/>
      <c r="G207" s="65"/>
      <c r="H207" s="65"/>
    </row>
    <row r="208" spans="1:8">
      <c r="A208" s="65"/>
      <c r="B208" s="65"/>
      <c r="C208" s="65"/>
      <c r="D208" s="65"/>
      <c r="E208" s="65"/>
      <c r="F208" s="65"/>
      <c r="G208" s="65"/>
      <c r="H208" s="65"/>
    </row>
    <row r="209" spans="1:8">
      <c r="A209" s="65"/>
      <c r="B209" s="65"/>
      <c r="C209" s="65"/>
      <c r="D209" s="65"/>
      <c r="E209" s="65"/>
      <c r="F209" s="65"/>
      <c r="G209" s="65"/>
      <c r="H209" s="65"/>
    </row>
    <row r="210" spans="1:8">
      <c r="A210" s="65"/>
      <c r="B210" s="65"/>
      <c r="C210" s="65"/>
      <c r="D210" s="65"/>
      <c r="E210" s="65"/>
      <c r="F210" s="65"/>
      <c r="G210" s="65"/>
      <c r="H210" s="65"/>
    </row>
    <row r="211" spans="1:8">
      <c r="A211" s="65"/>
      <c r="B211" s="65"/>
      <c r="C211" s="65"/>
      <c r="D211" s="65"/>
      <c r="E211" s="65"/>
      <c r="F211" s="65"/>
      <c r="G211" s="65"/>
      <c r="H211" s="65"/>
    </row>
    <row r="212" spans="1:8">
      <c r="A212" s="65"/>
      <c r="B212" s="65"/>
      <c r="C212" s="65"/>
      <c r="D212" s="65"/>
      <c r="E212" s="65"/>
      <c r="F212" s="65"/>
      <c r="G212" s="65"/>
      <c r="H212" s="65"/>
    </row>
    <row r="213" spans="1:8">
      <c r="A213" s="65"/>
      <c r="B213" s="65"/>
      <c r="C213" s="65"/>
      <c r="D213" s="65"/>
      <c r="E213" s="65"/>
      <c r="F213" s="65"/>
      <c r="G213" s="65"/>
      <c r="H213" s="65"/>
    </row>
    <row r="214" spans="1:8">
      <c r="A214" s="65"/>
      <c r="B214" s="65"/>
      <c r="C214" s="65"/>
      <c r="D214" s="65"/>
      <c r="E214" s="65"/>
      <c r="F214" s="65"/>
      <c r="G214" s="65"/>
      <c r="H214" s="65"/>
    </row>
    <row r="215" spans="1:8">
      <c r="A215" s="65"/>
      <c r="B215" s="65"/>
      <c r="C215" s="65"/>
      <c r="D215" s="65"/>
      <c r="E215" s="65"/>
      <c r="F215" s="65"/>
      <c r="G215" s="65"/>
      <c r="H215" s="65"/>
    </row>
    <row r="216" spans="1:8">
      <c r="A216" s="4" t="s">
        <v>5</v>
      </c>
    </row>
    <row r="217" spans="1:8">
      <c r="A217" s="2" t="s">
        <v>84</v>
      </c>
    </row>
    <row r="218" spans="1:8">
      <c r="A218" s="4" t="s">
        <v>262</v>
      </c>
    </row>
    <row r="219" spans="1:8">
      <c r="A219" s="2" t="s">
        <v>38</v>
      </c>
    </row>
    <row r="220" spans="1:8">
      <c r="A220" s="4" t="s">
        <v>261</v>
      </c>
    </row>
    <row r="221" spans="1:8">
      <c r="A221" s="2" t="s">
        <v>3</v>
      </c>
    </row>
    <row r="223" spans="1:8">
      <c r="A223" s="4" t="s">
        <v>263</v>
      </c>
    </row>
    <row r="224" spans="1:8">
      <c r="A224" s="2" t="s">
        <v>2</v>
      </c>
    </row>
    <row r="225" spans="1:1">
      <c r="A225" s="2" t="s">
        <v>39</v>
      </c>
    </row>
    <row r="226" spans="1:1">
      <c r="A226" s="4" t="s">
        <v>266</v>
      </c>
    </row>
    <row r="227" spans="1:1">
      <c r="A227" s="4" t="s">
        <v>265</v>
      </c>
    </row>
    <row r="228" spans="1:1">
      <c r="A228" s="4" t="s">
        <v>264</v>
      </c>
    </row>
    <row r="229" spans="1:1">
      <c r="A229" s="2" t="s">
        <v>3</v>
      </c>
    </row>
    <row r="231" spans="1:1">
      <c r="A231" s="4" t="s">
        <v>267</v>
      </c>
    </row>
    <row r="232" spans="1:1">
      <c r="A232" s="2" t="s">
        <v>2</v>
      </c>
    </row>
    <row r="233" spans="1:1">
      <c r="A233" s="2" t="s">
        <v>75</v>
      </c>
    </row>
    <row r="234" spans="1:1">
      <c r="A234" s="2" t="s">
        <v>62</v>
      </c>
    </row>
    <row r="235" spans="1:1">
      <c r="A235" s="2" t="s">
        <v>76</v>
      </c>
    </row>
    <row r="236" spans="1:1">
      <c r="A236" s="2" t="s">
        <v>77</v>
      </c>
    </row>
    <row r="237" spans="1:1">
      <c r="A237" s="2" t="s">
        <v>3</v>
      </c>
    </row>
    <row r="239" spans="1:1">
      <c r="A239" s="2" t="s">
        <v>4</v>
      </c>
    </row>
    <row r="240" spans="1:1">
      <c r="A240" s="4" t="s">
        <v>269</v>
      </c>
    </row>
    <row r="241" spans="1:1">
      <c r="A241" s="2" t="s">
        <v>2</v>
      </c>
    </row>
    <row r="242" spans="1:1">
      <c r="A242" s="4" t="s">
        <v>268</v>
      </c>
    </row>
    <row r="243" spans="1:1">
      <c r="A243" s="2" t="s">
        <v>62</v>
      </c>
    </row>
    <row r="244" spans="1:1">
      <c r="A244" s="2" t="s">
        <v>76</v>
      </c>
    </row>
    <row r="245" spans="1:1">
      <c r="A245" s="2" t="s">
        <v>77</v>
      </c>
    </row>
    <row r="246" spans="1:1">
      <c r="A246" s="2" t="s">
        <v>3</v>
      </c>
    </row>
    <row r="248" spans="1:1">
      <c r="A248" s="2" t="s">
        <v>4</v>
      </c>
    </row>
    <row r="249" spans="1:1">
      <c r="A249" s="4" t="s">
        <v>270</v>
      </c>
    </row>
    <row r="250" spans="1:1">
      <c r="A250" s="2" t="s">
        <v>2</v>
      </c>
    </row>
    <row r="251" spans="1:1">
      <c r="A251" s="2" t="s">
        <v>41</v>
      </c>
    </row>
    <row r="252" spans="1:1">
      <c r="A252" s="2" t="s">
        <v>42</v>
      </c>
    </row>
    <row r="253" spans="1:1">
      <c r="A253" s="2" t="s">
        <v>43</v>
      </c>
    </row>
    <row r="254" spans="1:1">
      <c r="A254" s="2" t="s">
        <v>78</v>
      </c>
    </row>
    <row r="255" spans="1:1">
      <c r="A255" s="2" t="s">
        <v>3</v>
      </c>
    </row>
    <row r="257" spans="1:1">
      <c r="A257" s="2" t="s">
        <v>4</v>
      </c>
    </row>
    <row r="258" spans="1:1">
      <c r="A258" s="4" t="s">
        <v>271</v>
      </c>
    </row>
    <row r="259" spans="1:1">
      <c r="A259" s="2" t="s">
        <v>2</v>
      </c>
    </row>
    <row r="260" spans="1:1">
      <c r="A260" s="2" t="s">
        <v>20</v>
      </c>
    </row>
    <row r="261" spans="1:1">
      <c r="A261" s="2" t="s">
        <v>193</v>
      </c>
    </row>
    <row r="262" spans="1:1">
      <c r="A262" s="2" t="s">
        <v>22</v>
      </c>
    </row>
    <row r="263" spans="1:1">
      <c r="A263" s="4" t="s">
        <v>71</v>
      </c>
    </row>
    <row r="264" spans="1:1">
      <c r="A264" s="2" t="s">
        <v>3</v>
      </c>
    </row>
    <row r="266" spans="1:1">
      <c r="A266" s="2" t="s">
        <v>4</v>
      </c>
    </row>
    <row r="267" spans="1:1">
      <c r="A267" s="4" t="s">
        <v>272</v>
      </c>
    </row>
    <row r="268" spans="1:1">
      <c r="A268" s="2" t="s">
        <v>2</v>
      </c>
    </row>
    <row r="269" spans="1:1">
      <c r="A269" s="2" t="s">
        <v>44</v>
      </c>
    </row>
    <row r="270" spans="1:1">
      <c r="A270" s="2" t="s">
        <v>45</v>
      </c>
    </row>
    <row r="271" spans="1:1">
      <c r="A271" s="2" t="s">
        <v>79</v>
      </c>
    </row>
    <row r="272" spans="1:1">
      <c r="A272" s="2" t="s">
        <v>46</v>
      </c>
    </row>
    <row r="273" spans="1:1">
      <c r="A273" s="2" t="s">
        <v>3</v>
      </c>
    </row>
    <row r="275" spans="1:1">
      <c r="A275" s="2" t="s">
        <v>4</v>
      </c>
    </row>
    <row r="276" spans="1:1">
      <c r="A276" s="2" t="s">
        <v>80</v>
      </c>
    </row>
    <row r="277" spans="1:1">
      <c r="A277" s="2" t="s">
        <v>2</v>
      </c>
    </row>
    <row r="278" spans="1:1">
      <c r="A278" s="2" t="s">
        <v>47</v>
      </c>
    </row>
    <row r="279" spans="1:1">
      <c r="A279" s="2" t="s">
        <v>48</v>
      </c>
    </row>
    <row r="280" spans="1:1">
      <c r="A280" s="2" t="s">
        <v>49</v>
      </c>
    </row>
    <row r="281" spans="1:1">
      <c r="A281" s="2" t="s">
        <v>11</v>
      </c>
    </row>
    <row r="282" spans="1:1">
      <c r="A282" s="2" t="s">
        <v>3</v>
      </c>
    </row>
    <row r="284" spans="1:1">
      <c r="A284" s="2" t="s">
        <v>4</v>
      </c>
    </row>
    <row r="285" spans="1:1">
      <c r="A285" s="4" t="s">
        <v>273</v>
      </c>
    </row>
    <row r="286" spans="1:1">
      <c r="A286" s="2" t="s">
        <v>2</v>
      </c>
    </row>
    <row r="287" spans="1:1">
      <c r="A287" s="2" t="s">
        <v>81</v>
      </c>
    </row>
    <row r="288" spans="1:1">
      <c r="A288" s="2" t="s">
        <v>50</v>
      </c>
    </row>
    <row r="289" spans="1:8">
      <c r="A289" s="4" t="s">
        <v>274</v>
      </c>
    </row>
    <row r="290" spans="1:8">
      <c r="A290" s="2" t="s">
        <v>82</v>
      </c>
    </row>
    <row r="291" spans="1:8">
      <c r="A291" s="2" t="s">
        <v>3</v>
      </c>
    </row>
    <row r="293" spans="1:8" ht="12.75" customHeight="1">
      <c r="A293" s="65" t="s">
        <v>275</v>
      </c>
      <c r="B293" s="65"/>
      <c r="C293" s="65"/>
      <c r="D293" s="65"/>
      <c r="E293" s="65"/>
      <c r="F293" s="65"/>
      <c r="G293" s="65"/>
      <c r="H293" s="65"/>
    </row>
    <row r="294" spans="1:8">
      <c r="A294" s="65"/>
      <c r="B294" s="65"/>
      <c r="C294" s="65"/>
      <c r="D294" s="65"/>
      <c r="E294" s="65"/>
      <c r="F294" s="65"/>
      <c r="G294" s="65"/>
      <c r="H294" s="65"/>
    </row>
    <row r="295" spans="1:8">
      <c r="A295" s="65"/>
      <c r="B295" s="65"/>
      <c r="C295" s="65"/>
      <c r="D295" s="65"/>
      <c r="E295" s="65"/>
      <c r="F295" s="65"/>
      <c r="G295" s="65"/>
      <c r="H295" s="65"/>
    </row>
    <row r="296" spans="1:8">
      <c r="A296" s="65"/>
      <c r="B296" s="65"/>
      <c r="C296" s="65"/>
      <c r="D296" s="65"/>
      <c r="E296" s="65"/>
      <c r="F296" s="65"/>
      <c r="G296" s="65"/>
      <c r="H296" s="65"/>
    </row>
    <row r="297" spans="1:8">
      <c r="A297" s="65"/>
      <c r="B297" s="65"/>
      <c r="C297" s="65"/>
      <c r="D297" s="65"/>
      <c r="E297" s="65"/>
      <c r="F297" s="65"/>
      <c r="G297" s="65"/>
      <c r="H297" s="65"/>
    </row>
    <row r="298" spans="1:8">
      <c r="A298" s="65"/>
      <c r="B298" s="65"/>
      <c r="C298" s="65"/>
      <c r="D298" s="65"/>
      <c r="E298" s="65"/>
      <c r="F298" s="65"/>
      <c r="G298" s="65"/>
      <c r="H298" s="65"/>
    </row>
    <row r="299" spans="1:8">
      <c r="A299" s="2" t="s">
        <v>5</v>
      </c>
    </row>
    <row r="300" spans="1:8">
      <c r="A300" s="2" t="s">
        <v>51</v>
      </c>
    </row>
    <row r="301" spans="1:8">
      <c r="A301" s="2" t="s">
        <v>52</v>
      </c>
    </row>
    <row r="302" spans="1:8">
      <c r="A302" s="2" t="s">
        <v>53</v>
      </c>
    </row>
    <row r="303" spans="1:8">
      <c r="A303" s="2" t="s">
        <v>54</v>
      </c>
    </row>
    <row r="304" spans="1:8">
      <c r="A304" s="2" t="s">
        <v>3</v>
      </c>
    </row>
    <row r="306" spans="1:1">
      <c r="A306" s="4" t="s">
        <v>290</v>
      </c>
    </row>
    <row r="307" spans="1:1">
      <c r="A307" s="2" t="s">
        <v>2</v>
      </c>
    </row>
    <row r="308" spans="1:1">
      <c r="A308" s="2" t="s">
        <v>55</v>
      </c>
    </row>
    <row r="309" spans="1:1">
      <c r="A309" s="2" t="s">
        <v>56</v>
      </c>
    </row>
    <row r="310" spans="1:1">
      <c r="A310" s="2" t="s">
        <v>57</v>
      </c>
    </row>
    <row r="311" spans="1:1">
      <c r="A311" s="2" t="s">
        <v>58</v>
      </c>
    </row>
    <row r="312" spans="1:1">
      <c r="A312" s="2" t="s">
        <v>3</v>
      </c>
    </row>
    <row r="314" spans="1:1">
      <c r="A314" s="2" t="s">
        <v>4</v>
      </c>
    </row>
    <row r="315" spans="1:1">
      <c r="A315" s="2" t="s">
        <v>4</v>
      </c>
    </row>
    <row r="316" spans="1:1">
      <c r="A316" s="10" t="s">
        <v>292</v>
      </c>
    </row>
    <row r="317" spans="1:1">
      <c r="A317" s="2" t="s">
        <v>2</v>
      </c>
    </row>
    <row r="318" spans="1:1">
      <c r="A318" s="2" t="s">
        <v>59</v>
      </c>
    </row>
    <row r="319" spans="1:1">
      <c r="A319" s="4" t="s">
        <v>291</v>
      </c>
    </row>
    <row r="320" spans="1:1">
      <c r="A320" s="2" t="s">
        <v>60</v>
      </c>
    </row>
    <row r="321" spans="1:6">
      <c r="A321" s="2" t="s">
        <v>85</v>
      </c>
    </row>
    <row r="322" spans="1:6">
      <c r="A322" s="2" t="s">
        <v>3</v>
      </c>
    </row>
    <row r="324" spans="1:6" ht="12.75" customHeight="1">
      <c r="A324" s="65" t="s">
        <v>182</v>
      </c>
      <c r="B324" s="65"/>
      <c r="C324" s="65"/>
      <c r="D324" s="65"/>
      <c r="E324" s="65"/>
      <c r="F324" s="65"/>
    </row>
    <row r="325" spans="1:6">
      <c r="A325" s="65"/>
      <c r="B325" s="65"/>
      <c r="C325" s="65"/>
      <c r="D325" s="65"/>
      <c r="E325" s="65"/>
      <c r="F325" s="65"/>
    </row>
    <row r="326" spans="1:6">
      <c r="A326" s="65"/>
      <c r="B326" s="65"/>
      <c r="C326" s="65"/>
      <c r="D326" s="65"/>
      <c r="E326" s="65"/>
      <c r="F326" s="65"/>
    </row>
    <row r="327" spans="1:6">
      <c r="A327" s="65"/>
      <c r="B327" s="65"/>
      <c r="C327" s="65"/>
      <c r="D327" s="65"/>
      <c r="E327" s="65"/>
      <c r="F327" s="65"/>
    </row>
    <row r="328" spans="1:6">
      <c r="A328" s="65"/>
      <c r="B328" s="65"/>
      <c r="C328" s="65"/>
      <c r="D328" s="65"/>
      <c r="E328" s="65"/>
      <c r="F328" s="65"/>
    </row>
    <row r="329" spans="1:6">
      <c r="A329" s="65"/>
      <c r="B329" s="65"/>
      <c r="C329" s="65"/>
      <c r="D329" s="65"/>
      <c r="E329" s="65"/>
      <c r="F329" s="65"/>
    </row>
    <row r="330" spans="1:6">
      <c r="A330" s="65"/>
      <c r="B330" s="65"/>
      <c r="C330" s="65"/>
      <c r="D330" s="65"/>
      <c r="E330" s="65"/>
      <c r="F330" s="65"/>
    </row>
    <row r="331" spans="1:6">
      <c r="A331" s="65"/>
      <c r="B331" s="65"/>
      <c r="C331" s="65"/>
      <c r="D331" s="65"/>
      <c r="E331" s="65"/>
      <c r="F331" s="65"/>
    </row>
    <row r="332" spans="1:6">
      <c r="A332" s="4" t="s">
        <v>8</v>
      </c>
    </row>
    <row r="333" spans="1:6">
      <c r="A333" s="4" t="s">
        <v>189</v>
      </c>
    </row>
    <row r="334" spans="1:6">
      <c r="A334" s="4" t="s">
        <v>190</v>
      </c>
    </row>
    <row r="335" spans="1:6">
      <c r="A335" s="4" t="s">
        <v>191</v>
      </c>
    </row>
    <row r="336" spans="1:6">
      <c r="A336" s="4" t="s">
        <v>183</v>
      </c>
    </row>
    <row r="337" spans="1:1">
      <c r="A337" s="2" t="s">
        <v>3</v>
      </c>
    </row>
  </sheetData>
  <mergeCells count="9">
    <mergeCell ref="A205:H215"/>
    <mergeCell ref="A293:H298"/>
    <mergeCell ref="A324:F331"/>
    <mergeCell ref="A12:F23"/>
    <mergeCell ref="A40:G45"/>
    <mergeCell ref="A96:K105"/>
    <mergeCell ref="A130:H140"/>
    <mergeCell ref="A164:I175"/>
    <mergeCell ref="A185:H196"/>
  </mergeCells>
  <pageMargins left="0.75" right="0.75" top="1" bottom="1" header="0.5" footer="0.5"/>
  <pageSetup paperSize="9" orientation="portrait" horizontalDpi="300" verticalDpi="0" copies="0" r:id="rId1"/>
  <headerFooter alignWithMargins="0"/>
</worksheet>
</file>

<file path=xl/worksheets/sheet3.xml><?xml version="1.0" encoding="utf-8"?>
<worksheet xmlns="http://schemas.openxmlformats.org/spreadsheetml/2006/main" xmlns:r="http://schemas.openxmlformats.org/officeDocument/2006/relationships">
  <dimension ref="A1:I337"/>
  <sheetViews>
    <sheetView zoomScale="115" zoomScaleNormal="115" workbookViewId="0">
      <pane ySplit="2" topLeftCell="A318" activePane="bottomLeft" state="frozen"/>
      <selection pane="bottomLeft" activeCell="A9" sqref="A9"/>
    </sheetView>
  </sheetViews>
  <sheetFormatPr defaultColWidth="9.140625" defaultRowHeight="12.75"/>
  <cols>
    <col min="1" max="1" width="44.42578125" style="2" customWidth="1"/>
    <col min="3" max="3" width="20.5703125" bestFit="1" customWidth="1"/>
  </cols>
  <sheetData>
    <row r="1" spans="1:4">
      <c r="A1" s="3" t="s">
        <v>104</v>
      </c>
    </row>
    <row r="2" spans="1:4">
      <c r="A2" s="3" t="s">
        <v>0</v>
      </c>
    </row>
    <row r="4" spans="1:4">
      <c r="A4" s="4" t="s">
        <v>170</v>
      </c>
    </row>
    <row r="5" spans="1:4">
      <c r="A5" s="2" t="s">
        <v>2</v>
      </c>
    </row>
    <row r="6" spans="1:4">
      <c r="A6" s="4" t="s">
        <v>171</v>
      </c>
    </row>
    <row r="7" spans="1:4">
      <c r="A7" s="4" t="s">
        <v>172</v>
      </c>
    </row>
    <row r="8" spans="1:4">
      <c r="A8" s="5" t="s">
        <v>173</v>
      </c>
    </row>
    <row r="9" spans="1:4">
      <c r="A9" s="4" t="s">
        <v>103</v>
      </c>
    </row>
    <row r="10" spans="1:4">
      <c r="A10" s="2" t="s">
        <v>3</v>
      </c>
    </row>
    <row r="12" spans="1:4" ht="12.75" customHeight="1">
      <c r="A12" s="66" t="s">
        <v>169</v>
      </c>
      <c r="B12" s="66"/>
      <c r="C12" s="66"/>
      <c r="D12" s="66"/>
    </row>
    <row r="13" spans="1:4">
      <c r="A13" s="66"/>
      <c r="B13" s="66"/>
      <c r="C13" s="66"/>
      <c r="D13" s="66"/>
    </row>
    <row r="14" spans="1:4">
      <c r="A14" s="66"/>
      <c r="B14" s="66"/>
      <c r="C14" s="66"/>
      <c r="D14" s="66"/>
    </row>
    <row r="15" spans="1:4">
      <c r="A15" s="66"/>
      <c r="B15" s="66"/>
      <c r="C15" s="66"/>
      <c r="D15" s="66"/>
    </row>
    <row r="16" spans="1:4">
      <c r="A16" s="66"/>
      <c r="B16" s="66"/>
      <c r="C16" s="66"/>
      <c r="D16" s="66"/>
    </row>
    <row r="17" spans="1:4">
      <c r="A17" s="66"/>
      <c r="B17" s="66"/>
      <c r="C17" s="66"/>
      <c r="D17" s="66"/>
    </row>
    <row r="18" spans="1:4">
      <c r="A18" s="66"/>
      <c r="B18" s="66"/>
      <c r="C18" s="66"/>
      <c r="D18" s="66"/>
    </row>
    <row r="19" spans="1:4">
      <c r="A19" s="66"/>
      <c r="B19" s="66"/>
      <c r="C19" s="66"/>
      <c r="D19" s="66"/>
    </row>
    <row r="20" spans="1:4">
      <c r="A20" s="66"/>
      <c r="B20" s="66"/>
      <c r="C20" s="66"/>
      <c r="D20" s="66"/>
    </row>
    <row r="21" spans="1:4">
      <c r="A21" s="66"/>
      <c r="B21" s="66"/>
      <c r="C21" s="66"/>
      <c r="D21" s="66"/>
    </row>
    <row r="22" spans="1:4">
      <c r="A22" s="66"/>
      <c r="B22" s="66"/>
      <c r="C22" s="66"/>
      <c r="D22" s="66"/>
    </row>
    <row r="23" spans="1:4">
      <c r="A23" s="66"/>
      <c r="B23" s="66"/>
      <c r="C23" s="66"/>
      <c r="D23" s="66"/>
    </row>
    <row r="24" spans="1:4">
      <c r="A24" s="2" t="s">
        <v>5</v>
      </c>
    </row>
    <row r="25" spans="1:4">
      <c r="A25" s="2" t="s">
        <v>6</v>
      </c>
    </row>
    <row r="26" spans="1:4">
      <c r="A26" s="4" t="s">
        <v>63</v>
      </c>
    </row>
    <row r="27" spans="1:4">
      <c r="A27" s="2" t="s">
        <v>7</v>
      </c>
    </row>
    <row r="28" spans="1:4">
      <c r="A28" s="5" t="s">
        <v>174</v>
      </c>
    </row>
    <row r="29" spans="1:4">
      <c r="A29" s="2" t="s">
        <v>3</v>
      </c>
    </row>
    <row r="31" spans="1:4">
      <c r="A31" s="4" t="s">
        <v>64</v>
      </c>
    </row>
    <row r="32" spans="1:4">
      <c r="A32" s="2" t="s">
        <v>2</v>
      </c>
    </row>
    <row r="33" spans="1:4">
      <c r="A33" s="4" t="s">
        <v>65</v>
      </c>
    </row>
    <row r="34" spans="1:4">
      <c r="A34" s="4" t="s">
        <v>180</v>
      </c>
    </row>
    <row r="35" spans="1:4">
      <c r="A35" s="5" t="s">
        <v>66</v>
      </c>
    </row>
    <row r="36" spans="1:4">
      <c r="A36" s="4" t="s">
        <v>67</v>
      </c>
    </row>
    <row r="37" spans="1:4">
      <c r="A37" s="2" t="s">
        <v>3</v>
      </c>
    </row>
    <row r="39" spans="1:4">
      <c r="A39" s="2" t="s">
        <v>4</v>
      </c>
    </row>
    <row r="40" spans="1:4" ht="12.75" customHeight="1">
      <c r="A40" s="65" t="s">
        <v>187</v>
      </c>
      <c r="B40" s="65"/>
      <c r="C40" s="65"/>
      <c r="D40" s="65"/>
    </row>
    <row r="41" spans="1:4">
      <c r="A41" s="65"/>
      <c r="B41" s="65"/>
      <c r="C41" s="65"/>
      <c r="D41" s="65"/>
    </row>
    <row r="42" spans="1:4">
      <c r="A42" s="65"/>
      <c r="B42" s="65"/>
      <c r="C42" s="65"/>
      <c r="D42" s="65"/>
    </row>
    <row r="43" spans="1:4">
      <c r="A43" s="65"/>
      <c r="B43" s="65"/>
      <c r="C43" s="65"/>
      <c r="D43" s="65"/>
    </row>
    <row r="44" spans="1:4">
      <c r="A44" s="65"/>
      <c r="B44" s="65"/>
      <c r="C44" s="65"/>
      <c r="D44" s="65"/>
    </row>
    <row r="45" spans="1:4">
      <c r="A45" s="65"/>
      <c r="B45" s="65"/>
      <c r="C45" s="65"/>
      <c r="D45" s="65"/>
    </row>
    <row r="46" spans="1:4">
      <c r="A46" s="2" t="s">
        <v>8</v>
      </c>
    </row>
    <row r="47" spans="1:4">
      <c r="A47" s="2" t="s">
        <v>9</v>
      </c>
    </row>
    <row r="48" spans="1:4">
      <c r="A48" s="4" t="s">
        <v>68</v>
      </c>
    </row>
    <row r="49" spans="1:1">
      <c r="A49" s="2" t="s">
        <v>10</v>
      </c>
    </row>
    <row r="50" spans="1:1">
      <c r="A50" s="5" t="s">
        <v>188</v>
      </c>
    </row>
    <row r="51" spans="1:1">
      <c r="A51" s="2" t="s">
        <v>3</v>
      </c>
    </row>
    <row r="53" spans="1:1">
      <c r="A53" s="2" t="s">
        <v>4</v>
      </c>
    </row>
    <row r="54" spans="1:1">
      <c r="A54" s="4" t="s">
        <v>192</v>
      </c>
    </row>
    <row r="55" spans="1:1">
      <c r="A55" s="2" t="s">
        <v>2</v>
      </c>
    </row>
    <row r="56" spans="1:1">
      <c r="A56" s="2" t="s">
        <v>20</v>
      </c>
    </row>
    <row r="57" spans="1:1">
      <c r="A57" s="2" t="s">
        <v>21</v>
      </c>
    </row>
    <row r="58" spans="1:1">
      <c r="A58" s="6" t="s">
        <v>22</v>
      </c>
    </row>
    <row r="59" spans="1:1">
      <c r="A59" s="4" t="s">
        <v>71</v>
      </c>
    </row>
    <row r="60" spans="1:1">
      <c r="A60" s="2" t="s">
        <v>3</v>
      </c>
    </row>
    <row r="62" spans="1:1">
      <c r="A62" s="4" t="s">
        <v>194</v>
      </c>
    </row>
    <row r="63" spans="1:1">
      <c r="A63" s="2" t="s">
        <v>2</v>
      </c>
    </row>
    <row r="64" spans="1:1">
      <c r="A64" s="2" t="s">
        <v>32</v>
      </c>
    </row>
    <row r="65" spans="1:4">
      <c r="A65" s="2" t="s">
        <v>33</v>
      </c>
    </row>
    <row r="66" spans="1:4">
      <c r="A66" s="6" t="s">
        <v>34</v>
      </c>
    </row>
    <row r="67" spans="1:4">
      <c r="A67" s="2" t="s">
        <v>74</v>
      </c>
    </row>
    <row r="68" spans="1:4">
      <c r="A68" s="2" t="s">
        <v>3</v>
      </c>
      <c r="D68" s="7"/>
    </row>
    <row r="70" spans="1:4">
      <c r="A70" s="2" t="s">
        <v>4</v>
      </c>
    </row>
    <row r="71" spans="1:4">
      <c r="A71" s="4" t="s">
        <v>69</v>
      </c>
    </row>
    <row r="72" spans="1:4">
      <c r="A72" s="2" t="s">
        <v>2</v>
      </c>
    </row>
    <row r="73" spans="1:4">
      <c r="A73" s="2" t="s">
        <v>12</v>
      </c>
    </row>
    <row r="74" spans="1:4">
      <c r="A74" s="2" t="s">
        <v>13</v>
      </c>
    </row>
    <row r="75" spans="1:4">
      <c r="A75" s="6" t="s">
        <v>14</v>
      </c>
    </row>
    <row r="76" spans="1:4">
      <c r="A76" s="2" t="s">
        <v>15</v>
      </c>
    </row>
    <row r="77" spans="1:4">
      <c r="A77" s="2" t="s">
        <v>3</v>
      </c>
    </row>
    <row r="79" spans="1:4">
      <c r="A79" s="4" t="s">
        <v>70</v>
      </c>
    </row>
    <row r="80" spans="1:4">
      <c r="A80" s="2" t="s">
        <v>2</v>
      </c>
    </row>
    <row r="81" spans="1:9">
      <c r="A81" s="2" t="s">
        <v>16</v>
      </c>
    </row>
    <row r="82" spans="1:9">
      <c r="A82" s="2" t="s">
        <v>17</v>
      </c>
    </row>
    <row r="83" spans="1:9">
      <c r="A83" s="2" t="s">
        <v>18</v>
      </c>
    </row>
    <row r="84" spans="1:9">
      <c r="A84" s="6" t="s">
        <v>19</v>
      </c>
    </row>
    <row r="85" spans="1:9">
      <c r="A85" s="2" t="s">
        <v>3</v>
      </c>
    </row>
    <row r="87" spans="1:9">
      <c r="A87" s="2" t="s">
        <v>4</v>
      </c>
    </row>
    <row r="88" spans="1:9">
      <c r="A88" s="4" t="s">
        <v>195</v>
      </c>
    </row>
    <row r="89" spans="1:9">
      <c r="A89" s="2" t="s">
        <v>2</v>
      </c>
    </row>
    <row r="90" spans="1:9">
      <c r="A90" s="2" t="s">
        <v>20</v>
      </c>
    </row>
    <row r="91" spans="1:9">
      <c r="A91" s="6" t="s">
        <v>21</v>
      </c>
    </row>
    <row r="92" spans="1:9">
      <c r="A92" s="2" t="s">
        <v>22</v>
      </c>
    </row>
    <row r="93" spans="1:9">
      <c r="A93" s="4" t="s">
        <v>71</v>
      </c>
    </row>
    <row r="94" spans="1:9">
      <c r="A94" s="2" t="s">
        <v>3</v>
      </c>
    </row>
    <row r="96" spans="1:9" ht="12.75" customHeight="1">
      <c r="A96" s="65" t="s">
        <v>219</v>
      </c>
      <c r="B96" s="65"/>
      <c r="C96" s="65"/>
      <c r="D96" s="65"/>
      <c r="E96" s="65"/>
      <c r="F96" s="65"/>
      <c r="G96" s="65"/>
      <c r="H96" s="65"/>
      <c r="I96" s="65"/>
    </row>
    <row r="97" spans="1:9">
      <c r="A97" s="65"/>
      <c r="B97" s="65"/>
      <c r="C97" s="65"/>
      <c r="D97" s="65"/>
      <c r="E97" s="65"/>
      <c r="F97" s="65"/>
      <c r="G97" s="65"/>
      <c r="H97" s="65"/>
      <c r="I97" s="65"/>
    </row>
    <row r="98" spans="1:9">
      <c r="A98" s="65"/>
      <c r="B98" s="65"/>
      <c r="C98" s="65"/>
      <c r="D98" s="65"/>
      <c r="E98" s="65"/>
      <c r="F98" s="65"/>
      <c r="G98" s="65"/>
      <c r="H98" s="65"/>
      <c r="I98" s="65"/>
    </row>
    <row r="99" spans="1:9">
      <c r="A99" s="65"/>
      <c r="B99" s="65"/>
      <c r="C99" s="65"/>
      <c r="D99" s="65"/>
      <c r="E99" s="65"/>
      <c r="F99" s="65"/>
      <c r="G99" s="65"/>
      <c r="H99" s="65"/>
      <c r="I99" s="65"/>
    </row>
    <row r="100" spans="1:9">
      <c r="A100" s="65"/>
      <c r="B100" s="65"/>
      <c r="C100" s="65"/>
      <c r="D100" s="65"/>
      <c r="E100" s="65"/>
      <c r="F100" s="65"/>
      <c r="G100" s="65"/>
      <c r="H100" s="65"/>
      <c r="I100" s="65"/>
    </row>
    <row r="101" spans="1:9">
      <c r="A101" s="65"/>
      <c r="B101" s="65"/>
      <c r="C101" s="65"/>
      <c r="D101" s="65"/>
      <c r="E101" s="65"/>
      <c r="F101" s="65"/>
      <c r="G101" s="65"/>
      <c r="H101" s="65"/>
      <c r="I101" s="65"/>
    </row>
    <row r="102" spans="1:9">
      <c r="A102" s="65"/>
      <c r="B102" s="65"/>
      <c r="C102" s="65"/>
      <c r="D102" s="65"/>
      <c r="E102" s="65"/>
      <c r="F102" s="65"/>
      <c r="G102" s="65"/>
      <c r="H102" s="65"/>
      <c r="I102" s="65"/>
    </row>
    <row r="103" spans="1:9">
      <c r="A103" s="65"/>
      <c r="B103" s="65"/>
      <c r="C103" s="65"/>
      <c r="D103" s="65"/>
      <c r="E103" s="65"/>
      <c r="F103" s="65"/>
      <c r="G103" s="65"/>
      <c r="H103" s="65"/>
      <c r="I103" s="65"/>
    </row>
    <row r="104" spans="1:9">
      <c r="A104" s="65"/>
      <c r="B104" s="65"/>
      <c r="C104" s="65"/>
      <c r="D104" s="65"/>
      <c r="E104" s="65"/>
      <c r="F104" s="65"/>
      <c r="G104" s="65"/>
      <c r="H104" s="65"/>
      <c r="I104" s="65"/>
    </row>
    <row r="105" spans="1:9">
      <c r="A105" s="65"/>
      <c r="B105" s="65"/>
      <c r="C105" s="65"/>
      <c r="D105" s="65"/>
      <c r="E105" s="65"/>
      <c r="F105" s="65"/>
      <c r="G105" s="65"/>
      <c r="H105" s="65"/>
      <c r="I105" s="65"/>
    </row>
    <row r="106" spans="1:9">
      <c r="A106" s="2" t="s">
        <v>5</v>
      </c>
    </row>
    <row r="107" spans="1:9">
      <c r="A107" s="4" t="s">
        <v>222</v>
      </c>
    </row>
    <row r="108" spans="1:9">
      <c r="A108" s="2" t="s">
        <v>40</v>
      </c>
    </row>
    <row r="109" spans="1:9">
      <c r="A109" s="5" t="s">
        <v>220</v>
      </c>
    </row>
    <row r="110" spans="1:9">
      <c r="A110" s="4" t="s">
        <v>221</v>
      </c>
    </row>
    <row r="111" spans="1:9">
      <c r="A111" s="2" t="s">
        <v>3</v>
      </c>
    </row>
    <row r="112" spans="1:9">
      <c r="A112" s="2" t="s">
        <v>4</v>
      </c>
    </row>
    <row r="113" spans="1:1">
      <c r="A113" s="4" t="s">
        <v>105</v>
      </c>
    </row>
    <row r="114" spans="1:1">
      <c r="A114" s="2" t="s">
        <v>2</v>
      </c>
    </row>
    <row r="115" spans="1:1">
      <c r="A115" s="2" t="s">
        <v>20</v>
      </c>
    </row>
    <row r="116" spans="1:1">
      <c r="A116" s="5" t="s">
        <v>193</v>
      </c>
    </row>
    <row r="117" spans="1:1">
      <c r="A117" s="2" t="s">
        <v>22</v>
      </c>
    </row>
    <row r="118" spans="1:1">
      <c r="A118" s="4" t="s">
        <v>71</v>
      </c>
    </row>
    <row r="119" spans="1:1">
      <c r="A119" s="2" t="s">
        <v>3</v>
      </c>
    </row>
    <row r="121" spans="1:1">
      <c r="A121" s="4" t="s">
        <v>72</v>
      </c>
    </row>
    <row r="122" spans="1:1">
      <c r="A122" s="2" t="s">
        <v>2</v>
      </c>
    </row>
    <row r="123" spans="1:1">
      <c r="A123" s="2" t="s">
        <v>23</v>
      </c>
    </row>
    <row r="124" spans="1:1">
      <c r="A124" s="2" t="s">
        <v>24</v>
      </c>
    </row>
    <row r="125" spans="1:1">
      <c r="A125" s="2" t="s">
        <v>25</v>
      </c>
    </row>
    <row r="126" spans="1:1">
      <c r="A126" s="6" t="s">
        <v>26</v>
      </c>
    </row>
    <row r="127" spans="1:1">
      <c r="A127" s="2" t="s">
        <v>3</v>
      </c>
    </row>
    <row r="129" spans="1:5">
      <c r="A129" s="2" t="s">
        <v>4</v>
      </c>
    </row>
    <row r="130" spans="1:5">
      <c r="A130" s="65" t="s">
        <v>223</v>
      </c>
      <c r="B130" s="65"/>
      <c r="C130" s="65"/>
      <c r="D130" s="65"/>
      <c r="E130" s="65"/>
    </row>
    <row r="131" spans="1:5">
      <c r="A131" s="65"/>
      <c r="B131" s="65"/>
      <c r="C131" s="65"/>
      <c r="D131" s="65"/>
      <c r="E131" s="65"/>
    </row>
    <row r="132" spans="1:5">
      <c r="A132" s="65"/>
      <c r="B132" s="65"/>
      <c r="C132" s="65"/>
      <c r="D132" s="65"/>
      <c r="E132" s="65"/>
    </row>
    <row r="133" spans="1:5">
      <c r="A133" s="65"/>
      <c r="B133" s="65"/>
      <c r="C133" s="65"/>
      <c r="D133" s="65"/>
      <c r="E133" s="65"/>
    </row>
    <row r="134" spans="1:5">
      <c r="A134" s="65"/>
      <c r="B134" s="65"/>
      <c r="C134" s="65"/>
      <c r="D134" s="65"/>
      <c r="E134" s="65"/>
    </row>
    <row r="135" spans="1:5">
      <c r="A135" s="65"/>
      <c r="B135" s="65"/>
      <c r="C135" s="65"/>
      <c r="D135" s="65"/>
      <c r="E135" s="65"/>
    </row>
    <row r="136" spans="1:5">
      <c r="A136" s="65"/>
      <c r="B136" s="65"/>
      <c r="C136" s="65"/>
      <c r="D136" s="65"/>
      <c r="E136" s="65"/>
    </row>
    <row r="137" spans="1:5">
      <c r="A137" s="65"/>
      <c r="B137" s="65"/>
      <c r="C137" s="65"/>
      <c r="D137" s="65"/>
      <c r="E137" s="65"/>
    </row>
    <row r="138" spans="1:5">
      <c r="A138" s="65"/>
      <c r="B138" s="65"/>
      <c r="C138" s="65"/>
      <c r="D138" s="65"/>
      <c r="E138" s="65"/>
    </row>
    <row r="139" spans="1:5">
      <c r="A139" s="65"/>
      <c r="B139" s="65"/>
      <c r="C139" s="65"/>
      <c r="D139" s="65"/>
      <c r="E139" s="65"/>
    </row>
    <row r="140" spans="1:5">
      <c r="A140" s="65"/>
      <c r="B140" s="65"/>
      <c r="C140" s="65"/>
      <c r="D140" s="65"/>
      <c r="E140" s="65"/>
    </row>
    <row r="141" spans="1:5">
      <c r="A141" s="2" t="s">
        <v>5</v>
      </c>
    </row>
    <row r="142" spans="1:5">
      <c r="A142" s="5" t="s">
        <v>227</v>
      </c>
    </row>
    <row r="143" spans="1:5">
      <c r="A143" s="4" t="s">
        <v>228</v>
      </c>
    </row>
    <row r="144" spans="1:5">
      <c r="A144" s="4" t="s">
        <v>229</v>
      </c>
    </row>
    <row r="145" spans="1:3">
      <c r="A145" s="4" t="s">
        <v>230</v>
      </c>
    </row>
    <row r="146" spans="1:3">
      <c r="A146" s="2" t="s">
        <v>3</v>
      </c>
    </row>
    <row r="148" spans="1:3">
      <c r="A148" s="10" t="s">
        <v>231</v>
      </c>
    </row>
    <row r="149" spans="1:3">
      <c r="A149" s="2" t="s">
        <v>2</v>
      </c>
    </row>
    <row r="150" spans="1:3">
      <c r="A150" s="5" t="s">
        <v>232</v>
      </c>
      <c r="C150" s="8">
        <f>PMT(12%/12,7*12,750000,0,1)</f>
        <v>-13108.464948322136</v>
      </c>
    </row>
    <row r="151" spans="1:3">
      <c r="A151" s="2" t="s">
        <v>27</v>
      </c>
    </row>
    <row r="152" spans="1:3">
      <c r="A152" s="2" t="s">
        <v>28</v>
      </c>
    </row>
    <row r="153" spans="1:3">
      <c r="A153" s="2" t="s">
        <v>73</v>
      </c>
    </row>
    <row r="154" spans="1:3">
      <c r="A154" s="2" t="s">
        <v>3</v>
      </c>
    </row>
    <row r="156" spans="1:3">
      <c r="A156" s="4" t="s">
        <v>233</v>
      </c>
    </row>
    <row r="157" spans="1:3">
      <c r="A157" s="2" t="s">
        <v>2</v>
      </c>
    </row>
    <row r="158" spans="1:3">
      <c r="A158" s="2" t="s">
        <v>29</v>
      </c>
    </row>
    <row r="159" spans="1:3">
      <c r="A159" s="2" t="s">
        <v>30</v>
      </c>
    </row>
    <row r="160" spans="1:3">
      <c r="A160" s="6" t="s">
        <v>61</v>
      </c>
    </row>
    <row r="161" spans="1:5">
      <c r="A161" s="2" t="s">
        <v>31</v>
      </c>
    </row>
    <row r="162" spans="1:5">
      <c r="A162" s="2" t="s">
        <v>3</v>
      </c>
    </row>
    <row r="163" spans="1:5">
      <c r="A163" s="2" t="s">
        <v>4</v>
      </c>
    </row>
    <row r="164" spans="1:5">
      <c r="A164" s="65" t="s">
        <v>234</v>
      </c>
      <c r="B164" s="65"/>
      <c r="C164" s="65"/>
      <c r="D164" s="65"/>
      <c r="E164" s="65"/>
    </row>
    <row r="165" spans="1:5">
      <c r="A165" s="65"/>
      <c r="B165" s="65"/>
      <c r="C165" s="65"/>
      <c r="D165" s="65"/>
      <c r="E165" s="65"/>
    </row>
    <row r="166" spans="1:5">
      <c r="A166" s="65"/>
      <c r="B166" s="65"/>
      <c r="C166" s="65"/>
      <c r="D166" s="65"/>
      <c r="E166" s="65"/>
    </row>
    <row r="167" spans="1:5">
      <c r="A167" s="65"/>
      <c r="B167" s="65"/>
      <c r="C167" s="65"/>
      <c r="D167" s="65"/>
      <c r="E167" s="65"/>
    </row>
    <row r="168" spans="1:5">
      <c r="A168" s="65"/>
      <c r="B168" s="65"/>
      <c r="C168" s="65"/>
      <c r="D168" s="65"/>
      <c r="E168" s="65"/>
    </row>
    <row r="169" spans="1:5">
      <c r="A169" s="65"/>
      <c r="B169" s="65"/>
      <c r="C169" s="65"/>
      <c r="D169" s="65"/>
      <c r="E169" s="65"/>
    </row>
    <row r="170" spans="1:5">
      <c r="A170" s="65"/>
      <c r="B170" s="65"/>
      <c r="C170" s="65"/>
      <c r="D170" s="65"/>
      <c r="E170" s="65"/>
    </row>
    <row r="171" spans="1:5">
      <c r="A171" s="65"/>
      <c r="B171" s="65"/>
      <c r="C171" s="65"/>
      <c r="D171" s="65"/>
      <c r="E171" s="65"/>
    </row>
    <row r="172" spans="1:5">
      <c r="A172" s="65"/>
      <c r="B172" s="65"/>
      <c r="C172" s="65"/>
      <c r="D172" s="65"/>
      <c r="E172" s="65"/>
    </row>
    <row r="173" spans="1:5">
      <c r="A173" s="65"/>
      <c r="B173" s="65"/>
      <c r="C173" s="65"/>
      <c r="D173" s="65"/>
      <c r="E173" s="65"/>
    </row>
    <row r="174" spans="1:5">
      <c r="A174" s="65"/>
      <c r="B174" s="65"/>
      <c r="C174" s="65"/>
      <c r="D174" s="65"/>
      <c r="E174" s="65"/>
    </row>
    <row r="175" spans="1:5">
      <c r="A175" s="65"/>
      <c r="B175" s="65"/>
      <c r="C175" s="65"/>
      <c r="D175" s="65"/>
      <c r="E175" s="65"/>
    </row>
    <row r="176" spans="1:5">
      <c r="A176" s="2" t="s">
        <v>1</v>
      </c>
    </row>
    <row r="177" spans="1:6">
      <c r="A177" s="2" t="s">
        <v>8</v>
      </c>
    </row>
    <row r="178" spans="1:6">
      <c r="A178" s="5" t="s">
        <v>244</v>
      </c>
    </row>
    <row r="179" spans="1:6">
      <c r="A179" s="4" t="s">
        <v>245</v>
      </c>
    </row>
    <row r="180" spans="1:6">
      <c r="A180" s="4" t="s">
        <v>243</v>
      </c>
    </row>
    <row r="181" spans="1:6">
      <c r="A181" s="4" t="s">
        <v>246</v>
      </c>
    </row>
    <row r="182" spans="1:6">
      <c r="A182" s="2" t="s">
        <v>3</v>
      </c>
    </row>
    <row r="184" spans="1:6">
      <c r="A184" s="2" t="s">
        <v>4</v>
      </c>
    </row>
    <row r="185" spans="1:6">
      <c r="A185" s="65" t="s">
        <v>247</v>
      </c>
      <c r="B185" s="65"/>
      <c r="C185" s="65"/>
      <c r="D185" s="65"/>
      <c r="E185" s="65"/>
      <c r="F185" s="65"/>
    </row>
    <row r="186" spans="1:6">
      <c r="A186" s="65"/>
      <c r="B186" s="65"/>
      <c r="C186" s="65"/>
      <c r="D186" s="65"/>
      <c r="E186" s="65"/>
      <c r="F186" s="65"/>
    </row>
    <row r="187" spans="1:6">
      <c r="A187" s="65"/>
      <c r="B187" s="65"/>
      <c r="C187" s="65"/>
      <c r="D187" s="65"/>
      <c r="E187" s="65"/>
      <c r="F187" s="65"/>
    </row>
    <row r="188" spans="1:6">
      <c r="A188" s="65"/>
      <c r="B188" s="65"/>
      <c r="C188" s="65"/>
      <c r="D188" s="65"/>
      <c r="E188" s="65"/>
      <c r="F188" s="65"/>
    </row>
    <row r="189" spans="1:6">
      <c r="A189" s="65"/>
      <c r="B189" s="65"/>
      <c r="C189" s="65"/>
      <c r="D189" s="65"/>
      <c r="E189" s="65"/>
      <c r="F189" s="65"/>
    </row>
    <row r="190" spans="1:6">
      <c r="A190" s="65"/>
      <c r="B190" s="65"/>
      <c r="C190" s="65"/>
      <c r="D190" s="65"/>
      <c r="E190" s="65"/>
      <c r="F190" s="65"/>
    </row>
    <row r="191" spans="1:6">
      <c r="A191" s="65"/>
      <c r="B191" s="65"/>
      <c r="C191" s="65"/>
      <c r="D191" s="65"/>
      <c r="E191" s="65"/>
      <c r="F191" s="65"/>
    </row>
    <row r="192" spans="1:6">
      <c r="A192" s="65"/>
      <c r="B192" s="65"/>
      <c r="C192" s="65"/>
      <c r="D192" s="65"/>
      <c r="E192" s="65"/>
      <c r="F192" s="65"/>
    </row>
    <row r="193" spans="1:6">
      <c r="A193" s="65"/>
      <c r="B193" s="65"/>
      <c r="C193" s="65"/>
      <c r="D193" s="65"/>
      <c r="E193" s="65"/>
      <c r="F193" s="65"/>
    </row>
    <row r="194" spans="1:6">
      <c r="A194" s="65"/>
      <c r="B194" s="65"/>
      <c r="C194" s="65"/>
      <c r="D194" s="65"/>
      <c r="E194" s="65"/>
      <c r="F194" s="65"/>
    </row>
    <row r="195" spans="1:6">
      <c r="A195" s="65"/>
      <c r="B195" s="65"/>
      <c r="C195" s="65"/>
      <c r="D195" s="65"/>
      <c r="E195" s="65"/>
      <c r="F195" s="65"/>
    </row>
    <row r="196" spans="1:6">
      <c r="A196" s="65"/>
      <c r="B196" s="65"/>
      <c r="C196" s="65"/>
      <c r="D196" s="65"/>
      <c r="E196" s="65"/>
      <c r="F196" s="65"/>
    </row>
    <row r="197" spans="1:6">
      <c r="A197" s="2" t="s">
        <v>5</v>
      </c>
    </row>
    <row r="198" spans="1:6">
      <c r="A198" s="2" t="s">
        <v>35</v>
      </c>
    </row>
    <row r="199" spans="1:6">
      <c r="A199" s="2" t="s">
        <v>36</v>
      </c>
    </row>
    <row r="200" spans="1:6">
      <c r="A200" s="6" t="s">
        <v>37</v>
      </c>
    </row>
    <row r="201" spans="1:6">
      <c r="A201" s="2" t="s">
        <v>83</v>
      </c>
    </row>
    <row r="202" spans="1:6">
      <c r="A202" s="2" t="s">
        <v>3</v>
      </c>
    </row>
    <row r="204" spans="1:6">
      <c r="A204" s="2" t="s">
        <v>4</v>
      </c>
    </row>
    <row r="205" spans="1:6">
      <c r="A205" s="65" t="s">
        <v>258</v>
      </c>
      <c r="B205" s="65"/>
      <c r="C205" s="65"/>
      <c r="D205" s="65"/>
      <c r="E205" s="65"/>
      <c r="F205" s="65"/>
    </row>
    <row r="206" spans="1:6">
      <c r="A206" s="65"/>
      <c r="B206" s="65"/>
      <c r="C206" s="65"/>
      <c r="D206" s="65"/>
      <c r="E206" s="65"/>
      <c r="F206" s="65"/>
    </row>
    <row r="207" spans="1:6">
      <c r="A207" s="65"/>
      <c r="B207" s="65"/>
      <c r="C207" s="65"/>
      <c r="D207" s="65"/>
      <c r="E207" s="65"/>
      <c r="F207" s="65"/>
    </row>
    <row r="208" spans="1:6">
      <c r="A208" s="65"/>
      <c r="B208" s="65"/>
      <c r="C208" s="65"/>
      <c r="D208" s="65"/>
      <c r="E208" s="65"/>
      <c r="F208" s="65"/>
    </row>
    <row r="209" spans="1:6">
      <c r="A209" s="65"/>
      <c r="B209" s="65"/>
      <c r="C209" s="65"/>
      <c r="D209" s="65"/>
      <c r="E209" s="65"/>
      <c r="F209" s="65"/>
    </row>
    <row r="210" spans="1:6">
      <c r="A210" s="65"/>
      <c r="B210" s="65"/>
      <c r="C210" s="65"/>
      <c r="D210" s="65"/>
      <c r="E210" s="65"/>
      <c r="F210" s="65"/>
    </row>
    <row r="211" spans="1:6">
      <c r="A211" s="65"/>
      <c r="B211" s="65"/>
      <c r="C211" s="65"/>
      <c r="D211" s="65"/>
      <c r="E211" s="65"/>
      <c r="F211" s="65"/>
    </row>
    <row r="212" spans="1:6">
      <c r="A212" s="65"/>
      <c r="B212" s="65"/>
      <c r="C212" s="65"/>
      <c r="D212" s="65"/>
      <c r="E212" s="65"/>
      <c r="F212" s="65"/>
    </row>
    <row r="213" spans="1:6">
      <c r="A213" s="65"/>
      <c r="B213" s="65"/>
      <c r="C213" s="65"/>
      <c r="D213" s="65"/>
      <c r="E213" s="65"/>
      <c r="F213" s="65"/>
    </row>
    <row r="214" spans="1:6">
      <c r="A214" s="65"/>
      <c r="B214" s="65"/>
      <c r="C214" s="65"/>
      <c r="D214" s="65"/>
      <c r="E214" s="65"/>
      <c r="F214" s="65"/>
    </row>
    <row r="215" spans="1:6">
      <c r="A215" s="65"/>
      <c r="B215" s="65"/>
      <c r="C215" s="65"/>
      <c r="D215" s="65"/>
      <c r="E215" s="65"/>
      <c r="F215" s="65"/>
    </row>
    <row r="216" spans="1:6">
      <c r="A216" s="4" t="s">
        <v>5</v>
      </c>
    </row>
    <row r="217" spans="1:6">
      <c r="A217" s="2" t="s">
        <v>84</v>
      </c>
    </row>
    <row r="218" spans="1:6">
      <c r="A218" s="4" t="s">
        <v>262</v>
      </c>
    </row>
    <row r="219" spans="1:6">
      <c r="A219" s="2" t="s">
        <v>38</v>
      </c>
    </row>
    <row r="220" spans="1:6">
      <c r="A220" s="5" t="s">
        <v>261</v>
      </c>
    </row>
    <row r="221" spans="1:6">
      <c r="A221" s="2" t="s">
        <v>3</v>
      </c>
    </row>
    <row r="223" spans="1:6">
      <c r="A223" s="4" t="s">
        <v>263</v>
      </c>
    </row>
    <row r="224" spans="1:6">
      <c r="A224" s="2" t="s">
        <v>2</v>
      </c>
    </row>
    <row r="225" spans="1:2">
      <c r="A225" s="2" t="s">
        <v>39</v>
      </c>
    </row>
    <row r="226" spans="1:2">
      <c r="A226" s="4" t="s">
        <v>266</v>
      </c>
    </row>
    <row r="227" spans="1:2">
      <c r="A227" s="4" t="s">
        <v>265</v>
      </c>
    </row>
    <row r="228" spans="1:2">
      <c r="A228" s="5" t="s">
        <v>264</v>
      </c>
    </row>
    <row r="229" spans="1:2">
      <c r="A229" s="2" t="s">
        <v>3</v>
      </c>
    </row>
    <row r="231" spans="1:2">
      <c r="A231" s="4" t="s">
        <v>267</v>
      </c>
    </row>
    <row r="232" spans="1:2">
      <c r="A232" s="2" t="s">
        <v>2</v>
      </c>
    </row>
    <row r="233" spans="1:2">
      <c r="A233" s="2" t="s">
        <v>75</v>
      </c>
      <c r="B233" s="60">
        <f>3%+1.7*6%</f>
        <v>0.13200000000000001</v>
      </c>
    </row>
    <row r="234" spans="1:2">
      <c r="A234" s="2" t="s">
        <v>62</v>
      </c>
    </row>
    <row r="235" spans="1:2">
      <c r="A235" s="6" t="s">
        <v>76</v>
      </c>
    </row>
    <row r="236" spans="1:2">
      <c r="A236" s="2" t="s">
        <v>77</v>
      </c>
    </row>
    <row r="237" spans="1:2">
      <c r="A237" s="2" t="s">
        <v>3</v>
      </c>
    </row>
    <row r="239" spans="1:2">
      <c r="A239" s="2" t="s">
        <v>4</v>
      </c>
    </row>
    <row r="240" spans="1:2">
      <c r="A240" s="4" t="s">
        <v>269</v>
      </c>
    </row>
    <row r="241" spans="1:2">
      <c r="A241" s="2" t="s">
        <v>2</v>
      </c>
    </row>
    <row r="242" spans="1:2">
      <c r="A242" s="5" t="s">
        <v>268</v>
      </c>
    </row>
    <row r="243" spans="1:2">
      <c r="A243" s="2" t="s">
        <v>62</v>
      </c>
      <c r="B243" s="59">
        <f>4%+1.5*4%</f>
        <v>0.1</v>
      </c>
    </row>
    <row r="244" spans="1:2">
      <c r="A244" s="2" t="s">
        <v>76</v>
      </c>
    </row>
    <row r="245" spans="1:2">
      <c r="A245" s="2" t="s">
        <v>77</v>
      </c>
    </row>
    <row r="246" spans="1:2">
      <c r="A246" s="2" t="s">
        <v>3</v>
      </c>
    </row>
    <row r="248" spans="1:2">
      <c r="A248" s="2" t="s">
        <v>4</v>
      </c>
    </row>
    <row r="249" spans="1:2">
      <c r="A249" s="4" t="s">
        <v>270</v>
      </c>
    </row>
    <row r="250" spans="1:2">
      <c r="A250" s="2" t="s">
        <v>2</v>
      </c>
    </row>
    <row r="251" spans="1:2">
      <c r="A251" s="2" t="s">
        <v>41</v>
      </c>
    </row>
    <row r="252" spans="1:2">
      <c r="A252" s="6" t="s">
        <v>42</v>
      </c>
    </row>
    <row r="253" spans="1:2">
      <c r="A253" s="2" t="s">
        <v>43</v>
      </c>
    </row>
    <row r="254" spans="1:2">
      <c r="A254" s="2" t="s">
        <v>78</v>
      </c>
    </row>
    <row r="255" spans="1:2">
      <c r="A255" s="2" t="s">
        <v>3</v>
      </c>
    </row>
    <row r="257" spans="1:1">
      <c r="A257" s="2" t="s">
        <v>4</v>
      </c>
    </row>
    <row r="258" spans="1:1">
      <c r="A258" s="4" t="s">
        <v>271</v>
      </c>
    </row>
    <row r="259" spans="1:1">
      <c r="A259" s="2" t="s">
        <v>2</v>
      </c>
    </row>
    <row r="260" spans="1:1">
      <c r="A260" s="6" t="s">
        <v>20</v>
      </c>
    </row>
    <row r="261" spans="1:1">
      <c r="A261" s="2" t="s">
        <v>193</v>
      </c>
    </row>
    <row r="262" spans="1:1">
      <c r="A262" s="2" t="s">
        <v>22</v>
      </c>
    </row>
    <row r="263" spans="1:1">
      <c r="A263" s="4" t="s">
        <v>71</v>
      </c>
    </row>
    <row r="264" spans="1:1">
      <c r="A264" s="2" t="s">
        <v>3</v>
      </c>
    </row>
    <row r="266" spans="1:1">
      <c r="A266" s="2" t="s">
        <v>4</v>
      </c>
    </row>
    <row r="267" spans="1:1">
      <c r="A267" s="4" t="s">
        <v>272</v>
      </c>
    </row>
    <row r="268" spans="1:1">
      <c r="A268" s="2" t="s">
        <v>2</v>
      </c>
    </row>
    <row r="269" spans="1:1">
      <c r="A269" s="2" t="s">
        <v>44</v>
      </c>
    </row>
    <row r="270" spans="1:1">
      <c r="A270" s="6" t="s">
        <v>45</v>
      </c>
    </row>
    <row r="271" spans="1:1">
      <c r="A271" s="2" t="s">
        <v>79</v>
      </c>
    </row>
    <row r="272" spans="1:1">
      <c r="A272" s="2" t="s">
        <v>46</v>
      </c>
    </row>
    <row r="273" spans="1:1">
      <c r="A273" s="2" t="s">
        <v>3</v>
      </c>
    </row>
    <row r="275" spans="1:1">
      <c r="A275" s="2" t="s">
        <v>4</v>
      </c>
    </row>
    <row r="276" spans="1:1">
      <c r="A276" s="2" t="s">
        <v>80</v>
      </c>
    </row>
    <row r="277" spans="1:1">
      <c r="A277" s="2" t="s">
        <v>2</v>
      </c>
    </row>
    <row r="278" spans="1:1">
      <c r="A278" s="6" t="s">
        <v>47</v>
      </c>
    </row>
    <row r="279" spans="1:1">
      <c r="A279" s="2" t="s">
        <v>48</v>
      </c>
    </row>
    <row r="280" spans="1:1">
      <c r="A280" s="2" t="s">
        <v>49</v>
      </c>
    </row>
    <row r="281" spans="1:1">
      <c r="A281" s="2" t="s">
        <v>11</v>
      </c>
    </row>
    <row r="282" spans="1:1">
      <c r="A282" s="2" t="s">
        <v>3</v>
      </c>
    </row>
    <row r="284" spans="1:1">
      <c r="A284" s="2" t="s">
        <v>4</v>
      </c>
    </row>
    <row r="285" spans="1:1">
      <c r="A285" s="4" t="s">
        <v>273</v>
      </c>
    </row>
    <row r="286" spans="1:1">
      <c r="A286" s="2" t="s">
        <v>2</v>
      </c>
    </row>
    <row r="287" spans="1:1">
      <c r="A287" s="2" t="s">
        <v>81</v>
      </c>
    </row>
    <row r="288" spans="1:1">
      <c r="A288" s="2" t="s">
        <v>50</v>
      </c>
    </row>
    <row r="289" spans="1:7">
      <c r="A289" s="5" t="s">
        <v>274</v>
      </c>
    </row>
    <row r="290" spans="1:7">
      <c r="A290" s="2" t="s">
        <v>82</v>
      </c>
    </row>
    <row r="291" spans="1:7">
      <c r="A291" s="2" t="s">
        <v>3</v>
      </c>
    </row>
    <row r="293" spans="1:7" ht="12.75" customHeight="1">
      <c r="A293" s="65" t="s">
        <v>275</v>
      </c>
      <c r="B293" s="65"/>
      <c r="C293" s="65"/>
      <c r="D293" s="65"/>
      <c r="E293" s="65"/>
      <c r="F293" s="65"/>
      <c r="G293" s="65"/>
    </row>
    <row r="294" spans="1:7">
      <c r="A294" s="65"/>
      <c r="B294" s="65"/>
      <c r="C294" s="65"/>
      <c r="D294" s="65"/>
      <c r="E294" s="65"/>
      <c r="F294" s="65"/>
      <c r="G294" s="65"/>
    </row>
    <row r="295" spans="1:7">
      <c r="A295" s="65"/>
      <c r="B295" s="65"/>
      <c r="C295" s="65"/>
      <c r="D295" s="65"/>
      <c r="E295" s="65"/>
      <c r="F295" s="65"/>
      <c r="G295" s="65"/>
    </row>
    <row r="296" spans="1:7">
      <c r="A296" s="65"/>
      <c r="B296" s="65"/>
      <c r="C296" s="65"/>
      <c r="D296" s="65"/>
      <c r="E296" s="65"/>
      <c r="F296" s="65"/>
      <c r="G296" s="65"/>
    </row>
    <row r="297" spans="1:7">
      <c r="A297" s="65"/>
      <c r="B297" s="65"/>
      <c r="C297" s="65"/>
      <c r="D297" s="65"/>
      <c r="E297" s="65"/>
      <c r="F297" s="65"/>
      <c r="G297" s="65"/>
    </row>
    <row r="298" spans="1:7">
      <c r="A298" s="65"/>
      <c r="B298" s="65"/>
      <c r="C298" s="65"/>
      <c r="D298" s="65"/>
      <c r="E298" s="65"/>
      <c r="F298" s="65"/>
      <c r="G298" s="65"/>
    </row>
    <row r="299" spans="1:7">
      <c r="A299" s="2" t="s">
        <v>5</v>
      </c>
    </row>
    <row r="300" spans="1:7">
      <c r="A300" s="2" t="s">
        <v>51</v>
      </c>
    </row>
    <row r="301" spans="1:7">
      <c r="A301" s="2" t="s">
        <v>52</v>
      </c>
    </row>
    <row r="302" spans="1:7">
      <c r="A302" s="6" t="s">
        <v>53</v>
      </c>
    </row>
    <row r="303" spans="1:7">
      <c r="A303" s="2" t="s">
        <v>54</v>
      </c>
    </row>
    <row r="304" spans="1:7">
      <c r="A304" s="2" t="s">
        <v>3</v>
      </c>
    </row>
    <row r="306" spans="1:3">
      <c r="A306" s="4" t="s">
        <v>290</v>
      </c>
    </row>
    <row r="307" spans="1:3">
      <c r="A307" s="2" t="s">
        <v>2</v>
      </c>
    </row>
    <row r="308" spans="1:3">
      <c r="A308" s="2" t="s">
        <v>55</v>
      </c>
    </row>
    <row r="309" spans="1:3">
      <c r="A309" s="6" t="s">
        <v>56</v>
      </c>
    </row>
    <row r="310" spans="1:3">
      <c r="A310" s="2" t="s">
        <v>57</v>
      </c>
    </row>
    <row r="311" spans="1:3">
      <c r="A311" s="2" t="s">
        <v>58</v>
      </c>
    </row>
    <row r="312" spans="1:3">
      <c r="A312" s="2" t="s">
        <v>3</v>
      </c>
    </row>
    <row r="314" spans="1:3">
      <c r="A314" s="2" t="s">
        <v>4</v>
      </c>
    </row>
    <row r="315" spans="1:3">
      <c r="A315" s="2" t="s">
        <v>4</v>
      </c>
    </row>
    <row r="316" spans="1:3">
      <c r="A316" s="10" t="s">
        <v>292</v>
      </c>
    </row>
    <row r="317" spans="1:3">
      <c r="A317" s="2" t="s">
        <v>2</v>
      </c>
    </row>
    <row r="318" spans="1:3">
      <c r="A318" s="2" t="s">
        <v>59</v>
      </c>
    </row>
    <row r="319" spans="1:3">
      <c r="A319" s="5" t="s">
        <v>291</v>
      </c>
      <c r="C319">
        <v>100</v>
      </c>
    </row>
    <row r="320" spans="1:3">
      <c r="A320" s="2" t="s">
        <v>60</v>
      </c>
      <c r="C320">
        <v>200</v>
      </c>
    </row>
    <row r="321" spans="1:5">
      <c r="A321" s="2" t="s">
        <v>85</v>
      </c>
      <c r="C321">
        <v>450</v>
      </c>
    </row>
    <row r="322" spans="1:5">
      <c r="A322" s="2" t="s">
        <v>3</v>
      </c>
      <c r="C322">
        <v>650</v>
      </c>
    </row>
    <row r="323" spans="1:5">
      <c r="C323" s="9">
        <f>NPV(10%,C320:C322)+C319</f>
        <v>1142.0736288504881</v>
      </c>
    </row>
    <row r="324" spans="1:5" ht="12.75" customHeight="1">
      <c r="A324" s="65" t="s">
        <v>182</v>
      </c>
      <c r="B324" s="65"/>
      <c r="C324" s="65"/>
      <c r="D324" s="65"/>
      <c r="E324" s="65"/>
    </row>
    <row r="325" spans="1:5">
      <c r="A325" s="65"/>
      <c r="B325" s="65"/>
      <c r="C325" s="65"/>
      <c r="D325" s="65"/>
      <c r="E325" s="65"/>
    </row>
    <row r="326" spans="1:5">
      <c r="A326" s="65"/>
      <c r="B326" s="65"/>
      <c r="C326" s="65"/>
      <c r="D326" s="65"/>
      <c r="E326" s="65"/>
    </row>
    <row r="327" spans="1:5">
      <c r="A327" s="65"/>
      <c r="B327" s="65"/>
      <c r="C327" s="65"/>
      <c r="D327" s="65"/>
      <c r="E327" s="65"/>
    </row>
    <row r="328" spans="1:5">
      <c r="A328" s="65"/>
      <c r="B328" s="65"/>
      <c r="C328" s="65"/>
      <c r="D328" s="65"/>
      <c r="E328" s="65"/>
    </row>
    <row r="329" spans="1:5">
      <c r="A329" s="65"/>
      <c r="B329" s="65"/>
      <c r="C329" s="65"/>
      <c r="D329" s="65"/>
      <c r="E329" s="65"/>
    </row>
    <row r="330" spans="1:5">
      <c r="A330" s="65"/>
      <c r="B330" s="65"/>
      <c r="C330" s="65"/>
      <c r="D330" s="65"/>
      <c r="E330" s="65"/>
    </row>
    <row r="331" spans="1:5">
      <c r="A331" s="65"/>
      <c r="B331" s="65"/>
      <c r="C331" s="65"/>
      <c r="D331" s="65"/>
      <c r="E331" s="65"/>
    </row>
    <row r="332" spans="1:5">
      <c r="A332" s="4" t="s">
        <v>5</v>
      </c>
    </row>
    <row r="333" spans="1:5">
      <c r="A333" s="4" t="s">
        <v>189</v>
      </c>
    </row>
    <row r="334" spans="1:5">
      <c r="A334" s="4" t="s">
        <v>190</v>
      </c>
    </row>
    <row r="335" spans="1:5">
      <c r="A335" s="4" t="s">
        <v>191</v>
      </c>
    </row>
    <row r="336" spans="1:5">
      <c r="A336" s="5" t="s">
        <v>183</v>
      </c>
    </row>
    <row r="337" spans="1:1">
      <c r="A337" s="2" t="s">
        <v>3</v>
      </c>
    </row>
  </sheetData>
  <mergeCells count="9">
    <mergeCell ref="A324:E331"/>
    <mergeCell ref="A12:D23"/>
    <mergeCell ref="A40:D45"/>
    <mergeCell ref="A96:I105"/>
    <mergeCell ref="A130:E140"/>
    <mergeCell ref="A164:E175"/>
    <mergeCell ref="A185:F196"/>
    <mergeCell ref="A205:F215"/>
    <mergeCell ref="A293:G298"/>
  </mergeCells>
  <phoneticPr fontId="0" type="noConversion"/>
  <pageMargins left="0.75" right="0.75" top="1" bottom="1" header="0.5" footer="0.5"/>
  <pageSetup paperSize="9" orientation="portrait" horizontalDpi="300" verticalDpi="0" copies="0" r:id="rId1"/>
  <headerFooter alignWithMargins="0"/>
</worksheet>
</file>

<file path=xl/worksheets/sheet4.xml><?xml version="1.0" encoding="utf-8"?>
<worksheet xmlns="http://schemas.openxmlformats.org/spreadsheetml/2006/main" xmlns:r="http://schemas.openxmlformats.org/officeDocument/2006/relationships">
  <dimension ref="A2:Q27"/>
  <sheetViews>
    <sheetView workbookViewId="0">
      <selection activeCell="E19" sqref="E19:E20"/>
    </sheetView>
  </sheetViews>
  <sheetFormatPr defaultRowHeight="15"/>
  <cols>
    <col min="1" max="10" width="9.140625" style="13"/>
    <col min="11" max="11" width="12.5703125" style="13" bestFit="1" customWidth="1"/>
    <col min="12" max="16" width="13.28515625" style="13" bestFit="1" customWidth="1"/>
    <col min="17" max="17" width="14.28515625" style="13" bestFit="1" customWidth="1"/>
    <col min="18" max="16384" width="9.140625" style="13"/>
  </cols>
  <sheetData>
    <row r="2" spans="1:17">
      <c r="A2" s="11" t="s">
        <v>175</v>
      </c>
      <c r="B2" s="12"/>
      <c r="C2" s="12"/>
      <c r="D2" s="12"/>
      <c r="E2" s="12"/>
      <c r="F2" s="12"/>
      <c r="G2" s="12"/>
      <c r="H2" s="12"/>
      <c r="I2" s="12"/>
    </row>
    <row r="4" spans="1:17" ht="15" customHeight="1">
      <c r="A4" s="67" t="s">
        <v>168</v>
      </c>
      <c r="B4" s="67"/>
      <c r="C4" s="67"/>
      <c r="D4" s="67"/>
      <c r="E4" s="67"/>
      <c r="F4" s="67"/>
      <c r="G4" s="67"/>
      <c r="H4" s="67"/>
      <c r="I4" s="67"/>
      <c r="L4" s="14" t="s">
        <v>121</v>
      </c>
      <c r="M4" s="14" t="s">
        <v>122</v>
      </c>
      <c r="N4" s="14" t="s">
        <v>123</v>
      </c>
      <c r="O4" s="14" t="s">
        <v>124</v>
      </c>
      <c r="P4" s="14" t="s">
        <v>125</v>
      </c>
      <c r="Q4" s="14" t="s">
        <v>148</v>
      </c>
    </row>
    <row r="5" spans="1:17">
      <c r="A5" s="67"/>
      <c r="B5" s="67"/>
      <c r="C5" s="67"/>
      <c r="D5" s="67"/>
      <c r="E5" s="67"/>
      <c r="F5" s="67"/>
      <c r="G5" s="67"/>
      <c r="H5" s="67"/>
      <c r="I5" s="67"/>
      <c r="K5" s="13" t="s">
        <v>176</v>
      </c>
      <c r="L5" s="15">
        <v>12000</v>
      </c>
      <c r="M5" s="15">
        <f>L5+2500</f>
        <v>14500</v>
      </c>
      <c r="N5" s="15">
        <f>M5+2500</f>
        <v>17000</v>
      </c>
      <c r="O5" s="16">
        <f>SUM(O10:O11)</f>
        <v>18615</v>
      </c>
      <c r="P5" s="16">
        <f>SUM(P10:P11)</f>
        <v>20287.8</v>
      </c>
      <c r="Q5" s="16">
        <f>SUM(Q10:Q11)</f>
        <v>22020.065999999999</v>
      </c>
    </row>
    <row r="6" spans="1:17">
      <c r="A6" s="67"/>
      <c r="B6" s="67"/>
      <c r="C6" s="67"/>
      <c r="D6" s="67"/>
      <c r="E6" s="67"/>
      <c r="F6" s="67"/>
      <c r="G6" s="67"/>
      <c r="H6" s="67"/>
      <c r="I6" s="67"/>
    </row>
    <row r="7" spans="1:17">
      <c r="A7" s="67"/>
      <c r="B7" s="67"/>
      <c r="C7" s="67"/>
      <c r="D7" s="67"/>
      <c r="E7" s="67"/>
      <c r="F7" s="67"/>
      <c r="G7" s="67"/>
      <c r="H7" s="67"/>
      <c r="I7" s="67"/>
      <c r="K7" s="13" t="s">
        <v>165</v>
      </c>
      <c r="L7" s="17">
        <v>0.4</v>
      </c>
      <c r="M7" s="17">
        <f>L7</f>
        <v>0.4</v>
      </c>
      <c r="N7" s="17">
        <f>M7</f>
        <v>0.4</v>
      </c>
      <c r="O7" s="18">
        <f t="shared" ref="O7:Q8" si="0">O10/O$5</f>
        <v>0.4</v>
      </c>
      <c r="P7" s="18">
        <f t="shared" si="0"/>
        <v>0.4</v>
      </c>
      <c r="Q7" s="18">
        <f t="shared" si="0"/>
        <v>0.4</v>
      </c>
    </row>
    <row r="8" spans="1:17">
      <c r="A8" s="67"/>
      <c r="B8" s="67"/>
      <c r="C8" s="67"/>
      <c r="D8" s="67"/>
      <c r="E8" s="67"/>
      <c r="F8" s="67"/>
      <c r="G8" s="67"/>
      <c r="H8" s="67"/>
      <c r="I8" s="67"/>
      <c r="K8" s="13" t="s">
        <v>166</v>
      </c>
      <c r="L8" s="19">
        <f>1-L7</f>
        <v>0.6</v>
      </c>
      <c r="M8" s="19">
        <f>1-M7</f>
        <v>0.6</v>
      </c>
      <c r="N8" s="19">
        <f>1-N7</f>
        <v>0.6</v>
      </c>
      <c r="O8" s="18">
        <f t="shared" si="0"/>
        <v>0.6</v>
      </c>
      <c r="P8" s="18">
        <f t="shared" si="0"/>
        <v>0.6</v>
      </c>
      <c r="Q8" s="18">
        <f t="shared" si="0"/>
        <v>0.6</v>
      </c>
    </row>
    <row r="9" spans="1:17">
      <c r="A9" s="67"/>
      <c r="B9" s="67"/>
      <c r="C9" s="67"/>
      <c r="D9" s="67"/>
      <c r="E9" s="67"/>
      <c r="F9" s="67"/>
      <c r="G9" s="67"/>
      <c r="H9" s="67"/>
      <c r="I9" s="67"/>
    </row>
    <row r="10" spans="1:17">
      <c r="A10" s="67"/>
      <c r="B10" s="67"/>
      <c r="C10" s="67"/>
      <c r="D10" s="67"/>
      <c r="E10" s="67"/>
      <c r="F10" s="67"/>
      <c r="G10" s="67"/>
      <c r="H10" s="67"/>
      <c r="I10" s="67"/>
      <c r="K10" s="13" t="s">
        <v>163</v>
      </c>
      <c r="L10" s="16">
        <f t="shared" ref="L10:N11" si="1">L7*L$5</f>
        <v>4800</v>
      </c>
      <c r="M10" s="16">
        <f t="shared" si="1"/>
        <v>5800</v>
      </c>
      <c r="N10" s="16">
        <f t="shared" si="1"/>
        <v>6800</v>
      </c>
      <c r="O10" s="16">
        <f t="shared" ref="O10:Q11" si="2">O22*O26/10^6</f>
        <v>7446</v>
      </c>
      <c r="P10" s="16">
        <f t="shared" si="2"/>
        <v>8115.12</v>
      </c>
      <c r="Q10" s="16">
        <f t="shared" si="2"/>
        <v>8808.0264000000006</v>
      </c>
    </row>
    <row r="11" spans="1:17">
      <c r="A11" s="67"/>
      <c r="B11" s="67"/>
      <c r="C11" s="67"/>
      <c r="D11" s="67"/>
      <c r="E11" s="67"/>
      <c r="F11" s="67"/>
      <c r="G11" s="67"/>
      <c r="H11" s="67"/>
      <c r="I11" s="67"/>
      <c r="K11" s="13" t="s">
        <v>164</v>
      </c>
      <c r="L11" s="16">
        <f>L8*L$5</f>
        <v>7200</v>
      </c>
      <c r="M11" s="16">
        <f t="shared" si="1"/>
        <v>8700</v>
      </c>
      <c r="N11" s="16">
        <f t="shared" si="1"/>
        <v>10200</v>
      </c>
      <c r="O11" s="16">
        <f t="shared" si="2"/>
        <v>11169</v>
      </c>
      <c r="P11" s="16">
        <f t="shared" si="2"/>
        <v>12172.679999999998</v>
      </c>
      <c r="Q11" s="16">
        <f t="shared" si="2"/>
        <v>13212.039599999998</v>
      </c>
    </row>
    <row r="12" spans="1:17">
      <c r="A12" s="67"/>
      <c r="B12" s="67"/>
      <c r="C12" s="67"/>
      <c r="D12" s="67"/>
      <c r="E12" s="67"/>
      <c r="F12" s="67"/>
      <c r="G12" s="67"/>
      <c r="H12" s="67"/>
      <c r="I12" s="67"/>
      <c r="L12" s="16"/>
      <c r="M12" s="16"/>
      <c r="N12" s="16"/>
      <c r="O12" s="16"/>
      <c r="P12" s="16"/>
      <c r="Q12" s="16"/>
    </row>
    <row r="13" spans="1:17">
      <c r="A13" s="67"/>
      <c r="B13" s="67"/>
      <c r="C13" s="67"/>
      <c r="D13" s="67"/>
      <c r="E13" s="67"/>
      <c r="F13" s="67"/>
      <c r="G13" s="67"/>
      <c r="H13" s="67"/>
      <c r="I13" s="67"/>
      <c r="K13" s="13" t="s">
        <v>177</v>
      </c>
      <c r="L13" s="15">
        <v>5000</v>
      </c>
      <c r="M13" s="15">
        <f>L13+1000</f>
        <v>6000</v>
      </c>
      <c r="N13" s="15">
        <v>6800</v>
      </c>
      <c r="O13" s="20">
        <f>N13+500</f>
        <v>7300</v>
      </c>
      <c r="P13" s="20">
        <f>O13+500</f>
        <v>7800</v>
      </c>
      <c r="Q13" s="20">
        <f>P13+500</f>
        <v>8300</v>
      </c>
    </row>
    <row r="14" spans="1:17">
      <c r="A14" s="67"/>
      <c r="B14" s="67"/>
      <c r="C14" s="67"/>
      <c r="D14" s="67"/>
      <c r="E14" s="67"/>
      <c r="F14" s="67"/>
      <c r="G14" s="67"/>
      <c r="H14" s="67"/>
      <c r="I14" s="67"/>
      <c r="K14" s="13" t="s">
        <v>165</v>
      </c>
      <c r="L14" s="16">
        <f>15%*L13</f>
        <v>750</v>
      </c>
      <c r="M14" s="16">
        <f t="shared" ref="M14:Q14" si="3">15%*M13</f>
        <v>900</v>
      </c>
      <c r="N14" s="16">
        <f t="shared" si="3"/>
        <v>1020</v>
      </c>
      <c r="O14" s="20">
        <f>15%*O13</f>
        <v>1095</v>
      </c>
      <c r="P14" s="20">
        <f t="shared" si="3"/>
        <v>1170</v>
      </c>
      <c r="Q14" s="20">
        <f t="shared" si="3"/>
        <v>1245</v>
      </c>
    </row>
    <row r="15" spans="1:17">
      <c r="A15" s="67"/>
      <c r="B15" s="67"/>
      <c r="C15" s="67"/>
      <c r="D15" s="67"/>
      <c r="E15" s="67"/>
      <c r="F15" s="67"/>
      <c r="G15" s="67"/>
      <c r="H15" s="67"/>
      <c r="I15" s="67"/>
      <c r="K15" s="13" t="s">
        <v>166</v>
      </c>
      <c r="L15" s="16">
        <f>L13-L14</f>
        <v>4250</v>
      </c>
      <c r="M15" s="16">
        <f t="shared" ref="M15:Q15" si="4">M13-M14</f>
        <v>5100</v>
      </c>
      <c r="N15" s="16">
        <f t="shared" si="4"/>
        <v>5780</v>
      </c>
      <c r="O15" s="20">
        <f t="shared" si="4"/>
        <v>6205</v>
      </c>
      <c r="P15" s="20">
        <f t="shared" si="4"/>
        <v>6630</v>
      </c>
      <c r="Q15" s="20">
        <f t="shared" si="4"/>
        <v>7055</v>
      </c>
    </row>
    <row r="17" spans="11:17">
      <c r="K17" s="13" t="s">
        <v>178</v>
      </c>
    </row>
    <row r="18" spans="11:17">
      <c r="K18" s="13" t="s">
        <v>165</v>
      </c>
      <c r="L18" s="17">
        <v>0.87</v>
      </c>
      <c r="M18" s="17">
        <v>0.87</v>
      </c>
      <c r="N18" s="17">
        <v>0.87</v>
      </c>
      <c r="O18" s="21">
        <f>N18</f>
        <v>0.87</v>
      </c>
      <c r="P18" s="21">
        <f t="shared" ref="P18:Q18" si="5">O18</f>
        <v>0.87</v>
      </c>
      <c r="Q18" s="21">
        <f t="shared" si="5"/>
        <v>0.87</v>
      </c>
    </row>
    <row r="19" spans="11:17">
      <c r="K19" s="13" t="s">
        <v>166</v>
      </c>
      <c r="L19" s="22">
        <f>L18-20%</f>
        <v>0.66999999999999993</v>
      </c>
      <c r="M19" s="22">
        <f>M18-20%</f>
        <v>0.66999999999999993</v>
      </c>
      <c r="N19" s="22">
        <f>N18-20%</f>
        <v>0.66999999999999993</v>
      </c>
      <c r="O19" s="21">
        <f t="shared" ref="O19:Q19" si="6">N19</f>
        <v>0.66999999999999993</v>
      </c>
      <c r="P19" s="21">
        <f t="shared" si="6"/>
        <v>0.66999999999999993</v>
      </c>
      <c r="Q19" s="21">
        <f t="shared" si="6"/>
        <v>0.66999999999999993</v>
      </c>
    </row>
    <row r="21" spans="11:17">
      <c r="K21" s="13" t="s">
        <v>179</v>
      </c>
    </row>
    <row r="22" spans="11:17">
      <c r="K22" s="13" t="s">
        <v>165</v>
      </c>
      <c r="L22" s="16">
        <f t="shared" ref="L22:Q23" si="7">L14*250*8*L18</f>
        <v>1305000</v>
      </c>
      <c r="M22" s="16">
        <f t="shared" si="7"/>
        <v>1566000</v>
      </c>
      <c r="N22" s="16">
        <f t="shared" si="7"/>
        <v>1774800</v>
      </c>
      <c r="O22" s="16">
        <f t="shared" si="7"/>
        <v>1905300</v>
      </c>
      <c r="P22" s="16">
        <f t="shared" si="7"/>
        <v>2035800</v>
      </c>
      <c r="Q22" s="16">
        <f t="shared" si="7"/>
        <v>2166300</v>
      </c>
    </row>
    <row r="23" spans="11:17">
      <c r="K23" s="13" t="s">
        <v>166</v>
      </c>
      <c r="L23" s="16">
        <f t="shared" si="7"/>
        <v>5694999.9999999991</v>
      </c>
      <c r="M23" s="16">
        <f t="shared" si="7"/>
        <v>6833999.9999999991</v>
      </c>
      <c r="N23" s="16">
        <f t="shared" si="7"/>
        <v>7745199.9999999991</v>
      </c>
      <c r="O23" s="16">
        <f t="shared" si="7"/>
        <v>8314699.9999999991</v>
      </c>
      <c r="P23" s="16">
        <f t="shared" si="7"/>
        <v>8884199.9999999981</v>
      </c>
      <c r="Q23" s="16">
        <f t="shared" si="7"/>
        <v>9453699.9999999981</v>
      </c>
    </row>
    <row r="24" spans="11:17">
      <c r="L24" s="16"/>
      <c r="M24" s="16"/>
      <c r="N24" s="16"/>
      <c r="O24" s="16"/>
      <c r="P24" s="16"/>
      <c r="Q24" s="16"/>
    </row>
    <row r="25" spans="11:17">
      <c r="K25" s="13" t="s">
        <v>167</v>
      </c>
      <c r="L25" s="16"/>
      <c r="M25" s="16"/>
      <c r="N25" s="16"/>
      <c r="O25" s="16"/>
      <c r="P25" s="16"/>
      <c r="Q25" s="16"/>
    </row>
    <row r="26" spans="11:17">
      <c r="K26" s="13" t="s">
        <v>165</v>
      </c>
      <c r="L26" s="16">
        <f>L$10*10^6/L22</f>
        <v>3678.1609195402298</v>
      </c>
      <c r="M26" s="16">
        <f>M$10*10^6/M22</f>
        <v>3703.7037037037039</v>
      </c>
      <c r="N26" s="16">
        <f>N$10*10^6/N22</f>
        <v>3831.4176245210729</v>
      </c>
      <c r="O26" s="16">
        <f t="shared" ref="O26:Q27" si="8">N26*1.02</f>
        <v>3908.0459770114944</v>
      </c>
      <c r="P26" s="16">
        <f t="shared" si="8"/>
        <v>3986.2068965517242</v>
      </c>
      <c r="Q26" s="16">
        <f t="shared" si="8"/>
        <v>4065.9310344827586</v>
      </c>
    </row>
    <row r="27" spans="11:17">
      <c r="K27" s="13" t="s">
        <v>166</v>
      </c>
      <c r="L27" s="16">
        <f>L$11*10^6/L23</f>
        <v>1264.266900790167</v>
      </c>
      <c r="M27" s="16">
        <f>M$11*10^6/M23</f>
        <v>1273.0465320456542</v>
      </c>
      <c r="N27" s="16">
        <f>N$11*10^6/N23</f>
        <v>1316.9446883230905</v>
      </c>
      <c r="O27" s="16">
        <f t="shared" si="8"/>
        <v>1343.2835820895523</v>
      </c>
      <c r="P27" s="16">
        <f t="shared" si="8"/>
        <v>1370.1492537313434</v>
      </c>
      <c r="Q27" s="16">
        <f t="shared" si="8"/>
        <v>1397.5522388059703</v>
      </c>
    </row>
  </sheetData>
  <mergeCells count="1">
    <mergeCell ref="A4: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R19"/>
  <sheetViews>
    <sheetView workbookViewId="0">
      <selection activeCell="A5" sqref="A5:I16"/>
    </sheetView>
  </sheetViews>
  <sheetFormatPr defaultRowHeight="15"/>
  <cols>
    <col min="1" max="9" width="9.140625" style="13"/>
    <col min="10" max="10" width="13.85546875" style="13" bestFit="1" customWidth="1"/>
    <col min="11" max="11" width="16.85546875" style="13" bestFit="1" customWidth="1"/>
    <col min="12" max="12" width="11.7109375" style="13" bestFit="1" customWidth="1"/>
    <col min="13" max="14" width="9.5703125" style="13" bestFit="1" customWidth="1"/>
    <col min="15" max="15" width="10.5703125" style="13" bestFit="1" customWidth="1"/>
    <col min="16" max="16" width="12.140625" style="13" bestFit="1" customWidth="1"/>
    <col min="17" max="19" width="9.5703125" style="13" bestFit="1" customWidth="1"/>
    <col min="20" max="16384" width="9.140625" style="13"/>
  </cols>
  <sheetData>
    <row r="3" spans="1:18">
      <c r="A3" s="11" t="s">
        <v>175</v>
      </c>
      <c r="B3" s="12"/>
      <c r="C3" s="12"/>
      <c r="D3" s="12"/>
      <c r="E3" s="12"/>
      <c r="F3" s="12"/>
      <c r="G3" s="12"/>
      <c r="H3" s="12"/>
      <c r="I3" s="12"/>
    </row>
    <row r="4" spans="1:18">
      <c r="K4" s="13" t="s">
        <v>106</v>
      </c>
      <c r="L4" s="13">
        <v>0.6</v>
      </c>
      <c r="O4" s="13" t="s">
        <v>110</v>
      </c>
      <c r="P4" s="13">
        <f>L6/L4</f>
        <v>16666.666666666668</v>
      </c>
      <c r="R4" s="13">
        <f>L6/P4</f>
        <v>0.6</v>
      </c>
    </row>
    <row r="5" spans="1:18">
      <c r="A5" s="67" t="s">
        <v>185</v>
      </c>
      <c r="B5" s="67"/>
      <c r="C5" s="67"/>
      <c r="D5" s="67"/>
      <c r="E5" s="67"/>
      <c r="F5" s="67"/>
      <c r="G5" s="67"/>
      <c r="H5" s="67"/>
      <c r="I5" s="67"/>
    </row>
    <row r="6" spans="1:18">
      <c r="A6" s="67"/>
      <c r="B6" s="67"/>
      <c r="C6" s="67"/>
      <c r="D6" s="67"/>
      <c r="E6" s="67"/>
      <c r="F6" s="67"/>
      <c r="G6" s="67"/>
      <c r="H6" s="67"/>
      <c r="I6" s="67"/>
      <c r="K6" s="13" t="s">
        <v>107</v>
      </c>
      <c r="L6" s="13">
        <v>10000</v>
      </c>
      <c r="M6" s="19">
        <v>0.12</v>
      </c>
      <c r="O6" s="13" t="s">
        <v>107</v>
      </c>
      <c r="P6" s="13">
        <f>L6</f>
        <v>10000</v>
      </c>
    </row>
    <row r="7" spans="1:18">
      <c r="A7" s="67"/>
      <c r="B7" s="67"/>
      <c r="C7" s="67"/>
      <c r="D7" s="67"/>
      <c r="E7" s="67"/>
      <c r="F7" s="67"/>
      <c r="G7" s="67"/>
      <c r="H7" s="67"/>
      <c r="I7" s="67"/>
      <c r="M7" s="19"/>
    </row>
    <row r="8" spans="1:18">
      <c r="A8" s="67"/>
      <c r="B8" s="67"/>
      <c r="C8" s="67"/>
      <c r="D8" s="67"/>
      <c r="E8" s="67"/>
      <c r="F8" s="67"/>
      <c r="G8" s="67"/>
      <c r="H8" s="67"/>
      <c r="I8" s="67"/>
      <c r="K8" s="13" t="s">
        <v>109</v>
      </c>
      <c r="L8" s="13">
        <v>1500</v>
      </c>
      <c r="O8" s="13" t="s">
        <v>109</v>
      </c>
      <c r="P8" s="13">
        <f>L8</f>
        <v>1500</v>
      </c>
    </row>
    <row r="9" spans="1:18">
      <c r="A9" s="67"/>
      <c r="B9" s="67"/>
      <c r="C9" s="67"/>
      <c r="D9" s="67"/>
      <c r="E9" s="67"/>
      <c r="F9" s="67"/>
      <c r="G9" s="67"/>
      <c r="H9" s="67"/>
      <c r="I9" s="67"/>
      <c r="L9" s="19"/>
    </row>
    <row r="10" spans="1:18">
      <c r="A10" s="67"/>
      <c r="B10" s="67"/>
      <c r="C10" s="67"/>
      <c r="D10" s="67"/>
      <c r="E10" s="67"/>
      <c r="F10" s="67"/>
      <c r="G10" s="67"/>
      <c r="H10" s="67"/>
      <c r="I10" s="67"/>
      <c r="K10" s="13" t="s">
        <v>119</v>
      </c>
      <c r="L10" s="13">
        <v>5500</v>
      </c>
      <c r="O10" s="13" t="s">
        <v>111</v>
      </c>
      <c r="P10" s="13">
        <f>P4+P6-P8</f>
        <v>25166.666666666668</v>
      </c>
    </row>
    <row r="11" spans="1:18">
      <c r="A11" s="67"/>
      <c r="B11" s="67"/>
      <c r="C11" s="67"/>
      <c r="D11" s="67"/>
      <c r="E11" s="67"/>
      <c r="F11" s="67"/>
      <c r="G11" s="67"/>
      <c r="H11" s="67"/>
      <c r="I11" s="67"/>
      <c r="L11" s="19"/>
    </row>
    <row r="12" spans="1:18">
      <c r="A12" s="67"/>
      <c r="B12" s="67"/>
      <c r="C12" s="67"/>
      <c r="D12" s="67"/>
      <c r="E12" s="67"/>
      <c r="F12" s="67"/>
      <c r="G12" s="67"/>
      <c r="H12" s="67"/>
      <c r="I12" s="67"/>
      <c r="K12" s="13" t="s">
        <v>114</v>
      </c>
      <c r="L12" s="19">
        <v>0.3</v>
      </c>
      <c r="O12" s="13" t="s">
        <v>119</v>
      </c>
      <c r="P12" s="13">
        <f>L10</f>
        <v>5500</v>
      </c>
    </row>
    <row r="13" spans="1:18">
      <c r="A13" s="67"/>
      <c r="B13" s="67"/>
      <c r="C13" s="67"/>
      <c r="D13" s="67"/>
      <c r="E13" s="67"/>
      <c r="F13" s="67"/>
      <c r="G13" s="67"/>
      <c r="H13" s="67"/>
      <c r="I13" s="67"/>
      <c r="O13" s="13" t="s">
        <v>115</v>
      </c>
      <c r="P13" s="13">
        <f>P12/(1-L12)</f>
        <v>7857.1428571428578</v>
      </c>
      <c r="R13" s="13">
        <f>P13*(1-L12)</f>
        <v>5500</v>
      </c>
    </row>
    <row r="14" spans="1:18">
      <c r="A14" s="67"/>
      <c r="B14" s="67"/>
      <c r="C14" s="67"/>
      <c r="D14" s="67"/>
      <c r="E14" s="67"/>
      <c r="F14" s="67"/>
      <c r="G14" s="67"/>
      <c r="H14" s="67"/>
      <c r="I14" s="67"/>
      <c r="K14" s="13" t="s">
        <v>186</v>
      </c>
      <c r="L14" s="13">
        <v>2500</v>
      </c>
      <c r="O14" s="13" t="s">
        <v>113</v>
      </c>
      <c r="P14" s="13">
        <f>L14</f>
        <v>2500</v>
      </c>
    </row>
    <row r="15" spans="1:18">
      <c r="A15" s="67"/>
      <c r="B15" s="67"/>
      <c r="C15" s="67"/>
      <c r="D15" s="67"/>
      <c r="E15" s="67"/>
      <c r="F15" s="67"/>
      <c r="G15" s="67"/>
      <c r="H15" s="67"/>
      <c r="I15" s="67"/>
      <c r="O15" s="13" t="s">
        <v>108</v>
      </c>
      <c r="P15" s="13">
        <f>M6*L6</f>
        <v>1200</v>
      </c>
    </row>
    <row r="16" spans="1:18">
      <c r="A16" s="67"/>
      <c r="B16" s="67"/>
      <c r="C16" s="67"/>
      <c r="D16" s="67"/>
      <c r="E16" s="67"/>
      <c r="F16" s="67"/>
      <c r="G16" s="67"/>
      <c r="H16" s="67"/>
      <c r="I16" s="67"/>
    </row>
    <row r="17" spans="15:16">
      <c r="O17" s="13" t="s">
        <v>116</v>
      </c>
      <c r="P17" s="13">
        <f>SUM(P13:P15)</f>
        <v>11557.142857142859</v>
      </c>
    </row>
    <row r="19" spans="15:16">
      <c r="O19" s="13" t="s">
        <v>117</v>
      </c>
      <c r="P19" s="13">
        <f>P10/P17</f>
        <v>2.1775854964977337</v>
      </c>
    </row>
  </sheetData>
  <mergeCells count="1">
    <mergeCell ref="A5:I1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V28"/>
  <sheetViews>
    <sheetView topLeftCell="F16" workbookViewId="0">
      <selection activeCell="H32" sqref="H32"/>
    </sheetView>
  </sheetViews>
  <sheetFormatPr defaultRowHeight="15" outlineLevelCol="1"/>
  <cols>
    <col min="1" max="1" width="16" style="13" bestFit="1" customWidth="1"/>
    <col min="2" max="2" width="13.28515625" style="23" bestFit="1" customWidth="1"/>
    <col min="3" max="3" width="18.140625" style="23" bestFit="1" customWidth="1"/>
    <col min="4" max="4" width="13.28515625" style="13" bestFit="1" customWidth="1"/>
    <col min="5" max="5" width="9.140625" style="13"/>
    <col min="6" max="6" width="19" style="13" bestFit="1" customWidth="1"/>
    <col min="7" max="7" width="14" style="13" bestFit="1" customWidth="1"/>
    <col min="8" max="12" width="13.42578125" style="13" customWidth="1" outlineLevel="1"/>
    <col min="13" max="16384" width="9.140625" style="13"/>
  </cols>
  <sheetData>
    <row r="1" spans="1:22">
      <c r="O1" s="11" t="s">
        <v>175</v>
      </c>
      <c r="P1" s="24"/>
      <c r="Q1" s="24"/>
      <c r="R1" s="11"/>
      <c r="S1" s="11"/>
      <c r="T1" s="11"/>
      <c r="U1" s="11"/>
      <c r="V1" s="11"/>
    </row>
    <row r="2" spans="1:22" ht="15" customHeight="1">
      <c r="A2" s="25"/>
      <c r="B2" s="26" t="s">
        <v>196</v>
      </c>
      <c r="C2" s="26" t="s">
        <v>126</v>
      </c>
      <c r="G2" s="26" t="s">
        <v>120</v>
      </c>
      <c r="H2" s="26" t="s">
        <v>121</v>
      </c>
      <c r="I2" s="26" t="s">
        <v>122</v>
      </c>
      <c r="J2" s="26" t="s">
        <v>123</v>
      </c>
      <c r="K2" s="26" t="s">
        <v>124</v>
      </c>
      <c r="L2" s="26" t="s">
        <v>125</v>
      </c>
      <c r="O2" s="68" t="s">
        <v>197</v>
      </c>
      <c r="P2" s="68"/>
      <c r="Q2" s="68"/>
      <c r="R2" s="68"/>
      <c r="S2" s="68"/>
      <c r="T2" s="68"/>
      <c r="U2" s="68"/>
      <c r="V2" s="68"/>
    </row>
    <row r="3" spans="1:22">
      <c r="A3" s="13" t="s">
        <v>198</v>
      </c>
      <c r="B3" s="27">
        <v>200</v>
      </c>
      <c r="C3" s="27">
        <v>40</v>
      </c>
      <c r="O3" s="68"/>
      <c r="P3" s="68"/>
      <c r="Q3" s="68"/>
      <c r="R3" s="68"/>
      <c r="S3" s="68"/>
      <c r="T3" s="68"/>
      <c r="U3" s="68"/>
      <c r="V3" s="68"/>
    </row>
    <row r="4" spans="1:22">
      <c r="A4" s="13" t="s">
        <v>199</v>
      </c>
      <c r="B4" s="27">
        <v>150</v>
      </c>
      <c r="C4" s="27">
        <v>75</v>
      </c>
      <c r="F4" s="13" t="s">
        <v>196</v>
      </c>
      <c r="O4" s="68"/>
      <c r="P4" s="68"/>
      <c r="Q4" s="68"/>
      <c r="R4" s="68"/>
      <c r="S4" s="68"/>
      <c r="T4" s="68"/>
      <c r="U4" s="68"/>
      <c r="V4" s="68"/>
    </row>
    <row r="5" spans="1:22">
      <c r="A5" s="13" t="s">
        <v>200</v>
      </c>
      <c r="B5" s="28">
        <v>0.05</v>
      </c>
      <c r="C5" s="28">
        <v>0.05</v>
      </c>
      <c r="F5" s="29" t="s">
        <v>198</v>
      </c>
      <c r="H5" s="30">
        <f>B3</f>
        <v>200</v>
      </c>
      <c r="I5" s="30">
        <f t="shared" ref="I5:L6" si="0">H5*(1+$B$5)</f>
        <v>210</v>
      </c>
      <c r="J5" s="30">
        <f t="shared" si="0"/>
        <v>220.5</v>
      </c>
      <c r="K5" s="30">
        <f t="shared" si="0"/>
        <v>231.52500000000001</v>
      </c>
      <c r="L5" s="30">
        <f t="shared" si="0"/>
        <v>243.10125000000002</v>
      </c>
      <c r="O5" s="68"/>
      <c r="P5" s="68"/>
      <c r="Q5" s="68"/>
      <c r="R5" s="68"/>
      <c r="S5" s="68"/>
      <c r="T5" s="68"/>
      <c r="U5" s="68"/>
      <c r="V5" s="68"/>
    </row>
    <row r="6" spans="1:22">
      <c r="B6" s="28"/>
      <c r="C6" s="28"/>
      <c r="F6" s="29" t="s">
        <v>199</v>
      </c>
      <c r="H6" s="30">
        <f>B4</f>
        <v>150</v>
      </c>
      <c r="I6" s="30">
        <f t="shared" si="0"/>
        <v>157.5</v>
      </c>
      <c r="J6" s="30">
        <f t="shared" si="0"/>
        <v>165.375</v>
      </c>
      <c r="K6" s="30">
        <f t="shared" si="0"/>
        <v>173.64375000000001</v>
      </c>
      <c r="L6" s="30">
        <f t="shared" si="0"/>
        <v>182.32593750000001</v>
      </c>
      <c r="O6" s="68"/>
      <c r="P6" s="68"/>
      <c r="Q6" s="68"/>
      <c r="R6" s="68"/>
      <c r="S6" s="68"/>
      <c r="T6" s="68"/>
      <c r="U6" s="68"/>
      <c r="V6" s="68"/>
    </row>
    <row r="7" spans="1:22">
      <c r="B7" s="26" t="s">
        <v>201</v>
      </c>
      <c r="C7" s="26" t="s">
        <v>202</v>
      </c>
      <c r="D7" s="26" t="s">
        <v>127</v>
      </c>
      <c r="F7" s="13" t="s">
        <v>126</v>
      </c>
      <c r="H7" s="30"/>
      <c r="I7" s="30"/>
      <c r="J7" s="30"/>
      <c r="K7" s="30"/>
      <c r="L7" s="30"/>
      <c r="O7" s="68"/>
      <c r="P7" s="68"/>
      <c r="Q7" s="68"/>
      <c r="R7" s="68"/>
      <c r="S7" s="68"/>
      <c r="T7" s="68"/>
      <c r="U7" s="68"/>
      <c r="V7" s="68"/>
    </row>
    <row r="8" spans="1:22">
      <c r="A8" s="13" t="s">
        <v>203</v>
      </c>
      <c r="B8" s="27">
        <v>1250</v>
      </c>
      <c r="C8" s="27">
        <v>180</v>
      </c>
      <c r="D8" s="30">
        <v>1500000</v>
      </c>
      <c r="F8" s="29" t="s">
        <v>198</v>
      </c>
      <c r="H8" s="30">
        <f>C3</f>
        <v>40</v>
      </c>
      <c r="I8" s="30">
        <f t="shared" ref="I8:L9" si="1">H8*(1+$C$5)</f>
        <v>42</v>
      </c>
      <c r="J8" s="30">
        <f t="shared" si="1"/>
        <v>44.1</v>
      </c>
      <c r="K8" s="30">
        <f t="shared" si="1"/>
        <v>46.305000000000007</v>
      </c>
      <c r="L8" s="30">
        <f t="shared" si="1"/>
        <v>48.620250000000006</v>
      </c>
      <c r="O8" s="68"/>
      <c r="P8" s="68"/>
      <c r="Q8" s="68"/>
      <c r="R8" s="68"/>
      <c r="S8" s="68"/>
      <c r="T8" s="68"/>
      <c r="U8" s="68"/>
      <c r="V8" s="68"/>
    </row>
    <row r="9" spans="1:22">
      <c r="F9" s="29" t="s">
        <v>199</v>
      </c>
      <c r="H9" s="30">
        <f>C4</f>
        <v>75</v>
      </c>
      <c r="I9" s="30">
        <f t="shared" si="1"/>
        <v>78.75</v>
      </c>
      <c r="J9" s="30">
        <f t="shared" si="1"/>
        <v>82.6875</v>
      </c>
      <c r="K9" s="30">
        <f t="shared" si="1"/>
        <v>86.821875000000006</v>
      </c>
      <c r="L9" s="30">
        <f t="shared" si="1"/>
        <v>91.162968750000005</v>
      </c>
      <c r="O9" s="68"/>
      <c r="P9" s="68"/>
      <c r="Q9" s="68"/>
      <c r="R9" s="68"/>
      <c r="S9" s="68"/>
      <c r="T9" s="68"/>
      <c r="U9" s="68"/>
      <c r="V9" s="68"/>
    </row>
    <row r="10" spans="1:22">
      <c r="A10" s="13" t="s">
        <v>204</v>
      </c>
      <c r="B10" s="31">
        <v>3000000</v>
      </c>
      <c r="O10" s="68"/>
      <c r="P10" s="68"/>
      <c r="Q10" s="68"/>
      <c r="R10" s="68"/>
      <c r="S10" s="68"/>
      <c r="T10" s="68"/>
      <c r="U10" s="68"/>
      <c r="V10" s="68"/>
    </row>
    <row r="11" spans="1:22">
      <c r="B11" s="31"/>
      <c r="F11" s="13" t="s">
        <v>157</v>
      </c>
      <c r="H11" s="30">
        <f>(H5*H8+H6*H9)*365</f>
        <v>7026250</v>
      </c>
      <c r="I11" s="30">
        <f>(I5*I8+I6*I9)*365</f>
        <v>7746440.625</v>
      </c>
      <c r="J11" s="30">
        <f>(J5*J8+J6*J9)*365</f>
        <v>8540450.7890625019</v>
      </c>
      <c r="K11" s="30">
        <f>(K5*K8+K6*K9)*365</f>
        <v>9415846.9949414078</v>
      </c>
      <c r="L11" s="30">
        <f>(L5*L8+L6*L9)*365</f>
        <v>10380971.311922902</v>
      </c>
      <c r="O11" s="68"/>
      <c r="P11" s="68"/>
      <c r="Q11" s="68"/>
      <c r="R11" s="68"/>
      <c r="S11" s="68"/>
      <c r="T11" s="68"/>
      <c r="U11" s="68"/>
      <c r="V11" s="68"/>
    </row>
    <row r="12" spans="1:22">
      <c r="A12" s="13" t="s">
        <v>205</v>
      </c>
      <c r="B12" s="31">
        <v>125000</v>
      </c>
      <c r="C12" s="25" t="s">
        <v>206</v>
      </c>
      <c r="F12" s="29" t="s">
        <v>207</v>
      </c>
      <c r="H12" s="30">
        <f>$B$8*$C$8*12</f>
        <v>2700000</v>
      </c>
      <c r="I12" s="30">
        <f>$B$8*$C$8*12</f>
        <v>2700000</v>
      </c>
      <c r="J12" s="30">
        <f>$B$8*$C$8*12</f>
        <v>2700000</v>
      </c>
      <c r="K12" s="30">
        <f>$B$8*$C$8*12</f>
        <v>2700000</v>
      </c>
      <c r="L12" s="30">
        <f>$B$8*$C$8*12</f>
        <v>2700000</v>
      </c>
      <c r="O12" s="68"/>
      <c r="P12" s="68"/>
      <c r="Q12" s="68"/>
      <c r="R12" s="68"/>
      <c r="S12" s="68"/>
      <c r="T12" s="68"/>
      <c r="U12" s="68"/>
      <c r="V12" s="68"/>
    </row>
    <row r="13" spans="1:22">
      <c r="A13" s="13" t="s">
        <v>208</v>
      </c>
      <c r="B13" s="32">
        <v>0.08</v>
      </c>
      <c r="F13" s="29" t="s">
        <v>209</v>
      </c>
      <c r="H13" s="30">
        <f>B12*12</f>
        <v>1500000</v>
      </c>
      <c r="I13" s="30">
        <f>H13*(1+$B$13)</f>
        <v>1620000</v>
      </c>
      <c r="J13" s="30">
        <f>I13*(1+$B$13)</f>
        <v>1749600</v>
      </c>
      <c r="K13" s="30">
        <f>J13*(1+$B$13)</f>
        <v>1889568.0000000002</v>
      </c>
      <c r="L13" s="30">
        <f>K13*(1+$B$13)</f>
        <v>2040733.4400000004</v>
      </c>
      <c r="O13" s="68"/>
      <c r="P13" s="68"/>
      <c r="Q13" s="68"/>
      <c r="R13" s="68"/>
      <c r="S13" s="68"/>
      <c r="T13" s="68"/>
      <c r="U13" s="68"/>
      <c r="V13" s="68"/>
    </row>
    <row r="14" spans="1:22">
      <c r="B14" s="32"/>
      <c r="F14" s="29" t="s">
        <v>210</v>
      </c>
      <c r="H14" s="33">
        <f>H11*$B$15</f>
        <v>2107875</v>
      </c>
      <c r="I14" s="33">
        <f>I11*$B$15</f>
        <v>2323932.1875</v>
      </c>
      <c r="J14" s="33">
        <f>J11*$B$15</f>
        <v>2562135.2367187506</v>
      </c>
      <c r="K14" s="33">
        <f>K11*$B$15</f>
        <v>2824754.0984824221</v>
      </c>
      <c r="L14" s="33">
        <f>L11*$B$15</f>
        <v>3114291.3935768707</v>
      </c>
      <c r="O14" s="68"/>
      <c r="P14" s="68"/>
      <c r="Q14" s="68"/>
      <c r="R14" s="68"/>
      <c r="S14" s="68"/>
      <c r="T14" s="68"/>
      <c r="U14" s="68"/>
      <c r="V14" s="68"/>
    </row>
    <row r="15" spans="1:22">
      <c r="A15" s="13" t="s">
        <v>210</v>
      </c>
      <c r="B15" s="32">
        <v>0.3</v>
      </c>
      <c r="C15" s="25" t="s">
        <v>211</v>
      </c>
      <c r="F15" s="34" t="s">
        <v>118</v>
      </c>
      <c r="G15" s="34"/>
      <c r="H15" s="35">
        <f>H11-SUM(H12:H14)</f>
        <v>718375</v>
      </c>
      <c r="I15" s="35">
        <f>I11-SUM(I12:I14)</f>
        <v>1102508.4375</v>
      </c>
      <c r="J15" s="35">
        <f>J11-SUM(J12:J14)</f>
        <v>1528715.5523437513</v>
      </c>
      <c r="K15" s="35">
        <f>K11-SUM(K12:K14)</f>
        <v>2001524.8964589853</v>
      </c>
      <c r="L15" s="35">
        <f>L11-SUM(L12:L14)</f>
        <v>2525946.4783460312</v>
      </c>
      <c r="O15" s="68"/>
      <c r="P15" s="68"/>
      <c r="Q15" s="68"/>
      <c r="R15" s="68"/>
      <c r="S15" s="68"/>
      <c r="T15" s="68"/>
      <c r="U15" s="68"/>
      <c r="V15" s="68"/>
    </row>
    <row r="16" spans="1:22">
      <c r="A16" s="13" t="s">
        <v>212</v>
      </c>
      <c r="B16" s="32">
        <v>0.35</v>
      </c>
      <c r="F16" s="29" t="s">
        <v>213</v>
      </c>
      <c r="H16" s="30">
        <f>$B$19*$B$20</f>
        <v>351000</v>
      </c>
      <c r="I16" s="30">
        <f>$B$19*$B$20</f>
        <v>351000</v>
      </c>
      <c r="J16" s="30">
        <f>$B$19*$B$20</f>
        <v>351000</v>
      </c>
      <c r="K16" s="30">
        <f>$B$19*$B$20</f>
        <v>351000</v>
      </c>
      <c r="L16" s="30">
        <f>$B$19*$B$20</f>
        <v>351000</v>
      </c>
      <c r="O16" s="68"/>
      <c r="P16" s="68"/>
      <c r="Q16" s="68"/>
      <c r="R16" s="68"/>
      <c r="S16" s="68"/>
      <c r="T16" s="68"/>
      <c r="U16" s="68"/>
      <c r="V16" s="68"/>
    </row>
    <row r="17" spans="1:22">
      <c r="B17" s="31"/>
      <c r="F17" s="34" t="s">
        <v>134</v>
      </c>
      <c r="G17" s="34"/>
      <c r="H17" s="35">
        <f>H15-H16</f>
        <v>367375</v>
      </c>
      <c r="I17" s="35">
        <f>I15-I16</f>
        <v>751508.4375</v>
      </c>
      <c r="J17" s="35">
        <f>J15-J16</f>
        <v>1177715.5523437513</v>
      </c>
      <c r="K17" s="35">
        <f>K15-K16</f>
        <v>1650524.8964589853</v>
      </c>
      <c r="L17" s="35">
        <f>L15-L16</f>
        <v>2174946.4783460312</v>
      </c>
      <c r="O17" s="68"/>
      <c r="P17" s="68"/>
      <c r="Q17" s="68"/>
      <c r="R17" s="68"/>
      <c r="S17" s="68"/>
      <c r="T17" s="68"/>
      <c r="U17" s="68"/>
      <c r="V17" s="68"/>
    </row>
    <row r="18" spans="1:22">
      <c r="A18" s="13" t="s">
        <v>214</v>
      </c>
      <c r="B18" s="31">
        <f>B10+D8</f>
        <v>4500000</v>
      </c>
      <c r="F18" s="29" t="s">
        <v>114</v>
      </c>
      <c r="H18" s="30">
        <f>H17*$B$16</f>
        <v>128581.24999999999</v>
      </c>
      <c r="I18" s="30">
        <f>I17*$B$16</f>
        <v>263027.953125</v>
      </c>
      <c r="J18" s="30">
        <f>J17*$B$16</f>
        <v>412200.44332031294</v>
      </c>
      <c r="K18" s="30">
        <f>K17*$B$16</f>
        <v>577683.71376064478</v>
      </c>
      <c r="L18" s="30">
        <f>L17*$B$16</f>
        <v>761231.26742111088</v>
      </c>
      <c r="O18" s="68"/>
      <c r="P18" s="68"/>
      <c r="Q18" s="68"/>
      <c r="R18" s="68"/>
      <c r="S18" s="68"/>
      <c r="T18" s="68"/>
      <c r="U18" s="68"/>
      <c r="V18" s="68"/>
    </row>
    <row r="19" spans="1:22">
      <c r="A19" s="13" t="s">
        <v>107</v>
      </c>
      <c r="B19" s="31">
        <f>C19*B18</f>
        <v>2700000</v>
      </c>
      <c r="C19" s="36">
        <v>0.6</v>
      </c>
      <c r="F19" s="34" t="s">
        <v>119</v>
      </c>
      <c r="G19" s="34"/>
      <c r="H19" s="35">
        <f>H17-H18</f>
        <v>238793.75</v>
      </c>
      <c r="I19" s="35">
        <f>I17-I18</f>
        <v>488480.484375</v>
      </c>
      <c r="J19" s="35">
        <f>J17-J18</f>
        <v>765515.1090234383</v>
      </c>
      <c r="K19" s="35">
        <f>K17-K18</f>
        <v>1072841.1826983406</v>
      </c>
      <c r="L19" s="35">
        <f>L17-L18</f>
        <v>1413715.2109249202</v>
      </c>
      <c r="O19" s="68"/>
      <c r="P19" s="68"/>
      <c r="Q19" s="68"/>
      <c r="R19" s="68"/>
      <c r="S19" s="68"/>
      <c r="T19" s="68"/>
      <c r="U19" s="68"/>
      <c r="V19" s="68"/>
    </row>
    <row r="20" spans="1:22">
      <c r="A20" s="29" t="s">
        <v>215</v>
      </c>
      <c r="B20" s="32">
        <v>0.13</v>
      </c>
      <c r="C20" s="36"/>
      <c r="O20" s="68"/>
      <c r="P20" s="68"/>
      <c r="Q20" s="68"/>
      <c r="R20" s="68"/>
      <c r="S20" s="68"/>
      <c r="T20" s="68"/>
      <c r="U20" s="68"/>
      <c r="V20" s="68"/>
    </row>
    <row r="21" spans="1:22">
      <c r="A21" s="13" t="s">
        <v>110</v>
      </c>
      <c r="B21" s="31">
        <f>B18-B19</f>
        <v>1800000</v>
      </c>
      <c r="C21" s="36">
        <f>1-C19</f>
        <v>0.4</v>
      </c>
      <c r="F21" s="29" t="s">
        <v>119</v>
      </c>
      <c r="H21" s="33">
        <f>H19</f>
        <v>238793.75</v>
      </c>
      <c r="I21" s="33">
        <f>I19</f>
        <v>488480.484375</v>
      </c>
      <c r="J21" s="33">
        <f>J19</f>
        <v>765515.1090234383</v>
      </c>
      <c r="K21" s="33">
        <f>K19</f>
        <v>1072841.1826983406</v>
      </c>
      <c r="L21" s="33">
        <f>L19</f>
        <v>1413715.2109249202</v>
      </c>
      <c r="O21" s="68"/>
      <c r="P21" s="68"/>
      <c r="Q21" s="68"/>
      <c r="R21" s="68"/>
      <c r="S21" s="68"/>
      <c r="T21" s="68"/>
      <c r="U21" s="68"/>
      <c r="V21" s="68"/>
    </row>
    <row r="22" spans="1:22">
      <c r="A22" s="29" t="s">
        <v>216</v>
      </c>
      <c r="B22" s="32">
        <v>0.25</v>
      </c>
      <c r="F22" s="29" t="s">
        <v>217</v>
      </c>
      <c r="G22" s="33">
        <f>-B18</f>
        <v>-4500000</v>
      </c>
    </row>
    <row r="23" spans="1:22">
      <c r="F23" s="29" t="s">
        <v>218</v>
      </c>
      <c r="G23" s="33">
        <f>B19</f>
        <v>2700000</v>
      </c>
      <c r="L23" s="33">
        <f>-G23</f>
        <v>-2700000</v>
      </c>
    </row>
    <row r="24" spans="1:22">
      <c r="F24" s="29" t="s">
        <v>129</v>
      </c>
      <c r="L24" s="30">
        <f>D8</f>
        <v>1500000</v>
      </c>
    </row>
    <row r="25" spans="1:22">
      <c r="F25" s="34" t="s">
        <v>145</v>
      </c>
      <c r="G25" s="37">
        <f t="shared" ref="G25:L25" si="2">SUM(G21:G24)</f>
        <v>-1800000</v>
      </c>
      <c r="H25" s="37">
        <f t="shared" si="2"/>
        <v>238793.75</v>
      </c>
      <c r="I25" s="37">
        <f t="shared" si="2"/>
        <v>488480.484375</v>
      </c>
      <c r="J25" s="37">
        <f t="shared" si="2"/>
        <v>765515.1090234383</v>
      </c>
      <c r="K25" s="37">
        <f t="shared" si="2"/>
        <v>1072841.1826983406</v>
      </c>
      <c r="L25" s="37">
        <f t="shared" si="2"/>
        <v>213715.21092492016</v>
      </c>
    </row>
    <row r="27" spans="1:22">
      <c r="F27" s="13" t="s">
        <v>146</v>
      </c>
      <c r="G27" s="38">
        <f>NPV(B22,H25:L25)+G25</f>
        <v>-394927.80543088145</v>
      </c>
    </row>
    <row r="28" spans="1:22">
      <c r="F28" s="13" t="s">
        <v>130</v>
      </c>
      <c r="G28" s="39">
        <f>IRR(G25:L25)</f>
        <v>0.15000030294842262</v>
      </c>
    </row>
  </sheetData>
  <mergeCells count="1">
    <mergeCell ref="O2:V2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3:Q25"/>
  <sheetViews>
    <sheetView workbookViewId="0">
      <selection activeCell="G18" sqref="G18"/>
    </sheetView>
  </sheetViews>
  <sheetFormatPr defaultRowHeight="15"/>
  <cols>
    <col min="1" max="10" width="9.140625" style="13"/>
    <col min="11" max="11" width="16" style="13" bestFit="1" customWidth="1"/>
    <col min="12" max="14" width="9.5703125" style="13" bestFit="1" customWidth="1"/>
    <col min="15" max="16384" width="9.140625" style="13"/>
  </cols>
  <sheetData>
    <row r="3" spans="1:17">
      <c r="A3" s="11" t="s">
        <v>175</v>
      </c>
      <c r="B3" s="12"/>
      <c r="C3" s="12"/>
      <c r="D3" s="12"/>
      <c r="E3" s="12"/>
      <c r="F3" s="12"/>
      <c r="G3" s="12"/>
      <c r="H3" s="12"/>
      <c r="I3" s="12"/>
    </row>
    <row r="4" spans="1:17">
      <c r="L4" s="14" t="s">
        <v>121</v>
      </c>
      <c r="M4" s="14" t="s">
        <v>122</v>
      </c>
      <c r="N4" s="14" t="s">
        <v>123</v>
      </c>
    </row>
    <row r="5" spans="1:17">
      <c r="A5" s="67" t="s">
        <v>224</v>
      </c>
      <c r="B5" s="67"/>
      <c r="C5" s="67"/>
      <c r="D5" s="67"/>
      <c r="E5" s="67"/>
      <c r="F5" s="67"/>
      <c r="G5" s="67"/>
      <c r="H5" s="67"/>
      <c r="I5" s="67"/>
      <c r="L5" s="40"/>
      <c r="M5" s="40"/>
      <c r="N5" s="40"/>
      <c r="O5" s="40"/>
      <c r="P5" s="40"/>
      <c r="Q5" s="40"/>
    </row>
    <row r="6" spans="1:17">
      <c r="A6" s="67"/>
      <c r="B6" s="67"/>
      <c r="C6" s="67"/>
      <c r="D6" s="67"/>
      <c r="E6" s="67"/>
      <c r="F6" s="67"/>
      <c r="G6" s="67"/>
      <c r="H6" s="67"/>
      <c r="I6" s="67"/>
      <c r="K6" s="29" t="s">
        <v>131</v>
      </c>
      <c r="L6" s="41">
        <v>3000</v>
      </c>
      <c r="M6" s="41">
        <v>3500</v>
      </c>
      <c r="N6" s="41">
        <v>4500</v>
      </c>
    </row>
    <row r="7" spans="1:17">
      <c r="A7" s="67"/>
      <c r="B7" s="67"/>
      <c r="C7" s="67"/>
      <c r="D7" s="67"/>
      <c r="E7" s="67"/>
      <c r="F7" s="67"/>
      <c r="G7" s="67"/>
      <c r="H7" s="67"/>
      <c r="I7" s="67"/>
      <c r="K7" s="29" t="s">
        <v>132</v>
      </c>
      <c r="L7" s="41">
        <v>1500</v>
      </c>
      <c r="M7" s="41">
        <v>1400</v>
      </c>
      <c r="N7" s="41">
        <v>2000</v>
      </c>
    </row>
    <row r="8" spans="1:17">
      <c r="A8" s="67"/>
      <c r="B8" s="67"/>
      <c r="C8" s="67"/>
      <c r="D8" s="67"/>
      <c r="E8" s="67"/>
      <c r="F8" s="67"/>
      <c r="G8" s="67"/>
      <c r="H8" s="67"/>
      <c r="I8" s="67"/>
      <c r="K8" s="13" t="s">
        <v>140</v>
      </c>
      <c r="L8" s="40">
        <f>SUM(L6:L7)</f>
        <v>4500</v>
      </c>
      <c r="M8" s="40">
        <f>SUM(M6:M7)</f>
        <v>4900</v>
      </c>
      <c r="N8" s="40">
        <f>SUM(N6:N7)</f>
        <v>6500</v>
      </c>
    </row>
    <row r="9" spans="1:17">
      <c r="A9" s="67"/>
      <c r="B9" s="67"/>
      <c r="C9" s="67"/>
      <c r="D9" s="67"/>
      <c r="E9" s="67"/>
      <c r="F9" s="67"/>
      <c r="G9" s="67"/>
      <c r="H9" s="67"/>
      <c r="I9" s="67"/>
      <c r="L9" s="40"/>
      <c r="M9" s="40"/>
      <c r="N9" s="40"/>
    </row>
    <row r="10" spans="1:17">
      <c r="A10" s="67"/>
      <c r="B10" s="67"/>
      <c r="C10" s="67"/>
      <c r="D10" s="67"/>
      <c r="E10" s="67"/>
      <c r="F10" s="67"/>
      <c r="G10" s="67"/>
      <c r="H10" s="67"/>
      <c r="I10" s="67"/>
      <c r="K10" s="29" t="s">
        <v>131</v>
      </c>
      <c r="L10" s="40">
        <f>L6*$O10</f>
        <v>2250</v>
      </c>
      <c r="M10" s="40">
        <f t="shared" ref="M10:N11" si="0">M6*$O10</f>
        <v>2625</v>
      </c>
      <c r="N10" s="40">
        <f t="shared" si="0"/>
        <v>3375</v>
      </c>
      <c r="O10" s="42">
        <f>1-P10</f>
        <v>0.75</v>
      </c>
      <c r="P10" s="43">
        <v>0.25</v>
      </c>
    </row>
    <row r="11" spans="1:17">
      <c r="A11" s="67"/>
      <c r="B11" s="67"/>
      <c r="C11" s="67"/>
      <c r="D11" s="67"/>
      <c r="E11" s="67"/>
      <c r="F11" s="67"/>
      <c r="G11" s="67"/>
      <c r="H11" s="67"/>
      <c r="I11" s="67"/>
      <c r="K11" s="29" t="s">
        <v>132</v>
      </c>
      <c r="L11" s="40">
        <f>L7*$O11</f>
        <v>1350</v>
      </c>
      <c r="M11" s="40">
        <f t="shared" si="0"/>
        <v>1260</v>
      </c>
      <c r="N11" s="40">
        <f t="shared" si="0"/>
        <v>1800</v>
      </c>
      <c r="O11" s="42">
        <f>1-P11</f>
        <v>0.9</v>
      </c>
      <c r="P11" s="43">
        <v>0.1</v>
      </c>
    </row>
    <row r="12" spans="1:17">
      <c r="A12" s="67"/>
      <c r="B12" s="67"/>
      <c r="C12" s="67"/>
      <c r="D12" s="67"/>
      <c r="E12" s="67"/>
      <c r="F12" s="67"/>
      <c r="G12" s="67"/>
      <c r="H12" s="67"/>
      <c r="I12" s="67"/>
      <c r="K12" s="13" t="s">
        <v>225</v>
      </c>
      <c r="L12" s="40">
        <f>SUM(L10:L11)</f>
        <v>3600</v>
      </c>
      <c r="M12" s="40">
        <f>SUM(M10:M11)</f>
        <v>3885</v>
      </c>
      <c r="N12" s="40">
        <f>SUM(N10:N11)</f>
        <v>5175</v>
      </c>
    </row>
    <row r="13" spans="1:17">
      <c r="A13" s="67"/>
      <c r="B13" s="67"/>
      <c r="C13" s="67"/>
      <c r="D13" s="67"/>
      <c r="E13" s="67"/>
      <c r="F13" s="67"/>
      <c r="G13" s="67"/>
      <c r="H13" s="67"/>
      <c r="I13" s="67"/>
      <c r="L13" s="40"/>
      <c r="M13" s="40"/>
      <c r="N13" s="40"/>
    </row>
    <row r="14" spans="1:17">
      <c r="A14" s="67"/>
      <c r="B14" s="67"/>
      <c r="C14" s="67"/>
      <c r="D14" s="67"/>
      <c r="E14" s="67"/>
      <c r="F14" s="67"/>
      <c r="G14" s="67"/>
      <c r="H14" s="67"/>
      <c r="I14" s="67"/>
      <c r="K14" s="13" t="s">
        <v>133</v>
      </c>
      <c r="L14" s="40">
        <f>L8-L12</f>
        <v>900</v>
      </c>
      <c r="M14" s="40">
        <f>M8-M12</f>
        <v>1015</v>
      </c>
      <c r="N14" s="40">
        <f>N8-N12</f>
        <v>1325</v>
      </c>
    </row>
    <row r="15" spans="1:17">
      <c r="A15" s="67"/>
      <c r="B15" s="67"/>
      <c r="C15" s="67"/>
      <c r="D15" s="67"/>
      <c r="E15" s="67"/>
      <c r="F15" s="67"/>
      <c r="G15" s="67"/>
      <c r="H15" s="67"/>
      <c r="I15" s="67"/>
      <c r="L15" s="40"/>
      <c r="M15" s="40"/>
      <c r="N15" s="40"/>
    </row>
    <row r="16" spans="1:17">
      <c r="A16" s="67"/>
      <c r="B16" s="67"/>
      <c r="C16" s="67"/>
      <c r="D16" s="67"/>
      <c r="E16" s="67"/>
      <c r="F16" s="67"/>
      <c r="G16" s="67"/>
      <c r="H16" s="67"/>
      <c r="I16" s="67"/>
      <c r="K16" s="13" t="s">
        <v>226</v>
      </c>
      <c r="L16" s="40">
        <f>L8*$P16</f>
        <v>450</v>
      </c>
      <c r="M16" s="40">
        <f>M8*$P16</f>
        <v>490</v>
      </c>
      <c r="N16" s="40">
        <f>N8*$P16</f>
        <v>650</v>
      </c>
      <c r="P16" s="43">
        <v>0.1</v>
      </c>
    </row>
    <row r="17" spans="11:16">
      <c r="L17" s="40"/>
      <c r="M17" s="40"/>
      <c r="N17" s="40"/>
    </row>
    <row r="18" spans="11:16">
      <c r="K18" s="13" t="s">
        <v>116</v>
      </c>
      <c r="L18" s="40">
        <f>L14-L16</f>
        <v>450</v>
      </c>
      <c r="M18" s="40">
        <f>M14-M16</f>
        <v>525</v>
      </c>
      <c r="N18" s="40">
        <f>N14-N16</f>
        <v>675</v>
      </c>
    </row>
    <row r="19" spans="11:16">
      <c r="K19" s="29" t="s">
        <v>143</v>
      </c>
      <c r="L19" s="40">
        <f>$P$19*$O$19</f>
        <v>275</v>
      </c>
      <c r="M19" s="40">
        <f t="shared" ref="M19" si="1">$P$19*$O$19</f>
        <v>275</v>
      </c>
      <c r="N19" s="40">
        <f>$P$19*$O$19</f>
        <v>275</v>
      </c>
      <c r="O19" s="44">
        <v>5500</v>
      </c>
      <c r="P19" s="43">
        <v>0.05</v>
      </c>
    </row>
    <row r="20" spans="11:16">
      <c r="K20" s="13" t="s">
        <v>118</v>
      </c>
      <c r="L20" s="40">
        <f>L18-L19</f>
        <v>175</v>
      </c>
      <c r="M20" s="40">
        <f>M18-M19</f>
        <v>250</v>
      </c>
      <c r="N20" s="40">
        <f>N18-N19</f>
        <v>400</v>
      </c>
    </row>
    <row r="21" spans="11:16">
      <c r="K21" s="29" t="s">
        <v>128</v>
      </c>
      <c r="L21" s="40">
        <f>$O$21*$P$21</f>
        <v>306</v>
      </c>
      <c r="M21" s="40">
        <f>5000*7.5%</f>
        <v>375</v>
      </c>
      <c r="N21" s="40">
        <f>5000*7.5%</f>
        <v>375</v>
      </c>
      <c r="O21" s="44">
        <v>3400</v>
      </c>
      <c r="P21" s="45">
        <v>0.09</v>
      </c>
    </row>
    <row r="22" spans="11:16">
      <c r="K22" s="13" t="s">
        <v>115</v>
      </c>
      <c r="L22" s="40">
        <f>L20-L21</f>
        <v>-131</v>
      </c>
      <c r="M22" s="40">
        <f>M20-M21</f>
        <v>-125</v>
      </c>
      <c r="N22" s="40">
        <f>N20-N21</f>
        <v>25</v>
      </c>
    </row>
    <row r="23" spans="11:16">
      <c r="K23" s="29" t="s">
        <v>114</v>
      </c>
      <c r="L23" s="40">
        <f>IF(L22&gt;0,$P$23*L22,0)</f>
        <v>0</v>
      </c>
      <c r="M23" s="40">
        <f t="shared" ref="M23:N23" si="2">IF(M22&gt;0,$P$23*M22,0)</f>
        <v>0</v>
      </c>
      <c r="N23" s="40">
        <f t="shared" si="2"/>
        <v>8.75</v>
      </c>
      <c r="P23" s="43">
        <v>0.35</v>
      </c>
    </row>
    <row r="24" spans="11:16">
      <c r="K24" s="13" t="s">
        <v>142</v>
      </c>
      <c r="L24" s="40">
        <f>L22-L23</f>
        <v>-131</v>
      </c>
      <c r="M24" s="40">
        <f>M22-M23</f>
        <v>-125</v>
      </c>
      <c r="N24" s="40">
        <f>N22-N23</f>
        <v>16.25</v>
      </c>
    </row>
    <row r="25" spans="11:16">
      <c r="N25" s="33">
        <f>N22-N22*P23</f>
        <v>16.25</v>
      </c>
    </row>
  </sheetData>
  <mergeCells count="1">
    <mergeCell ref="A5:I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T28"/>
  <sheetViews>
    <sheetView zoomScale="85" zoomScaleNormal="85" workbookViewId="0">
      <selection activeCell="H25" sqref="H25"/>
    </sheetView>
  </sheetViews>
  <sheetFormatPr defaultRowHeight="15"/>
  <cols>
    <col min="1" max="9" width="9.140625" style="13"/>
    <col min="10" max="10" width="13.85546875" style="13" bestFit="1" customWidth="1"/>
    <col min="11" max="11" width="16.85546875" style="13" bestFit="1" customWidth="1"/>
    <col min="12" max="12" width="11.7109375" style="13" bestFit="1" customWidth="1"/>
    <col min="13" max="15" width="9.5703125" style="13" bestFit="1" customWidth="1"/>
    <col min="16" max="16" width="12.140625" style="13" bestFit="1" customWidth="1"/>
    <col min="17" max="19" width="9.5703125" style="13" bestFit="1" customWidth="1"/>
    <col min="20" max="16384" width="9.140625" style="13"/>
  </cols>
  <sheetData>
    <row r="3" spans="1:19">
      <c r="A3" s="11" t="s">
        <v>175</v>
      </c>
      <c r="B3" s="12"/>
      <c r="C3" s="12"/>
      <c r="D3" s="12"/>
      <c r="E3" s="12"/>
      <c r="F3" s="12"/>
      <c r="G3" s="12"/>
      <c r="H3" s="12"/>
      <c r="I3" s="12"/>
    </row>
    <row r="4" spans="1:19">
      <c r="K4" s="46" t="s">
        <v>120</v>
      </c>
      <c r="L4" s="46" t="s">
        <v>121</v>
      </c>
      <c r="M4" s="46" t="s">
        <v>122</v>
      </c>
      <c r="N4" s="46" t="s">
        <v>123</v>
      </c>
      <c r="O4" s="46" t="s">
        <v>124</v>
      </c>
      <c r="P4" s="46" t="s">
        <v>125</v>
      </c>
      <c r="Q4" s="46" t="s">
        <v>148</v>
      </c>
      <c r="R4" s="46" t="s">
        <v>149</v>
      </c>
      <c r="S4" s="46" t="s">
        <v>150</v>
      </c>
    </row>
    <row r="5" spans="1:19">
      <c r="A5" s="67" t="s">
        <v>235</v>
      </c>
      <c r="B5" s="67"/>
      <c r="C5" s="67"/>
      <c r="D5" s="67"/>
      <c r="E5" s="67"/>
      <c r="F5" s="67"/>
      <c r="G5" s="67"/>
      <c r="H5" s="67"/>
      <c r="I5" s="67"/>
      <c r="J5" s="13" t="s">
        <v>116</v>
      </c>
      <c r="K5" s="47">
        <v>1750</v>
      </c>
    </row>
    <row r="6" spans="1:19">
      <c r="A6" s="67"/>
      <c r="B6" s="67"/>
      <c r="C6" s="67"/>
      <c r="D6" s="67"/>
      <c r="E6" s="67"/>
      <c r="F6" s="67"/>
      <c r="G6" s="67"/>
      <c r="H6" s="67"/>
      <c r="I6" s="67"/>
      <c r="J6" s="13" t="s">
        <v>143</v>
      </c>
      <c r="K6" s="47">
        <v>300</v>
      </c>
      <c r="L6" s="19"/>
    </row>
    <row r="7" spans="1:19">
      <c r="A7" s="67"/>
      <c r="B7" s="67"/>
      <c r="C7" s="67"/>
      <c r="D7" s="67"/>
      <c r="E7" s="67"/>
      <c r="F7" s="67"/>
      <c r="G7" s="67"/>
      <c r="H7" s="67"/>
      <c r="I7" s="67"/>
      <c r="J7" s="13" t="s">
        <v>108</v>
      </c>
      <c r="K7" s="47">
        <f>L7*M7</f>
        <v>120</v>
      </c>
      <c r="L7" s="13">
        <v>1500</v>
      </c>
      <c r="M7" s="19">
        <v>0.08</v>
      </c>
    </row>
    <row r="8" spans="1:19">
      <c r="A8" s="67"/>
      <c r="B8" s="67"/>
      <c r="C8" s="67"/>
      <c r="D8" s="67"/>
      <c r="E8" s="67"/>
      <c r="F8" s="67"/>
      <c r="G8" s="67"/>
      <c r="H8" s="67"/>
      <c r="I8" s="67"/>
      <c r="J8" s="13" t="s">
        <v>115</v>
      </c>
      <c r="K8" s="47">
        <f>K5-K6-K7</f>
        <v>1330</v>
      </c>
    </row>
    <row r="9" spans="1:19">
      <c r="A9" s="67"/>
      <c r="B9" s="67"/>
      <c r="C9" s="67"/>
      <c r="D9" s="67"/>
      <c r="E9" s="67"/>
      <c r="F9" s="67"/>
      <c r="G9" s="67"/>
      <c r="H9" s="67"/>
      <c r="I9" s="67"/>
      <c r="J9" s="13" t="s">
        <v>119</v>
      </c>
      <c r="K9" s="47">
        <f>K8*(1-L9)</f>
        <v>1064</v>
      </c>
      <c r="L9" s="19">
        <v>0.2</v>
      </c>
    </row>
    <row r="10" spans="1:19">
      <c r="A10" s="67"/>
      <c r="B10" s="67"/>
      <c r="C10" s="67"/>
      <c r="D10" s="67"/>
      <c r="E10" s="67"/>
      <c r="F10" s="67"/>
      <c r="G10" s="67"/>
      <c r="H10" s="67"/>
      <c r="I10" s="67"/>
      <c r="K10" s="48"/>
    </row>
    <row r="11" spans="1:19">
      <c r="A11" s="67"/>
      <c r="B11" s="67"/>
      <c r="C11" s="67"/>
      <c r="D11" s="67"/>
      <c r="E11" s="67"/>
      <c r="F11" s="67"/>
      <c r="G11" s="67"/>
      <c r="H11" s="67"/>
      <c r="I11" s="67"/>
      <c r="J11" s="13" t="s">
        <v>113</v>
      </c>
      <c r="K11" s="48">
        <f>K6</f>
        <v>300</v>
      </c>
    </row>
    <row r="12" spans="1:19">
      <c r="A12" s="67"/>
      <c r="B12" s="67"/>
      <c r="C12" s="67"/>
      <c r="D12" s="67"/>
      <c r="E12" s="67"/>
      <c r="F12" s="67"/>
      <c r="G12" s="67"/>
      <c r="H12" s="67"/>
      <c r="I12" s="67"/>
      <c r="J12" s="13" t="s">
        <v>141</v>
      </c>
      <c r="K12" s="48">
        <v>-100</v>
      </c>
    </row>
    <row r="13" spans="1:19">
      <c r="A13" s="67"/>
      <c r="B13" s="67"/>
      <c r="C13" s="67"/>
      <c r="D13" s="67"/>
      <c r="E13" s="67"/>
      <c r="F13" s="67"/>
      <c r="G13" s="67"/>
      <c r="H13" s="67"/>
      <c r="I13" s="67"/>
      <c r="J13" s="13" t="s">
        <v>236</v>
      </c>
      <c r="K13" s="48">
        <v>50</v>
      </c>
    </row>
    <row r="14" spans="1:19">
      <c r="A14" s="67"/>
      <c r="B14" s="67"/>
      <c r="C14" s="67"/>
      <c r="D14" s="67"/>
      <c r="E14" s="67"/>
      <c r="F14" s="67"/>
      <c r="G14" s="67"/>
      <c r="H14" s="67"/>
      <c r="I14" s="67"/>
      <c r="J14" s="13" t="s">
        <v>107</v>
      </c>
      <c r="K14" s="48">
        <f>150-275</f>
        <v>-125</v>
      </c>
    </row>
    <row r="15" spans="1:19">
      <c r="A15" s="67"/>
      <c r="B15" s="67"/>
      <c r="C15" s="67"/>
      <c r="D15" s="67"/>
      <c r="E15" s="67"/>
      <c r="F15" s="67"/>
      <c r="G15" s="67"/>
      <c r="H15" s="67"/>
      <c r="I15" s="67"/>
      <c r="J15" s="13" t="s">
        <v>144</v>
      </c>
      <c r="K15" s="48">
        <f>SUM(K9:K14)</f>
        <v>1189</v>
      </c>
      <c r="L15" s="48">
        <f t="shared" ref="L15:Q15" si="0">K15*(1+L16)</f>
        <v>1367.35</v>
      </c>
      <c r="M15" s="48">
        <f t="shared" si="0"/>
        <v>1572.4524999999999</v>
      </c>
      <c r="N15" s="48">
        <f t="shared" si="0"/>
        <v>1808.3203749999998</v>
      </c>
      <c r="O15" s="48">
        <f t="shared" si="0"/>
        <v>2079.5684312499998</v>
      </c>
      <c r="P15" s="48">
        <f t="shared" si="0"/>
        <v>2391.5036959374997</v>
      </c>
      <c r="Q15" s="48">
        <f t="shared" si="0"/>
        <v>2511.0788807343747</v>
      </c>
      <c r="R15" s="48"/>
      <c r="S15" s="48"/>
    </row>
    <row r="16" spans="1:19">
      <c r="A16" s="67"/>
      <c r="B16" s="67"/>
      <c r="C16" s="67"/>
      <c r="D16" s="67"/>
      <c r="E16" s="67"/>
      <c r="F16" s="67"/>
      <c r="G16" s="67"/>
      <c r="H16" s="67"/>
      <c r="I16" s="67"/>
      <c r="L16" s="19">
        <v>0.15</v>
      </c>
      <c r="M16" s="19">
        <v>0.15</v>
      </c>
      <c r="N16" s="19">
        <v>0.15</v>
      </c>
      <c r="O16" s="19">
        <v>0.15</v>
      </c>
      <c r="P16" s="19">
        <v>0.15</v>
      </c>
      <c r="Q16" s="21">
        <v>0.05</v>
      </c>
      <c r="R16" s="21"/>
      <c r="S16" s="21"/>
    </row>
    <row r="17" spans="1:20">
      <c r="A17" s="67"/>
      <c r="B17" s="67"/>
      <c r="C17" s="67"/>
      <c r="D17" s="67"/>
      <c r="E17" s="67"/>
      <c r="F17" s="67"/>
      <c r="G17" s="67"/>
      <c r="H17" s="67"/>
      <c r="I17" s="67"/>
    </row>
    <row r="18" spans="1:20">
      <c r="J18" s="13" t="s">
        <v>155</v>
      </c>
    </row>
    <row r="19" spans="1:20">
      <c r="J19" s="13" t="s">
        <v>154</v>
      </c>
      <c r="K19" s="13">
        <f>M7*(1-L9)</f>
        <v>6.4000000000000001E-2</v>
      </c>
      <c r="L19" s="13" t="s">
        <v>152</v>
      </c>
      <c r="M19" s="13">
        <v>0</v>
      </c>
      <c r="O19" s="13" t="s">
        <v>237</v>
      </c>
      <c r="P19" s="13">
        <f>L7</f>
        <v>1500</v>
      </c>
    </row>
    <row r="20" spans="1:20">
      <c r="J20" s="13" t="s">
        <v>153</v>
      </c>
      <c r="K20" s="19">
        <v>0.2</v>
      </c>
      <c r="L20" s="13" t="s">
        <v>151</v>
      </c>
      <c r="M20" s="13">
        <f>1-M19</f>
        <v>1</v>
      </c>
      <c r="O20" s="13" t="s">
        <v>238</v>
      </c>
      <c r="P20" s="13">
        <v>3500</v>
      </c>
    </row>
    <row r="21" spans="1:20">
      <c r="O21" s="13" t="s">
        <v>239</v>
      </c>
      <c r="P21" s="13">
        <f>SUM(P19:P20)</f>
        <v>5000</v>
      </c>
    </row>
    <row r="22" spans="1:20">
      <c r="J22" s="13" t="s">
        <v>155</v>
      </c>
      <c r="K22" s="13">
        <f>K19*M19+M20*K20</f>
        <v>0.2</v>
      </c>
    </row>
    <row r="23" spans="1:20">
      <c r="L23" s="13">
        <v>1</v>
      </c>
      <c r="M23" s="13">
        <v>2</v>
      </c>
      <c r="N23" s="13">
        <v>3</v>
      </c>
      <c r="O23" s="13">
        <v>4</v>
      </c>
      <c r="P23" s="13">
        <v>5</v>
      </c>
    </row>
    <row r="24" spans="1:20">
      <c r="J24" s="13" t="s">
        <v>240</v>
      </c>
      <c r="L24" s="49">
        <f>L15/(1+$K$22)^L23</f>
        <v>1139.4583333333333</v>
      </c>
      <c r="M24" s="49">
        <f>M15/(1+$K$22)^M23</f>
        <v>1091.9809027777778</v>
      </c>
      <c r="N24" s="49">
        <f>N15/(1+$K$22)^N23</f>
        <v>1046.4816984953702</v>
      </c>
      <c r="O24" s="49">
        <f>O15/(1+$K$22)^O23</f>
        <v>1002.8782943913966</v>
      </c>
      <c r="P24" s="49">
        <f>P15/(1+$K$22)^P23</f>
        <v>961.09169879175499</v>
      </c>
    </row>
    <row r="25" spans="1:20">
      <c r="L25" s="49"/>
      <c r="M25" s="49"/>
      <c r="N25" s="49"/>
      <c r="O25" s="49"/>
      <c r="P25" s="49">
        <f>Q15/(K20-Q16)/(1+K20)^P23</f>
        <v>6727.6418915422837</v>
      </c>
      <c r="T25" s="19"/>
    </row>
    <row r="26" spans="1:20">
      <c r="J26" s="13" t="s">
        <v>110</v>
      </c>
      <c r="K26" s="13">
        <f>SUM(L24:P25)</f>
        <v>11969.532819331918</v>
      </c>
    </row>
    <row r="27" spans="1:20">
      <c r="J27" s="13" t="s">
        <v>241</v>
      </c>
      <c r="K27" s="13">
        <v>500</v>
      </c>
    </row>
    <row r="28" spans="1:20">
      <c r="J28" s="13" t="s">
        <v>242</v>
      </c>
      <c r="K28" s="13">
        <f>K26/K27</f>
        <v>23.939065638663838</v>
      </c>
    </row>
  </sheetData>
  <mergeCells count="1">
    <mergeCell ref="A5:I1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4"/>
  <sheetViews>
    <sheetView topLeftCell="A10" workbookViewId="0">
      <selection activeCell="E25" sqref="E25"/>
    </sheetView>
  </sheetViews>
  <sheetFormatPr defaultRowHeight="15"/>
  <cols>
    <col min="1" max="1" width="20.7109375" style="13" bestFit="1" customWidth="1"/>
    <col min="2" max="2" width="1.28515625" style="13" customWidth="1"/>
    <col min="3" max="5" width="10.5703125" style="13" bestFit="1" customWidth="1"/>
    <col min="6" max="6" width="9.140625" style="13"/>
    <col min="7" max="7" width="9.5703125" style="13" bestFit="1" customWidth="1"/>
    <col min="8" max="15" width="9.140625" style="13"/>
    <col min="16" max="16" width="2.140625" style="13" customWidth="1"/>
    <col min="17" max="252" width="9.140625" style="13"/>
    <col min="253" max="253" width="20.7109375" style="13" bestFit="1" customWidth="1"/>
    <col min="254" max="254" width="1.28515625" style="13" customWidth="1"/>
    <col min="255" max="257" width="10.5703125" style="13" bestFit="1" customWidth="1"/>
    <col min="258" max="267" width="9.140625" style="13"/>
    <col min="268" max="268" width="2.140625" style="13" customWidth="1"/>
    <col min="269" max="269" width="9.140625" style="13"/>
    <col min="270" max="272" width="11.140625" style="13" bestFit="1" customWidth="1"/>
    <col min="273" max="508" width="9.140625" style="13"/>
    <col min="509" max="509" width="20.7109375" style="13" bestFit="1" customWidth="1"/>
    <col min="510" max="510" width="1.28515625" style="13" customWidth="1"/>
    <col min="511" max="513" width="10.5703125" style="13" bestFit="1" customWidth="1"/>
    <col min="514" max="523" width="9.140625" style="13"/>
    <col min="524" max="524" width="2.140625" style="13" customWidth="1"/>
    <col min="525" max="525" width="9.140625" style="13"/>
    <col min="526" max="528" width="11.140625" style="13" bestFit="1" customWidth="1"/>
    <col min="529" max="764" width="9.140625" style="13"/>
    <col min="765" max="765" width="20.7109375" style="13" bestFit="1" customWidth="1"/>
    <col min="766" max="766" width="1.28515625" style="13" customWidth="1"/>
    <col min="767" max="769" width="10.5703125" style="13" bestFit="1" customWidth="1"/>
    <col min="770" max="779" width="9.140625" style="13"/>
    <col min="780" max="780" width="2.140625" style="13" customWidth="1"/>
    <col min="781" max="781" width="9.140625" style="13"/>
    <col min="782" max="784" width="11.140625" style="13" bestFit="1" customWidth="1"/>
    <col min="785" max="1020" width="9.140625" style="13"/>
    <col min="1021" max="1021" width="20.7109375" style="13" bestFit="1" customWidth="1"/>
    <col min="1022" max="1022" width="1.28515625" style="13" customWidth="1"/>
    <col min="1023" max="1025" width="10.5703125" style="13" bestFit="1" customWidth="1"/>
    <col min="1026" max="1035" width="9.140625" style="13"/>
    <col min="1036" max="1036" width="2.140625" style="13" customWidth="1"/>
    <col min="1037" max="1037" width="9.140625" style="13"/>
    <col min="1038" max="1040" width="11.140625" style="13" bestFit="1" customWidth="1"/>
    <col min="1041" max="1276" width="9.140625" style="13"/>
    <col min="1277" max="1277" width="20.7109375" style="13" bestFit="1" customWidth="1"/>
    <col min="1278" max="1278" width="1.28515625" style="13" customWidth="1"/>
    <col min="1279" max="1281" width="10.5703125" style="13" bestFit="1" customWidth="1"/>
    <col min="1282" max="1291" width="9.140625" style="13"/>
    <col min="1292" max="1292" width="2.140625" style="13" customWidth="1"/>
    <col min="1293" max="1293" width="9.140625" style="13"/>
    <col min="1294" max="1296" width="11.140625" style="13" bestFit="1" customWidth="1"/>
    <col min="1297" max="1532" width="9.140625" style="13"/>
    <col min="1533" max="1533" width="20.7109375" style="13" bestFit="1" customWidth="1"/>
    <col min="1534" max="1534" width="1.28515625" style="13" customWidth="1"/>
    <col min="1535" max="1537" width="10.5703125" style="13" bestFit="1" customWidth="1"/>
    <col min="1538" max="1547" width="9.140625" style="13"/>
    <col min="1548" max="1548" width="2.140625" style="13" customWidth="1"/>
    <col min="1549" max="1549" width="9.140625" style="13"/>
    <col min="1550" max="1552" width="11.140625" style="13" bestFit="1" customWidth="1"/>
    <col min="1553" max="1788" width="9.140625" style="13"/>
    <col min="1789" max="1789" width="20.7109375" style="13" bestFit="1" customWidth="1"/>
    <col min="1790" max="1790" width="1.28515625" style="13" customWidth="1"/>
    <col min="1791" max="1793" width="10.5703125" style="13" bestFit="1" customWidth="1"/>
    <col min="1794" max="1803" width="9.140625" style="13"/>
    <col min="1804" max="1804" width="2.140625" style="13" customWidth="1"/>
    <col min="1805" max="1805" width="9.140625" style="13"/>
    <col min="1806" max="1808" width="11.140625" style="13" bestFit="1" customWidth="1"/>
    <col min="1809" max="2044" width="9.140625" style="13"/>
    <col min="2045" max="2045" width="20.7109375" style="13" bestFit="1" customWidth="1"/>
    <col min="2046" max="2046" width="1.28515625" style="13" customWidth="1"/>
    <col min="2047" max="2049" width="10.5703125" style="13" bestFit="1" customWidth="1"/>
    <col min="2050" max="2059" width="9.140625" style="13"/>
    <col min="2060" max="2060" width="2.140625" style="13" customWidth="1"/>
    <col min="2061" max="2061" width="9.140625" style="13"/>
    <col min="2062" max="2064" width="11.140625" style="13" bestFit="1" customWidth="1"/>
    <col min="2065" max="2300" width="9.140625" style="13"/>
    <col min="2301" max="2301" width="20.7109375" style="13" bestFit="1" customWidth="1"/>
    <col min="2302" max="2302" width="1.28515625" style="13" customWidth="1"/>
    <col min="2303" max="2305" width="10.5703125" style="13" bestFit="1" customWidth="1"/>
    <col min="2306" max="2315" width="9.140625" style="13"/>
    <col min="2316" max="2316" width="2.140625" style="13" customWidth="1"/>
    <col min="2317" max="2317" width="9.140625" style="13"/>
    <col min="2318" max="2320" width="11.140625" style="13" bestFit="1" customWidth="1"/>
    <col min="2321" max="2556" width="9.140625" style="13"/>
    <col min="2557" max="2557" width="20.7109375" style="13" bestFit="1" customWidth="1"/>
    <col min="2558" max="2558" width="1.28515625" style="13" customWidth="1"/>
    <col min="2559" max="2561" width="10.5703125" style="13" bestFit="1" customWidth="1"/>
    <col min="2562" max="2571" width="9.140625" style="13"/>
    <col min="2572" max="2572" width="2.140625" style="13" customWidth="1"/>
    <col min="2573" max="2573" width="9.140625" style="13"/>
    <col min="2574" max="2576" width="11.140625" style="13" bestFit="1" customWidth="1"/>
    <col min="2577" max="2812" width="9.140625" style="13"/>
    <col min="2813" max="2813" width="20.7109375" style="13" bestFit="1" customWidth="1"/>
    <col min="2814" max="2814" width="1.28515625" style="13" customWidth="1"/>
    <col min="2815" max="2817" width="10.5703125" style="13" bestFit="1" customWidth="1"/>
    <col min="2818" max="2827" width="9.140625" style="13"/>
    <col min="2828" max="2828" width="2.140625" style="13" customWidth="1"/>
    <col min="2829" max="2829" width="9.140625" style="13"/>
    <col min="2830" max="2832" width="11.140625" style="13" bestFit="1" customWidth="1"/>
    <col min="2833" max="3068" width="9.140625" style="13"/>
    <col min="3069" max="3069" width="20.7109375" style="13" bestFit="1" customWidth="1"/>
    <col min="3070" max="3070" width="1.28515625" style="13" customWidth="1"/>
    <col min="3071" max="3073" width="10.5703125" style="13" bestFit="1" customWidth="1"/>
    <col min="3074" max="3083" width="9.140625" style="13"/>
    <col min="3084" max="3084" width="2.140625" style="13" customWidth="1"/>
    <col min="3085" max="3085" width="9.140625" style="13"/>
    <col min="3086" max="3088" width="11.140625" style="13" bestFit="1" customWidth="1"/>
    <col min="3089" max="3324" width="9.140625" style="13"/>
    <col min="3325" max="3325" width="20.7109375" style="13" bestFit="1" customWidth="1"/>
    <col min="3326" max="3326" width="1.28515625" style="13" customWidth="1"/>
    <col min="3327" max="3329" width="10.5703125" style="13" bestFit="1" customWidth="1"/>
    <col min="3330" max="3339" width="9.140625" style="13"/>
    <col min="3340" max="3340" width="2.140625" style="13" customWidth="1"/>
    <col min="3341" max="3341" width="9.140625" style="13"/>
    <col min="3342" max="3344" width="11.140625" style="13" bestFit="1" customWidth="1"/>
    <col min="3345" max="3580" width="9.140625" style="13"/>
    <col min="3581" max="3581" width="20.7109375" style="13" bestFit="1" customWidth="1"/>
    <col min="3582" max="3582" width="1.28515625" style="13" customWidth="1"/>
    <col min="3583" max="3585" width="10.5703125" style="13" bestFit="1" customWidth="1"/>
    <col min="3586" max="3595" width="9.140625" style="13"/>
    <col min="3596" max="3596" width="2.140625" style="13" customWidth="1"/>
    <col min="3597" max="3597" width="9.140625" style="13"/>
    <col min="3598" max="3600" width="11.140625" style="13" bestFit="1" customWidth="1"/>
    <col min="3601" max="3836" width="9.140625" style="13"/>
    <col min="3837" max="3837" width="20.7109375" style="13" bestFit="1" customWidth="1"/>
    <col min="3838" max="3838" width="1.28515625" style="13" customWidth="1"/>
    <col min="3839" max="3841" width="10.5703125" style="13" bestFit="1" customWidth="1"/>
    <col min="3842" max="3851" width="9.140625" style="13"/>
    <col min="3852" max="3852" width="2.140625" style="13" customWidth="1"/>
    <col min="3853" max="3853" width="9.140625" style="13"/>
    <col min="3854" max="3856" width="11.140625" style="13" bestFit="1" customWidth="1"/>
    <col min="3857" max="4092" width="9.140625" style="13"/>
    <col min="4093" max="4093" width="20.7109375" style="13" bestFit="1" customWidth="1"/>
    <col min="4094" max="4094" width="1.28515625" style="13" customWidth="1"/>
    <col min="4095" max="4097" width="10.5703125" style="13" bestFit="1" customWidth="1"/>
    <col min="4098" max="4107" width="9.140625" style="13"/>
    <col min="4108" max="4108" width="2.140625" style="13" customWidth="1"/>
    <col min="4109" max="4109" width="9.140625" style="13"/>
    <col min="4110" max="4112" width="11.140625" style="13" bestFit="1" customWidth="1"/>
    <col min="4113" max="4348" width="9.140625" style="13"/>
    <col min="4349" max="4349" width="20.7109375" style="13" bestFit="1" customWidth="1"/>
    <col min="4350" max="4350" width="1.28515625" style="13" customWidth="1"/>
    <col min="4351" max="4353" width="10.5703125" style="13" bestFit="1" customWidth="1"/>
    <col min="4354" max="4363" width="9.140625" style="13"/>
    <col min="4364" max="4364" width="2.140625" style="13" customWidth="1"/>
    <col min="4365" max="4365" width="9.140625" style="13"/>
    <col min="4366" max="4368" width="11.140625" style="13" bestFit="1" customWidth="1"/>
    <col min="4369" max="4604" width="9.140625" style="13"/>
    <col min="4605" max="4605" width="20.7109375" style="13" bestFit="1" customWidth="1"/>
    <col min="4606" max="4606" width="1.28515625" style="13" customWidth="1"/>
    <col min="4607" max="4609" width="10.5703125" style="13" bestFit="1" customWidth="1"/>
    <col min="4610" max="4619" width="9.140625" style="13"/>
    <col min="4620" max="4620" width="2.140625" style="13" customWidth="1"/>
    <col min="4621" max="4621" width="9.140625" style="13"/>
    <col min="4622" max="4624" width="11.140625" style="13" bestFit="1" customWidth="1"/>
    <col min="4625" max="4860" width="9.140625" style="13"/>
    <col min="4861" max="4861" width="20.7109375" style="13" bestFit="1" customWidth="1"/>
    <col min="4862" max="4862" width="1.28515625" style="13" customWidth="1"/>
    <col min="4863" max="4865" width="10.5703125" style="13" bestFit="1" customWidth="1"/>
    <col min="4866" max="4875" width="9.140625" style="13"/>
    <col min="4876" max="4876" width="2.140625" style="13" customWidth="1"/>
    <col min="4877" max="4877" width="9.140625" style="13"/>
    <col min="4878" max="4880" width="11.140625" style="13" bestFit="1" customWidth="1"/>
    <col min="4881" max="5116" width="9.140625" style="13"/>
    <col min="5117" max="5117" width="20.7109375" style="13" bestFit="1" customWidth="1"/>
    <col min="5118" max="5118" width="1.28515625" style="13" customWidth="1"/>
    <col min="5119" max="5121" width="10.5703125" style="13" bestFit="1" customWidth="1"/>
    <col min="5122" max="5131" width="9.140625" style="13"/>
    <col min="5132" max="5132" width="2.140625" style="13" customWidth="1"/>
    <col min="5133" max="5133" width="9.140625" style="13"/>
    <col min="5134" max="5136" width="11.140625" style="13" bestFit="1" customWidth="1"/>
    <col min="5137" max="5372" width="9.140625" style="13"/>
    <col min="5373" max="5373" width="20.7109375" style="13" bestFit="1" customWidth="1"/>
    <col min="5374" max="5374" width="1.28515625" style="13" customWidth="1"/>
    <col min="5375" max="5377" width="10.5703125" style="13" bestFit="1" customWidth="1"/>
    <col min="5378" max="5387" width="9.140625" style="13"/>
    <col min="5388" max="5388" width="2.140625" style="13" customWidth="1"/>
    <col min="5389" max="5389" width="9.140625" style="13"/>
    <col min="5390" max="5392" width="11.140625" style="13" bestFit="1" customWidth="1"/>
    <col min="5393" max="5628" width="9.140625" style="13"/>
    <col min="5629" max="5629" width="20.7109375" style="13" bestFit="1" customWidth="1"/>
    <col min="5630" max="5630" width="1.28515625" style="13" customWidth="1"/>
    <col min="5631" max="5633" width="10.5703125" style="13" bestFit="1" customWidth="1"/>
    <col min="5634" max="5643" width="9.140625" style="13"/>
    <col min="5644" max="5644" width="2.140625" style="13" customWidth="1"/>
    <col min="5645" max="5645" width="9.140625" style="13"/>
    <col min="5646" max="5648" width="11.140625" style="13" bestFit="1" customWidth="1"/>
    <col min="5649" max="5884" width="9.140625" style="13"/>
    <col min="5885" max="5885" width="20.7109375" style="13" bestFit="1" customWidth="1"/>
    <col min="5886" max="5886" width="1.28515625" style="13" customWidth="1"/>
    <col min="5887" max="5889" width="10.5703125" style="13" bestFit="1" customWidth="1"/>
    <col min="5890" max="5899" width="9.140625" style="13"/>
    <col min="5900" max="5900" width="2.140625" style="13" customWidth="1"/>
    <col min="5901" max="5901" width="9.140625" style="13"/>
    <col min="5902" max="5904" width="11.140625" style="13" bestFit="1" customWidth="1"/>
    <col min="5905" max="6140" width="9.140625" style="13"/>
    <col min="6141" max="6141" width="20.7109375" style="13" bestFit="1" customWidth="1"/>
    <col min="6142" max="6142" width="1.28515625" style="13" customWidth="1"/>
    <col min="6143" max="6145" width="10.5703125" style="13" bestFit="1" customWidth="1"/>
    <col min="6146" max="6155" width="9.140625" style="13"/>
    <col min="6156" max="6156" width="2.140625" style="13" customWidth="1"/>
    <col min="6157" max="6157" width="9.140625" style="13"/>
    <col min="6158" max="6160" width="11.140625" style="13" bestFit="1" customWidth="1"/>
    <col min="6161" max="6396" width="9.140625" style="13"/>
    <col min="6397" max="6397" width="20.7109375" style="13" bestFit="1" customWidth="1"/>
    <col min="6398" max="6398" width="1.28515625" style="13" customWidth="1"/>
    <col min="6399" max="6401" width="10.5703125" style="13" bestFit="1" customWidth="1"/>
    <col min="6402" max="6411" width="9.140625" style="13"/>
    <col min="6412" max="6412" width="2.140625" style="13" customWidth="1"/>
    <col min="6413" max="6413" width="9.140625" style="13"/>
    <col min="6414" max="6416" width="11.140625" style="13" bestFit="1" customWidth="1"/>
    <col min="6417" max="6652" width="9.140625" style="13"/>
    <col min="6653" max="6653" width="20.7109375" style="13" bestFit="1" customWidth="1"/>
    <col min="6654" max="6654" width="1.28515625" style="13" customWidth="1"/>
    <col min="6655" max="6657" width="10.5703125" style="13" bestFit="1" customWidth="1"/>
    <col min="6658" max="6667" width="9.140625" style="13"/>
    <col min="6668" max="6668" width="2.140625" style="13" customWidth="1"/>
    <col min="6669" max="6669" width="9.140625" style="13"/>
    <col min="6670" max="6672" width="11.140625" style="13" bestFit="1" customWidth="1"/>
    <col min="6673" max="6908" width="9.140625" style="13"/>
    <col min="6909" max="6909" width="20.7109375" style="13" bestFit="1" customWidth="1"/>
    <col min="6910" max="6910" width="1.28515625" style="13" customWidth="1"/>
    <col min="6911" max="6913" width="10.5703125" style="13" bestFit="1" customWidth="1"/>
    <col min="6914" max="6923" width="9.140625" style="13"/>
    <col min="6924" max="6924" width="2.140625" style="13" customWidth="1"/>
    <col min="6925" max="6925" width="9.140625" style="13"/>
    <col min="6926" max="6928" width="11.140625" style="13" bestFit="1" customWidth="1"/>
    <col min="6929" max="7164" width="9.140625" style="13"/>
    <col min="7165" max="7165" width="20.7109375" style="13" bestFit="1" customWidth="1"/>
    <col min="7166" max="7166" width="1.28515625" style="13" customWidth="1"/>
    <col min="7167" max="7169" width="10.5703125" style="13" bestFit="1" customWidth="1"/>
    <col min="7170" max="7179" width="9.140625" style="13"/>
    <col min="7180" max="7180" width="2.140625" style="13" customWidth="1"/>
    <col min="7181" max="7181" width="9.140625" style="13"/>
    <col min="7182" max="7184" width="11.140625" style="13" bestFit="1" customWidth="1"/>
    <col min="7185" max="7420" width="9.140625" style="13"/>
    <col min="7421" max="7421" width="20.7109375" style="13" bestFit="1" customWidth="1"/>
    <col min="7422" max="7422" width="1.28515625" style="13" customWidth="1"/>
    <col min="7423" max="7425" width="10.5703125" style="13" bestFit="1" customWidth="1"/>
    <col min="7426" max="7435" width="9.140625" style="13"/>
    <col min="7436" max="7436" width="2.140625" style="13" customWidth="1"/>
    <col min="7437" max="7437" width="9.140625" style="13"/>
    <col min="7438" max="7440" width="11.140625" style="13" bestFit="1" customWidth="1"/>
    <col min="7441" max="7676" width="9.140625" style="13"/>
    <col min="7677" max="7677" width="20.7109375" style="13" bestFit="1" customWidth="1"/>
    <col min="7678" max="7678" width="1.28515625" style="13" customWidth="1"/>
    <col min="7679" max="7681" width="10.5703125" style="13" bestFit="1" customWidth="1"/>
    <col min="7682" max="7691" width="9.140625" style="13"/>
    <col min="7692" max="7692" width="2.140625" style="13" customWidth="1"/>
    <col min="7693" max="7693" width="9.140625" style="13"/>
    <col min="7694" max="7696" width="11.140625" style="13" bestFit="1" customWidth="1"/>
    <col min="7697" max="7932" width="9.140625" style="13"/>
    <col min="7933" max="7933" width="20.7109375" style="13" bestFit="1" customWidth="1"/>
    <col min="7934" max="7934" width="1.28515625" style="13" customWidth="1"/>
    <col min="7935" max="7937" width="10.5703125" style="13" bestFit="1" customWidth="1"/>
    <col min="7938" max="7947" width="9.140625" style="13"/>
    <col min="7948" max="7948" width="2.140625" style="13" customWidth="1"/>
    <col min="7949" max="7949" width="9.140625" style="13"/>
    <col min="7950" max="7952" width="11.140625" style="13" bestFit="1" customWidth="1"/>
    <col min="7953" max="8188" width="9.140625" style="13"/>
    <col min="8189" max="8189" width="20.7109375" style="13" bestFit="1" customWidth="1"/>
    <col min="8190" max="8190" width="1.28515625" style="13" customWidth="1"/>
    <col min="8191" max="8193" width="10.5703125" style="13" bestFit="1" customWidth="1"/>
    <col min="8194" max="8203" width="9.140625" style="13"/>
    <col min="8204" max="8204" width="2.140625" style="13" customWidth="1"/>
    <col min="8205" max="8205" width="9.140625" style="13"/>
    <col min="8206" max="8208" width="11.140625" style="13" bestFit="1" customWidth="1"/>
    <col min="8209" max="8444" width="9.140625" style="13"/>
    <col min="8445" max="8445" width="20.7109375" style="13" bestFit="1" customWidth="1"/>
    <col min="8446" max="8446" width="1.28515625" style="13" customWidth="1"/>
    <col min="8447" max="8449" width="10.5703125" style="13" bestFit="1" customWidth="1"/>
    <col min="8450" max="8459" width="9.140625" style="13"/>
    <col min="8460" max="8460" width="2.140625" style="13" customWidth="1"/>
    <col min="8461" max="8461" width="9.140625" style="13"/>
    <col min="8462" max="8464" width="11.140625" style="13" bestFit="1" customWidth="1"/>
    <col min="8465" max="8700" width="9.140625" style="13"/>
    <col min="8701" max="8701" width="20.7109375" style="13" bestFit="1" customWidth="1"/>
    <col min="8702" max="8702" width="1.28515625" style="13" customWidth="1"/>
    <col min="8703" max="8705" width="10.5703125" style="13" bestFit="1" customWidth="1"/>
    <col min="8706" max="8715" width="9.140625" style="13"/>
    <col min="8716" max="8716" width="2.140625" style="13" customWidth="1"/>
    <col min="8717" max="8717" width="9.140625" style="13"/>
    <col min="8718" max="8720" width="11.140625" style="13" bestFit="1" customWidth="1"/>
    <col min="8721" max="8956" width="9.140625" style="13"/>
    <col min="8957" max="8957" width="20.7109375" style="13" bestFit="1" customWidth="1"/>
    <col min="8958" max="8958" width="1.28515625" style="13" customWidth="1"/>
    <col min="8959" max="8961" width="10.5703125" style="13" bestFit="1" customWidth="1"/>
    <col min="8962" max="8971" width="9.140625" style="13"/>
    <col min="8972" max="8972" width="2.140625" style="13" customWidth="1"/>
    <col min="8973" max="8973" width="9.140625" style="13"/>
    <col min="8974" max="8976" width="11.140625" style="13" bestFit="1" customWidth="1"/>
    <col min="8977" max="9212" width="9.140625" style="13"/>
    <col min="9213" max="9213" width="20.7109375" style="13" bestFit="1" customWidth="1"/>
    <col min="9214" max="9214" width="1.28515625" style="13" customWidth="1"/>
    <col min="9215" max="9217" width="10.5703125" style="13" bestFit="1" customWidth="1"/>
    <col min="9218" max="9227" width="9.140625" style="13"/>
    <col min="9228" max="9228" width="2.140625" style="13" customWidth="1"/>
    <col min="9229" max="9229" width="9.140625" style="13"/>
    <col min="9230" max="9232" width="11.140625" style="13" bestFit="1" customWidth="1"/>
    <col min="9233" max="9468" width="9.140625" style="13"/>
    <col min="9469" max="9469" width="20.7109375" style="13" bestFit="1" customWidth="1"/>
    <col min="9470" max="9470" width="1.28515625" style="13" customWidth="1"/>
    <col min="9471" max="9473" width="10.5703125" style="13" bestFit="1" customWidth="1"/>
    <col min="9474" max="9483" width="9.140625" style="13"/>
    <col min="9484" max="9484" width="2.140625" style="13" customWidth="1"/>
    <col min="9485" max="9485" width="9.140625" style="13"/>
    <col min="9486" max="9488" width="11.140625" style="13" bestFit="1" customWidth="1"/>
    <col min="9489" max="9724" width="9.140625" style="13"/>
    <col min="9725" max="9725" width="20.7109375" style="13" bestFit="1" customWidth="1"/>
    <col min="9726" max="9726" width="1.28515625" style="13" customWidth="1"/>
    <col min="9727" max="9729" width="10.5703125" style="13" bestFit="1" customWidth="1"/>
    <col min="9730" max="9739" width="9.140625" style="13"/>
    <col min="9740" max="9740" width="2.140625" style="13" customWidth="1"/>
    <col min="9741" max="9741" width="9.140625" style="13"/>
    <col min="9742" max="9744" width="11.140625" style="13" bestFit="1" customWidth="1"/>
    <col min="9745" max="9980" width="9.140625" style="13"/>
    <col min="9981" max="9981" width="20.7109375" style="13" bestFit="1" customWidth="1"/>
    <col min="9982" max="9982" width="1.28515625" style="13" customWidth="1"/>
    <col min="9983" max="9985" width="10.5703125" style="13" bestFit="1" customWidth="1"/>
    <col min="9986" max="9995" width="9.140625" style="13"/>
    <col min="9996" max="9996" width="2.140625" style="13" customWidth="1"/>
    <col min="9997" max="9997" width="9.140625" style="13"/>
    <col min="9998" max="10000" width="11.140625" style="13" bestFit="1" customWidth="1"/>
    <col min="10001" max="10236" width="9.140625" style="13"/>
    <col min="10237" max="10237" width="20.7109375" style="13" bestFit="1" customWidth="1"/>
    <col min="10238" max="10238" width="1.28515625" style="13" customWidth="1"/>
    <col min="10239" max="10241" width="10.5703125" style="13" bestFit="1" customWidth="1"/>
    <col min="10242" max="10251" width="9.140625" style="13"/>
    <col min="10252" max="10252" width="2.140625" style="13" customWidth="1"/>
    <col min="10253" max="10253" width="9.140625" style="13"/>
    <col min="10254" max="10256" width="11.140625" style="13" bestFit="1" customWidth="1"/>
    <col min="10257" max="10492" width="9.140625" style="13"/>
    <col min="10493" max="10493" width="20.7109375" style="13" bestFit="1" customWidth="1"/>
    <col min="10494" max="10494" width="1.28515625" style="13" customWidth="1"/>
    <col min="10495" max="10497" width="10.5703125" style="13" bestFit="1" customWidth="1"/>
    <col min="10498" max="10507" width="9.140625" style="13"/>
    <col min="10508" max="10508" width="2.140625" style="13" customWidth="1"/>
    <col min="10509" max="10509" width="9.140625" style="13"/>
    <col min="10510" max="10512" width="11.140625" style="13" bestFit="1" customWidth="1"/>
    <col min="10513" max="10748" width="9.140625" style="13"/>
    <col min="10749" max="10749" width="20.7109375" style="13" bestFit="1" customWidth="1"/>
    <col min="10750" max="10750" width="1.28515625" style="13" customWidth="1"/>
    <col min="10751" max="10753" width="10.5703125" style="13" bestFit="1" customWidth="1"/>
    <col min="10754" max="10763" width="9.140625" style="13"/>
    <col min="10764" max="10764" width="2.140625" style="13" customWidth="1"/>
    <col min="10765" max="10765" width="9.140625" style="13"/>
    <col min="10766" max="10768" width="11.140625" style="13" bestFit="1" customWidth="1"/>
    <col min="10769" max="11004" width="9.140625" style="13"/>
    <col min="11005" max="11005" width="20.7109375" style="13" bestFit="1" customWidth="1"/>
    <col min="11006" max="11006" width="1.28515625" style="13" customWidth="1"/>
    <col min="11007" max="11009" width="10.5703125" style="13" bestFit="1" customWidth="1"/>
    <col min="11010" max="11019" width="9.140625" style="13"/>
    <col min="11020" max="11020" width="2.140625" style="13" customWidth="1"/>
    <col min="11021" max="11021" width="9.140625" style="13"/>
    <col min="11022" max="11024" width="11.140625" style="13" bestFit="1" customWidth="1"/>
    <col min="11025" max="11260" width="9.140625" style="13"/>
    <col min="11261" max="11261" width="20.7109375" style="13" bestFit="1" customWidth="1"/>
    <col min="11262" max="11262" width="1.28515625" style="13" customWidth="1"/>
    <col min="11263" max="11265" width="10.5703125" style="13" bestFit="1" customWidth="1"/>
    <col min="11266" max="11275" width="9.140625" style="13"/>
    <col min="11276" max="11276" width="2.140625" style="13" customWidth="1"/>
    <col min="11277" max="11277" width="9.140625" style="13"/>
    <col min="11278" max="11280" width="11.140625" style="13" bestFit="1" customWidth="1"/>
    <col min="11281" max="11516" width="9.140625" style="13"/>
    <col min="11517" max="11517" width="20.7109375" style="13" bestFit="1" customWidth="1"/>
    <col min="11518" max="11518" width="1.28515625" style="13" customWidth="1"/>
    <col min="11519" max="11521" width="10.5703125" style="13" bestFit="1" customWidth="1"/>
    <col min="11522" max="11531" width="9.140625" style="13"/>
    <col min="11532" max="11532" width="2.140625" style="13" customWidth="1"/>
    <col min="11533" max="11533" width="9.140625" style="13"/>
    <col min="11534" max="11536" width="11.140625" style="13" bestFit="1" customWidth="1"/>
    <col min="11537" max="11772" width="9.140625" style="13"/>
    <col min="11773" max="11773" width="20.7109375" style="13" bestFit="1" customWidth="1"/>
    <col min="11774" max="11774" width="1.28515625" style="13" customWidth="1"/>
    <col min="11775" max="11777" width="10.5703125" style="13" bestFit="1" customWidth="1"/>
    <col min="11778" max="11787" width="9.140625" style="13"/>
    <col min="11788" max="11788" width="2.140625" style="13" customWidth="1"/>
    <col min="11789" max="11789" width="9.140625" style="13"/>
    <col min="11790" max="11792" width="11.140625" style="13" bestFit="1" customWidth="1"/>
    <col min="11793" max="12028" width="9.140625" style="13"/>
    <col min="12029" max="12029" width="20.7109375" style="13" bestFit="1" customWidth="1"/>
    <col min="12030" max="12030" width="1.28515625" style="13" customWidth="1"/>
    <col min="12031" max="12033" width="10.5703125" style="13" bestFit="1" customWidth="1"/>
    <col min="12034" max="12043" width="9.140625" style="13"/>
    <col min="12044" max="12044" width="2.140625" style="13" customWidth="1"/>
    <col min="12045" max="12045" width="9.140625" style="13"/>
    <col min="12046" max="12048" width="11.140625" style="13" bestFit="1" customWidth="1"/>
    <col min="12049" max="12284" width="9.140625" style="13"/>
    <col min="12285" max="12285" width="20.7109375" style="13" bestFit="1" customWidth="1"/>
    <col min="12286" max="12286" width="1.28515625" style="13" customWidth="1"/>
    <col min="12287" max="12289" width="10.5703125" style="13" bestFit="1" customWidth="1"/>
    <col min="12290" max="12299" width="9.140625" style="13"/>
    <col min="12300" max="12300" width="2.140625" style="13" customWidth="1"/>
    <col min="12301" max="12301" width="9.140625" style="13"/>
    <col min="12302" max="12304" width="11.140625" style="13" bestFit="1" customWidth="1"/>
    <col min="12305" max="12540" width="9.140625" style="13"/>
    <col min="12541" max="12541" width="20.7109375" style="13" bestFit="1" customWidth="1"/>
    <col min="12542" max="12542" width="1.28515625" style="13" customWidth="1"/>
    <col min="12543" max="12545" width="10.5703125" style="13" bestFit="1" customWidth="1"/>
    <col min="12546" max="12555" width="9.140625" style="13"/>
    <col min="12556" max="12556" width="2.140625" style="13" customWidth="1"/>
    <col min="12557" max="12557" width="9.140625" style="13"/>
    <col min="12558" max="12560" width="11.140625" style="13" bestFit="1" customWidth="1"/>
    <col min="12561" max="12796" width="9.140625" style="13"/>
    <col min="12797" max="12797" width="20.7109375" style="13" bestFit="1" customWidth="1"/>
    <col min="12798" max="12798" width="1.28515625" style="13" customWidth="1"/>
    <col min="12799" max="12801" width="10.5703125" style="13" bestFit="1" customWidth="1"/>
    <col min="12802" max="12811" width="9.140625" style="13"/>
    <col min="12812" max="12812" width="2.140625" style="13" customWidth="1"/>
    <col min="12813" max="12813" width="9.140625" style="13"/>
    <col min="12814" max="12816" width="11.140625" style="13" bestFit="1" customWidth="1"/>
    <col min="12817" max="13052" width="9.140625" style="13"/>
    <col min="13053" max="13053" width="20.7109375" style="13" bestFit="1" customWidth="1"/>
    <col min="13054" max="13054" width="1.28515625" style="13" customWidth="1"/>
    <col min="13055" max="13057" width="10.5703125" style="13" bestFit="1" customWidth="1"/>
    <col min="13058" max="13067" width="9.140625" style="13"/>
    <col min="13068" max="13068" width="2.140625" style="13" customWidth="1"/>
    <col min="13069" max="13069" width="9.140625" style="13"/>
    <col min="13070" max="13072" width="11.140625" style="13" bestFit="1" customWidth="1"/>
    <col min="13073" max="13308" width="9.140625" style="13"/>
    <col min="13309" max="13309" width="20.7109375" style="13" bestFit="1" customWidth="1"/>
    <col min="13310" max="13310" width="1.28515625" style="13" customWidth="1"/>
    <col min="13311" max="13313" width="10.5703125" style="13" bestFit="1" customWidth="1"/>
    <col min="13314" max="13323" width="9.140625" style="13"/>
    <col min="13324" max="13324" width="2.140625" style="13" customWidth="1"/>
    <col min="13325" max="13325" width="9.140625" style="13"/>
    <col min="13326" max="13328" width="11.140625" style="13" bestFit="1" customWidth="1"/>
    <col min="13329" max="13564" width="9.140625" style="13"/>
    <col min="13565" max="13565" width="20.7109375" style="13" bestFit="1" customWidth="1"/>
    <col min="13566" max="13566" width="1.28515625" style="13" customWidth="1"/>
    <col min="13567" max="13569" width="10.5703125" style="13" bestFit="1" customWidth="1"/>
    <col min="13570" max="13579" width="9.140625" style="13"/>
    <col min="13580" max="13580" width="2.140625" style="13" customWidth="1"/>
    <col min="13581" max="13581" width="9.140625" style="13"/>
    <col min="13582" max="13584" width="11.140625" style="13" bestFit="1" customWidth="1"/>
    <col min="13585" max="13820" width="9.140625" style="13"/>
    <col min="13821" max="13821" width="20.7109375" style="13" bestFit="1" customWidth="1"/>
    <col min="13822" max="13822" width="1.28515625" style="13" customWidth="1"/>
    <col min="13823" max="13825" width="10.5703125" style="13" bestFit="1" customWidth="1"/>
    <col min="13826" max="13835" width="9.140625" style="13"/>
    <col min="13836" max="13836" width="2.140625" style="13" customWidth="1"/>
    <col min="13837" max="13837" width="9.140625" style="13"/>
    <col min="13838" max="13840" width="11.140625" style="13" bestFit="1" customWidth="1"/>
    <col min="13841" max="14076" width="9.140625" style="13"/>
    <col min="14077" max="14077" width="20.7109375" style="13" bestFit="1" customWidth="1"/>
    <col min="14078" max="14078" width="1.28515625" style="13" customWidth="1"/>
    <col min="14079" max="14081" width="10.5703125" style="13" bestFit="1" customWidth="1"/>
    <col min="14082" max="14091" width="9.140625" style="13"/>
    <col min="14092" max="14092" width="2.140625" style="13" customWidth="1"/>
    <col min="14093" max="14093" width="9.140625" style="13"/>
    <col min="14094" max="14096" width="11.140625" style="13" bestFit="1" customWidth="1"/>
    <col min="14097" max="14332" width="9.140625" style="13"/>
    <col min="14333" max="14333" width="20.7109375" style="13" bestFit="1" customWidth="1"/>
    <col min="14334" max="14334" width="1.28515625" style="13" customWidth="1"/>
    <col min="14335" max="14337" width="10.5703125" style="13" bestFit="1" customWidth="1"/>
    <col min="14338" max="14347" width="9.140625" style="13"/>
    <col min="14348" max="14348" width="2.140625" style="13" customWidth="1"/>
    <col min="14349" max="14349" width="9.140625" style="13"/>
    <col min="14350" max="14352" width="11.140625" style="13" bestFit="1" customWidth="1"/>
    <col min="14353" max="14588" width="9.140625" style="13"/>
    <col min="14589" max="14589" width="20.7109375" style="13" bestFit="1" customWidth="1"/>
    <col min="14590" max="14590" width="1.28515625" style="13" customWidth="1"/>
    <col min="14591" max="14593" width="10.5703125" style="13" bestFit="1" customWidth="1"/>
    <col min="14594" max="14603" width="9.140625" style="13"/>
    <col min="14604" max="14604" width="2.140625" style="13" customWidth="1"/>
    <col min="14605" max="14605" width="9.140625" style="13"/>
    <col min="14606" max="14608" width="11.140625" style="13" bestFit="1" customWidth="1"/>
    <col min="14609" max="14844" width="9.140625" style="13"/>
    <col min="14845" max="14845" width="20.7109375" style="13" bestFit="1" customWidth="1"/>
    <col min="14846" max="14846" width="1.28515625" style="13" customWidth="1"/>
    <col min="14847" max="14849" width="10.5703125" style="13" bestFit="1" customWidth="1"/>
    <col min="14850" max="14859" width="9.140625" style="13"/>
    <col min="14860" max="14860" width="2.140625" style="13" customWidth="1"/>
    <col min="14861" max="14861" width="9.140625" style="13"/>
    <col min="14862" max="14864" width="11.140625" style="13" bestFit="1" customWidth="1"/>
    <col min="14865" max="15100" width="9.140625" style="13"/>
    <col min="15101" max="15101" width="20.7109375" style="13" bestFit="1" customWidth="1"/>
    <col min="15102" max="15102" width="1.28515625" style="13" customWidth="1"/>
    <col min="15103" max="15105" width="10.5703125" style="13" bestFit="1" customWidth="1"/>
    <col min="15106" max="15115" width="9.140625" style="13"/>
    <col min="15116" max="15116" width="2.140625" style="13" customWidth="1"/>
    <col min="15117" max="15117" width="9.140625" style="13"/>
    <col min="15118" max="15120" width="11.140625" style="13" bestFit="1" customWidth="1"/>
    <col min="15121" max="15356" width="9.140625" style="13"/>
    <col min="15357" max="15357" width="20.7109375" style="13" bestFit="1" customWidth="1"/>
    <col min="15358" max="15358" width="1.28515625" style="13" customWidth="1"/>
    <col min="15359" max="15361" width="10.5703125" style="13" bestFit="1" customWidth="1"/>
    <col min="15362" max="15371" width="9.140625" style="13"/>
    <col min="15372" max="15372" width="2.140625" style="13" customWidth="1"/>
    <col min="15373" max="15373" width="9.140625" style="13"/>
    <col min="15374" max="15376" width="11.140625" style="13" bestFit="1" customWidth="1"/>
    <col min="15377" max="15612" width="9.140625" style="13"/>
    <col min="15613" max="15613" width="20.7109375" style="13" bestFit="1" customWidth="1"/>
    <col min="15614" max="15614" width="1.28515625" style="13" customWidth="1"/>
    <col min="15615" max="15617" width="10.5703125" style="13" bestFit="1" customWidth="1"/>
    <col min="15618" max="15627" width="9.140625" style="13"/>
    <col min="15628" max="15628" width="2.140625" style="13" customWidth="1"/>
    <col min="15629" max="15629" width="9.140625" style="13"/>
    <col min="15630" max="15632" width="11.140625" style="13" bestFit="1" customWidth="1"/>
    <col min="15633" max="15868" width="9.140625" style="13"/>
    <col min="15869" max="15869" width="20.7109375" style="13" bestFit="1" customWidth="1"/>
    <col min="15870" max="15870" width="1.28515625" style="13" customWidth="1"/>
    <col min="15871" max="15873" width="10.5703125" style="13" bestFit="1" customWidth="1"/>
    <col min="15874" max="15883" width="9.140625" style="13"/>
    <col min="15884" max="15884" width="2.140625" style="13" customWidth="1"/>
    <col min="15885" max="15885" width="9.140625" style="13"/>
    <col min="15886" max="15888" width="11.140625" style="13" bestFit="1" customWidth="1"/>
    <col min="15889" max="16124" width="9.140625" style="13"/>
    <col min="16125" max="16125" width="20.7109375" style="13" bestFit="1" customWidth="1"/>
    <col min="16126" max="16126" width="1.28515625" style="13" customWidth="1"/>
    <col min="16127" max="16129" width="10.5703125" style="13" bestFit="1" customWidth="1"/>
    <col min="16130" max="16139" width="9.140625" style="13"/>
    <col min="16140" max="16140" width="2.140625" style="13" customWidth="1"/>
    <col min="16141" max="16141" width="9.140625" style="13"/>
    <col min="16142" max="16144" width="11.140625" style="13" bestFit="1" customWidth="1"/>
    <col min="16145" max="16384" width="9.140625" style="13"/>
  </cols>
  <sheetData>
    <row r="1" spans="1:15">
      <c r="C1" s="26" t="s">
        <v>248</v>
      </c>
      <c r="D1" s="69" t="s">
        <v>249</v>
      </c>
      <c r="E1" s="69"/>
      <c r="G1" s="11" t="s">
        <v>175</v>
      </c>
      <c r="H1" s="11"/>
      <c r="I1" s="11"/>
      <c r="J1" s="11"/>
      <c r="K1" s="11"/>
      <c r="L1" s="11"/>
      <c r="M1" s="11"/>
      <c r="N1" s="11"/>
      <c r="O1" s="11"/>
    </row>
    <row r="2" spans="1:15" ht="15" customHeight="1">
      <c r="C2" s="26" t="s">
        <v>121</v>
      </c>
      <c r="D2" s="26" t="s">
        <v>122</v>
      </c>
      <c r="E2" s="26" t="s">
        <v>123</v>
      </c>
      <c r="G2" s="70" t="s">
        <v>250</v>
      </c>
      <c r="H2" s="70"/>
      <c r="I2" s="70"/>
      <c r="J2" s="70"/>
      <c r="K2" s="70"/>
      <c r="L2" s="70"/>
      <c r="M2" s="70"/>
      <c r="N2" s="70"/>
      <c r="O2" s="70"/>
    </row>
    <row r="3" spans="1:15">
      <c r="G3" s="70"/>
      <c r="H3" s="70"/>
      <c r="I3" s="70"/>
      <c r="J3" s="70"/>
      <c r="K3" s="70"/>
      <c r="L3" s="70"/>
      <c r="M3" s="70"/>
      <c r="N3" s="70"/>
      <c r="O3" s="70"/>
    </row>
    <row r="4" spans="1:15">
      <c r="A4" s="29" t="s">
        <v>176</v>
      </c>
      <c r="C4" s="50">
        <v>9000</v>
      </c>
      <c r="D4" s="50">
        <v>11000</v>
      </c>
      <c r="E4" s="50">
        <v>12500</v>
      </c>
      <c r="G4" s="70"/>
      <c r="H4" s="70"/>
      <c r="I4" s="70"/>
      <c r="J4" s="70"/>
      <c r="K4" s="70"/>
      <c r="L4" s="70"/>
      <c r="M4" s="70"/>
      <c r="N4" s="70"/>
      <c r="O4" s="70"/>
    </row>
    <row r="5" spans="1:15">
      <c r="A5" s="29" t="s">
        <v>158</v>
      </c>
      <c r="C5" s="50">
        <v>6000</v>
      </c>
      <c r="D5" s="50">
        <v>7250</v>
      </c>
      <c r="E5" s="50">
        <v>8900</v>
      </c>
      <c r="G5" s="70"/>
      <c r="H5" s="70"/>
      <c r="I5" s="70"/>
      <c r="J5" s="70"/>
      <c r="K5" s="70"/>
      <c r="L5" s="70"/>
      <c r="M5" s="70"/>
      <c r="N5" s="70"/>
      <c r="O5" s="70"/>
    </row>
    <row r="6" spans="1:15">
      <c r="A6" s="29" t="s">
        <v>186</v>
      </c>
      <c r="C6" s="50">
        <v>700</v>
      </c>
      <c r="D6" s="50">
        <v>800</v>
      </c>
      <c r="E6" s="50">
        <v>900</v>
      </c>
      <c r="G6" s="70"/>
      <c r="H6" s="70"/>
      <c r="I6" s="70"/>
      <c r="J6" s="70"/>
      <c r="K6" s="70"/>
      <c r="L6" s="70"/>
      <c r="M6" s="70"/>
      <c r="N6" s="70"/>
      <c r="O6" s="70"/>
    </row>
    <row r="7" spans="1:15">
      <c r="A7" s="29" t="s">
        <v>114</v>
      </c>
      <c r="C7" s="50">
        <v>600</v>
      </c>
      <c r="D7" s="50">
        <v>650</v>
      </c>
      <c r="E7" s="50">
        <v>700</v>
      </c>
      <c r="G7" s="70"/>
      <c r="H7" s="70"/>
      <c r="I7" s="70"/>
      <c r="J7" s="70"/>
      <c r="K7" s="70"/>
      <c r="L7" s="70"/>
      <c r="M7" s="70"/>
      <c r="N7" s="70"/>
      <c r="O7" s="70"/>
    </row>
    <row r="8" spans="1:15">
      <c r="A8" s="34" t="s">
        <v>142</v>
      </c>
      <c r="B8" s="34"/>
      <c r="C8" s="51">
        <f>C4-SUM(C5:C7)</f>
        <v>1700</v>
      </c>
      <c r="D8" s="51">
        <f>D4-SUM(D5:D7)</f>
        <v>2300</v>
      </c>
      <c r="E8" s="51">
        <f>E4-SUM(E5:E7)</f>
        <v>2000</v>
      </c>
      <c r="G8" s="70"/>
      <c r="H8" s="70"/>
      <c r="I8" s="70"/>
      <c r="J8" s="70"/>
      <c r="K8" s="70"/>
      <c r="L8" s="70"/>
      <c r="M8" s="70"/>
      <c r="N8" s="70"/>
      <c r="O8" s="70"/>
    </row>
    <row r="9" spans="1:15">
      <c r="C9" s="52"/>
      <c r="D9" s="52"/>
      <c r="E9" s="52"/>
      <c r="G9" s="70"/>
      <c r="H9" s="70"/>
      <c r="I9" s="70"/>
      <c r="J9" s="70"/>
      <c r="K9" s="70"/>
      <c r="L9" s="70"/>
      <c r="M9" s="70"/>
      <c r="N9" s="70"/>
      <c r="O9" s="70"/>
    </row>
    <row r="10" spans="1:15">
      <c r="A10" s="29" t="s">
        <v>109</v>
      </c>
      <c r="C10" s="50">
        <v>4800</v>
      </c>
      <c r="D10" s="50">
        <v>6031.9444444444453</v>
      </c>
      <c r="E10" s="50">
        <v>7102.7777777777774</v>
      </c>
      <c r="G10" s="70"/>
      <c r="H10" s="70"/>
      <c r="I10" s="70"/>
      <c r="J10" s="70"/>
      <c r="K10" s="70"/>
      <c r="L10" s="70"/>
      <c r="M10" s="70"/>
      <c r="N10" s="70"/>
      <c r="O10" s="70"/>
    </row>
    <row r="11" spans="1:15">
      <c r="A11" s="29" t="s">
        <v>251</v>
      </c>
      <c r="C11" s="50">
        <v>2500</v>
      </c>
      <c r="D11" s="52">
        <f>D22*(D4/365)</f>
        <v>3055.5555555555552</v>
      </c>
      <c r="E11" s="52">
        <f>E22*(E4/365)</f>
        <v>3472.2222222222222</v>
      </c>
      <c r="G11" s="70"/>
      <c r="H11" s="70"/>
      <c r="I11" s="70"/>
      <c r="J11" s="70"/>
      <c r="K11" s="70"/>
      <c r="L11" s="70"/>
      <c r="M11" s="70"/>
      <c r="N11" s="70"/>
      <c r="O11" s="70"/>
    </row>
    <row r="12" spans="1:15">
      <c r="A12" s="29" t="s">
        <v>252</v>
      </c>
      <c r="C12" s="50">
        <v>3000</v>
      </c>
      <c r="D12" s="52">
        <f>D23/365*D5</f>
        <v>3624.9999999999995</v>
      </c>
      <c r="E12" s="52">
        <f>E23/365*E5</f>
        <v>4449.9999999999991</v>
      </c>
      <c r="G12" s="70"/>
      <c r="H12" s="70"/>
      <c r="I12" s="70"/>
      <c r="J12" s="70"/>
      <c r="K12" s="70"/>
      <c r="L12" s="70"/>
      <c r="M12" s="70"/>
      <c r="N12" s="70"/>
      <c r="O12" s="70"/>
    </row>
    <row r="13" spans="1:15">
      <c r="A13" s="29" t="s">
        <v>253</v>
      </c>
      <c r="C13" s="50">
        <v>9000</v>
      </c>
      <c r="D13" s="52">
        <f>C13+1000-D6</f>
        <v>9200</v>
      </c>
      <c r="E13" s="52">
        <f>D13+1000-E6</f>
        <v>9300</v>
      </c>
      <c r="G13" s="70"/>
      <c r="H13" s="70"/>
      <c r="I13" s="70"/>
      <c r="J13" s="70"/>
      <c r="K13" s="70"/>
      <c r="L13" s="70"/>
      <c r="M13" s="70"/>
      <c r="N13" s="70"/>
      <c r="O13" s="70"/>
    </row>
    <row r="14" spans="1:15">
      <c r="A14" s="53" t="s">
        <v>254</v>
      </c>
      <c r="B14" s="53"/>
      <c r="C14" s="54">
        <f>SUM(C10:C13)</f>
        <v>19300</v>
      </c>
      <c r="D14" s="54">
        <f>SUM(D10:D13)</f>
        <v>21912.5</v>
      </c>
      <c r="E14" s="54">
        <f>SUM(E10:E13)</f>
        <v>24325</v>
      </c>
      <c r="G14" s="70"/>
      <c r="H14" s="70"/>
      <c r="I14" s="70"/>
      <c r="J14" s="70"/>
      <c r="K14" s="70"/>
      <c r="L14" s="70"/>
      <c r="M14" s="70"/>
      <c r="N14" s="70"/>
      <c r="O14" s="70"/>
    </row>
    <row r="15" spans="1:15">
      <c r="C15" s="52"/>
      <c r="D15" s="52"/>
      <c r="E15" s="52"/>
      <c r="G15" s="70"/>
      <c r="H15" s="70"/>
      <c r="I15" s="70"/>
      <c r="J15" s="70"/>
      <c r="K15" s="70"/>
      <c r="L15" s="70"/>
      <c r="M15" s="70"/>
      <c r="N15" s="70"/>
      <c r="O15" s="70"/>
    </row>
    <row r="16" spans="1:15">
      <c r="A16" s="29" t="s">
        <v>255</v>
      </c>
      <c r="C16" s="50">
        <v>1500</v>
      </c>
      <c r="D16" s="52">
        <f>D24*D5/365</f>
        <v>1812.4999999999998</v>
      </c>
      <c r="E16" s="52">
        <f>E24*E5/365</f>
        <v>2224.9999999999995</v>
      </c>
      <c r="G16" s="70"/>
      <c r="H16" s="70"/>
      <c r="I16" s="70"/>
      <c r="J16" s="70"/>
      <c r="K16" s="70"/>
      <c r="L16" s="70"/>
      <c r="M16" s="70"/>
      <c r="N16" s="70"/>
      <c r="O16" s="70"/>
    </row>
    <row r="17" spans="1:15">
      <c r="A17" s="29" t="s">
        <v>107</v>
      </c>
      <c r="C17" s="50">
        <v>7500</v>
      </c>
      <c r="D17" s="50">
        <v>7500</v>
      </c>
      <c r="E17" s="50">
        <v>7500</v>
      </c>
      <c r="G17" s="70"/>
      <c r="H17" s="70"/>
      <c r="I17" s="70"/>
      <c r="J17" s="70"/>
      <c r="K17" s="70"/>
      <c r="L17" s="70"/>
      <c r="M17" s="70"/>
      <c r="N17" s="70"/>
      <c r="O17" s="70"/>
    </row>
    <row r="18" spans="1:15">
      <c r="A18" s="29" t="s">
        <v>110</v>
      </c>
      <c r="C18" s="50">
        <v>7500</v>
      </c>
      <c r="D18" s="50">
        <v>7500</v>
      </c>
      <c r="E18" s="50">
        <v>7500</v>
      </c>
      <c r="G18" s="70"/>
      <c r="H18" s="70"/>
      <c r="I18" s="70"/>
      <c r="J18" s="70"/>
      <c r="K18" s="70"/>
      <c r="L18" s="70"/>
      <c r="M18" s="70"/>
      <c r="N18" s="70"/>
      <c r="O18" s="70"/>
    </row>
    <row r="19" spans="1:15">
      <c r="A19" s="29" t="s">
        <v>256</v>
      </c>
      <c r="C19" s="50">
        <v>2800</v>
      </c>
      <c r="D19" s="52">
        <f>C19+D8</f>
        <v>5100</v>
      </c>
      <c r="E19" s="52">
        <f>D19+E8</f>
        <v>7100</v>
      </c>
    </row>
    <row r="20" spans="1:15">
      <c r="A20" s="53" t="s">
        <v>257</v>
      </c>
      <c r="B20" s="53"/>
      <c r="C20" s="54">
        <f>SUM(C16:C19)</f>
        <v>19300</v>
      </c>
      <c r="D20" s="54">
        <f>SUM(D16:D19)</f>
        <v>21912.5</v>
      </c>
      <c r="E20" s="54">
        <f>SUM(E16:E19)</f>
        <v>24325</v>
      </c>
      <c r="G20" s="55"/>
      <c r="H20" s="55"/>
      <c r="I20" s="55"/>
    </row>
    <row r="21" spans="1:15">
      <c r="C21" s="56">
        <f>C20-C14</f>
        <v>0</v>
      </c>
      <c r="D21" s="56">
        <f>D20-D14</f>
        <v>0</v>
      </c>
      <c r="E21" s="56">
        <f>E20-E14</f>
        <v>0</v>
      </c>
    </row>
    <row r="22" spans="1:15">
      <c r="A22" s="13" t="s">
        <v>159</v>
      </c>
      <c r="C22" s="13">
        <f>C11/(C4/365)</f>
        <v>101.38888888888889</v>
      </c>
      <c r="D22" s="57">
        <f>C22</f>
        <v>101.38888888888889</v>
      </c>
      <c r="E22" s="57">
        <f t="shared" ref="D22:E24" si="0">D22</f>
        <v>101.38888888888889</v>
      </c>
    </row>
    <row r="23" spans="1:15">
      <c r="A23" s="13" t="s">
        <v>160</v>
      </c>
      <c r="C23" s="13">
        <f>C12/(C5/365)</f>
        <v>182.49999999999997</v>
      </c>
      <c r="D23" s="57">
        <f t="shared" si="0"/>
        <v>182.49999999999997</v>
      </c>
      <c r="E23" s="57">
        <f t="shared" si="0"/>
        <v>182.49999999999997</v>
      </c>
    </row>
    <row r="24" spans="1:15">
      <c r="A24" s="13" t="s">
        <v>161</v>
      </c>
      <c r="C24" s="13">
        <f>C16/(C5/365)</f>
        <v>91.249999999999986</v>
      </c>
      <c r="D24" s="57">
        <f t="shared" si="0"/>
        <v>91.249999999999986</v>
      </c>
      <c r="E24" s="57">
        <f t="shared" si="0"/>
        <v>91.249999999999986</v>
      </c>
    </row>
  </sheetData>
  <mergeCells count="2">
    <mergeCell ref="D1:E1"/>
    <mergeCell ref="G2:O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Pattern</vt:lpstr>
      <vt:lpstr>Sample-Paper-Questions</vt:lpstr>
      <vt:lpstr>Sample-Paper-Marked Answers</vt:lpstr>
      <vt:lpstr>Sol.2</vt:lpstr>
      <vt:lpstr>Sol.4</vt:lpstr>
      <vt:lpstr>Sol.10</vt:lpstr>
      <vt:lpstr>Sol.13</vt:lpstr>
      <vt:lpstr>Sol.16</vt:lpstr>
      <vt:lpstr>Sol.17</vt:lpstr>
      <vt:lpstr>Sol.18</vt:lpstr>
      <vt:lpstr>Sol.27</vt:lpstr>
      <vt:lpstr>Sol.30</vt:lpstr>
    </vt:vector>
  </TitlesOfParts>
  <Company>NSE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vsawant</dc:creator>
  <cp:lastModifiedBy>ankush</cp:lastModifiedBy>
  <dcterms:created xsi:type="dcterms:W3CDTF">2012-07-29T07:29:31Z</dcterms:created>
  <dcterms:modified xsi:type="dcterms:W3CDTF">2014-08-02T13:20:24Z</dcterms:modified>
</cp:coreProperties>
</file>