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an Qi\Google Drive\ResearchSpace\Research Projects\UMLx\data\Resilient Agile\"/>
    </mc:Choice>
  </mc:AlternateContent>
  <bookViews>
    <workbookView xWindow="0" yWindow="0" windowWidth="10215" windowHeight="2715" activeTab="2"/>
  </bookViews>
  <sheets>
    <sheet name="Estimation Phase 1" sheetId="1" r:id="rId1"/>
    <sheet name="Estimation Phase 2" sheetId="2" r:id="rId2"/>
    <sheet name="Estimation Phase 3" sheetId="3" r:id="rId3"/>
    <sheet name="Use Case Count Correction" sheetId="12" r:id="rId4"/>
    <sheet name="Factor Coverage-4-22" sheetId="10" r:id="rId5"/>
    <sheet name="Factor Coverage" sheetId="4" r:id="rId6"/>
    <sheet name="Dimension Reduction" sheetId="5" r:id="rId7"/>
    <sheet name="COCOMOII rating scales" sheetId="6" r:id="rId8"/>
    <sheet name="Cost Estimation Model Evaluatio" sheetId="7" r:id="rId9"/>
    <sheet name="Model Synthesis" sheetId="8" r:id="rId10"/>
    <sheet name="Resilient Agile Cost Estimation" sheetId="9" r:id="rId11"/>
    <sheet name="Data interpolation" sheetId="11" r:id="rId12"/>
  </sheets>
  <definedNames>
    <definedName name="_ftn1" localSheetId="8">'Cost Estimation Model Evaluatio'!#REF!</definedName>
    <definedName name="_ftn2" localSheetId="8">'Cost Estimation Model Evaluatio'!#REF!</definedName>
    <definedName name="_ftn3" localSheetId="8">'Cost Estimation Model Evaluatio'!#REF!</definedName>
    <definedName name="_ftn4" localSheetId="8">'Cost Estimation Model Evaluatio'!#REF!</definedName>
    <definedName name="_ftn5" localSheetId="8">'Cost Estimation Model Evaluatio'!#REF!</definedName>
    <definedName name="_ftnref1" localSheetId="8">'Cost Estimation Model Evaluatio'!$B$87</definedName>
    <definedName name="_ftnref2" localSheetId="8">'Cost Estimation Model Evaluatio'!$C$87</definedName>
    <definedName name="_ftnref3" localSheetId="8">'Cost Estimation Model Evaluatio'!$D$87</definedName>
    <definedName name="_ftnref4" localSheetId="8">'Cost Estimation Model Evaluatio'!$E$87</definedName>
    <definedName name="_ftnref5" localSheetId="8">'Cost Estimation Model Evaluatio'!$F$87</definedName>
  </definedNames>
  <calcPr calcId="152511"/>
</workbook>
</file>

<file path=xl/calcChain.xml><?xml version="1.0" encoding="utf-8"?>
<calcChain xmlns="http://schemas.openxmlformats.org/spreadsheetml/2006/main">
  <c r="L75" i="3" l="1"/>
  <c r="D52" i="1"/>
  <c r="H77" i="3" l="1"/>
  <c r="H75" i="3"/>
  <c r="E111" i="7" l="1"/>
  <c r="E110" i="7"/>
  <c r="E109" i="7"/>
  <c r="D111" i="7"/>
  <c r="D110" i="7"/>
  <c r="D109" i="7"/>
  <c r="C111" i="7"/>
  <c r="C110" i="7"/>
  <c r="C109" i="7"/>
  <c r="G111" i="7" l="1"/>
  <c r="G110" i="7"/>
  <c r="G109" i="7"/>
  <c r="D76" i="7"/>
  <c r="B183" i="3"/>
  <c r="F84" i="7" l="1"/>
  <c r="F83" i="7"/>
  <c r="F82" i="7"/>
  <c r="E84" i="7"/>
  <c r="E83" i="7"/>
  <c r="E82" i="7"/>
  <c r="D84" i="7"/>
  <c r="D83" i="7"/>
  <c r="D82" i="7"/>
  <c r="D75" i="7"/>
  <c r="D77" i="7" l="1"/>
  <c r="F75" i="7"/>
  <c r="F77" i="7" s="1"/>
  <c r="E195" i="2"/>
  <c r="E75" i="7"/>
  <c r="E77" i="7" s="1"/>
  <c r="F74" i="7"/>
  <c r="F76" i="7" s="1"/>
  <c r="E74" i="7"/>
  <c r="E76" i="7" s="1"/>
  <c r="D74" i="7"/>
  <c r="R47" i="8"/>
  <c r="R40" i="8"/>
  <c r="R39" i="8"/>
  <c r="R38" i="8"/>
  <c r="R42" i="8" s="1"/>
  <c r="R27" i="8"/>
  <c r="R31" i="8" s="1"/>
  <c r="R24" i="8"/>
  <c r="R23" i="8"/>
  <c r="R22" i="8"/>
  <c r="R26" i="8" s="1"/>
  <c r="V14" i="8"/>
  <c r="W11" i="8"/>
  <c r="W10" i="8"/>
  <c r="W9" i="8"/>
  <c r="W14" i="8" s="1"/>
  <c r="R5" i="8"/>
  <c r="R4" i="8"/>
  <c r="R3" i="8"/>
  <c r="U2" i="8"/>
  <c r="T2" i="8"/>
  <c r="S2" i="8"/>
  <c r="R2" i="8"/>
  <c r="B170" i="1"/>
  <c r="B174" i="1"/>
  <c r="D159" i="2"/>
  <c r="D155" i="1"/>
  <c r="D154" i="1"/>
  <c r="D156" i="1"/>
  <c r="D153" i="1"/>
  <c r="D108" i="2"/>
  <c r="H77" i="7" l="1"/>
  <c r="H76" i="7"/>
  <c r="R44" i="8"/>
  <c r="R46" i="8"/>
  <c r="R48" i="8" s="1"/>
  <c r="R30" i="8"/>
  <c r="R28" i="8"/>
  <c r="D51" i="7"/>
  <c r="G46" i="7"/>
  <c r="G45" i="7"/>
  <c r="G42" i="7"/>
  <c r="G41" i="7"/>
  <c r="G40" i="7"/>
  <c r="H119" i="3"/>
  <c r="E51" i="7" l="1"/>
  <c r="G47" i="7"/>
  <c r="E52" i="7"/>
  <c r="E50" i="7"/>
  <c r="I47" i="8" l="1"/>
  <c r="I40" i="8"/>
  <c r="I39" i="8"/>
  <c r="I38" i="8"/>
  <c r="I42" i="8" s="1"/>
  <c r="I22" i="8"/>
  <c r="I46" i="8" l="1"/>
  <c r="I48" i="8" s="1"/>
  <c r="I44" i="8"/>
  <c r="N11" i="8"/>
  <c r="N10" i="8"/>
  <c r="N9" i="8"/>
  <c r="M14" i="8"/>
  <c r="I27" i="8" s="1"/>
  <c r="I31" i="8" s="1"/>
  <c r="I24" i="8"/>
  <c r="I23" i="8"/>
  <c r="I26" i="8" s="1"/>
  <c r="I30" i="8" s="1"/>
  <c r="N14" i="8" l="1"/>
  <c r="I28" i="8"/>
  <c r="D7" i="11" l="1"/>
  <c r="D10" i="11"/>
  <c r="B10" i="11"/>
  <c r="C10" i="11"/>
  <c r="D9" i="11"/>
  <c r="D8" i="11"/>
  <c r="I5" i="8" l="1"/>
  <c r="I4" i="8"/>
  <c r="I3" i="8"/>
  <c r="L2" i="8" l="1"/>
  <c r="K2" i="8"/>
  <c r="J2" i="8"/>
  <c r="I2" i="8"/>
  <c r="E138" i="10"/>
  <c r="E119" i="10"/>
  <c r="E99" i="10"/>
  <c r="F98" i="10"/>
  <c r="F118" i="10"/>
  <c r="F137" i="10"/>
  <c r="B100" i="10" l="1"/>
  <c r="I54" i="10" l="1"/>
  <c r="G52" i="10"/>
  <c r="I55" i="10"/>
  <c r="C189" i="1"/>
  <c r="G54" i="10"/>
  <c r="G55" i="10" s="1"/>
  <c r="E88" i="10"/>
  <c r="E87" i="10"/>
  <c r="G82" i="10"/>
  <c r="G81" i="10"/>
  <c r="G83" i="10" s="1"/>
  <c r="G87" i="10" s="1"/>
  <c r="E81" i="10"/>
  <c r="I80" i="10"/>
  <c r="I82" i="10" s="1"/>
  <c r="I83" i="10" s="1"/>
  <c r="G86" i="10" s="1"/>
  <c r="G80" i="10"/>
  <c r="E80" i="10"/>
  <c r="E82" i="10" s="1"/>
  <c r="E54" i="10"/>
  <c r="G53" i="10"/>
  <c r="E53" i="10"/>
  <c r="I52" i="10"/>
  <c r="E52" i="10"/>
  <c r="F88" i="4"/>
  <c r="F87" i="4"/>
  <c r="F86" i="4"/>
  <c r="G54" i="4"/>
  <c r="C69" i="8"/>
  <c r="C68" i="8"/>
  <c r="C67" i="8"/>
  <c r="C66" i="8"/>
  <c r="C59" i="8"/>
  <c r="C58" i="8"/>
  <c r="C57" i="8"/>
  <c r="B35" i="7"/>
  <c r="B34" i="7"/>
  <c r="B33" i="7"/>
  <c r="D11" i="7"/>
  <c r="D10" i="7"/>
  <c r="P84" i="5"/>
  <c r="B84" i="5"/>
  <c r="O84" i="5" s="1"/>
  <c r="P83" i="5"/>
  <c r="Q83" i="5" s="1"/>
  <c r="O83" i="5"/>
  <c r="B83" i="5"/>
  <c r="O82" i="5"/>
  <c r="Q82" i="5" s="1"/>
  <c r="B82" i="5"/>
  <c r="E88" i="4"/>
  <c r="E87" i="4"/>
  <c r="G81" i="4"/>
  <c r="G83" i="4" s="1"/>
  <c r="G87" i="4" s="1"/>
  <c r="E81" i="4"/>
  <c r="I80" i="4"/>
  <c r="I82" i="4" s="1"/>
  <c r="I83" i="4" s="1"/>
  <c r="G86" i="4" s="1"/>
  <c r="G80" i="4"/>
  <c r="G82" i="4" s="1"/>
  <c r="E80" i="4"/>
  <c r="E82" i="4" s="1"/>
  <c r="E83" i="4" s="1"/>
  <c r="G88" i="4" s="1"/>
  <c r="I54" i="4"/>
  <c r="I55" i="4" s="1"/>
  <c r="G53" i="4"/>
  <c r="G55" i="4" s="1"/>
  <c r="E53" i="4"/>
  <c r="I52" i="4"/>
  <c r="G52" i="4"/>
  <c r="E52" i="4"/>
  <c r="E54" i="4" s="1"/>
  <c r="C180" i="3"/>
  <c r="B186" i="3" s="1"/>
  <c r="C179" i="3"/>
  <c r="C178" i="3"/>
  <c r="J174" i="3"/>
  <c r="H174" i="3"/>
  <c r="J173" i="3"/>
  <c r="H173" i="3"/>
  <c r="J172" i="3"/>
  <c r="H172" i="3"/>
  <c r="J171" i="3"/>
  <c r="H171" i="3"/>
  <c r="J170" i="3"/>
  <c r="H170" i="3"/>
  <c r="J169" i="3"/>
  <c r="H169" i="3"/>
  <c r="J168" i="3"/>
  <c r="H168" i="3"/>
  <c r="J167" i="3"/>
  <c r="H167" i="3"/>
  <c r="J166" i="3"/>
  <c r="H166" i="3"/>
  <c r="J165" i="3"/>
  <c r="H165" i="3"/>
  <c r="J164" i="3"/>
  <c r="H164" i="3"/>
  <c r="J163" i="3"/>
  <c r="H163" i="3"/>
  <c r="J162" i="3"/>
  <c r="H162" i="3"/>
  <c r="J161" i="3"/>
  <c r="H161" i="3"/>
  <c r="J160" i="3"/>
  <c r="H160" i="3"/>
  <c r="J159" i="3"/>
  <c r="H159" i="3"/>
  <c r="J158" i="3"/>
  <c r="H158" i="3"/>
  <c r="J157" i="3"/>
  <c r="H157" i="3"/>
  <c r="J156" i="3"/>
  <c r="H156" i="3"/>
  <c r="J155" i="3"/>
  <c r="H155" i="3"/>
  <c r="J154" i="3"/>
  <c r="H154" i="3"/>
  <c r="J153" i="3"/>
  <c r="H153" i="3"/>
  <c r="J152" i="3"/>
  <c r="H152" i="3"/>
  <c r="J151" i="3"/>
  <c r="H151" i="3"/>
  <c r="J150" i="3"/>
  <c r="H150" i="3"/>
  <c r="J149" i="3"/>
  <c r="H149" i="3"/>
  <c r="J148" i="3"/>
  <c r="H148" i="3"/>
  <c r="J147" i="3"/>
  <c r="H147" i="3"/>
  <c r="J146" i="3"/>
  <c r="H146" i="3"/>
  <c r="J145" i="3"/>
  <c r="H145" i="3"/>
  <c r="J144" i="3"/>
  <c r="H144" i="3"/>
  <c r="J143" i="3"/>
  <c r="H143" i="3"/>
  <c r="J142" i="3"/>
  <c r="H142" i="3"/>
  <c r="J141" i="3"/>
  <c r="H141" i="3"/>
  <c r="J140" i="3"/>
  <c r="H140" i="3"/>
  <c r="J139" i="3"/>
  <c r="H139" i="3"/>
  <c r="J138" i="3"/>
  <c r="H138" i="3"/>
  <c r="J137" i="3"/>
  <c r="H137" i="3"/>
  <c r="J136" i="3"/>
  <c r="H136" i="3"/>
  <c r="J135" i="3"/>
  <c r="H135" i="3"/>
  <c r="J134" i="3"/>
  <c r="H134" i="3"/>
  <c r="J133" i="3"/>
  <c r="H133" i="3"/>
  <c r="J132" i="3"/>
  <c r="H132" i="3"/>
  <c r="J131" i="3"/>
  <c r="H131" i="3"/>
  <c r="J130" i="3"/>
  <c r="H130" i="3"/>
  <c r="J129" i="3"/>
  <c r="H129" i="3"/>
  <c r="J128" i="3"/>
  <c r="H128" i="3"/>
  <c r="J127" i="3"/>
  <c r="H127" i="3"/>
  <c r="H126" i="3"/>
  <c r="J126" i="3" s="1"/>
  <c r="J121" i="3"/>
  <c r="H121" i="3"/>
  <c r="J120" i="3"/>
  <c r="H120" i="3"/>
  <c r="J119" i="3"/>
  <c r="J118" i="3"/>
  <c r="H118" i="3"/>
  <c r="J117" i="3"/>
  <c r="H117" i="3"/>
  <c r="J116" i="3"/>
  <c r="H116" i="3"/>
  <c r="J115" i="3"/>
  <c r="H115" i="3"/>
  <c r="J114" i="3"/>
  <c r="H114" i="3"/>
  <c r="H113" i="3"/>
  <c r="J113" i="3" s="1"/>
  <c r="J112" i="3"/>
  <c r="H112" i="3"/>
  <c r="J111" i="3"/>
  <c r="H111" i="3"/>
  <c r="H110" i="3"/>
  <c r="J110" i="3" s="1"/>
  <c r="H109" i="3"/>
  <c r="J109" i="3" s="1"/>
  <c r="J108" i="3"/>
  <c r="H108" i="3"/>
  <c r="H107" i="3"/>
  <c r="J107" i="3" s="1"/>
  <c r="H106" i="3"/>
  <c r="J106" i="3" s="1"/>
  <c r="H105" i="3"/>
  <c r="J105" i="3" s="1"/>
  <c r="J104" i="3"/>
  <c r="H104" i="3"/>
  <c r="H103" i="3"/>
  <c r="J103" i="3" s="1"/>
  <c r="H102" i="3"/>
  <c r="J102" i="3" s="1"/>
  <c r="H101" i="3"/>
  <c r="J101" i="3" s="1"/>
  <c r="H100" i="3"/>
  <c r="J100" i="3" s="1"/>
  <c r="J99" i="3"/>
  <c r="H99" i="3"/>
  <c r="J98" i="3"/>
  <c r="H98" i="3"/>
  <c r="J97" i="3"/>
  <c r="H97" i="3"/>
  <c r="J96" i="3"/>
  <c r="H96" i="3"/>
  <c r="J95" i="3"/>
  <c r="H95" i="3"/>
  <c r="H94" i="3"/>
  <c r="J94" i="3" s="1"/>
  <c r="J89" i="3"/>
  <c r="H89" i="3"/>
  <c r="J88" i="3"/>
  <c r="H88" i="3"/>
  <c r="J87" i="3"/>
  <c r="H87" i="3"/>
  <c r="J86" i="3"/>
  <c r="H86" i="3"/>
  <c r="J85" i="3"/>
  <c r="H85" i="3"/>
  <c r="J84" i="3"/>
  <c r="H84" i="3"/>
  <c r="J83" i="3"/>
  <c r="H83" i="3"/>
  <c r="J82" i="3"/>
  <c r="H82" i="3"/>
  <c r="J81" i="3"/>
  <c r="H81" i="3"/>
  <c r="J80" i="3"/>
  <c r="H80" i="3"/>
  <c r="J79" i="3"/>
  <c r="H79" i="3"/>
  <c r="J78" i="3"/>
  <c r="H78" i="3"/>
  <c r="J77" i="3"/>
  <c r="J76" i="3"/>
  <c r="H76" i="3"/>
  <c r="J75" i="3"/>
  <c r="C196" i="2"/>
  <c r="C195" i="2"/>
  <c r="C164" i="2"/>
  <c r="C163" i="2"/>
  <c r="B170" i="2" s="1"/>
  <c r="C162" i="2"/>
  <c r="C194" i="2" s="1"/>
  <c r="I111" i="2"/>
  <c r="B164" i="2" s="1"/>
  <c r="F117" i="2"/>
  <c r="I79" i="2"/>
  <c r="B163" i="2" s="1"/>
  <c r="F83" i="2"/>
  <c r="D76" i="2"/>
  <c r="F67" i="2"/>
  <c r="A204" i="1"/>
  <c r="C199" i="1"/>
  <c r="D199" i="1" s="1"/>
  <c r="B199" i="1"/>
  <c r="C191" i="1"/>
  <c r="C190" i="1"/>
  <c r="C161" i="1"/>
  <c r="C160" i="1"/>
  <c r="C159"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F113" i="1"/>
  <c r="D113" i="1"/>
  <c r="D112" i="1"/>
  <c r="D111" i="1"/>
  <c r="D110" i="1"/>
  <c r="D109" i="1"/>
  <c r="D108" i="1"/>
  <c r="D107" i="1"/>
  <c r="D103" i="1"/>
  <c r="D102" i="1"/>
  <c r="D101" i="1"/>
  <c r="D100" i="1"/>
  <c r="D99" i="1"/>
  <c r="D98" i="1"/>
  <c r="D97" i="1"/>
  <c r="D96" i="1"/>
  <c r="D95" i="1"/>
  <c r="D94" i="1"/>
  <c r="D93" i="1"/>
  <c r="D92" i="1"/>
  <c r="D91" i="1"/>
  <c r="D90" i="1"/>
  <c r="D89" i="1"/>
  <c r="D88" i="1"/>
  <c r="D87" i="1"/>
  <c r="D86" i="1"/>
  <c r="D85" i="1"/>
  <c r="D84" i="1"/>
  <c r="D83" i="1"/>
  <c r="D82" i="1"/>
  <c r="D81" i="1"/>
  <c r="F80" i="1"/>
  <c r="D80" i="1"/>
  <c r="D79" i="1"/>
  <c r="D78" i="1"/>
  <c r="D77" i="1"/>
  <c r="D76" i="1"/>
  <c r="D71" i="1"/>
  <c r="D70" i="1"/>
  <c r="D69" i="1"/>
  <c r="D68" i="1"/>
  <c r="D67" i="1"/>
  <c r="D66" i="1"/>
  <c r="D65" i="1"/>
  <c r="D64" i="1"/>
  <c r="D63" i="1"/>
  <c r="D62" i="1"/>
  <c r="D61" i="1"/>
  <c r="F60" i="1"/>
  <c r="D60" i="1"/>
  <c r="D59" i="1"/>
  <c r="D58" i="1"/>
  <c r="D57" i="1"/>
  <c r="D56" i="1"/>
  <c r="D55" i="1"/>
  <c r="D54" i="1"/>
  <c r="D53" i="1"/>
  <c r="J90" i="3" l="1"/>
  <c r="I107" i="1"/>
  <c r="B161" i="1" s="1"/>
  <c r="D104" i="1"/>
  <c r="I76" i="1" s="1"/>
  <c r="B160" i="1" s="1"/>
  <c r="D73" i="1"/>
  <c r="B167" i="1"/>
  <c r="I61" i="2"/>
  <c r="B162" i="2" s="1"/>
  <c r="J122" i="3"/>
  <c r="L94" i="3"/>
  <c r="B179" i="3" s="1"/>
  <c r="E55" i="10"/>
  <c r="F88" i="10" s="1"/>
  <c r="F86" i="10"/>
  <c r="F87" i="10"/>
  <c r="E83" i="10"/>
  <c r="G88" i="10" s="1"/>
  <c r="B166" i="1"/>
  <c r="B164" i="1"/>
  <c r="B173" i="1" s="1"/>
  <c r="B176" i="1" s="1"/>
  <c r="B165" i="1"/>
  <c r="J175" i="3"/>
  <c r="L126" i="3"/>
  <c r="B180" i="3" s="1"/>
  <c r="B178" i="3"/>
  <c r="B168" i="2"/>
  <c r="B167" i="2"/>
  <c r="B176" i="2" s="1"/>
  <c r="B179" i="2" s="1"/>
  <c r="B169" i="2"/>
  <c r="E55" i="4"/>
  <c r="Q84" i="5"/>
  <c r="I52" i="1" l="1"/>
  <c r="B159" i="1" s="1"/>
  <c r="B171" i="1"/>
  <c r="B171" i="2"/>
  <c r="B189" i="2"/>
  <c r="B168" i="1"/>
  <c r="B185" i="1"/>
  <c r="B173" i="2"/>
  <c r="B174" i="2" s="1"/>
  <c r="B185" i="3"/>
  <c r="B184" i="3"/>
  <c r="B192" i="3"/>
  <c r="B195" i="3" s="1"/>
  <c r="B205" i="3" l="1"/>
  <c r="B187" i="3"/>
  <c r="B189" i="3"/>
  <c r="B190" i="3" s="1"/>
  <c r="B172" i="1"/>
  <c r="B181" i="1"/>
  <c r="B169" i="1"/>
  <c r="B182" i="1" s="1"/>
  <c r="B185" i="2"/>
  <c r="B172" i="2"/>
  <c r="B186" i="2" s="1"/>
  <c r="B175" i="2"/>
  <c r="D195" i="2" l="1"/>
  <c r="D196" i="2"/>
  <c r="E196" i="2" s="1"/>
  <c r="D194" i="2"/>
  <c r="B201" i="3"/>
  <c r="B188" i="3"/>
  <c r="B202" i="3" s="1"/>
  <c r="B191" i="3"/>
  <c r="B186" i="1"/>
  <c r="B177" i="1"/>
  <c r="B180" i="2"/>
  <c r="B177" i="2"/>
  <c r="B190" i="2" s="1"/>
  <c r="D189" i="1"/>
  <c r="D190" i="1"/>
  <c r="E190" i="1" s="1"/>
  <c r="E193" i="1" s="1"/>
  <c r="D191" i="1"/>
  <c r="E191" i="1" s="1"/>
  <c r="E198" i="2" l="1"/>
  <c r="B193" i="3"/>
  <c r="B206" i="3" s="1"/>
  <c r="B196" i="3"/>
  <c r="D211" i="3"/>
  <c r="E211" i="3" s="1"/>
  <c r="D210" i="3"/>
  <c r="D212" i="3"/>
  <c r="E212" i="3" s="1"/>
  <c r="E214" i="3" l="1"/>
</calcChain>
</file>

<file path=xl/sharedStrings.xml><?xml version="1.0" encoding="utf-8"?>
<sst xmlns="http://schemas.openxmlformats.org/spreadsheetml/2006/main" count="2625" uniqueCount="771">
  <si>
    <t>Counting Method:</t>
  </si>
  <si>
    <t>Storyboards and use cases are available at this phase of cost estimation, with which metrics are developed to quantify the identified use cases with respect to the complexity of each use case, and thus to measure the size of the whole project. The metric are adapted from the original Use Case Point metrics to fit the information availability level in this phase. The terminology Early Use Case Point (EUCP) is used in this research to reference the adopted metrics, and the counting methods based on the metrics are introduced below.</t>
  </si>
  <si>
    <t>1. Convert Use case narratives to structured scenarios</t>
  </si>
  <si>
    <t>2. Convert Structured scenarios to activity diagrams</t>
  </si>
  <si>
    <t>3. Count the cyclomatic complexity of each activity diagram</t>
  </si>
  <si>
    <t>4. Based on the cyclomatic complexity of each activity diagram, count the Unadjusted Early Use Case Weight (UEUCW) for each identified use case based on the matrix listed below.</t>
  </si>
  <si>
    <t>Cyclomatic complexity of Structured scenarios (CCSS)</t>
  </si>
  <si>
    <t>Unadjusted Early Use Case Weight</t>
  </si>
  <si>
    <t>&gt;8</t>
  </si>
  <si>
    <t>5. Count Unadjusted Actor Weight (UAW) based on the actors identified in the use cases and the complexity of each actor based on the Unadjusted Actor Weight matrix listed below.</t>
  </si>
  <si>
    <t>Actor Classification</t>
  </si>
  <si>
    <t>Type of Actor</t>
  </si>
  <si>
    <t>Unadjusted Actor Weight</t>
  </si>
  <si>
    <t>Simple</t>
  </si>
  <si>
    <t>External system that must interact with the system using a well-defined API</t>
  </si>
  <si>
    <t>Average</t>
  </si>
  <si>
    <t>External system that must interact with the system using standard communication protocols (e.g. TCP/IP, FTP, HTTP, database)</t>
  </si>
  <si>
    <t>Complex</t>
  </si>
  <si>
    <t>Human actor using a GUI application interface</t>
  </si>
  <si>
    <t>6. Based on the understood characteristics of the system, to evaluate the technical complexity factor (TCF)</t>
  </si>
  <si>
    <t>TCF = 0.6 + (TF/100)</t>
  </si>
  <si>
    <t>Factor</t>
  </si>
  <si>
    <t>Description</t>
  </si>
  <si>
    <t>Weight</t>
  </si>
  <si>
    <t>T1</t>
  </si>
  <si>
    <t>Distributed system</t>
  </si>
  <si>
    <t>Required Software Reliability (RELY)</t>
  </si>
  <si>
    <t>T2</t>
  </si>
  <si>
    <t>Response time/performance objectives</t>
  </si>
  <si>
    <t>Database Size (DATA)</t>
  </si>
  <si>
    <t>T3</t>
  </si>
  <si>
    <t>End-user efficiency</t>
  </si>
  <si>
    <t>Product Complexity (CPLX)</t>
  </si>
  <si>
    <t>Internal processing complexity</t>
  </si>
  <si>
    <t>T4</t>
  </si>
  <si>
    <t>Developed for Reusability (RUSE)</t>
  </si>
  <si>
    <t>Code reusability</t>
  </si>
  <si>
    <t>T5</t>
  </si>
  <si>
    <t>Documentation Match to Life-Cycle Needs (DOCU)</t>
  </si>
  <si>
    <t>T6</t>
  </si>
  <si>
    <t>Easy to install</t>
  </si>
  <si>
    <t>Execution Time Constraint (TIME)</t>
  </si>
  <si>
    <t>Response time/performance objective</t>
  </si>
  <si>
    <t>T7</t>
  </si>
  <si>
    <t>Easy to use</t>
  </si>
  <si>
    <t>Main Storage Constraint (STOR)</t>
  </si>
  <si>
    <t>T8</t>
  </si>
  <si>
    <t>Portability to other platforms</t>
  </si>
  <si>
    <t>Platform Volatility (PVOL)</t>
  </si>
  <si>
    <t>T9</t>
  </si>
  <si>
    <t>System maintenance</t>
  </si>
  <si>
    <t>Analyst Capability (ACAP)</t>
  </si>
  <si>
    <t>Lead analyst capability</t>
  </si>
  <si>
    <t>T10</t>
  </si>
  <si>
    <t>Concurrent/parallel processing</t>
  </si>
  <si>
    <t>Programmer Capability(PCAP)</t>
  </si>
  <si>
    <t>Object-oriented experience of team</t>
  </si>
  <si>
    <t>T11</t>
  </si>
  <si>
    <t>Security features</t>
  </si>
  <si>
    <t>Personnel Continuity (PCON)</t>
  </si>
  <si>
    <t>Part-time staff</t>
  </si>
  <si>
    <t>T12</t>
  </si>
  <si>
    <t>Access for third parties</t>
  </si>
  <si>
    <t>Applications Experience (APEX)</t>
  </si>
  <si>
    <t>Application experience</t>
  </si>
  <si>
    <t>T13</t>
  </si>
  <si>
    <t>End user training</t>
  </si>
  <si>
    <t>Platform Experience(PLEX)</t>
  </si>
  <si>
    <t>Language and Tool Experience (LITEX)</t>
  </si>
  <si>
    <t>Familarity with development process</t>
  </si>
  <si>
    <t>7. Based on the practical situation about the development team to evaluate environmental complexity factor (ECF)</t>
  </si>
  <si>
    <t>Use of Software Tools (TOOL)</t>
  </si>
  <si>
    <t>ECF = 1.4 + (-0.03 x EF)</t>
  </si>
  <si>
    <t>Multisite Development (SITE)</t>
  </si>
  <si>
    <t>Required Development Schedule (SCED)</t>
  </si>
  <si>
    <t>E1</t>
  </si>
  <si>
    <t>Familiarity with development process used</t>
  </si>
  <si>
    <t>Precedentedness (PREC)</t>
  </si>
  <si>
    <t>E2</t>
  </si>
  <si>
    <t>Architecture/Risk Resolution (RESL)</t>
  </si>
  <si>
    <t>E3</t>
  </si>
  <si>
    <t>Process Maturity (PMAT)</t>
  </si>
  <si>
    <t>Familiarity with developmet process</t>
  </si>
  <si>
    <t>E4</t>
  </si>
  <si>
    <t>Team Cohesion (TEAM)</t>
  </si>
  <si>
    <t>Motivation of the team</t>
  </si>
  <si>
    <t>E5</t>
  </si>
  <si>
    <t>Development Flexibility (FLEX)</t>
  </si>
  <si>
    <t>E6</t>
  </si>
  <si>
    <t>Stability of requirements</t>
  </si>
  <si>
    <t>E7</t>
  </si>
  <si>
    <t>E8</t>
  </si>
  <si>
    <t>Difficult programming language</t>
  </si>
  <si>
    <t>8. Calcualte the Unadjusted Early Use Case Point (UEUCP) based on the equation listed below:</t>
  </si>
  <si>
    <t>EUCP = (UEUCW + UAW) * TCF * ECF</t>
  </si>
  <si>
    <t>Project</t>
  </si>
  <si>
    <t>Use Case</t>
  </si>
  <si>
    <t>Cyclomatic Complexity of Structured Scenarios (CCSS)</t>
  </si>
  <si>
    <t>Unadjusted Early Use Case Weight (UEUCW)</t>
  </si>
  <si>
    <t>Actor</t>
  </si>
  <si>
    <t>Unadjusted Actor Weight (UAW)</t>
  </si>
  <si>
    <t>TCF</t>
  </si>
  <si>
    <t>ECF</t>
  </si>
  <si>
    <t>EUCP</t>
  </si>
  <si>
    <t>Bad Driver</t>
  </si>
  <si>
    <t>Query by License Plate Number</t>
  </si>
  <si>
    <t>Good Driver</t>
  </si>
  <si>
    <t>Query Bad Driver Reporting DB</t>
  </si>
  <si>
    <t>911/Highway Patrol</t>
  </si>
  <si>
    <t>Post Bad Driver Report to Insurance DB</t>
  </si>
  <si>
    <t>Insurance Company</t>
  </si>
  <si>
    <t>Emergency Alert</t>
  </si>
  <si>
    <t>Reviewer</t>
  </si>
  <si>
    <t>App User Login</t>
  </si>
  <si>
    <t>Billing System</t>
  </si>
  <si>
    <t>Reviewer/Agent Login</t>
  </si>
  <si>
    <t>First-time Users Sign Up</t>
  </si>
  <si>
    <t>Resolve Potential Duplicates</t>
  </si>
  <si>
    <t>Review Bad Driver Report</t>
  </si>
  <si>
    <t>UAW</t>
  </si>
  <si>
    <t>Upload to Emergency Alert</t>
  </si>
  <si>
    <t>Upload Video Clip to Bad Driver Reporting DB</t>
  </si>
  <si>
    <t>Capture Frame from Video, and Get LP#</t>
  </si>
  <si>
    <t>Login - Android App</t>
  </si>
  <si>
    <t>Record Video - Android App</t>
  </si>
  <si>
    <t>Upload Video Clip and Metadata - Android App</t>
  </si>
  <si>
    <t>Login - iPhone App</t>
  </si>
  <si>
    <t>View Video Clips - iPhone App</t>
  </si>
  <si>
    <t>Ask Siri to Upload Video - iPhone App</t>
  </si>
  <si>
    <t>Record Video - iPhone App</t>
  </si>
  <si>
    <t>Upload Video Clip and Metadata - iPhone App</t>
  </si>
  <si>
    <t>UEUCW</t>
  </si>
  <si>
    <t>PicShare</t>
  </si>
  <si>
    <t>Navigate between screen</t>
  </si>
  <si>
    <t>User</t>
  </si>
  <si>
    <t>Create a public event</t>
  </si>
  <si>
    <t>Admin</t>
  </si>
  <si>
    <t>Create a private event</t>
  </si>
  <si>
    <t>Expiration Timer</t>
  </si>
  <si>
    <t>Set a password</t>
  </si>
  <si>
    <t>Research a hashtag</t>
  </si>
  <si>
    <t>View photos of event</t>
  </si>
  <si>
    <t>View photos of private event with password</t>
  </si>
  <si>
    <t>Download photos to device</t>
  </si>
  <si>
    <t>Delete photos in event if owner</t>
  </si>
  <si>
    <t>View joined events</t>
  </si>
  <si>
    <t>Take a photo</t>
  </si>
  <si>
    <t>View photos on device</t>
  </si>
  <si>
    <t>Open my event for upload</t>
  </si>
  <si>
    <t>Search event for upload</t>
  </si>
  <si>
    <t>Upload to event</t>
  </si>
  <si>
    <t>Upload to location after taking photo</t>
  </si>
  <si>
    <t>Delete upload photos</t>
  </si>
  <si>
    <t>Search event</t>
  </si>
  <si>
    <t>Search event by location</t>
  </si>
  <si>
    <t>Create account</t>
  </si>
  <si>
    <t>Create profile</t>
  </si>
  <si>
    <t>Logoin into account</t>
  </si>
  <si>
    <t>Logout of account</t>
  </si>
  <si>
    <t>Admin login</t>
  </si>
  <si>
    <t>Search for photo by user</t>
  </si>
  <si>
    <t>Search for photo by event</t>
  </si>
  <si>
    <t>Admin delete photo</t>
  </si>
  <si>
    <t>Auto expiration</t>
  </si>
  <si>
    <t>Location-based Advertisement Platform</t>
  </si>
  <si>
    <t>Validate redemption passwordd</t>
  </si>
  <si>
    <t>Partner Rep</t>
  </si>
  <si>
    <t>Log Transaction</t>
  </si>
  <si>
    <t>Traveler</t>
  </si>
  <si>
    <t>Notify Partner of Redemption</t>
  </si>
  <si>
    <t>Bill Partner for Redemption Transaction</t>
  </si>
  <si>
    <t>Passbook</t>
  </si>
  <si>
    <t>Generate Coupon with Bar Codes</t>
  </si>
  <si>
    <t>Adserver</t>
  </si>
  <si>
    <t>View Redemption Statistics for Partner</t>
  </si>
  <si>
    <t>View Partner Billing Status</t>
  </si>
  <si>
    <t>Suspend Partner Account</t>
  </si>
  <si>
    <t>Reactivate Partner Account</t>
  </si>
  <si>
    <t>Delete Partner Account</t>
  </si>
  <si>
    <t>View Transaction Log</t>
  </si>
  <si>
    <t>Admin Login</t>
  </si>
  <si>
    <t>Resolve Dispute</t>
  </si>
  <si>
    <t>Receive Coupon - ios</t>
  </si>
  <si>
    <t>View stored coupons - ios</t>
  </si>
  <si>
    <t>Mark coupon - ios</t>
  </si>
  <si>
    <t>Delete coupon - ios</t>
  </si>
  <si>
    <t>Load coupons in Passbook - ios</t>
  </si>
  <si>
    <t>Receive Coupon - Android</t>
  </si>
  <si>
    <t>Save it for later - Android</t>
  </si>
  <si>
    <t>View stored coupons - Android</t>
  </si>
  <si>
    <t>Redeem Coupon - Android</t>
  </si>
  <si>
    <t>Connect to trip plan - Android</t>
  </si>
  <si>
    <t>Login to Trip Planner - Android</t>
  </si>
  <si>
    <t>Partner login</t>
  </si>
  <si>
    <t>Create Offer</t>
  </si>
  <si>
    <t>Design Coupon</t>
  </si>
  <si>
    <t>Modify Offer</t>
  </si>
  <si>
    <t>Publish Offer</t>
  </si>
  <si>
    <t>View Bill</t>
  </si>
  <si>
    <t>Buy Partner Subscription</t>
  </si>
  <si>
    <t>Create Account</t>
  </si>
  <si>
    <t>Specify Default Payment Method</t>
  </si>
  <si>
    <t>Test Coupon</t>
  </si>
  <si>
    <t>Upload Image</t>
  </si>
  <si>
    <t>Cancel Partner Subscription</t>
  </si>
  <si>
    <t>Dispute Redemption</t>
  </si>
  <si>
    <t>Login to Trip Planner - Trip Planner</t>
  </si>
  <si>
    <t>Connect to Trip Plan - Trip Planner</t>
  </si>
  <si>
    <t>Manage Trip Plan</t>
  </si>
  <si>
    <t>Find, add, and delete places</t>
  </si>
  <si>
    <t>Manage Subscriptions</t>
  </si>
  <si>
    <t>View partner offer</t>
  </si>
  <si>
    <t>Subscribe to partner offer</t>
  </si>
  <si>
    <t>Schedule Visit</t>
  </si>
  <si>
    <t>View trip plan on Calendar</t>
  </si>
  <si>
    <t>View Trip plan on Map</t>
  </si>
  <si>
    <t>Annotate trip plan with myPhotos</t>
  </si>
  <si>
    <t>Share trip plan on socile media</t>
  </si>
  <si>
    <t>Print photo book</t>
  </si>
  <si>
    <t>Effort(Person-Hour)</t>
  </si>
  <si>
    <t>Location-based Advertising Platform</t>
  </si>
  <si>
    <t>Domain experience as Priori</t>
  </si>
  <si>
    <t>n</t>
  </si>
  <si>
    <t>r</t>
  </si>
  <si>
    <t>Sx</t>
  </si>
  <si>
    <t>Sy</t>
  </si>
  <si>
    <t>b</t>
  </si>
  <si>
    <t>a</t>
  </si>
  <si>
    <t>Syx</t>
  </si>
  <si>
    <t>Sb</t>
  </si>
  <si>
    <t>t</t>
  </si>
  <si>
    <t>df</t>
  </si>
  <si>
    <t>p-value</t>
  </si>
  <si>
    <t>alpha</t>
  </si>
  <si>
    <t>t-critical</t>
  </si>
  <si>
    <t>Sig</t>
  </si>
  <si>
    <t>Linear regression:</t>
  </si>
  <si>
    <t>y=b1x+b0</t>
  </si>
  <si>
    <t>b1</t>
  </si>
  <si>
    <t>b0</t>
  </si>
  <si>
    <t>Effort = 6.12*EUCP+237.96</t>
  </si>
  <si>
    <t>Effort = 6.12*(UEUCW+UAW)*TCF*ECF+237.96</t>
  </si>
  <si>
    <t>R^2</t>
  </si>
  <si>
    <t>P-value</t>
  </si>
  <si>
    <t>Estimated Effort</t>
  </si>
  <si>
    <t>MRE</t>
  </si>
  <si>
    <t>Bad Driver (Outlier due to using code generator)</t>
  </si>
  <si>
    <t>MMRE</t>
  </si>
  <si>
    <t>PRED(25) = 67%</t>
  </si>
  <si>
    <t>PRED(50) = 100%</t>
  </si>
  <si>
    <t>Actual Effort</t>
  </si>
  <si>
    <t>Productivity Gain</t>
  </si>
  <si>
    <t>Bad driver report platform</t>
  </si>
  <si>
    <t>References:</t>
  </si>
  <si>
    <t>Design Driven Testing, Matt Stephens, Doug Rosenberg</t>
  </si>
  <si>
    <t>In phase 2, use cases are elaborated into Domain model and robustness diagrams by adding structural and operational aspects of the system design ,and also storyboards are provided for user interface specifications, all of which provide more information to develop finer grained metrics to measure the complexity of the project.</t>
  </si>
  <si>
    <t>1. Identify the transactions based on the robustness diagram based on MVC decomposition of an Use Case. This process can be automated with scripts on the exported XMI file from CAE programs, for example, enterprise architect</t>
  </si>
  <si>
    <t>2. For each transaction, identify the UI elements involved within the transaction, which is called UIE</t>
  </si>
  <si>
    <t>3. For each transaction, identify the domain objects involved within the transaction, which is called DO</t>
  </si>
  <si>
    <t>4. To evaluate the complexity level for each transaction according to the identified UIE and DO based on matrix listed below.</t>
  </si>
  <si>
    <t>DO\UIE</t>
  </si>
  <si>
    <t>0-1</t>
  </si>
  <si>
    <t>&gt;3</t>
  </si>
  <si>
    <t>Low</t>
  </si>
  <si>
    <t>Medium</t>
  </si>
  <si>
    <t>High</t>
  </si>
  <si>
    <t>5. To count Unadjusted Extended Transaction Weight According the complexity level evaluated for each transaction in step 4, based on the matrix listed below.</t>
  </si>
  <si>
    <t>Complexity Level</t>
  </si>
  <si>
    <t>Unadjusted Extended Transaction Weight (UEXTW)</t>
  </si>
  <si>
    <t>6. To count Unadjusted Extended Use Case Weight according to the set of identified transactions and the associated Unadjusted Extended Transaction Weight for each of the transaction in Step 5 according to the equatin listed below</t>
  </si>
  <si>
    <t>7. Count Unadjusted Actor Weight (UAW) based on the actors identified in the use cases and the complexity of each actor based on the Unadjusted Actor Weight matrix listed below.</t>
  </si>
  <si>
    <t>8. According to the understood characteristics of the system, to evaluate the technical complexity factor (TCF)</t>
  </si>
  <si>
    <t>9. According to the practical situation about the development team to evaluate environmental complexity factor (ECF)</t>
  </si>
  <si>
    <t>10. Calcualte the Unadjusted Extended Use Case Point (UEXUCP) based on the equation listed below:</t>
  </si>
  <si>
    <t>EXUCP = (UEXUCW + UAW) * TCF * ECF</t>
  </si>
  <si>
    <t>Identified Transactions</t>
  </si>
  <si>
    <t>Unadjusted Extended Use Case Weight (UEXUCW)</t>
  </si>
  <si>
    <t>Actor weight</t>
  </si>
  <si>
    <t>EXUCP</t>
  </si>
  <si>
    <t>App user login</t>
  </si>
  <si>
    <t>Capture Frame from Video and get LP number</t>
  </si>
  <si>
    <t>Extract License Plat Number from Video</t>
  </si>
  <si>
    <t>Extract Metrics on Number of hits</t>
  </si>
  <si>
    <t>Generate Usage-based bill</t>
  </si>
  <si>
    <t>Independent Review of Bad Driver Report</t>
  </si>
  <si>
    <t>Query bad driver reporting DB</t>
  </si>
  <si>
    <t>Recording video clips in a circular buffer</t>
  </si>
  <si>
    <t>Recording video of bad driving event</t>
  </si>
  <si>
    <t>Send Drunk Driver Alert</t>
  </si>
  <si>
    <t>Upload video clip to bad driver recording DB</t>
  </si>
  <si>
    <t>View video clips</t>
  </si>
  <si>
    <t>UEXUCW</t>
  </si>
  <si>
    <t>Admin deletes photo</t>
  </si>
  <si>
    <t>Admin searches for photo by event</t>
  </si>
  <si>
    <t>Admin searches for photo by user</t>
  </si>
  <si>
    <t>Automatic deletion</t>
  </si>
  <si>
    <t>Create Profile</t>
  </si>
  <si>
    <t>Create a Private Event</t>
  </si>
  <si>
    <t>Create a Public Event</t>
  </si>
  <si>
    <t>Delete Photos in Event if Owner</t>
  </si>
  <si>
    <t>Delete uploaded photos</t>
  </si>
  <si>
    <t>Downoad Photos to Device</t>
  </si>
  <si>
    <t>Log In to Account</t>
  </si>
  <si>
    <t>Log Out of Account</t>
  </si>
  <si>
    <t>Navigation</t>
  </si>
  <si>
    <t>Reserve a Hashtag</t>
  </si>
  <si>
    <t>Search by Location</t>
  </si>
  <si>
    <t>Search by event</t>
  </si>
  <si>
    <t>Search event and upload photo</t>
  </si>
  <si>
    <t>Take photo for location</t>
  </si>
  <si>
    <t>Upload photo to my event</t>
  </si>
  <si>
    <t>View photos of event/View photos of private event with password</t>
  </si>
  <si>
    <t>Bill partner for redemption transaction</t>
  </si>
  <si>
    <t>Reactive Partner Account</t>
  </si>
  <si>
    <t>Suspend Partner Account Storyboard</t>
  </si>
  <si>
    <t>Validate Redemption Password</t>
  </si>
  <si>
    <t>View Partner Billing status storyboard</t>
  </si>
  <si>
    <t>View redemption statistics for partner storyboard</t>
  </si>
  <si>
    <t>Login to tripplanner - Android</t>
  </si>
  <si>
    <t>Contact us</t>
  </si>
  <si>
    <t>Partner Login</t>
  </si>
  <si>
    <t>Specify default payment method use case</t>
  </si>
  <si>
    <t>Connect to trip plan - iOS</t>
  </si>
  <si>
    <t>Login to tripplanner - iOS</t>
  </si>
  <si>
    <t>Receive Coupon - iOS</t>
  </si>
  <si>
    <t>Redeem Coupon - iOS</t>
  </si>
  <si>
    <t>Save it for later - iOS</t>
  </si>
  <si>
    <t>View stored coupons - iOS</t>
  </si>
  <si>
    <t>Effort(man-hour)</t>
  </si>
  <si>
    <t>Effort = 6.43*EUCP+528.33</t>
  </si>
  <si>
    <t>Effort = 6.43*(UEUCW+UAW)*TCF*ECF+528.33</t>
  </si>
  <si>
    <t>In phase 3, more design artifacts are available by elaborating the system by sequence diagrams and class diagrams in terms of the behavioral and structural aspects of the system. With information availability at this level of detail, it is possible to count actual function points for each of the use cases, and fortunately there are already several studies about how to count the function points and an automatic tool is possibly to be developed to achieve the goal of fast measurement, especially here we follow the counting rules proposed in the paper Function Point Measurement Tool for UML Design Specification [1].</t>
  </si>
  <si>
    <t>The number of pages</t>
  </si>
  <si>
    <t>1. Determine the type of function point count</t>
  </si>
  <si>
    <t>There are three types of function point count to choose from : Development, Enhancement, Application according to IFPUP standard.</t>
  </si>
  <si>
    <t>2. Identify the counting boundary</t>
  </si>
  <si>
    <t>For this part, as the paper (the reference is listed below) suggested, a simple rule to determine the boundary for couting is to regard actors as external objects, while view, control, model, messages, and classes are regarded as internal objects to be within the boundary to be accounted.</t>
  </si>
  <si>
    <t>3. Count ILF based on class diagrams</t>
  </si>
  <si>
    <t>For classes that have operations which change the attributes of other objects in data exchanging, they are regarded as ILF. Complexity of ILF is determined by data element type (DET) which is counted by the number of attributes within the class, and the record element type (RET) which is usually 1 as  suggested in the paper.</t>
  </si>
  <si>
    <t>4. Count ELF based on calss diagrams</t>
  </si>
  <si>
    <t>The classes that have no operations which change the attributes of other classes in data exchange are regarded as ELF. The counting criteria is the same as mentioned in step 3. If the class is derived from other classes, the number of attributes of the base classes is also added.</t>
  </si>
  <si>
    <t>5. To select the candidates of transactional funciton.</t>
  </si>
  <si>
    <t>To identify the messages sent by actor and received by an actor or non-actor object within the sequence diagram as the set of candidates of transactional function.</t>
  </si>
  <si>
    <t>6. To identify the pattern for each of the identified transactional function by the 5 typical patterns accorting to the table listed below</t>
  </si>
  <si>
    <t>Sequence diagram pattern</t>
  </si>
  <si>
    <t>Pattern 1</t>
  </si>
  <si>
    <t>Actor send message to DF</t>
  </si>
  <si>
    <t>Pattern 2</t>
  </si>
  <si>
    <t>DF send message to Actor</t>
  </si>
  <si>
    <t>Pattern 3</t>
  </si>
  <si>
    <t>Actor send message to DF and DF send message back to Actor</t>
  </si>
  <si>
    <t>Pattern 4</t>
  </si>
  <si>
    <t>Actor 1 send message to DF and DF send messae to Actor 2</t>
  </si>
  <si>
    <t>Pattern 5</t>
  </si>
  <si>
    <t>Actor object sends message to a DF and
finally the actor object receives the reply message
through several DFs</t>
  </si>
  <si>
    <t>7. Determine the transactional function types based on the identified pattern of each transactional function according to the table listed below.</t>
  </si>
  <si>
    <t>Transaction Function Type</t>
  </si>
  <si>
    <t>EI</t>
  </si>
  <si>
    <t>EO/EQ</t>
  </si>
  <si>
    <t>EI + EO</t>
  </si>
  <si>
    <t>EQ</t>
  </si>
  <si>
    <t>8. Determine the weight for each transaction function according to the functions listed in the table below</t>
  </si>
  <si>
    <t>Transaction Function Complexity</t>
  </si>
  <si>
    <t>function Args() : count the number of arguments within a message in a sequence diagram</t>
  </si>
  <si>
    <t>Args(message)+1</t>
  </si>
  <si>
    <t>Args(message1)+Args(message2)+1</t>
  </si>
  <si>
    <t>Args(first message)+Args(last message)+DFs</t>
  </si>
  <si>
    <t>9. Determine degree of influence (DI) for the 14 general system characteristics (GSC)</t>
  </si>
  <si>
    <t>General System Characteristic</t>
  </si>
  <si>
    <t>Brief Description</t>
  </si>
  <si>
    <t>Data Communications</t>
  </si>
  <si>
    <t>How many communication facilities are there to aid in the transfer or exchange of information with the application or system?</t>
  </si>
  <si>
    <t>Distributed Data Processing</t>
  </si>
  <si>
    <t>How are distributed data and processing functions handled?</t>
  </si>
  <si>
    <t>Complex Processing</t>
  </si>
  <si>
    <t>Performance</t>
  </si>
  <si>
    <t>Did the user require response time or throughput?</t>
  </si>
  <si>
    <t>Reusability</t>
  </si>
  <si>
    <t>Heavily Used Configuration</t>
  </si>
  <si>
    <t>How heavily used is the current hardware platform where the application will be executed?</t>
  </si>
  <si>
    <t>Transaction Rate</t>
  </si>
  <si>
    <t>How frequently are transactions executed daily, weekly, monthly, etc.?</t>
  </si>
  <si>
    <t>On-Line Data Entry</t>
  </si>
  <si>
    <t>What percentage of the information is entered online?</t>
  </si>
  <si>
    <t>End-user Efficiency</t>
  </si>
  <si>
    <t>Was the application designed for end-user efficiency?</t>
  </si>
  <si>
    <t>Online Update</t>
  </si>
  <si>
    <t>How many ILFs are updated by online transaction?</t>
  </si>
  <si>
    <t>Does the application have extensive logical or mathematical processing?</t>
  </si>
  <si>
    <t>Was the application developed to meet one or many user’s needs?</t>
  </si>
  <si>
    <t>Installation Ease</t>
  </si>
  <si>
    <t>How difficult is conversion and installation?</t>
  </si>
  <si>
    <t>Operational Ease</t>
  </si>
  <si>
    <t>How effective and/or automated are start-up, back-up, and recovery procedures?</t>
  </si>
  <si>
    <t>Multiple Sites</t>
  </si>
  <si>
    <t>Was the application specifically designed, developed, and supported to be installed at multiple sites for multiple organizations?</t>
  </si>
  <si>
    <t>Facilitate Change</t>
  </si>
  <si>
    <t>Was the application specifically designed, developed, and supported to facilitate change?</t>
  </si>
  <si>
    <t>Rating</t>
  </si>
  <si>
    <t>Degree of Influence</t>
  </si>
  <si>
    <t>Not present, or no influence</t>
  </si>
  <si>
    <t>Incidental influence</t>
  </si>
  <si>
    <t>Moderate influence</t>
  </si>
  <si>
    <t>Average influence</t>
  </si>
  <si>
    <t>Significant influence</t>
  </si>
  <si>
    <t>Strong influence throughout</t>
  </si>
  <si>
    <t>10. Calculate value adjustment factor (VAF) based on total degree of influence (TDI) according to the equations in below.</t>
  </si>
  <si>
    <t>TDI = ∑14 DI</t>
  </si>
  <si>
    <t>VAF = (TDI × 0.01) + 0.65</t>
  </si>
  <si>
    <t>11. Calculate unadjusted function point count based on the equation listed below. Only the equation for development function point type is listed below. The other two types of function point can be referenced by the link [2].</t>
  </si>
  <si>
    <t>DFP = ADD + CFP</t>
  </si>
  <si>
    <t>ADD = FP Count (ILFs) + FP Count (EIFs) + FP Count (EIs) + FP Count (EOs) + FP Count (EQs)</t>
  </si>
  <si>
    <t>CFP = FP Count (ILFs) + FP Count (EIFs) + FP Count (EIs) + FP Count (EOs) + FP Count (EQs)</t>
  </si>
  <si>
    <t>ILF</t>
  </si>
  <si>
    <t>ELF</t>
  </si>
  <si>
    <t>EO</t>
  </si>
  <si>
    <t>ADD</t>
  </si>
  <si>
    <t>CFP</t>
  </si>
  <si>
    <t>DFP</t>
  </si>
  <si>
    <t>VAF</t>
  </si>
  <si>
    <t>AFPC</t>
  </si>
  <si>
    <t>AFP</t>
  </si>
  <si>
    <t>Reserve a hashtag</t>
  </si>
  <si>
    <t>Login to Trip Planner</t>
  </si>
  <si>
    <t>Connect to Trip Plan</t>
  </si>
  <si>
    <t>Find, add, delete places</t>
  </si>
  <si>
    <t>Manage subscriptions</t>
  </si>
  <si>
    <t>Schedule Visit and View Trip Plan</t>
  </si>
  <si>
    <t>View Trip Plan On Map</t>
  </si>
  <si>
    <t>AnnotateTripPlan</t>
  </si>
  <si>
    <t>Login to facebook and share</t>
  </si>
  <si>
    <t>Share to facebook</t>
  </si>
  <si>
    <t>Print Photobook</t>
  </si>
  <si>
    <t>Log Transactions</t>
  </si>
  <si>
    <t>Generate Coupon With Bar Codes</t>
  </si>
  <si>
    <t>View Transaction Log Page</t>
  </si>
  <si>
    <t>View Bills</t>
  </si>
  <si>
    <t>Buy Subscription</t>
  </si>
  <si>
    <t>Defualt Payment</t>
  </si>
  <si>
    <t>View, Mark, Coupon - iOS</t>
  </si>
  <si>
    <t>Delete Coupon - iOS</t>
  </si>
  <si>
    <t>Load Coupons - iOS</t>
  </si>
  <si>
    <t>Pre-purchase Coupon - iOS</t>
  </si>
  <si>
    <t>Connect Trip Plans - Android</t>
  </si>
  <si>
    <t>Login to TripPlanner - Android</t>
  </si>
  <si>
    <t>Effort = 2.66*EUCP-108.79</t>
  </si>
  <si>
    <t>Effort = 2.66*(UEUCW+UAW)*TCF*ECF-108.79</t>
  </si>
  <si>
    <t>[1] Function Point Measurement Tool for UML Design Specification</t>
  </si>
  <si>
    <t>[2] https://www.tutorialspoint.com/estimation_techniques/estimation_techniques_fp_counting_process.htm</t>
  </si>
  <si>
    <t>COCOMO</t>
  </si>
  <si>
    <t>Use Case Point</t>
  </si>
  <si>
    <t>Function Point</t>
  </si>
  <si>
    <t>ModelI, ModelII</t>
  </si>
  <si>
    <t>ModelIII</t>
  </si>
  <si>
    <t>Explained?</t>
  </si>
  <si>
    <t>Categorize the factors into productivity and size scalars.</t>
  </si>
  <si>
    <t>Scale Factors</t>
  </si>
  <si>
    <t>No</t>
  </si>
  <si>
    <t>human factor</t>
  </si>
  <si>
    <t>Process factor. if correctly understand the distance between the distance between solution and the problem.</t>
  </si>
  <si>
    <t>Yes</t>
  </si>
  <si>
    <t>process factor</t>
  </si>
  <si>
    <t>Product factor. The space of the alternative solutions.</t>
  </si>
  <si>
    <t>Product Factors</t>
  </si>
  <si>
    <t>Product factor</t>
  </si>
  <si>
    <t>product factor</t>
  </si>
  <si>
    <t>Platform Factors</t>
  </si>
  <si>
    <t>Development environment, extra work to put on deal with platform volatility</t>
  </si>
  <si>
    <t>Personnel Factors</t>
  </si>
  <si>
    <t>Project Factors</t>
  </si>
  <si>
    <t>Project factor</t>
  </si>
  <si>
    <t>Normalized Data</t>
  </si>
  <si>
    <t>PH'</t>
  </si>
  <si>
    <t>Model I and Model II</t>
  </si>
  <si>
    <t>Nominal Value</t>
  </si>
  <si>
    <t>Location-based advertisement</t>
  </si>
  <si>
    <t>Picshare</t>
  </si>
  <si>
    <t>Baddriver</t>
  </si>
  <si>
    <t>Nominal</t>
  </si>
  <si>
    <t>KSLOC</t>
  </si>
  <si>
    <t>PM</t>
  </si>
  <si>
    <t>Scaling factor</t>
  </si>
  <si>
    <t>PM_norm_I</t>
  </si>
  <si>
    <t>Model III</t>
  </si>
  <si>
    <t>PM_norm_II</t>
  </si>
  <si>
    <t>PH</t>
  </si>
  <si>
    <t>PH_norm_I</t>
  </si>
  <si>
    <t>PH_norm_II</t>
  </si>
  <si>
    <t>BadDriver</t>
  </si>
  <si>
    <t>Location-based-Ad</t>
  </si>
  <si>
    <t>Fake</t>
  </si>
  <si>
    <t>To deal with data inadequacy, dimensions within the models need to be reduced. In the cost estimation models, the factors can be logically separated into two groups, size scale factors and productivities
factors. Size factors are used to recover the actual logical size by applying effects on project size measures to reflect project scale, while productivities factors are used to adjust the speed the personnel
works for project at a certain size. Scale factors can be exponential to the size measures, due to the fact that a size measure can only reflect the size of the problem instead of the size of the solution.Size 
factors are used to recover the actual logical size by applying effects on project size measures to reflect project scale, while productivities factors are used to adjust the speed the personnel works for project
at a certain size. Scale factors can be exponential to the size measures, due to the fact that a size measure can only reflect the size of the problem instead of the size of the solution.</t>
  </si>
  <si>
    <t>Function point</t>
  </si>
  <si>
    <t>Effort Multipliers</t>
  </si>
  <si>
    <t>Post-Architcture cost Drivers</t>
  </si>
  <si>
    <t>Size</t>
  </si>
  <si>
    <t>Data Base Size (DATA)</t>
  </si>
  <si>
    <t>Porduct Complexity (CPLX)</t>
  </si>
  <si>
    <t>Execution Time Contraint (TIME)</t>
  </si>
  <si>
    <t>extra work to put on deal with platform volativlity</t>
  </si>
  <si>
    <t>productivity</t>
  </si>
  <si>
    <t>Porgrammer Capability(PCAP)</t>
  </si>
  <si>
    <t>Multisite Devleopment (SITE)</t>
  </si>
  <si>
    <t>if correctly understand the distance between the distance between solution and the problem.</t>
  </si>
  <si>
    <t>Developent Flexibility (FLEX)</t>
  </si>
  <si>
    <t>The space of the alternative solutions.</t>
  </si>
  <si>
    <t>To explore the relation between logical size of the problem and the effort, to reduce the dimentionality of productivity factors is attemped by normalizing the project effort against the productivity factors.</t>
  </si>
  <si>
    <t>In COCOMO's paradigm, the 17 cost drivers and 5 scale factors are categoried into productivity factors and scaling factors.</t>
  </si>
  <si>
    <t>To normalize the effort by the productivity factors, we use the equation below.</t>
  </si>
  <si>
    <t>After normalization, we are able to calibrate the model with 10 factors.</t>
  </si>
  <si>
    <t>The result for the three resilient agile projects are know calibrated by:</t>
  </si>
  <si>
    <t>ACAP</t>
  </si>
  <si>
    <t>PCAP</t>
  </si>
  <si>
    <t>PCON</t>
  </si>
  <si>
    <t>APEX</t>
  </si>
  <si>
    <t>PLEX</t>
  </si>
  <si>
    <t>LITEX</t>
  </si>
  <si>
    <t>TOOL</t>
  </si>
  <si>
    <t>SITE</t>
  </si>
  <si>
    <t>SCED</t>
  </si>
  <si>
    <t>PREC'</t>
  </si>
  <si>
    <t>PMAT'</t>
  </si>
  <si>
    <t>TEAM</t>
  </si>
  <si>
    <t>Location-based Ad</t>
  </si>
  <si>
    <t>Scale factors</t>
  </si>
  <si>
    <t>PREC</t>
  </si>
  <si>
    <t>Very Low</t>
  </si>
  <si>
    <t>Very High</t>
  </si>
  <si>
    <t>Extra High</t>
  </si>
  <si>
    <t>FLEX</t>
  </si>
  <si>
    <t>RESL</t>
  </si>
  <si>
    <t>PMAT</t>
  </si>
  <si>
    <t>RELY</t>
  </si>
  <si>
    <t>n/a</t>
  </si>
  <si>
    <t>DATA</t>
  </si>
  <si>
    <t>CPLX</t>
  </si>
  <si>
    <t>RUSE</t>
  </si>
  <si>
    <t>DOCU</t>
  </si>
  <si>
    <t>TIME</t>
  </si>
  <si>
    <t>STOR</t>
  </si>
  <si>
    <t>PVOL</t>
  </si>
  <si>
    <t>LTEX</t>
  </si>
  <si>
    <t>Phase</t>
  </si>
  <si>
    <t>Model</t>
  </si>
  <si>
    <t>PRED(25%)</t>
  </si>
  <si>
    <t>PRED(50%)</t>
  </si>
  <si>
    <t>Phase I</t>
  </si>
  <si>
    <t>EUCP-Effort</t>
  </si>
  <si>
    <t>Phase II</t>
  </si>
  <si>
    <t>EXUCP-Effort</t>
  </si>
  <si>
    <t>Phase III</t>
  </si>
  <si>
    <t>FPC-Effort</t>
  </si>
  <si>
    <t>Method</t>
  </si>
  <si>
    <t>Estmiated</t>
  </si>
  <si>
    <t>Call:</t>
  </si>
  <si>
    <t>Avg.</t>
  </si>
  <si>
    <t>bicreg(x = x.resData, y = y.resData)</t>
  </si>
  <si>
    <t>Estimate (Man-hour)</t>
  </si>
  <si>
    <t>Actual (Man-hour)</t>
  </si>
  <si>
    <t>3  models were selected</t>
  </si>
  <si>
    <t>Best  3  models (cumulative posterior probability =  1 ):</t>
  </si>
  <si>
    <t>p!=0    EV      SD   model 1    model 2    model 3</t>
  </si>
  <si>
    <t>Intercept  100.0  -999.27  NaN   -110.4    -3087.0      199.5</t>
  </si>
  <si>
    <t>UEUCW       66.7    14.65  NaN      3.8       40.2        .</t>
  </si>
  <si>
    <t>UEXUCW      66.7    -9.73  NaN      .        -32.6        3.4</t>
  </si>
  <si>
    <t>AFP         66.7     0.88  NaN      1.2        .          1.4</t>
  </si>
  <si>
    <t>nVar                                  2          2          2</t>
  </si>
  <si>
    <t>r2                                  0.999      0.999      0.999</t>
  </si>
  <si>
    <t>BIC                               -18.5      -18.5      -18.5</t>
  </si>
  <si>
    <t>post prob                           0.333      0.333      0.333</t>
  </si>
  <si>
    <t>p!=0     EV       SD    model 1     model 2     model 3</t>
  </si>
  <si>
    <t>Intercept "100.0" "-999.27" "NaN" " -110.4"   "-3087.0"   "  199.5"</t>
  </si>
  <si>
    <t>UEUCW     " 66.7" "  14.65" "NaN" "    3.8"   "   40.2"   "    ."</t>
  </si>
  <si>
    <t>UEXUCW    " 66.7" "  -9.73" "NaN" "    ."     "  -32.6"   "    3.4"</t>
  </si>
  <si>
    <t>AFP       " 66.7" "   0.88" "NaN" "    1.2"   "    ."     "    1.4"</t>
  </si>
  <si>
    <t>Location-based</t>
  </si>
  <si>
    <t xml:space="preserve">      ""        ""    ""          ""          ""</t>
  </si>
  <si>
    <t>nVar      ""      ""        ""    "      2"   "      2"   "      2"</t>
  </si>
  <si>
    <t>Correlations:</t>
  </si>
  <si>
    <t>r2        ""      ""        ""    "    0.999" "    0.999" "    0.999"</t>
  </si>
  <si>
    <t>BIC       ""      ""        ""    "  -18.5"   "  -18.5"   "  -18.5"</t>
  </si>
  <si>
    <t>post prob ""      ""        ""    "    0.333" "    0.333" "    0.333"</t>
  </si>
  <si>
    <t>Due to the fact that sample size is very small, it is impossible to prove statistical significance for the calibrated models about its fitness, because of which estimation variance is inevitable. The common way to deal with the problem is to synthesize the models by taking into consideration model uncertainty, for example, by Bayesian Model Average, which is one of the ensamble learning techniques in Machine Learning. It has been proved that, compared with a single optimal model method, an averaged model can reduce the estimation variance by yielding lower posterior distribution entropy of the quantity being estimated [1]. With that being said, the goal is to incrementally integrate the available models by phases within the process to achieve a syntehsized model to provide smaller estimation variance by taking into consideration uncertainty of the models.</t>
  </si>
  <si>
    <t>By the information availability at each phase, the structure of the models are decided by integrating information by phases.
The technique used here is to using bayesian models averaging techniques to calibrate the parameters for three synthesized models.</t>
  </si>
  <si>
    <t>PhaseI: y=b0+b1*UEUCW</t>
  </si>
  <si>
    <t>PhaseII:  y=b0+b1*UEUCW+b2*UEXUCW</t>
  </si>
  <si>
    <t>PhaseIII: y=b0+b1*UEUCW+b2*UEXUCW+b3*AFP</t>
  </si>
  <si>
    <t>By inputing the size metrics and effort data into the statistical package "BMA" in R,  it generates the top four models being smaller in model 
uncertainty which is represented by "post prob"</t>
  </si>
  <si>
    <t>With those statistics, by averaging parameters of interest with the weights by model uncertainty. 
The synthesized models in three phases are calibrated by the following equation.</t>
  </si>
  <si>
    <t>In phase I, we only have information of UEUCW available, and thus we can pick the model with simple least squares linear regression.</t>
  </si>
  <si>
    <t>b0 = 65.61</t>
  </si>
  <si>
    <t>b1 = 9.44</t>
  </si>
  <si>
    <t>y = 65.61+9.44*UEUCW</t>
  </si>
  <si>
    <t>In phase II, we can have two sources of informatin - UEUCW and UEXUCW, we are able to estimate with the information by the calibrated model: y=b0+b1*UEUCW+b2*UEXUCW. By taking bayesian model averaging over the generated model 2 and model 4, we have the parameters {b0, b1, b2} calibrated. This calibrated model seems not a valid model in terms of interpretation, since the negatives signs are with b0 and b1. This may caused by having correlation between the variables, but this situation can not negate the technique at present, since statistical significance for the correlations are yet not proved.</t>
  </si>
  <si>
    <t>b0 =</t>
  </si>
  <si>
    <t>0.171/(0.171+0.276)*65.61+0.276/(0.171+0.276)*(-186.77)</t>
  </si>
  <si>
    <t>b1=</t>
  </si>
  <si>
    <t>9.44*0.171/(0.171+0.276)+12.47*0.276/(0.171+0.276)</t>
  </si>
  <si>
    <t>b2=</t>
  </si>
  <si>
    <t>(-2.77)*0.276/(0.276+0.171)</t>
  </si>
  <si>
    <t>y=-90.22+11.3*UEUCW-1.71*UEXUCW</t>
  </si>
  <si>
    <t>Similarly, in phase III, the information of UEUCW, UEXUCW, and AFP is made available, which By taking bayesian model averaging over the generated model 1, model 2, model 3, and model 4, we have the parameters {b0, b1, b2, b3} calibrated. This calibrated model is not having the issue of wrong signs.</t>
  </si>
  <si>
    <t>b0=</t>
  </si>
  <si>
    <t>0.276*-22.68+0.276*-186.77+0.276*355.29+0.171*65.61</t>
  </si>
  <si>
    <t>0.276*8.69+0.276*12.47+0.171*9.44</t>
  </si>
  <si>
    <t>0.276*-2.77+0.276*6.38</t>
  </si>
  <si>
    <t>b3=</t>
  </si>
  <si>
    <t>0.276*0.34+1.11*0.276</t>
  </si>
  <si>
    <t>y=51.47+7.45*UEUCW+0.996*UEXUCW+0.4*AFP</t>
  </si>
  <si>
    <t>[1]Bayesian Model Averaging for Linear Regression Models, Adrian, David, Jennifer.</t>
  </si>
  <si>
    <t>[2]BMA for R.</t>
  </si>
  <si>
    <t>Intercept</t>
  </si>
  <si>
    <t>EUCPW</t>
  </si>
  <si>
    <t>EXUCPW</t>
  </si>
  <si>
    <t>Posterior Probability</t>
  </si>
  <si>
    <t>Model 1</t>
  </si>
  <si>
    <t>Model 2</t>
  </si>
  <si>
    <t>Model 3</t>
  </si>
  <si>
    <t>Model 4</t>
  </si>
  <si>
    <t>When designing the cost estimation models for resilient agile process, several goals are kept in mind to support the integrity and value propositions resilient agile process has to offer. To summarize it, the goals are listed below:</t>
  </si>
  <si>
    <t>1. To maximize information utility in measuring the size of the project by having different phases of cost estimation.</t>
  </si>
  <si>
    <t>Resilient Agile process produces 3 sets of design artifacts in the process of elaborating system design, which naturally divided availability of information by which to measure project size into 3 stages. For this reason, 3 phases of cost estimation are designed. At each phase of cost estimation, the metric of measuring project size is developed according to the degree of system specification the design artifacts provide. Those metrics transcend from measuring the size of problem to measuring the size of the solution. Phase I provides initial estimation based on the use case and converted structured scenarios with the sizing metric named Early Use Case Point (EUCP), while phase II utilizes information made available by elaborating system into storyboards, robustness diagrams, and a domain model. The metric to measure project size is called Extended Use Case Point (EXUCP) at this phase. Both EUCP and EXUCP are variants of the normal UCP [7] by modifying the transaction complexity evaluation method to fit the design artifacts the process produces. In a sense, EUCP and EXUCP are the metrics to evaluate the complexity of the problem, while in phase III with information provided within class diagrams and sequence diagrams, we are able measure the size of the solution by counting Function Point.</t>
  </si>
  <si>
    <t>2. To ensure agility of process by having cost estimation activities rely on information that is currently available and utilize automatic counting techniques.</t>
  </si>
  <si>
    <t>By the assumption that cost estimation activities usually require human effort to gather information to make predictions about effort, which, in a sense, delays the development process, the method to main agility of the process is to make the required information to have cost estimation bounded by the information provided directly provided by design artifacts at each phase of the process, for which intuitive metrics of measuring project size are designed and automatic counting by those metrics is proved possible by developing automatic counting tools.</t>
  </si>
  <si>
    <t>3. To continuously improve the accuracy of cost estimation by a closed feedback loop of information of project complexity measurements and actual effort of past projects.</t>
  </si>
  <si>
    <t>Data inadequacy is proved a huge obstacle of accurate cost estimation, and this situation might be improved if the process maintains a perspective of gathering data about productivity in addition to the traditional perspectives of software design and development. By integrating more data about the project size, technical and environment complexity factors, and actual effort from the past projects, the parameters of cost estimation model can be calibrated to provide more accurate estimation for future projects.</t>
  </si>
  <si>
    <t>4. To help decision making of project management by utilizing cost estimation results.</t>
  </si>
  <si>
    <t>With the information available about the probable total cost of a project, the effort devoted on each use case can be calculated by dividing the total cost of the project with weights represented by the complexity measurement of each use case. A similar application was first introduced by COPSEMO [1], which is to divide the total estimated cost into the phases of a project to guide the decision making in project management. With information of effort each use case is likely to require, resource allocation strategy can be optimized in Resilient Agile process.</t>
  </si>
  <si>
    <t>In the folloing tabs, the metrics and method of measurement are introduced for each phase. Data from three past resilience agile projects is presented and cost estimation model is calibrated using linear regression.</t>
  </si>
  <si>
    <t>[1] "--------------- EUCP ~ Effort -------------"</t>
  </si>
  <si>
    <t>lm(formula = Effort ~ EUCP, data = EUCPEffortData)</t>
  </si>
  <si>
    <t>Residuals:</t>
  </si>
  <si>
    <t xml:space="preserve">      1       2       3       4 </t>
  </si>
  <si>
    <t xml:space="preserve"> -14.24  393.18 -147.48 -231.46 </t>
  </si>
  <si>
    <t>Coefficients:</t>
  </si>
  <si>
    <t xml:space="preserve">            Estimate Std. Error t value Pr(&gt;|t|)  </t>
  </si>
  <si>
    <t xml:space="preserve">(Intercept) 231.4620   263.0432   0.880   0.4717  </t>
  </si>
  <si>
    <t>EUCP          6.1269     0.7997   7.662   0.0166 *</t>
  </si>
  <si>
    <t>---</t>
  </si>
  <si>
    <t>Signif. codes:  0 '***' 0.001 '**' 0.01 '*' 0.05 '.' 0.1 ' ' 1</t>
  </si>
  <si>
    <t>Residual standard error: 339.2 on 2 degrees of freedom</t>
  </si>
  <si>
    <t>Multiple R-squared:  0.9671,</t>
  </si>
  <si>
    <t xml:space="preserve">Adjusted R-squared:  0.9506 </t>
  </si>
  <si>
    <t>F-statistic:  58.7 on 1 and 2 DF,  p-value: 0.01661</t>
  </si>
  <si>
    <t>[1] "--------------- EXUCP ~ Effort -------------"</t>
  </si>
  <si>
    <t>lm(formula = Effort ~ EXUCP, data = EXUCPEffortData)</t>
  </si>
  <si>
    <t xml:space="preserve">     1      2      3      4 </t>
  </si>
  <si>
    <t xml:space="preserve"> 134.1  640.7 -180.4 -594.3 </t>
  </si>
  <si>
    <t xml:space="preserve">(Intercept)  594.342    439.659   1.352   0.3090  </t>
  </si>
  <si>
    <t>EXUCP          6.330      1.626   3.893   0.0601 .</t>
  </si>
  <si>
    <t>Residual standard error: 638.1 on 2 degrees of freedom</t>
  </si>
  <si>
    <t>Multiple R-squared:  0.8834,</t>
  </si>
  <si>
    <t xml:space="preserve">Adjusted R-squared:  0.8251 </t>
  </si>
  <si>
    <t>F-statistic: 15.15 on 1 and 2 DF,  p-value: 0.0601</t>
  </si>
  <si>
    <t>[1] "--------------- AFPC ~ Effort -------------"</t>
  </si>
  <si>
    <t>lm(formula = Effort ~ AFPC, data = AFPCEffortData)</t>
  </si>
  <si>
    <t xml:space="preserve">  94.23 -268.27  138.87   35.17 </t>
  </si>
  <si>
    <t xml:space="preserve">            Estimate Std. Error t value Pr(&gt;|t|)   </t>
  </si>
  <si>
    <t xml:space="preserve">(Intercept) -35.1704   191.6246  -0.184  0.87130   </t>
  </si>
  <si>
    <t>AFPC          2.8513     0.2447  11.653  0.00728 **</t>
  </si>
  <si>
    <t>Residual standard error: 225.1 on 2 degrees of freedom</t>
  </si>
  <si>
    <t>Multiple R-squared:  0.9855,</t>
  </si>
  <si>
    <t xml:space="preserve">Adjusted R-squared:  0.9782 </t>
  </si>
  <si>
    <t>F-statistic: 135.8 on 1 and 2 DF,  p-value: 0.007283</t>
  </si>
  <si>
    <t xml:space="preserve">null device </t>
  </si>
  <si>
    <t>1 2 3 4</t>
  </si>
  <si>
    <t>1392 2016 3680 0</t>
  </si>
  <si>
    <t>PRED</t>
  </si>
  <si>
    <t>[1] "x:"</t>
  </si>
  <si>
    <t xml:space="preserve">   UEUCW UEXUCW     AFP</t>
  </si>
  <si>
    <t>1 191.74 104.83  467.48</t>
  </si>
  <si>
    <t>2 227.09 123.37  813.46</t>
  </si>
  <si>
    <t>3 586.92 515.96 1254.26</t>
  </si>
  <si>
    <t>[1] "y:"</t>
  </si>
  <si>
    <t>[1] 1242 1676 3030</t>
  </si>
  <si>
    <t xml:space="preserve">  4  models were selected</t>
  </si>
  <si>
    <t xml:space="preserve"> Best  4  models (cumulative posterior probability =  1 ): </t>
  </si>
  <si>
    <t xml:space="preserve">           p!=0   EV      SD   model 1    model 2    model 3    model 4  </t>
  </si>
  <si>
    <t xml:space="preserve">Intercept  100   -331.05  NaN    289.21   -1047.89   -1047.89     482.38 </t>
  </si>
  <si>
    <t xml:space="preserve">UEUCW       75     10.72  NaN      2.54      20.16      20.16       .    </t>
  </si>
  <si>
    <t xml:space="preserve">UEXUCW      75     -6.97  NaN      .        -15.03     -15.03       2.17 </t>
  </si>
  <si>
    <t xml:space="preserve">AFP         50      0.53  NaN      0.99       .          .          1.14 </t>
  </si>
  <si>
    <t xml:space="preserve">                                                                         </t>
  </si>
  <si>
    <t xml:space="preserve">nVar                                 2          2          2          2  </t>
  </si>
  <si>
    <t>r2                                 0.999      0.999      0.999      0.999</t>
  </si>
  <si>
    <t xml:space="preserve">BIC                              -18.53     -18.53     -18.53     -18.53 </t>
  </si>
  <si>
    <t xml:space="preserve">post prob                          0.25       0.25       0.25       0.25 </t>
  </si>
  <si>
    <t>Model_s_III:</t>
  </si>
  <si>
    <t>I</t>
  </si>
  <si>
    <t>II</t>
  </si>
  <si>
    <t>III</t>
  </si>
  <si>
    <t>Normalized Data Set</t>
  </si>
  <si>
    <t xml:space="preserve">           p!=0    EV     SD   model 1    model 2    model 3  </t>
  </si>
  <si>
    <t xml:space="preserve">Intercept  100.0  -88.67  NaN    290.83   -1041.19     484.36 </t>
  </si>
  <si>
    <t xml:space="preserve">UEUCW       66.7    7.55  NaN      2.55      20.10       .    </t>
  </si>
  <si>
    <t xml:space="preserve">UEXUCW      66.7   -4.27  NaN      .        -14.97       2.18 </t>
  </si>
  <si>
    <t xml:space="preserve">AFP         66.7    0.71  NaN      0.99       .          1.13 </t>
  </si>
  <si>
    <t xml:space="preserve">                                                              </t>
  </si>
  <si>
    <t xml:space="preserve">nVar                                 2          2          2  </t>
  </si>
  <si>
    <t>r2                                 0.999      0.999      0.999</t>
  </si>
  <si>
    <t xml:space="preserve">BIC                              -18.53     -18.53     -18.53 </t>
  </si>
  <si>
    <t>post prob                          0.333      0.333      0.333</t>
  </si>
  <si>
    <t>SUMMARY OUTPUT</t>
  </si>
  <si>
    <t>III*</t>
  </si>
  <si>
    <t>Bad driver</t>
  </si>
  <si>
    <t>SSres</t>
  </si>
  <si>
    <t>SStol</t>
  </si>
  <si>
    <t>R2</t>
  </si>
  <si>
    <t>MMR</t>
  </si>
  <si>
    <t>Adj R2</t>
  </si>
  <si>
    <t>MSres</t>
  </si>
  <si>
    <t>MStol</t>
  </si>
  <si>
    <t>Actual corrected.</t>
  </si>
  <si>
    <t>β_0</t>
  </si>
  <si>
    <t>β_1</t>
  </si>
  <si>
    <t>Model_II</t>
  </si>
  <si>
    <t>Model_I</t>
  </si>
  <si>
    <t>Model_III</t>
  </si>
  <si>
    <t>&amp;</t>
  </si>
  <si>
    <t>create account</t>
  </si>
  <si>
    <t>login account</t>
  </si>
  <si>
    <t>logout of account</t>
  </si>
  <si>
    <t>delete photos in private event if owner</t>
  </si>
  <si>
    <t>delete uploaded photos</t>
  </si>
  <si>
    <t>view photos of location</t>
  </si>
  <si>
    <t>search for event</t>
  </si>
  <si>
    <t>view photos on device</t>
  </si>
  <si>
    <t>take photo</t>
  </si>
  <si>
    <t>take photo for location</t>
  </si>
  <si>
    <t>upload photo to my event</t>
  </si>
  <si>
    <t>search event and upload photo</t>
  </si>
  <si>
    <t>view photos of private event with password</t>
  </si>
  <si>
    <t>view photos of event</t>
  </si>
  <si>
    <t>download photo to device</t>
  </si>
  <si>
    <t>create private event</t>
  </si>
  <si>
    <t>set a password</t>
  </si>
  <si>
    <t>reserve a hashtag</t>
  </si>
  <si>
    <t>create public event</t>
  </si>
  <si>
    <t>delete expired location photos</t>
  </si>
  <si>
    <t>delete photos in expired events</t>
  </si>
  <si>
    <t>delete expire events</t>
  </si>
  <si>
    <t>search for photos by event</t>
  </si>
  <si>
    <t>delete photos</t>
  </si>
  <si>
    <t>search for photos by user</t>
  </si>
  <si>
    <t>Delete expired location photos</t>
  </si>
  <si>
    <t>Delete photos in expired events</t>
  </si>
  <si>
    <t>View joined photos</t>
  </si>
  <si>
    <t>location-based ad</t>
  </si>
  <si>
    <t>BDR</t>
  </si>
  <si>
    <t>PCS</t>
  </si>
  <si>
    <t>LBA</t>
  </si>
  <si>
    <t>Model I</t>
  </si>
  <si>
    <t>Model II</t>
  </si>
  <si>
    <t>PRED (25%)</t>
  </si>
  <si>
    <t>yes</t>
  </si>
  <si>
    <t xml:space="preserve">yes </t>
  </si>
  <si>
    <t>No normalization</t>
  </si>
  <si>
    <r>
      <t>UEUCW</t>
    </r>
    <r>
      <rPr>
        <u/>
        <sz val="10"/>
        <color theme="10"/>
        <rFont val="Arial"/>
        <family val="2"/>
      </rPr>
      <t>[1]</t>
    </r>
  </si>
  <si>
    <r>
      <t>UAW</t>
    </r>
    <r>
      <rPr>
        <u/>
        <sz val="10"/>
        <color theme="10"/>
        <rFont val="Arial"/>
        <family val="2"/>
      </rPr>
      <t>[2]</t>
    </r>
  </si>
  <si>
    <r>
      <t>TCF</t>
    </r>
    <r>
      <rPr>
        <u/>
        <sz val="10"/>
        <color theme="10"/>
        <rFont val="Arial"/>
        <family val="2"/>
      </rPr>
      <t>[3]</t>
    </r>
  </si>
  <si>
    <r>
      <t>ECF</t>
    </r>
    <r>
      <rPr>
        <u/>
        <sz val="10"/>
        <color theme="10"/>
        <rFont val="Arial"/>
        <family val="2"/>
      </rPr>
      <t>[4]</t>
    </r>
  </si>
  <si>
    <r>
      <t>Estimate</t>
    </r>
    <r>
      <rPr>
        <sz val="9"/>
        <color rgb="FF000000"/>
        <rFont val="Linux Libertine"/>
      </rPr>
      <t xml:space="preserve"> </t>
    </r>
    <r>
      <rPr>
        <sz val="7"/>
        <color rgb="FF000000"/>
        <rFont val="Linux Libertine"/>
      </rPr>
      <t>(Man-hour)</t>
    </r>
  </si>
  <si>
    <r>
      <t>Actual</t>
    </r>
    <r>
      <rPr>
        <sz val="9"/>
        <color rgb="FF000000"/>
        <rFont val="Linux Libertine"/>
      </rPr>
      <t xml:space="preserve"> </t>
    </r>
    <r>
      <rPr>
        <sz val="7"/>
        <color rgb="FF000000"/>
        <rFont val="Linux Libertine"/>
      </rPr>
      <t>(Man-hour)</t>
    </r>
  </si>
  <si>
    <r>
      <t>AFP</t>
    </r>
    <r>
      <rPr>
        <u/>
        <sz val="10"/>
        <color theme="10"/>
        <rFont val="Arial"/>
        <family val="2"/>
      </rPr>
      <t>[1]</t>
    </r>
  </si>
  <si>
    <r>
      <t>VAF</t>
    </r>
    <r>
      <rPr>
        <u/>
        <sz val="10"/>
        <color theme="10"/>
        <rFont val="Arial"/>
        <family val="2"/>
      </rPr>
      <t>[2]</t>
    </r>
  </si>
  <si>
    <r>
      <t>UEXUCW</t>
    </r>
    <r>
      <rPr>
        <u/>
        <sz val="10"/>
        <color theme="10"/>
        <rFont val="Arial"/>
        <family val="2"/>
      </rPr>
      <t>[1]</t>
    </r>
  </si>
  <si>
    <t>EUCP[5]</t>
  </si>
  <si>
    <t>EXUCP[2]</t>
  </si>
  <si>
    <t>AFPC[3]</t>
  </si>
  <si>
    <t>Normalized:</t>
  </si>
  <si>
    <t>Non Normalized: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</si>
</sst>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
  </numFmts>
  <fonts count="34">
    <font>
      <sz val="10"/>
      <color rgb="FF000000"/>
      <name val="Arial"/>
    </font>
    <font>
      <sz val="10"/>
      <name val="Arial"/>
      <family val="2"/>
    </font>
    <font>
      <b/>
      <sz val="11"/>
      <color rgb="FF000000"/>
      <name val="Sans-serif"/>
    </font>
    <font>
      <sz val="11"/>
      <color rgb="FF000000"/>
      <name val="Sans-serif"/>
    </font>
    <font>
      <sz val="13"/>
      <color rgb="FF252525"/>
      <name val="Sans-serif"/>
    </font>
    <font>
      <sz val="10"/>
      <color rgb="FF000000"/>
      <name val="Arial"/>
      <family val="2"/>
    </font>
    <font>
      <sz val="11"/>
      <color rgb="FF252525"/>
      <name val="Sans-serif"/>
    </font>
    <font>
      <sz val="10"/>
      <color rgb="FFFF0000"/>
      <name val="Arial"/>
      <family val="2"/>
    </font>
    <font>
      <u/>
      <sz val="10"/>
      <color rgb="FF0000FF"/>
      <name val="Arial"/>
      <family val="2"/>
    </font>
    <font>
      <sz val="11"/>
      <color rgb="FF000000"/>
      <name val="Calibri"/>
      <family val="2"/>
    </font>
    <font>
      <b/>
      <sz val="11"/>
      <color rgb="FF313131"/>
      <name val="Verdana"/>
      <family val="2"/>
    </font>
    <font>
      <sz val="11"/>
      <color rgb="FF313131"/>
      <name val="Verdana"/>
      <family val="2"/>
    </font>
    <font>
      <sz val="10"/>
      <color rgb="FFFF0000"/>
      <name val="Arial"/>
      <family val="2"/>
    </font>
    <font>
      <sz val="10"/>
      <name val="Arial"/>
      <family val="2"/>
    </font>
    <font>
      <b/>
      <sz val="10"/>
      <name val="Arial"/>
      <family val="2"/>
    </font>
    <font>
      <sz val="11"/>
      <color rgb="FF000000"/>
      <name val="Inconsolata"/>
    </font>
    <font>
      <sz val="10"/>
      <name val="Arial"/>
      <family val="2"/>
    </font>
    <font>
      <sz val="10"/>
      <color rgb="FFFF0000"/>
      <name val="Arial"/>
      <family val="2"/>
    </font>
    <font>
      <b/>
      <sz val="10"/>
      <name val="Arial"/>
      <family val="2"/>
    </font>
    <font>
      <b/>
      <sz val="12"/>
      <color rgb="FF000000"/>
      <name val="Calibri"/>
      <family val="2"/>
    </font>
    <font>
      <b/>
      <sz val="10"/>
      <color rgb="FF000000"/>
      <name val="Arial"/>
      <family val="2"/>
    </font>
    <font>
      <sz val="10"/>
      <color rgb="FFFF0000"/>
      <name val="Arial"/>
      <family val="2"/>
    </font>
    <font>
      <sz val="11"/>
      <color rgb="FFFF0000"/>
      <name val="Calibri"/>
      <family val="2"/>
    </font>
    <font>
      <sz val="10"/>
      <color rgb="FF000000"/>
      <name val="Arial"/>
      <family val="2"/>
    </font>
    <font>
      <sz val="9"/>
      <name val="Linux Libertine"/>
    </font>
    <font>
      <sz val="9"/>
      <name val="Linux Biolinum"/>
    </font>
    <font>
      <sz val="10"/>
      <name val="Arial"/>
      <family val="2"/>
    </font>
    <font>
      <sz val="11"/>
      <color rgb="FF000000"/>
      <name val="Calibri"/>
      <family val="2"/>
    </font>
    <font>
      <u/>
      <sz val="10"/>
      <color theme="10"/>
      <name val="Arial"/>
      <family val="2"/>
    </font>
    <font>
      <sz val="9"/>
      <color rgb="FF000000"/>
      <name val="Linux Libertine"/>
    </font>
    <font>
      <sz val="8"/>
      <color rgb="FF000000"/>
      <name val="Linux Libertine"/>
    </font>
    <font>
      <sz val="7"/>
      <color rgb="FF000000"/>
      <name val="Linux Libertine"/>
    </font>
    <font>
      <u/>
      <sz val="10"/>
      <color rgb="FFFF0000"/>
      <name val="Arial"/>
      <family val="2"/>
    </font>
    <font>
      <sz val="9"/>
      <color rgb="FFFF0000"/>
      <name val="Linux Libertine"/>
    </font>
  </fonts>
  <fills count="14">
    <fill>
      <patternFill patternType="none"/>
    </fill>
    <fill>
      <patternFill patternType="gray125"/>
    </fill>
    <fill>
      <patternFill patternType="solid">
        <fgColor rgb="FFF2F2F2"/>
        <bgColor rgb="FFF2F2F2"/>
      </patternFill>
    </fill>
    <fill>
      <patternFill patternType="solid">
        <fgColor rgb="FFF9F9F9"/>
        <bgColor rgb="FFF9F9F9"/>
      </patternFill>
    </fill>
    <fill>
      <patternFill patternType="solid">
        <fgColor rgb="FFFFFFFF"/>
        <bgColor rgb="FFFFFFFF"/>
      </patternFill>
    </fill>
    <fill>
      <patternFill patternType="solid">
        <fgColor rgb="FFEAECF0"/>
        <bgColor rgb="FFEAECF0"/>
      </patternFill>
    </fill>
    <fill>
      <patternFill patternType="solid">
        <fgColor rgb="FFF8F9FA"/>
        <bgColor rgb="FFF8F9FA"/>
      </patternFill>
    </fill>
    <fill>
      <patternFill patternType="solid">
        <fgColor rgb="FFFF0000"/>
        <bgColor rgb="FFFF0000"/>
      </patternFill>
    </fill>
    <fill>
      <patternFill patternType="solid">
        <fgColor rgb="FFEEEEEE"/>
        <bgColor rgb="FFEEEEEE"/>
      </patternFill>
    </fill>
    <fill>
      <patternFill patternType="solid">
        <fgColor rgb="FFFFFF00"/>
        <bgColor indexed="64"/>
      </patternFill>
    </fill>
    <fill>
      <patternFill patternType="solid">
        <fgColor rgb="FFC00000"/>
        <bgColor indexed="64"/>
      </patternFill>
    </fill>
    <fill>
      <patternFill patternType="solid">
        <fgColor theme="5"/>
        <bgColor indexed="64"/>
      </patternFill>
    </fill>
    <fill>
      <patternFill patternType="solid">
        <fgColor rgb="FFFFFFFF"/>
        <bgColor indexed="64"/>
      </patternFill>
    </fill>
    <fill>
      <patternFill patternType="solid">
        <fgColor theme="1"/>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medium">
        <color indexed="64"/>
      </top>
      <bottom/>
      <diagonal/>
    </border>
    <border>
      <left/>
      <right/>
      <top/>
      <bottom style="medium">
        <color indexed="64"/>
      </bottom>
      <diagonal/>
    </border>
    <border>
      <left/>
      <right/>
      <top style="medium">
        <color indexed="64"/>
      </top>
      <bottom style="medium">
        <color indexed="64"/>
      </bottom>
      <diagonal/>
    </border>
  </borders>
  <cellStyleXfs count="2">
    <xf numFmtId="0" fontId="0" fillId="0" borderId="0"/>
    <xf numFmtId="0" fontId="28" fillId="0" borderId="0" applyNumberFormat="0" applyFill="0" applyBorder="0" applyAlignment="0" applyProtection="0"/>
  </cellStyleXfs>
  <cellXfs count="114">
    <xf numFmtId="0" fontId="0" fillId="0" borderId="0" xfId="0" applyFont="1" applyAlignment="1"/>
    <xf numFmtId="0" fontId="1" fillId="0" borderId="0" xfId="0" applyFont="1"/>
    <xf numFmtId="0" fontId="0" fillId="0" borderId="0" xfId="0" applyFont="1"/>
    <xf numFmtId="0" fontId="0" fillId="0" borderId="0" xfId="0" applyFont="1"/>
    <xf numFmtId="0" fontId="2" fillId="2" borderId="0" xfId="0" applyFont="1" applyFill="1" applyBorder="1" applyAlignment="1">
      <alignment horizontal="center"/>
    </xf>
    <xf numFmtId="164" fontId="3" fillId="3" borderId="0" xfId="0" applyNumberFormat="1" applyFont="1" applyFill="1" applyBorder="1"/>
    <xf numFmtId="0" fontId="3" fillId="3" borderId="0" xfId="0" applyFont="1" applyFill="1" applyBorder="1"/>
    <xf numFmtId="0" fontId="3" fillId="3" borderId="0" xfId="0" applyFont="1" applyFill="1" applyBorder="1" applyAlignment="1">
      <alignment horizontal="right"/>
    </xf>
    <xf numFmtId="0" fontId="3" fillId="3" borderId="0" xfId="0" applyFont="1" applyFill="1" applyBorder="1" applyAlignment="1">
      <alignment horizontal="center"/>
    </xf>
    <xf numFmtId="0" fontId="4" fillId="4" borderId="0" xfId="0" applyFont="1" applyFill="1" applyBorder="1"/>
    <xf numFmtId="0" fontId="2" fillId="5" borderId="0" xfId="0" applyFont="1" applyFill="1" applyBorder="1" applyAlignment="1">
      <alignment horizontal="center"/>
    </xf>
    <xf numFmtId="0" fontId="3" fillId="6" borderId="0" xfId="0" applyFont="1" applyFill="1" applyBorder="1"/>
    <xf numFmtId="0" fontId="3" fillId="6" borderId="0" xfId="0" applyFont="1" applyFill="1" applyBorder="1" applyAlignment="1">
      <alignment horizontal="center"/>
    </xf>
    <xf numFmtId="0" fontId="5" fillId="7" borderId="1" xfId="0" applyFont="1" applyFill="1" applyBorder="1" applyAlignment="1"/>
    <xf numFmtId="0" fontId="5" fillId="0" borderId="1" xfId="0" applyFont="1" applyBorder="1" applyAlignment="1"/>
    <xf numFmtId="0" fontId="0" fillId="0" borderId="0" xfId="0" applyFont="1" applyAlignment="1"/>
    <xf numFmtId="0" fontId="5" fillId="4" borderId="1" xfId="0" applyFont="1" applyFill="1" applyBorder="1" applyAlignment="1"/>
    <xf numFmtId="0" fontId="6" fillId="4" borderId="0" xfId="0" applyFont="1" applyFill="1" applyBorder="1"/>
    <xf numFmtId="0" fontId="1" fillId="0" borderId="0" xfId="0" applyFont="1" applyAlignment="1">
      <alignment horizontal="right"/>
    </xf>
    <xf numFmtId="0" fontId="1" fillId="4" borderId="0" xfId="0" applyFont="1" applyFill="1" applyBorder="1"/>
    <xf numFmtId="0" fontId="0" fillId="4" borderId="0" xfId="0" applyFont="1" applyFill="1" applyBorder="1" applyAlignment="1">
      <alignment horizontal="left"/>
    </xf>
    <xf numFmtId="0" fontId="7" fillId="0" borderId="0" xfId="0" applyFont="1"/>
    <xf numFmtId="0" fontId="1" fillId="7" borderId="0" xfId="0" applyFont="1" applyFill="1" applyBorder="1"/>
    <xf numFmtId="0" fontId="0" fillId="4" borderId="0" xfId="0" applyFont="1" applyFill="1" applyBorder="1" applyAlignment="1">
      <alignment horizontal="right"/>
    </xf>
    <xf numFmtId="0" fontId="0" fillId="7" borderId="0" xfId="0" applyFont="1" applyFill="1" applyBorder="1"/>
    <xf numFmtId="0" fontId="8" fillId="0" borderId="0" xfId="0" applyFont="1"/>
    <xf numFmtId="164" fontId="2" fillId="2" borderId="0" xfId="0" applyNumberFormat="1" applyFont="1" applyFill="1" applyBorder="1" applyAlignment="1">
      <alignment horizontal="center"/>
    </xf>
    <xf numFmtId="0" fontId="9" fillId="0" borderId="0" xfId="0" applyFont="1"/>
    <xf numFmtId="0" fontId="7" fillId="4" borderId="0" xfId="0" applyFont="1" applyFill="1" applyBorder="1"/>
    <xf numFmtId="0" fontId="3" fillId="3" borderId="0" xfId="0" applyFont="1" applyFill="1" applyBorder="1" applyAlignment="1">
      <alignment horizontal="left"/>
    </xf>
    <xf numFmtId="0" fontId="10" fillId="8" borderId="0" xfId="0" applyFont="1" applyFill="1" applyBorder="1" applyAlignment="1">
      <alignment horizontal="left" vertical="top"/>
    </xf>
    <xf numFmtId="0" fontId="11" fillId="0" borderId="0" xfId="0" applyFont="1" applyAlignment="1">
      <alignment vertical="top"/>
    </xf>
    <xf numFmtId="0" fontId="1" fillId="0" borderId="0" xfId="0" applyFont="1" applyAlignment="1"/>
    <xf numFmtId="0" fontId="12" fillId="0" borderId="1" xfId="0" applyFont="1" applyBorder="1" applyAlignment="1"/>
    <xf numFmtId="0" fontId="12" fillId="4" borderId="1" xfId="0" applyFont="1" applyFill="1" applyBorder="1" applyAlignment="1"/>
    <xf numFmtId="0" fontId="10" fillId="8" borderId="0" xfId="0" applyFont="1" applyFill="1" applyBorder="1" applyAlignment="1">
      <alignment horizontal="center" vertical="top"/>
    </xf>
    <xf numFmtId="0" fontId="11" fillId="0" borderId="0" xfId="0" applyFont="1" applyAlignment="1">
      <alignment horizontal="center" vertical="top"/>
    </xf>
    <xf numFmtId="0" fontId="13" fillId="0" borderId="0" xfId="0" applyFont="1" applyAlignment="1"/>
    <xf numFmtId="0" fontId="14" fillId="0" borderId="1" xfId="0" applyFont="1" applyBorder="1" applyAlignment="1"/>
    <xf numFmtId="0" fontId="12" fillId="0" borderId="1" xfId="0" applyFont="1" applyBorder="1" applyAlignment="1">
      <alignment horizontal="right"/>
    </xf>
    <xf numFmtId="0" fontId="5" fillId="0" borderId="1" xfId="0" applyFont="1" applyBorder="1" applyAlignment="1">
      <alignment horizontal="right"/>
    </xf>
    <xf numFmtId="0" fontId="9" fillId="0" borderId="0" xfId="0" applyFont="1" applyAlignment="1">
      <alignment horizontal="right"/>
    </xf>
    <xf numFmtId="0" fontId="5" fillId="0" borderId="0" xfId="0" applyFont="1" applyAlignment="1">
      <alignment horizontal="right"/>
    </xf>
    <xf numFmtId="0" fontId="15" fillId="4" borderId="0" xfId="0" applyFont="1" applyFill="1" applyAlignment="1">
      <alignment horizontal="left"/>
    </xf>
    <xf numFmtId="0" fontId="16" fillId="0" borderId="0" xfId="0" applyFont="1" applyAlignment="1">
      <alignment horizontal="right"/>
    </xf>
    <xf numFmtId="0" fontId="17" fillId="0" borderId="0" xfId="0" applyFont="1" applyAlignment="1"/>
    <xf numFmtId="0" fontId="17" fillId="0" borderId="0" xfId="0" applyFont="1"/>
    <xf numFmtId="0" fontId="5" fillId="0" borderId="1" xfId="0" applyFont="1" applyBorder="1" applyAlignment="1"/>
    <xf numFmtId="0" fontId="5" fillId="0" borderId="2" xfId="0" applyFont="1" applyBorder="1" applyAlignment="1"/>
    <xf numFmtId="0" fontId="5" fillId="0" borderId="2" xfId="0" applyFont="1" applyBorder="1" applyAlignment="1">
      <alignment horizontal="right"/>
    </xf>
    <xf numFmtId="0" fontId="16" fillId="0" borderId="0" xfId="0" applyFont="1" applyAlignment="1"/>
    <xf numFmtId="0" fontId="16" fillId="0" borderId="0" xfId="0" applyFont="1" applyAlignment="1">
      <alignment horizontal="right"/>
    </xf>
    <xf numFmtId="0" fontId="0" fillId="0" borderId="0" xfId="0" applyFont="1" applyAlignment="1">
      <alignment horizontal="right"/>
    </xf>
    <xf numFmtId="0" fontId="18" fillId="0" borderId="0" xfId="0" applyFont="1"/>
    <xf numFmtId="9" fontId="1" fillId="0" borderId="0" xfId="0" applyNumberFormat="1" applyFont="1"/>
    <xf numFmtId="0" fontId="19" fillId="0" borderId="0" xfId="0" applyFont="1"/>
    <xf numFmtId="0" fontId="0" fillId="0" borderId="0" xfId="0" applyFont="1" applyAlignment="1"/>
    <xf numFmtId="0" fontId="20" fillId="0" borderId="0" xfId="0" applyFont="1"/>
    <xf numFmtId="0" fontId="0" fillId="0" borderId="0" xfId="0" applyFont="1" applyAlignment="1"/>
    <xf numFmtId="0" fontId="21" fillId="0" borderId="0" xfId="0" applyFont="1"/>
    <xf numFmtId="0" fontId="22" fillId="0" borderId="0" xfId="0" applyFont="1" applyAlignment="1">
      <alignment horizontal="right"/>
    </xf>
    <xf numFmtId="0" fontId="21" fillId="0" borderId="0" xfId="0" applyFont="1" applyAlignment="1"/>
    <xf numFmtId="0" fontId="23" fillId="0" borderId="0" xfId="0" applyFont="1" applyAlignment="1"/>
    <xf numFmtId="0" fontId="23" fillId="0" borderId="0" xfId="0" applyFont="1"/>
    <xf numFmtId="0" fontId="24" fillId="0" borderId="3" xfId="0" applyFont="1" applyBorder="1" applyAlignment="1">
      <alignment horizontal="center" vertical="center" wrapText="1"/>
    </xf>
    <xf numFmtId="0" fontId="25" fillId="0" borderId="3" xfId="0" applyFont="1" applyBorder="1" applyAlignment="1">
      <alignment vertical="top" wrapText="1"/>
    </xf>
    <xf numFmtId="0" fontId="24" fillId="0" borderId="0" xfId="0" applyFont="1" applyAlignment="1">
      <alignment horizontal="center" vertical="center" wrapText="1"/>
    </xf>
    <xf numFmtId="0" fontId="25" fillId="0" borderId="0" xfId="0" applyFont="1" applyAlignment="1">
      <alignment vertical="top" wrapText="1"/>
    </xf>
    <xf numFmtId="0" fontId="24" fillId="0" borderId="0" xfId="0" applyFont="1" applyAlignment="1">
      <alignment vertical="center" wrapText="1"/>
    </xf>
    <xf numFmtId="0" fontId="24" fillId="0" borderId="0" xfId="0" applyFont="1" applyAlignment="1">
      <alignment vertical="top" wrapText="1"/>
    </xf>
    <xf numFmtId="0" fontId="24" fillId="0" borderId="4" xfId="0" applyFont="1" applyBorder="1" applyAlignment="1">
      <alignment horizontal="center" vertical="center" wrapText="1"/>
    </xf>
    <xf numFmtId="0" fontId="24" fillId="0" borderId="0" xfId="0" applyFont="1" applyFill="1" applyBorder="1" applyAlignment="1">
      <alignment horizontal="center" vertical="center" wrapText="1"/>
    </xf>
    <xf numFmtId="10" fontId="0" fillId="0" borderId="0" xfId="0" applyNumberFormat="1" applyFont="1" applyAlignment="1"/>
    <xf numFmtId="9" fontId="0" fillId="0" borderId="0" xfId="0" applyNumberFormat="1" applyFont="1" applyAlignment="1"/>
    <xf numFmtId="0" fontId="24" fillId="0" borderId="5" xfId="0" applyFont="1" applyBorder="1" applyAlignment="1">
      <alignment horizontal="center" vertical="center" wrapText="1"/>
    </xf>
    <xf numFmtId="0" fontId="25" fillId="0" borderId="5" xfId="0" applyFont="1" applyBorder="1" applyAlignment="1">
      <alignment vertical="top" wrapText="1"/>
    </xf>
    <xf numFmtId="0" fontId="26" fillId="0" borderId="0" xfId="0" applyFont="1"/>
    <xf numFmtId="0" fontId="26" fillId="0" borderId="0" xfId="0" applyFont="1" applyAlignment="1"/>
    <xf numFmtId="0" fontId="0" fillId="0" borderId="0" xfId="0" applyFont="1" applyAlignment="1"/>
    <xf numFmtId="0" fontId="0" fillId="0" borderId="0" xfId="0" applyFont="1" applyAlignment="1"/>
    <xf numFmtId="0" fontId="27" fillId="0" borderId="0" xfId="0" applyFont="1"/>
    <xf numFmtId="0" fontId="1" fillId="9" borderId="0" xfId="0" applyFont="1" applyFill="1"/>
    <xf numFmtId="0" fontId="1" fillId="10" borderId="0" xfId="0" applyFont="1" applyFill="1"/>
    <xf numFmtId="0" fontId="1" fillId="11" borderId="0" xfId="0" applyFont="1" applyFill="1"/>
    <xf numFmtId="16" fontId="0" fillId="0" borderId="0" xfId="0" applyNumberFormat="1" applyFont="1"/>
    <xf numFmtId="0" fontId="24" fillId="0" borderId="5" xfId="0" applyFont="1" applyBorder="1" applyAlignment="1">
      <alignment vertical="top" wrapText="1"/>
    </xf>
    <xf numFmtId="0" fontId="25" fillId="0" borderId="0" xfId="0" applyFont="1" applyAlignment="1">
      <alignment horizontal="center" vertical="center" wrapText="1"/>
    </xf>
    <xf numFmtId="0" fontId="25" fillId="0" borderId="4" xfId="0" applyFont="1" applyBorder="1" applyAlignment="1">
      <alignment vertical="center" wrapText="1"/>
    </xf>
    <xf numFmtId="0" fontId="24" fillId="0" borderId="4" xfId="0" applyFont="1" applyBorder="1" applyAlignment="1">
      <alignment vertical="top" wrapText="1"/>
    </xf>
    <xf numFmtId="9" fontId="0" fillId="0" borderId="0" xfId="0" applyNumberFormat="1" applyFont="1"/>
    <xf numFmtId="0" fontId="0" fillId="0" borderId="0" xfId="0" applyFont="1" applyAlignment="1"/>
    <xf numFmtId="0" fontId="30" fillId="0" borderId="5" xfId="0" applyFont="1" applyBorder="1" applyAlignment="1">
      <alignment horizontal="center" vertical="center" wrapText="1"/>
    </xf>
    <xf numFmtId="0" fontId="28" fillId="0" borderId="5" xfId="1" applyBorder="1" applyAlignment="1">
      <alignment horizontal="center" vertical="center" wrapText="1"/>
    </xf>
    <xf numFmtId="0" fontId="28" fillId="0" borderId="5" xfId="1" applyBorder="1" applyAlignment="1">
      <alignment horizontal="center" vertical="center"/>
    </xf>
    <xf numFmtId="0" fontId="29" fillId="0" borderId="0" xfId="0" applyFont="1" applyAlignment="1">
      <alignment horizontal="center" vertical="center" wrapText="1"/>
    </xf>
    <xf numFmtId="0" fontId="29" fillId="0" borderId="0" xfId="0" applyFont="1" applyAlignment="1">
      <alignment horizontal="center" vertical="center"/>
    </xf>
    <xf numFmtId="0" fontId="29" fillId="12" borderId="4" xfId="0" applyFont="1" applyFill="1" applyBorder="1" applyAlignment="1">
      <alignment horizontal="center" vertical="center" wrapText="1"/>
    </xf>
    <xf numFmtId="0" fontId="29" fillId="0" borderId="4" xfId="0" applyFont="1" applyBorder="1" applyAlignment="1">
      <alignment horizontal="center" vertical="center" wrapText="1"/>
    </xf>
    <xf numFmtId="0" fontId="29" fillId="0" borderId="5" xfId="0" applyFont="1" applyBorder="1" applyAlignment="1">
      <alignment horizontal="center" vertical="center" wrapText="1"/>
    </xf>
    <xf numFmtId="0" fontId="29" fillId="0" borderId="4" xfId="0" applyFont="1" applyBorder="1" applyAlignment="1">
      <alignment horizontal="center" vertical="center"/>
    </xf>
    <xf numFmtId="0" fontId="31" fillId="0" borderId="5" xfId="0" applyFont="1" applyBorder="1" applyAlignment="1">
      <alignment horizontal="center" vertical="center" wrapText="1"/>
    </xf>
    <xf numFmtId="0" fontId="31" fillId="0" borderId="5" xfId="0" applyFont="1" applyBorder="1" applyAlignment="1">
      <alignment horizontal="center" vertical="center"/>
    </xf>
    <xf numFmtId="2" fontId="29" fillId="0" borderId="4" xfId="0" applyNumberFormat="1" applyFont="1" applyBorder="1" applyAlignment="1">
      <alignment horizontal="center" vertical="center" wrapText="1"/>
    </xf>
    <xf numFmtId="0" fontId="32" fillId="0" borderId="5" xfId="1" applyFont="1" applyBorder="1" applyAlignment="1">
      <alignment horizontal="center" vertical="center" wrapText="1"/>
    </xf>
    <xf numFmtId="0" fontId="33" fillId="0" borderId="0" xfId="0" applyFont="1" applyAlignment="1">
      <alignment horizontal="center" vertical="center" wrapText="1"/>
    </xf>
    <xf numFmtId="0" fontId="33" fillId="0" borderId="4" xfId="0" applyFont="1" applyBorder="1" applyAlignment="1">
      <alignment horizontal="center" vertical="center" wrapText="1"/>
    </xf>
    <xf numFmtId="0" fontId="33" fillId="0" borderId="0" xfId="0" applyFont="1" applyAlignment="1">
      <alignment horizontal="center" vertical="center"/>
    </xf>
    <xf numFmtId="0" fontId="0" fillId="13" borderId="0" xfId="0" applyFont="1" applyFill="1"/>
    <xf numFmtId="0" fontId="0" fillId="13" borderId="0" xfId="0" applyFont="1" applyFill="1" applyAlignment="1"/>
    <xf numFmtId="0" fontId="1" fillId="0" borderId="0" xfId="0" applyFont="1" applyAlignment="1">
      <alignment wrapText="1"/>
    </xf>
    <xf numFmtId="0" fontId="0" fillId="0" borderId="0" xfId="0" applyFont="1" applyAlignment="1"/>
    <xf numFmtId="0" fontId="0" fillId="0" borderId="0" xfId="0" applyFont="1" applyAlignment="1">
      <alignment wrapText="1"/>
    </xf>
    <xf numFmtId="0" fontId="0" fillId="0" borderId="0" xfId="0" applyFont="1" applyAlignment="1">
      <alignment horizontal="left" wrapText="1"/>
    </xf>
    <xf numFmtId="0" fontId="1" fillId="0" borderId="0" xfId="0" applyFont="1" applyAlignment="1">
      <alignment horizontal="lef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600" b="1" i="0">
                <a:solidFill>
                  <a:srgbClr val="000000"/>
                </a:solidFill>
              </a:defRPr>
            </a:pPr>
            <a:r>
              <a:rPr lang="en-US"/>
              <a:t>EUCP vs Effort (Man-Hour)</a:t>
            </a:r>
          </a:p>
        </c:rich>
      </c:tx>
      <c:overlay val="0"/>
    </c:title>
    <c:autoTitleDeleted val="0"/>
    <c:plotArea>
      <c:layout/>
      <c:scatterChart>
        <c:scatterStyle val="lineMarker"/>
        <c:varyColors val="0"/>
        <c:ser>
          <c:idx val="0"/>
          <c:order val="0"/>
          <c:spPr>
            <a:ln w="47625">
              <a:noFill/>
            </a:ln>
          </c:spPr>
          <c:marker>
            <c:symbol val="circle"/>
            <c:size val="7"/>
            <c:spPr>
              <a:solidFill>
                <a:srgbClr val="3366CC"/>
              </a:solidFill>
              <a:ln cmpd="sng">
                <a:solidFill>
                  <a:srgbClr val="3366CC"/>
                </a:solidFill>
              </a:ln>
            </c:spPr>
          </c:marker>
          <c:trendline>
            <c:name>Linear Trendline</c:name>
            <c:spPr>
              <a:ln w="19050">
                <a:solidFill>
                  <a:srgbClr val="3366CC">
                    <a:alpha val="40000"/>
                  </a:srgbClr>
                </a:solidFill>
              </a:ln>
            </c:spPr>
            <c:trendlineType val="linear"/>
            <c:dispRSqr val="1"/>
            <c:dispEq val="0"/>
            <c:trendlineLbl>
              <c:numFmt formatCode="General" sourceLinked="0"/>
            </c:trendlineLbl>
          </c:trendline>
          <c:xVal>
            <c:numRef>
              <c:f>'Estimation Phase 1'!$B$160:$B$162</c:f>
              <c:numCache>
                <c:formatCode>General</c:formatCode>
                <c:ptCount val="3"/>
                <c:pt idx="0">
                  <c:v>227.09440000000004</c:v>
                </c:pt>
                <c:pt idx="1">
                  <c:v>564.74880000000007</c:v>
                </c:pt>
                <c:pt idx="2">
                  <c:v>0</c:v>
                </c:pt>
              </c:numCache>
            </c:numRef>
          </c:xVal>
          <c:yVal>
            <c:numRef>
              <c:f>'Estimation Phase 1'!$C$160:$C$162</c:f>
              <c:numCache>
                <c:formatCode>General</c:formatCode>
                <c:ptCount val="3"/>
                <c:pt idx="0">
                  <c:v>2016</c:v>
                </c:pt>
                <c:pt idx="1">
                  <c:v>3680</c:v>
                </c:pt>
                <c:pt idx="2">
                  <c:v>0</c:v>
                </c:pt>
              </c:numCache>
            </c:numRef>
          </c:yVal>
          <c:smooth val="1"/>
        </c:ser>
        <c:dLbls>
          <c:showLegendKey val="0"/>
          <c:showVal val="0"/>
          <c:showCatName val="0"/>
          <c:showSerName val="0"/>
          <c:showPercent val="0"/>
          <c:showBubbleSize val="0"/>
        </c:dLbls>
        <c:axId val="-1207566992"/>
        <c:axId val="-1207565360"/>
      </c:scatterChart>
      <c:valAx>
        <c:axId val="-1207566992"/>
        <c:scaling>
          <c:orientation val="minMax"/>
        </c:scaling>
        <c:delete val="0"/>
        <c:axPos val="b"/>
        <c:majorGridlines>
          <c:spPr>
            <a:ln>
              <a:solidFill>
                <a:srgbClr val="B7B7B7"/>
              </a:solidFill>
            </a:ln>
          </c:spPr>
        </c:majorGridlines>
        <c:minorGridlines>
          <c:spPr>
            <a:ln>
              <a:solidFill>
                <a:srgbClr val="CCCCCC"/>
              </a:solidFill>
            </a:ln>
          </c:spPr>
        </c:minorGridlines>
        <c:title>
          <c:tx>
            <c:rich>
              <a:bodyPr/>
              <a:lstStyle/>
              <a:p>
                <a:pPr lvl="0">
                  <a:defRPr b="1" i="0"/>
                </a:pPr>
                <a:r>
                  <a:rPr lang="en-US"/>
                  <a:t>EUCP</a:t>
                </a:r>
              </a:p>
            </c:rich>
          </c:tx>
          <c:overlay val="0"/>
        </c:title>
        <c:numFmt formatCode="General" sourceLinked="1"/>
        <c:majorTickMark val="cross"/>
        <c:minorTickMark val="cross"/>
        <c:tickLblPos val="nextTo"/>
        <c:spPr>
          <a:ln w="47625">
            <a:noFill/>
          </a:ln>
        </c:spPr>
        <c:txPr>
          <a:bodyPr/>
          <a:lstStyle/>
          <a:p>
            <a:pPr lvl="0">
              <a:defRPr b="1" i="0"/>
            </a:pPr>
            <a:endParaRPr lang="en-US"/>
          </a:p>
        </c:txPr>
        <c:crossAx val="-1207565360"/>
        <c:crosses val="autoZero"/>
        <c:crossBetween val="midCat"/>
      </c:valAx>
      <c:valAx>
        <c:axId val="-1207565360"/>
        <c:scaling>
          <c:orientation val="minMax"/>
        </c:scaling>
        <c:delete val="0"/>
        <c:axPos val="l"/>
        <c:majorGridlines>
          <c:spPr>
            <a:ln>
              <a:solidFill>
                <a:srgbClr val="B7B7B7"/>
              </a:solidFill>
            </a:ln>
          </c:spPr>
        </c:majorGridlines>
        <c:title>
          <c:tx>
            <c:rich>
              <a:bodyPr/>
              <a:lstStyle/>
              <a:p>
                <a:pPr lvl="0">
                  <a:defRPr b="1" i="0"/>
                </a:pPr>
                <a:r>
                  <a:rPr lang="en-US"/>
                  <a:t>Effort(Man-hour)</a:t>
                </a:r>
              </a:p>
            </c:rich>
          </c:tx>
          <c:overlay val="0"/>
        </c:title>
        <c:numFmt formatCode="General" sourceLinked="1"/>
        <c:majorTickMark val="cross"/>
        <c:minorTickMark val="cross"/>
        <c:tickLblPos val="nextTo"/>
        <c:spPr>
          <a:ln w="47625">
            <a:noFill/>
          </a:ln>
        </c:spPr>
        <c:txPr>
          <a:bodyPr/>
          <a:lstStyle/>
          <a:p>
            <a:pPr lvl="0">
              <a:defRPr b="1" i="0"/>
            </a:pPr>
            <a:endParaRPr lang="en-US"/>
          </a:p>
        </c:txPr>
        <c:crossAx val="-1207566992"/>
        <c:crosses val="autoZero"/>
        <c:crossBetween val="midCat"/>
      </c:valAx>
      <c:spPr>
        <a:solidFill>
          <a:srgbClr val="FFFFFF"/>
        </a:solidFill>
      </c:spPr>
    </c:plotArea>
    <c:legend>
      <c:legendPos val="r"/>
      <c:overlay val="0"/>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600" b="1" i="0">
                <a:solidFill>
                  <a:srgbClr val="000000"/>
                </a:solidFill>
              </a:defRPr>
            </a:pPr>
            <a:r>
              <a:rPr lang="en-US"/>
              <a:t>EXUCP vs Effort (Man - Hour)</a:t>
            </a:r>
          </a:p>
        </c:rich>
      </c:tx>
      <c:overlay val="0"/>
    </c:title>
    <c:autoTitleDeleted val="0"/>
    <c:plotArea>
      <c:layout/>
      <c:scatterChart>
        <c:scatterStyle val="lineMarker"/>
        <c:varyColors val="0"/>
        <c:ser>
          <c:idx val="0"/>
          <c:order val="0"/>
          <c:spPr>
            <a:ln w="47625">
              <a:noFill/>
            </a:ln>
          </c:spPr>
          <c:marker>
            <c:symbol val="circle"/>
            <c:size val="7"/>
            <c:spPr>
              <a:solidFill>
                <a:srgbClr val="3366CC"/>
              </a:solidFill>
              <a:ln cmpd="sng">
                <a:solidFill>
                  <a:srgbClr val="3366CC"/>
                </a:solidFill>
              </a:ln>
            </c:spPr>
          </c:marker>
          <c:trendline>
            <c:name>Linear Trendline</c:name>
            <c:spPr>
              <a:ln w="19050">
                <a:solidFill>
                  <a:srgbClr val="3366CC">
                    <a:alpha val="40000"/>
                  </a:srgbClr>
                </a:solidFill>
              </a:ln>
            </c:spPr>
            <c:trendlineType val="linear"/>
            <c:dispRSqr val="1"/>
            <c:dispEq val="0"/>
            <c:trendlineLbl>
              <c:numFmt formatCode="General" sourceLinked="0"/>
            </c:trendlineLbl>
          </c:trendline>
          <c:xVal>
            <c:numRef>
              <c:f>'Estimation Phase 2'!$B$163:$B$165</c:f>
              <c:numCache>
                <c:formatCode>General</c:formatCode>
                <c:ptCount val="3"/>
                <c:pt idx="0">
                  <c:v>152.852</c:v>
                </c:pt>
                <c:pt idx="1">
                  <c:v>416.90880000000004</c:v>
                </c:pt>
                <c:pt idx="2">
                  <c:v>0</c:v>
                </c:pt>
              </c:numCache>
            </c:numRef>
          </c:xVal>
          <c:yVal>
            <c:numRef>
              <c:f>'Estimation Phase 2'!$C$163:$C$165</c:f>
              <c:numCache>
                <c:formatCode>General</c:formatCode>
                <c:ptCount val="3"/>
                <c:pt idx="0">
                  <c:v>2016</c:v>
                </c:pt>
                <c:pt idx="1">
                  <c:v>3680</c:v>
                </c:pt>
                <c:pt idx="2">
                  <c:v>0</c:v>
                </c:pt>
              </c:numCache>
            </c:numRef>
          </c:yVal>
          <c:smooth val="1"/>
        </c:ser>
        <c:dLbls>
          <c:showLegendKey val="0"/>
          <c:showVal val="0"/>
          <c:showCatName val="0"/>
          <c:showSerName val="0"/>
          <c:showPercent val="0"/>
          <c:showBubbleSize val="0"/>
        </c:dLbls>
        <c:axId val="-1315821904"/>
        <c:axId val="-1315826256"/>
      </c:scatterChart>
      <c:valAx>
        <c:axId val="-1315821904"/>
        <c:scaling>
          <c:orientation val="minMax"/>
        </c:scaling>
        <c:delete val="0"/>
        <c:axPos val="b"/>
        <c:majorGridlines>
          <c:spPr>
            <a:ln>
              <a:solidFill>
                <a:srgbClr val="B7B7B7"/>
              </a:solidFill>
            </a:ln>
          </c:spPr>
        </c:majorGridlines>
        <c:title>
          <c:tx>
            <c:rich>
              <a:bodyPr/>
              <a:lstStyle/>
              <a:p>
                <a:pPr lvl="0">
                  <a:defRPr b="1" i="0"/>
                </a:pPr>
                <a:r>
                  <a:rPr lang="en-US"/>
                  <a:t>EXUCP</a:t>
                </a:r>
              </a:p>
            </c:rich>
          </c:tx>
          <c:overlay val="0"/>
        </c:title>
        <c:numFmt formatCode="General" sourceLinked="1"/>
        <c:majorTickMark val="cross"/>
        <c:minorTickMark val="cross"/>
        <c:tickLblPos val="nextTo"/>
        <c:spPr>
          <a:ln w="47625">
            <a:noFill/>
          </a:ln>
        </c:spPr>
        <c:txPr>
          <a:bodyPr/>
          <a:lstStyle/>
          <a:p>
            <a:pPr lvl="0">
              <a:defRPr b="1" i="0"/>
            </a:pPr>
            <a:endParaRPr lang="en-US"/>
          </a:p>
        </c:txPr>
        <c:crossAx val="-1315826256"/>
        <c:crosses val="autoZero"/>
        <c:crossBetween val="midCat"/>
      </c:valAx>
      <c:valAx>
        <c:axId val="-1315826256"/>
        <c:scaling>
          <c:orientation val="minMax"/>
        </c:scaling>
        <c:delete val="0"/>
        <c:axPos val="l"/>
        <c:majorGridlines>
          <c:spPr>
            <a:ln>
              <a:solidFill>
                <a:srgbClr val="B7B7B7"/>
              </a:solidFill>
            </a:ln>
          </c:spPr>
        </c:majorGridlines>
        <c:title>
          <c:tx>
            <c:rich>
              <a:bodyPr/>
              <a:lstStyle/>
              <a:p>
                <a:pPr lvl="0">
                  <a:defRPr b="1" i="0"/>
                </a:pPr>
                <a:r>
                  <a:rPr lang="en-US"/>
                  <a:t>Effort (Man - Hour)</a:t>
                </a:r>
              </a:p>
            </c:rich>
          </c:tx>
          <c:overlay val="0"/>
        </c:title>
        <c:numFmt formatCode="General" sourceLinked="1"/>
        <c:majorTickMark val="cross"/>
        <c:minorTickMark val="cross"/>
        <c:tickLblPos val="nextTo"/>
        <c:spPr>
          <a:ln w="47625">
            <a:noFill/>
          </a:ln>
        </c:spPr>
        <c:txPr>
          <a:bodyPr/>
          <a:lstStyle/>
          <a:p>
            <a:pPr lvl="0">
              <a:defRPr b="1" i="0"/>
            </a:pPr>
            <a:endParaRPr lang="en-US"/>
          </a:p>
        </c:txPr>
        <c:crossAx val="-1315821904"/>
        <c:crosses val="autoZero"/>
        <c:crossBetween val="midCat"/>
      </c:valAx>
      <c:spPr>
        <a:solidFill>
          <a:srgbClr val="FFFFFF"/>
        </a:solidFill>
      </c:spPr>
    </c:plotArea>
    <c:legend>
      <c:legendPos val="r"/>
      <c:overlay val="0"/>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600" b="1" i="0">
                <a:solidFill>
                  <a:srgbClr val="000000"/>
                </a:solidFill>
              </a:defRPr>
            </a:pPr>
            <a:r>
              <a:rPr lang="en-US"/>
              <a:t>DFP vs Effort (Man-Hour)</a:t>
            </a:r>
          </a:p>
        </c:rich>
      </c:tx>
      <c:overlay val="0"/>
    </c:title>
    <c:autoTitleDeleted val="0"/>
    <c:plotArea>
      <c:layout/>
      <c:scatterChart>
        <c:scatterStyle val="lineMarker"/>
        <c:varyColors val="0"/>
        <c:ser>
          <c:idx val="0"/>
          <c:order val="0"/>
          <c:spPr>
            <a:ln w="47625">
              <a:noFill/>
            </a:ln>
          </c:spPr>
          <c:marker>
            <c:symbol val="circle"/>
            <c:size val="7"/>
            <c:spPr>
              <a:solidFill>
                <a:srgbClr val="3366CC"/>
              </a:solidFill>
              <a:ln cmpd="sng">
                <a:solidFill>
                  <a:srgbClr val="3366CC"/>
                </a:solidFill>
              </a:ln>
            </c:spPr>
          </c:marker>
          <c:trendline>
            <c:name>Linear Trendline</c:name>
            <c:spPr>
              <a:ln w="19050">
                <a:solidFill>
                  <a:srgbClr val="3366CC">
                    <a:alpha val="40000"/>
                  </a:srgbClr>
                </a:solidFill>
              </a:ln>
            </c:spPr>
            <c:trendlineType val="linear"/>
            <c:dispRSqr val="1"/>
            <c:dispEq val="0"/>
            <c:trendlineLbl>
              <c:numFmt formatCode="General" sourceLinked="0"/>
            </c:trendlineLbl>
          </c:trendline>
          <c:xVal>
            <c:numRef>
              <c:f>'Estimation Phase 3'!$B$179:$B$181</c:f>
              <c:numCache>
                <c:formatCode>General</c:formatCode>
                <c:ptCount val="3"/>
                <c:pt idx="0">
                  <c:v>813.95999999999992</c:v>
                </c:pt>
                <c:pt idx="1">
                  <c:v>1254.26</c:v>
                </c:pt>
                <c:pt idx="2">
                  <c:v>0</c:v>
                </c:pt>
              </c:numCache>
            </c:numRef>
          </c:xVal>
          <c:yVal>
            <c:numRef>
              <c:f>'Estimation Phase 3'!$C$179:$C$181</c:f>
              <c:numCache>
                <c:formatCode>General</c:formatCode>
                <c:ptCount val="3"/>
                <c:pt idx="0">
                  <c:v>2016</c:v>
                </c:pt>
                <c:pt idx="1">
                  <c:v>3680</c:v>
                </c:pt>
                <c:pt idx="2">
                  <c:v>0</c:v>
                </c:pt>
              </c:numCache>
            </c:numRef>
          </c:yVal>
          <c:smooth val="1"/>
        </c:ser>
        <c:dLbls>
          <c:showLegendKey val="0"/>
          <c:showVal val="0"/>
          <c:showCatName val="0"/>
          <c:showSerName val="0"/>
          <c:showPercent val="0"/>
          <c:showBubbleSize val="0"/>
        </c:dLbls>
        <c:axId val="-1315833328"/>
        <c:axId val="-1315827344"/>
      </c:scatterChart>
      <c:valAx>
        <c:axId val="-1315833328"/>
        <c:scaling>
          <c:orientation val="minMax"/>
        </c:scaling>
        <c:delete val="0"/>
        <c:axPos val="b"/>
        <c:majorGridlines>
          <c:spPr>
            <a:ln>
              <a:solidFill>
                <a:srgbClr val="B7B7B7"/>
              </a:solidFill>
            </a:ln>
          </c:spPr>
        </c:majorGridlines>
        <c:title>
          <c:tx>
            <c:rich>
              <a:bodyPr/>
              <a:lstStyle/>
              <a:p>
                <a:pPr lvl="0">
                  <a:defRPr b="1" i="0"/>
                </a:pPr>
                <a:r>
                  <a:rPr lang="en-US"/>
                  <a:t>DFP</a:t>
                </a:r>
              </a:p>
            </c:rich>
          </c:tx>
          <c:overlay val="0"/>
        </c:title>
        <c:numFmt formatCode="General" sourceLinked="1"/>
        <c:majorTickMark val="cross"/>
        <c:minorTickMark val="cross"/>
        <c:tickLblPos val="nextTo"/>
        <c:spPr>
          <a:ln w="47625">
            <a:noFill/>
          </a:ln>
        </c:spPr>
        <c:txPr>
          <a:bodyPr/>
          <a:lstStyle/>
          <a:p>
            <a:pPr lvl="0">
              <a:defRPr b="1" i="0"/>
            </a:pPr>
            <a:endParaRPr lang="en-US"/>
          </a:p>
        </c:txPr>
        <c:crossAx val="-1315827344"/>
        <c:crosses val="autoZero"/>
        <c:crossBetween val="midCat"/>
      </c:valAx>
      <c:valAx>
        <c:axId val="-1315827344"/>
        <c:scaling>
          <c:orientation val="minMax"/>
        </c:scaling>
        <c:delete val="0"/>
        <c:axPos val="l"/>
        <c:majorGridlines>
          <c:spPr>
            <a:ln>
              <a:solidFill>
                <a:srgbClr val="B7B7B7"/>
              </a:solidFill>
            </a:ln>
          </c:spPr>
        </c:majorGridlines>
        <c:title>
          <c:tx>
            <c:rich>
              <a:bodyPr/>
              <a:lstStyle/>
              <a:p>
                <a:pPr lvl="0">
                  <a:defRPr b="1" i="0"/>
                </a:pPr>
                <a:r>
                  <a:rPr lang="en-US"/>
                  <a:t>Effort (Man - Hour)</a:t>
                </a:r>
              </a:p>
            </c:rich>
          </c:tx>
          <c:overlay val="0"/>
        </c:title>
        <c:numFmt formatCode="General" sourceLinked="1"/>
        <c:majorTickMark val="cross"/>
        <c:minorTickMark val="cross"/>
        <c:tickLblPos val="nextTo"/>
        <c:spPr>
          <a:ln w="47625">
            <a:noFill/>
          </a:ln>
        </c:spPr>
        <c:txPr>
          <a:bodyPr/>
          <a:lstStyle/>
          <a:p>
            <a:pPr lvl="0">
              <a:defRPr b="1" i="0"/>
            </a:pPr>
            <a:endParaRPr lang="en-US"/>
          </a:p>
        </c:txPr>
        <c:crossAx val="-1315833328"/>
        <c:crosses val="autoZero"/>
        <c:crossBetween val="midCat"/>
      </c:valAx>
      <c:spPr>
        <a:solidFill>
          <a:srgbClr val="FFFFFF"/>
        </a:solidFill>
      </c:spPr>
    </c:plotArea>
    <c:legend>
      <c:legendPos val="r"/>
      <c:overlay val="0"/>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3" Type="http://schemas.openxmlformats.org/officeDocument/2006/relationships/image" Target="../media/image5.png"/><Relationship Id="rId7"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s>
</file>

<file path=xl/drawings/_rels/drawing6.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0.png"/></Relationships>
</file>

<file path=xl/drawings/_rels/drawing7.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 Id="rId4"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xdr:from>
      <xdr:col>2</xdr:col>
      <xdr:colOff>381000</xdr:colOff>
      <xdr:row>163</xdr:row>
      <xdr:rowOff>152400</xdr:rowOff>
    </xdr:from>
    <xdr:to>
      <xdr:col>3</xdr:col>
      <xdr:colOff>2705100</xdr:colOff>
      <xdr:row>181</xdr:row>
      <xdr:rowOff>104775</xdr:rowOff>
    </xdr:to>
    <xdr:graphicFrame macro="">
      <xdr:nvGraphicFramePr>
        <xdr:cNvPr id="2" name="Chart 1"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167</xdr:row>
      <xdr:rowOff>0</xdr:rowOff>
    </xdr:from>
    <xdr:to>
      <xdr:col>6</xdr:col>
      <xdr:colOff>495300</xdr:colOff>
      <xdr:row>184</xdr:row>
      <xdr:rowOff>114300</xdr:rowOff>
    </xdr:to>
    <xdr:graphicFrame macro="">
      <xdr:nvGraphicFramePr>
        <xdr:cNvPr id="2" name="Chart 2"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0</xdr:col>
      <xdr:colOff>314325</xdr:colOff>
      <xdr:row>18</xdr:row>
      <xdr:rowOff>0</xdr:rowOff>
    </xdr:from>
    <xdr:to>
      <xdr:col>0</xdr:col>
      <xdr:colOff>1838325</xdr:colOff>
      <xdr:row>19</xdr:row>
      <xdr:rowOff>190500</xdr:rowOff>
    </xdr:to>
    <xdr:pic>
      <xdr:nvPicPr>
        <xdr:cNvPr id="3" name="image00.png" title="Image"/>
        <xdr:cNvPicPr preferRelativeResize="0"/>
      </xdr:nvPicPr>
      <xdr:blipFill>
        <a:blip xmlns:r="http://schemas.openxmlformats.org/officeDocument/2006/relationships" r:embed="rId2" cstate="print"/>
        <a:stretch>
          <a:fillRect/>
        </a:stretch>
      </xdr:blipFill>
      <xdr:spPr>
        <a:xfrm>
          <a:off x="0" y="0"/>
          <a:ext cx="1524000" cy="390525"/>
        </a:xfrm>
        <a:prstGeom prst="rect">
          <a:avLst/>
        </a:prstGeom>
        <a:noFill/>
      </xdr:spPr>
    </xdr:pic>
    <xdr:clientData fLocksWithSheet="0"/>
  </xdr:twoCellAnchor>
</xdr:wsDr>
</file>

<file path=xl/drawings/drawing3.xml><?xml version="1.0" encoding="utf-8"?>
<xdr:wsDr xmlns:xdr="http://schemas.openxmlformats.org/drawingml/2006/spreadsheetDrawing" xmlns:a="http://schemas.openxmlformats.org/drawingml/2006/main">
  <xdr:twoCellAnchor>
    <xdr:from>
      <xdr:col>3</xdr:col>
      <xdr:colOff>923925</xdr:colOff>
      <xdr:row>177</xdr:row>
      <xdr:rowOff>95250</xdr:rowOff>
    </xdr:from>
    <xdr:to>
      <xdr:col>9</xdr:col>
      <xdr:colOff>695325</xdr:colOff>
      <xdr:row>195</xdr:row>
      <xdr:rowOff>76200</xdr:rowOff>
    </xdr:to>
    <xdr:graphicFrame macro="">
      <xdr:nvGraphicFramePr>
        <xdr:cNvPr id="3" name="Chart 3"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4.xml><?xml version="1.0" encoding="utf-8"?>
<xdr:wsDr xmlns:xdr="http://schemas.openxmlformats.org/drawingml/2006/spreadsheetDrawing" xmlns:a="http://schemas.openxmlformats.org/drawingml/2006/main">
  <xdr:twoCellAnchor>
    <xdr:from>
      <xdr:col>0</xdr:col>
      <xdr:colOff>47625</xdr:colOff>
      <xdr:row>74</xdr:row>
      <xdr:rowOff>123825</xdr:rowOff>
    </xdr:from>
    <xdr:to>
      <xdr:col>1</xdr:col>
      <xdr:colOff>581025</xdr:colOff>
      <xdr:row>78</xdr:row>
      <xdr:rowOff>66675</xdr:rowOff>
    </xdr:to>
    <xdr:pic>
      <xdr:nvPicPr>
        <xdr:cNvPr id="2" name="image03.png"/>
        <xdr:cNvPicPr preferRelativeResize="0"/>
      </xdr:nvPicPr>
      <xdr:blipFill>
        <a:blip xmlns:r="http://schemas.openxmlformats.org/officeDocument/2006/relationships" r:embed="rId1" cstate="print"/>
        <a:stretch>
          <a:fillRect/>
        </a:stretch>
      </xdr:blipFill>
      <xdr:spPr>
        <a:xfrm>
          <a:off x="0" y="0"/>
          <a:ext cx="3124200" cy="704850"/>
        </a:xfrm>
        <a:prstGeom prst="rect">
          <a:avLst/>
        </a:prstGeom>
        <a:noFill/>
      </xdr:spPr>
    </xdr:pic>
    <xdr:clientData fLocksWithSheet="0"/>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67</xdr:row>
      <xdr:rowOff>0</xdr:rowOff>
    </xdr:from>
    <xdr:to>
      <xdr:col>4</xdr:col>
      <xdr:colOff>419100</xdr:colOff>
      <xdr:row>67</xdr:row>
      <xdr:rowOff>152400</xdr:rowOff>
    </xdr:to>
    <xdr:pic>
      <xdr:nvPicPr>
        <xdr:cNvPr id="2" name="Picture 1"/>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781425" y="12230100"/>
          <a:ext cx="4191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0</xdr:colOff>
      <xdr:row>67</xdr:row>
      <xdr:rowOff>0</xdr:rowOff>
    </xdr:from>
    <xdr:to>
      <xdr:col>5</xdr:col>
      <xdr:colOff>381000</xdr:colOff>
      <xdr:row>67</xdr:row>
      <xdr:rowOff>152400</xdr:rowOff>
    </xdr:to>
    <xdr:pic>
      <xdr:nvPicPr>
        <xdr:cNvPr id="3" name="Picture 2"/>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4743450" y="12230100"/>
          <a:ext cx="381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72</xdr:row>
      <xdr:rowOff>0</xdr:rowOff>
    </xdr:from>
    <xdr:to>
      <xdr:col>1</xdr:col>
      <xdr:colOff>114300</xdr:colOff>
      <xdr:row>72</xdr:row>
      <xdr:rowOff>152400</xdr:rowOff>
    </xdr:to>
    <xdr:pic>
      <xdr:nvPicPr>
        <xdr:cNvPr id="4" name="Picture 3"/>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962025" y="13068300"/>
          <a:ext cx="1143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72</xdr:row>
      <xdr:rowOff>0</xdr:rowOff>
    </xdr:from>
    <xdr:to>
      <xdr:col>2</xdr:col>
      <xdr:colOff>114300</xdr:colOff>
      <xdr:row>72</xdr:row>
      <xdr:rowOff>152400</xdr:rowOff>
    </xdr:to>
    <xdr:pic>
      <xdr:nvPicPr>
        <xdr:cNvPr id="5" name="Picture 4"/>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447925" y="13068300"/>
          <a:ext cx="1143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80</xdr:row>
      <xdr:rowOff>0</xdr:rowOff>
    </xdr:from>
    <xdr:to>
      <xdr:col>1</xdr:col>
      <xdr:colOff>114300</xdr:colOff>
      <xdr:row>80</xdr:row>
      <xdr:rowOff>152400</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962025" y="13068300"/>
          <a:ext cx="1143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80</xdr:row>
      <xdr:rowOff>0</xdr:rowOff>
    </xdr:from>
    <xdr:to>
      <xdr:col>2</xdr:col>
      <xdr:colOff>114300</xdr:colOff>
      <xdr:row>80</xdr:row>
      <xdr:rowOff>152400</xdr:rowOff>
    </xdr:to>
    <xdr:pic>
      <xdr:nvPicPr>
        <xdr:cNvPr id="7" name="Picture 6"/>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447925" y="13068300"/>
          <a:ext cx="1143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704850</xdr:colOff>
      <xdr:row>72</xdr:row>
      <xdr:rowOff>57150</xdr:rowOff>
    </xdr:from>
    <xdr:to>
      <xdr:col>13</xdr:col>
      <xdr:colOff>504249</xdr:colOff>
      <xdr:row>90</xdr:row>
      <xdr:rowOff>37730</xdr:rowOff>
    </xdr:to>
    <xdr:pic>
      <xdr:nvPicPr>
        <xdr:cNvPr id="8" name="Picture 7"/>
        <xdr:cNvPicPr>
          <a:picLocks noChangeAspect="1"/>
        </xdr:cNvPicPr>
      </xdr:nvPicPr>
      <xdr:blipFill>
        <a:blip xmlns:r="http://schemas.openxmlformats.org/officeDocument/2006/relationships" r:embed="rId5"/>
        <a:stretch>
          <a:fillRect/>
        </a:stretch>
      </xdr:blipFill>
      <xdr:spPr>
        <a:xfrm>
          <a:off x="9296400" y="13125450"/>
          <a:ext cx="4609524" cy="2961905"/>
        </a:xfrm>
        <a:prstGeom prst="rect">
          <a:avLst/>
        </a:prstGeom>
      </xdr:spPr>
    </xdr:pic>
    <xdr:clientData/>
  </xdr:twoCellAnchor>
  <xdr:twoCellAnchor editAs="oneCell">
    <xdr:from>
      <xdr:col>8</xdr:col>
      <xdr:colOff>666750</xdr:colOff>
      <xdr:row>91</xdr:row>
      <xdr:rowOff>152400</xdr:rowOff>
    </xdr:from>
    <xdr:to>
      <xdr:col>13</xdr:col>
      <xdr:colOff>751863</xdr:colOff>
      <xdr:row>111</xdr:row>
      <xdr:rowOff>56727</xdr:rowOff>
    </xdr:to>
    <xdr:pic>
      <xdr:nvPicPr>
        <xdr:cNvPr id="9" name="Picture 8"/>
        <xdr:cNvPicPr>
          <a:picLocks noChangeAspect="1"/>
        </xdr:cNvPicPr>
      </xdr:nvPicPr>
      <xdr:blipFill>
        <a:blip xmlns:r="http://schemas.openxmlformats.org/officeDocument/2006/relationships" r:embed="rId6"/>
        <a:stretch>
          <a:fillRect/>
        </a:stretch>
      </xdr:blipFill>
      <xdr:spPr>
        <a:xfrm>
          <a:off x="9258300" y="16373475"/>
          <a:ext cx="4895238" cy="3380952"/>
        </a:xfrm>
        <a:prstGeom prst="rect">
          <a:avLst/>
        </a:prstGeom>
      </xdr:spPr>
    </xdr:pic>
    <xdr:clientData/>
  </xdr:twoCellAnchor>
  <xdr:twoCellAnchor editAs="oneCell">
    <xdr:from>
      <xdr:col>13</xdr:col>
      <xdr:colOff>876300</xdr:colOff>
      <xdr:row>71</xdr:row>
      <xdr:rowOff>161925</xdr:rowOff>
    </xdr:from>
    <xdr:to>
      <xdr:col>18</xdr:col>
      <xdr:colOff>951889</xdr:colOff>
      <xdr:row>93</xdr:row>
      <xdr:rowOff>56706</xdr:rowOff>
    </xdr:to>
    <xdr:pic>
      <xdr:nvPicPr>
        <xdr:cNvPr id="10" name="Picture 9"/>
        <xdr:cNvPicPr>
          <a:picLocks noChangeAspect="1"/>
        </xdr:cNvPicPr>
      </xdr:nvPicPr>
      <xdr:blipFill>
        <a:blip xmlns:r="http://schemas.openxmlformats.org/officeDocument/2006/relationships" r:embed="rId7"/>
        <a:stretch>
          <a:fillRect/>
        </a:stretch>
      </xdr:blipFill>
      <xdr:spPr>
        <a:xfrm>
          <a:off x="14277975" y="13058775"/>
          <a:ext cx="4885714" cy="3552381"/>
        </a:xfrm>
        <a:prstGeom prst="rect">
          <a:avLst/>
        </a:prstGeom>
      </xdr:spPr>
    </xdr:pic>
    <xdr:clientData/>
  </xdr:twoCellAnchor>
  <xdr:twoCellAnchor>
    <xdr:from>
      <xdr:col>0</xdr:col>
      <xdr:colOff>0</xdr:colOff>
      <xdr:row>104</xdr:row>
      <xdr:rowOff>0</xdr:rowOff>
    </xdr:from>
    <xdr:to>
      <xdr:col>0</xdr:col>
      <xdr:colOff>114300</xdr:colOff>
      <xdr:row>104</xdr:row>
      <xdr:rowOff>152400</xdr:rowOff>
    </xdr:to>
    <xdr:pic>
      <xdr:nvPicPr>
        <xdr:cNvPr id="11" name="Picture 10"/>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962025" y="13068300"/>
          <a:ext cx="1143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104</xdr:row>
      <xdr:rowOff>0</xdr:rowOff>
    </xdr:from>
    <xdr:to>
      <xdr:col>1</xdr:col>
      <xdr:colOff>114300</xdr:colOff>
      <xdr:row>104</xdr:row>
      <xdr:rowOff>152400</xdr:rowOff>
    </xdr:to>
    <xdr:pic>
      <xdr:nvPicPr>
        <xdr:cNvPr id="12" name="Picture 11"/>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447925" y="13068300"/>
          <a:ext cx="1143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20</xdr:row>
      <xdr:rowOff>9525</xdr:rowOff>
    </xdr:from>
    <xdr:to>
      <xdr:col>5</xdr:col>
      <xdr:colOff>104775</xdr:colOff>
      <xdr:row>35</xdr:row>
      <xdr:rowOff>66675</xdr:rowOff>
    </xdr:to>
    <xdr:pic>
      <xdr:nvPicPr>
        <xdr:cNvPr id="2" name="image02.png"/>
        <xdr:cNvPicPr preferRelativeResize="0"/>
      </xdr:nvPicPr>
      <xdr:blipFill>
        <a:blip xmlns:r="http://schemas.openxmlformats.org/officeDocument/2006/relationships" r:embed="rId1" cstate="print"/>
        <a:stretch>
          <a:fillRect/>
        </a:stretch>
      </xdr:blipFill>
      <xdr:spPr>
        <a:xfrm>
          <a:off x="0" y="0"/>
          <a:ext cx="5686425" cy="2486025"/>
        </a:xfrm>
        <a:prstGeom prst="rect">
          <a:avLst/>
        </a:prstGeom>
        <a:noFill/>
      </xdr:spPr>
    </xdr:pic>
    <xdr:clientData fLocksWithSheet="0"/>
  </xdr:twoCellAnchor>
  <xdr:twoCellAnchor>
    <xdr:from>
      <xdr:col>0</xdr:col>
      <xdr:colOff>0</xdr:colOff>
      <xdr:row>41</xdr:row>
      <xdr:rowOff>0</xdr:rowOff>
    </xdr:from>
    <xdr:to>
      <xdr:col>3</xdr:col>
      <xdr:colOff>180975</xdr:colOff>
      <xdr:row>44</xdr:row>
      <xdr:rowOff>38100</xdr:rowOff>
    </xdr:to>
    <xdr:pic>
      <xdr:nvPicPr>
        <xdr:cNvPr id="3" name="image01.png" descr="/Users/kanqi/Library/Group Containers/UBF8T346G9.Office/msoclip1/01/clip_image001.png"/>
        <xdr:cNvPicPr preferRelativeResize="0"/>
      </xdr:nvPicPr>
      <xdr:blipFill>
        <a:blip xmlns:r="http://schemas.openxmlformats.org/officeDocument/2006/relationships" r:embed="rId2" cstate="print"/>
        <a:stretch>
          <a:fillRect/>
        </a:stretch>
      </xdr:blipFill>
      <xdr:spPr>
        <a:xfrm>
          <a:off x="0" y="0"/>
          <a:ext cx="4086225" cy="523875"/>
        </a:xfrm>
        <a:prstGeom prst="rect">
          <a:avLst/>
        </a:prstGeom>
        <a:noFill/>
      </xdr:spPr>
    </xdr:pic>
    <xdr:clientData fLocksWithSheet="0"/>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238125</xdr:colOff>
      <xdr:row>1</xdr:row>
      <xdr:rowOff>152400</xdr:rowOff>
    </xdr:to>
    <xdr:pic>
      <xdr:nvPicPr>
        <xdr:cNvPr id="2" name="Picture 1"/>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609600" y="0"/>
          <a:ext cx="23812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2</xdr:row>
      <xdr:rowOff>0</xdr:rowOff>
    </xdr:from>
    <xdr:to>
      <xdr:col>1</xdr:col>
      <xdr:colOff>266700</xdr:colOff>
      <xdr:row>2</xdr:row>
      <xdr:rowOff>152400</xdr:rowOff>
    </xdr:to>
    <xdr:pic>
      <xdr:nvPicPr>
        <xdr:cNvPr id="3" name="Picture 2"/>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609600" y="161925"/>
          <a:ext cx="2667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3</xdr:row>
      <xdr:rowOff>0</xdr:rowOff>
    </xdr:from>
    <xdr:to>
      <xdr:col>1</xdr:col>
      <xdr:colOff>238125</xdr:colOff>
      <xdr:row>3</xdr:row>
      <xdr:rowOff>152400</xdr:rowOff>
    </xdr:to>
    <xdr:pic>
      <xdr:nvPicPr>
        <xdr:cNvPr id="4" name="Picture 3"/>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609600" y="323850"/>
          <a:ext cx="23812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13</xdr:row>
      <xdr:rowOff>0</xdr:rowOff>
    </xdr:from>
    <xdr:to>
      <xdr:col>4</xdr:col>
      <xdr:colOff>552450</xdr:colOff>
      <xdr:row>13</xdr:row>
      <xdr:rowOff>152400</xdr:rowOff>
    </xdr:to>
    <xdr:pic>
      <xdr:nvPicPr>
        <xdr:cNvPr id="5" name="Picture 4"/>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0" y="2124075"/>
          <a:ext cx="299085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9"/>
  <sheetViews>
    <sheetView topLeftCell="A49" workbookViewId="0">
      <selection activeCell="H67" sqref="H67"/>
    </sheetView>
  </sheetViews>
  <sheetFormatPr defaultColWidth="17.28515625" defaultRowHeight="15" customHeight="1"/>
  <cols>
    <col min="1" max="1" width="55" customWidth="1"/>
    <col min="2" max="2" width="34.42578125" customWidth="1"/>
    <col min="3" max="3" width="50.5703125" customWidth="1"/>
    <col min="4" max="4" width="42.7109375" customWidth="1"/>
    <col min="5" max="5" width="14.42578125" customWidth="1"/>
    <col min="6" max="6" width="29" customWidth="1"/>
    <col min="7" max="19" width="14.42578125" customWidth="1"/>
  </cols>
  <sheetData>
    <row r="1" spans="1:26" ht="12.75" customHeight="1">
      <c r="A1" s="1" t="s">
        <v>0</v>
      </c>
      <c r="B1" s="2"/>
      <c r="C1" s="2"/>
      <c r="D1" s="2"/>
      <c r="E1" s="3"/>
      <c r="F1" s="2"/>
      <c r="G1" s="3"/>
      <c r="H1" s="3"/>
      <c r="I1" s="3"/>
      <c r="J1" s="3"/>
      <c r="K1" s="3"/>
      <c r="L1" s="3"/>
      <c r="M1" s="3"/>
      <c r="N1" s="3"/>
      <c r="O1" s="3"/>
      <c r="P1" s="3"/>
      <c r="Q1" s="3"/>
      <c r="R1" s="3"/>
      <c r="S1" s="3"/>
      <c r="T1" s="3"/>
      <c r="U1" s="3"/>
      <c r="V1" s="3"/>
      <c r="W1" s="3"/>
      <c r="X1" s="3"/>
      <c r="Y1" s="3"/>
      <c r="Z1" s="3"/>
    </row>
    <row r="2" spans="1:26" ht="12.75" customHeight="1">
      <c r="A2" s="1" t="s">
        <v>1</v>
      </c>
      <c r="B2" s="2"/>
      <c r="C2" s="2"/>
      <c r="D2" s="2"/>
      <c r="E2" s="3"/>
      <c r="F2" s="2"/>
      <c r="G2" s="3"/>
      <c r="H2" s="3"/>
      <c r="I2" s="3"/>
      <c r="J2" s="3"/>
      <c r="K2" s="3"/>
      <c r="L2" s="3"/>
      <c r="M2" s="3"/>
      <c r="N2" s="3"/>
      <c r="O2" s="3"/>
      <c r="P2" s="3"/>
      <c r="Q2" s="3"/>
      <c r="R2" s="3"/>
      <c r="S2" s="3"/>
      <c r="T2" s="3"/>
      <c r="U2" s="3"/>
      <c r="V2" s="3"/>
      <c r="W2" s="3"/>
      <c r="X2" s="3"/>
      <c r="Y2" s="3"/>
      <c r="Z2" s="3"/>
    </row>
    <row r="3" spans="1:26" ht="12.75" customHeight="1">
      <c r="A3" s="1" t="s">
        <v>2</v>
      </c>
      <c r="B3" s="2"/>
      <c r="C3" s="2"/>
      <c r="D3" s="2"/>
      <c r="E3" s="3"/>
      <c r="F3" s="2"/>
      <c r="G3" s="3"/>
      <c r="H3" s="3"/>
      <c r="I3" s="3"/>
      <c r="J3" s="3"/>
      <c r="K3" s="3"/>
      <c r="L3" s="3"/>
      <c r="M3" s="3"/>
      <c r="N3" s="3"/>
      <c r="O3" s="3"/>
      <c r="P3" s="3"/>
      <c r="Q3" s="3"/>
      <c r="R3" s="3"/>
      <c r="S3" s="3"/>
      <c r="T3" s="3"/>
      <c r="U3" s="3"/>
      <c r="V3" s="3"/>
      <c r="W3" s="3"/>
      <c r="X3" s="3"/>
      <c r="Y3" s="3"/>
      <c r="Z3" s="3"/>
    </row>
    <row r="4" spans="1:26" ht="12.75" customHeight="1">
      <c r="A4" s="1" t="s">
        <v>3</v>
      </c>
      <c r="B4" s="2"/>
      <c r="C4" s="2"/>
      <c r="D4" s="2"/>
      <c r="E4" s="3"/>
      <c r="F4" s="2"/>
      <c r="G4" s="3"/>
      <c r="H4" s="3"/>
      <c r="I4" s="3"/>
      <c r="J4" s="3"/>
      <c r="K4" s="3"/>
      <c r="L4" s="3"/>
      <c r="M4" s="3"/>
      <c r="N4" s="3"/>
      <c r="O4" s="3"/>
      <c r="P4" s="3"/>
      <c r="Q4" s="3"/>
      <c r="R4" s="3"/>
      <c r="S4" s="3"/>
      <c r="T4" s="3"/>
      <c r="U4" s="3"/>
      <c r="V4" s="3"/>
      <c r="W4" s="3"/>
      <c r="X4" s="3"/>
      <c r="Y4" s="3"/>
      <c r="Z4" s="3"/>
    </row>
    <row r="5" spans="1:26" ht="12.75" customHeight="1">
      <c r="A5" s="1" t="s">
        <v>4</v>
      </c>
      <c r="B5" s="2"/>
      <c r="C5" s="2"/>
      <c r="D5" s="2"/>
      <c r="E5" s="3"/>
      <c r="F5" s="2"/>
      <c r="G5" s="3"/>
      <c r="H5" s="3"/>
      <c r="I5" s="3"/>
      <c r="J5" s="3"/>
      <c r="K5" s="3"/>
      <c r="L5" s="3"/>
      <c r="M5" s="3"/>
      <c r="N5" s="3"/>
      <c r="O5" s="3"/>
      <c r="P5" s="3"/>
      <c r="Q5" s="3"/>
      <c r="R5" s="3"/>
      <c r="S5" s="3"/>
      <c r="T5" s="3"/>
      <c r="U5" s="3"/>
      <c r="V5" s="3"/>
      <c r="W5" s="3"/>
      <c r="X5" s="3"/>
      <c r="Y5" s="3"/>
      <c r="Z5" s="3"/>
    </row>
    <row r="6" spans="1:26" ht="12.75" customHeight="1">
      <c r="A6" s="1" t="s">
        <v>5</v>
      </c>
      <c r="B6" s="2"/>
      <c r="C6" s="2"/>
      <c r="D6" s="2"/>
      <c r="E6" s="3"/>
      <c r="F6" s="2"/>
      <c r="G6" s="3"/>
      <c r="H6" s="3"/>
      <c r="I6" s="3"/>
      <c r="J6" s="3"/>
      <c r="K6" s="3"/>
      <c r="L6" s="3"/>
      <c r="M6" s="3"/>
      <c r="N6" s="3"/>
      <c r="O6" s="3"/>
      <c r="P6" s="3"/>
      <c r="Q6" s="3"/>
      <c r="R6" s="3"/>
      <c r="S6" s="3"/>
      <c r="T6" s="3"/>
      <c r="U6" s="3"/>
      <c r="V6" s="3"/>
      <c r="W6" s="3"/>
      <c r="X6" s="3"/>
      <c r="Y6" s="3"/>
      <c r="Z6" s="3"/>
    </row>
    <row r="7" spans="1:26" ht="15.75" customHeight="1">
      <c r="A7" s="4" t="s">
        <v>6</v>
      </c>
      <c r="B7" s="4" t="s">
        <v>7</v>
      </c>
      <c r="C7" s="2"/>
      <c r="D7" s="2"/>
      <c r="E7" s="3"/>
      <c r="F7" s="2"/>
      <c r="G7" s="3"/>
      <c r="H7" s="3"/>
      <c r="I7" s="3"/>
      <c r="J7" s="3"/>
      <c r="K7" s="3"/>
      <c r="L7" s="3"/>
      <c r="M7" s="3"/>
      <c r="N7" s="3"/>
      <c r="O7" s="3"/>
      <c r="P7" s="3"/>
      <c r="Q7" s="3"/>
      <c r="R7" s="3"/>
      <c r="S7" s="3"/>
      <c r="T7" s="3"/>
      <c r="U7" s="3"/>
      <c r="V7" s="3"/>
      <c r="W7" s="3"/>
      <c r="X7" s="3"/>
      <c r="Y7" s="3"/>
      <c r="Z7" s="3"/>
    </row>
    <row r="8" spans="1:26" ht="14.25" customHeight="1">
      <c r="A8" s="5">
        <v>42372</v>
      </c>
      <c r="B8" s="6">
        <v>5</v>
      </c>
      <c r="C8" s="2"/>
      <c r="D8" s="2"/>
      <c r="E8" s="3"/>
      <c r="F8" s="2"/>
      <c r="G8" s="3"/>
      <c r="H8" s="3"/>
      <c r="I8" s="3"/>
      <c r="J8" s="3"/>
      <c r="K8" s="3"/>
      <c r="L8" s="3"/>
      <c r="M8" s="3"/>
      <c r="N8" s="3"/>
      <c r="O8" s="3"/>
      <c r="P8" s="3"/>
      <c r="Q8" s="3"/>
      <c r="R8" s="3"/>
      <c r="S8" s="3"/>
      <c r="T8" s="3"/>
      <c r="U8" s="3"/>
      <c r="V8" s="3"/>
      <c r="W8" s="3"/>
      <c r="X8" s="3"/>
      <c r="Y8" s="3"/>
      <c r="Z8" s="3"/>
    </row>
    <row r="9" spans="1:26" ht="14.25" customHeight="1">
      <c r="A9" s="5">
        <v>42467</v>
      </c>
      <c r="B9" s="6">
        <v>10</v>
      </c>
      <c r="C9" s="2"/>
      <c r="D9" s="2"/>
      <c r="E9" s="3"/>
      <c r="F9" s="2"/>
      <c r="G9" s="3"/>
      <c r="H9" s="3"/>
      <c r="I9" s="3"/>
      <c r="J9" s="3"/>
      <c r="K9" s="3"/>
      <c r="L9" s="3"/>
      <c r="M9" s="3"/>
      <c r="N9" s="3"/>
      <c r="O9" s="3"/>
      <c r="P9" s="3"/>
      <c r="Q9" s="3"/>
      <c r="R9" s="3"/>
      <c r="S9" s="3"/>
      <c r="T9" s="3"/>
      <c r="U9" s="3"/>
      <c r="V9" s="3"/>
      <c r="W9" s="3"/>
      <c r="X9" s="3"/>
      <c r="Y9" s="3"/>
      <c r="Z9" s="3"/>
    </row>
    <row r="10" spans="1:26" ht="14.25" customHeight="1">
      <c r="A10" s="7" t="s">
        <v>8</v>
      </c>
      <c r="B10" s="6">
        <v>15</v>
      </c>
      <c r="C10" s="2"/>
      <c r="D10" s="2"/>
      <c r="E10" s="3"/>
      <c r="F10" s="2"/>
      <c r="G10" s="3"/>
      <c r="H10" s="3"/>
      <c r="I10" s="3"/>
      <c r="J10" s="3"/>
      <c r="K10" s="3"/>
      <c r="L10" s="3"/>
      <c r="M10" s="3"/>
      <c r="N10" s="3"/>
      <c r="O10" s="3"/>
      <c r="P10" s="3"/>
      <c r="Q10" s="3"/>
      <c r="R10" s="3"/>
      <c r="S10" s="3"/>
      <c r="T10" s="3"/>
      <c r="U10" s="3"/>
      <c r="V10" s="3"/>
      <c r="W10" s="3"/>
      <c r="X10" s="3"/>
      <c r="Y10" s="3"/>
      <c r="Z10" s="3"/>
    </row>
    <row r="11" spans="1:26" ht="12.75" customHeight="1">
      <c r="A11" s="1"/>
      <c r="B11" s="2"/>
      <c r="C11" s="2"/>
      <c r="D11" s="2"/>
      <c r="E11" s="3"/>
      <c r="F11" s="2"/>
      <c r="G11" s="3"/>
      <c r="H11" s="3"/>
      <c r="I11" s="3"/>
      <c r="J11" s="3"/>
      <c r="K11" s="3"/>
      <c r="L11" s="3"/>
      <c r="M11" s="3"/>
      <c r="N11" s="3"/>
      <c r="O11" s="3"/>
      <c r="P11" s="3"/>
      <c r="Q11" s="3"/>
      <c r="R11" s="3"/>
      <c r="S11" s="3"/>
      <c r="T11" s="3"/>
      <c r="U11" s="3"/>
      <c r="V11" s="3"/>
      <c r="W11" s="3"/>
      <c r="X11" s="3"/>
      <c r="Y11" s="3"/>
      <c r="Z11" s="3"/>
    </row>
    <row r="12" spans="1:26" ht="12.75" customHeight="1">
      <c r="A12" s="1" t="s">
        <v>9</v>
      </c>
      <c r="B12" s="2"/>
      <c r="C12" s="2"/>
      <c r="D12" s="2"/>
      <c r="E12" s="3"/>
      <c r="F12" s="2"/>
      <c r="G12" s="3"/>
      <c r="H12" s="3"/>
      <c r="I12" s="3"/>
      <c r="J12" s="3"/>
      <c r="K12" s="3"/>
      <c r="L12" s="3"/>
      <c r="M12" s="3"/>
      <c r="N12" s="3"/>
      <c r="O12" s="3"/>
      <c r="P12" s="3"/>
      <c r="Q12" s="3"/>
      <c r="R12" s="3"/>
      <c r="S12" s="3"/>
      <c r="T12" s="3"/>
      <c r="U12" s="3"/>
      <c r="V12" s="3"/>
      <c r="W12" s="3"/>
      <c r="X12" s="3"/>
      <c r="Y12" s="3"/>
      <c r="Z12" s="3"/>
    </row>
    <row r="13" spans="1:26" ht="15.75" customHeight="1">
      <c r="A13" s="4" t="s">
        <v>10</v>
      </c>
      <c r="B13" s="4" t="s">
        <v>11</v>
      </c>
      <c r="C13" s="4" t="s">
        <v>12</v>
      </c>
      <c r="D13" s="2"/>
      <c r="E13" s="3"/>
      <c r="F13" s="2"/>
      <c r="G13" s="3"/>
      <c r="H13" s="3"/>
      <c r="I13" s="3"/>
      <c r="J13" s="3"/>
      <c r="K13" s="3"/>
      <c r="L13" s="3"/>
      <c r="M13" s="3"/>
      <c r="N13" s="3"/>
      <c r="O13" s="3"/>
      <c r="P13" s="3"/>
      <c r="Q13" s="3"/>
      <c r="R13" s="3"/>
      <c r="S13" s="3"/>
      <c r="T13" s="3"/>
      <c r="U13" s="3"/>
      <c r="V13" s="3"/>
      <c r="W13" s="3"/>
      <c r="X13" s="3"/>
      <c r="Y13" s="3"/>
      <c r="Z13" s="3"/>
    </row>
    <row r="14" spans="1:26" ht="14.25" customHeight="1">
      <c r="A14" s="6" t="s">
        <v>13</v>
      </c>
      <c r="B14" s="6" t="s">
        <v>14</v>
      </c>
      <c r="C14" s="8">
        <v>1</v>
      </c>
      <c r="D14" s="2"/>
      <c r="E14" s="3"/>
      <c r="F14" s="2"/>
      <c r="G14" s="3"/>
      <c r="H14" s="3"/>
      <c r="I14" s="3"/>
      <c r="J14" s="3"/>
      <c r="K14" s="3"/>
      <c r="L14" s="3"/>
      <c r="M14" s="3"/>
      <c r="N14" s="3"/>
      <c r="O14" s="3"/>
      <c r="P14" s="3"/>
      <c r="Q14" s="3"/>
      <c r="R14" s="3"/>
      <c r="S14" s="3"/>
      <c r="T14" s="3"/>
      <c r="U14" s="3"/>
      <c r="V14" s="3"/>
      <c r="W14" s="3"/>
      <c r="X14" s="3"/>
      <c r="Y14" s="3"/>
      <c r="Z14" s="3"/>
    </row>
    <row r="15" spans="1:26" ht="14.25" customHeight="1">
      <c r="A15" s="6" t="s">
        <v>15</v>
      </c>
      <c r="B15" s="6" t="s">
        <v>16</v>
      </c>
      <c r="C15" s="8">
        <v>2</v>
      </c>
      <c r="D15" s="2"/>
      <c r="E15" s="3"/>
      <c r="F15" s="2"/>
      <c r="G15" s="3"/>
      <c r="H15" s="3"/>
      <c r="I15" s="3"/>
      <c r="J15" s="3"/>
      <c r="K15" s="3"/>
      <c r="L15" s="3"/>
      <c r="M15" s="3"/>
      <c r="N15" s="3"/>
      <c r="O15" s="3"/>
      <c r="P15" s="3"/>
      <c r="Q15" s="3"/>
      <c r="R15" s="3"/>
      <c r="S15" s="3"/>
      <c r="T15" s="3"/>
      <c r="U15" s="3"/>
      <c r="V15" s="3"/>
      <c r="W15" s="3"/>
      <c r="X15" s="3"/>
      <c r="Y15" s="3"/>
      <c r="Z15" s="3"/>
    </row>
    <row r="16" spans="1:26" ht="14.25" customHeight="1">
      <c r="A16" s="6" t="s">
        <v>17</v>
      </c>
      <c r="B16" s="6" t="s">
        <v>18</v>
      </c>
      <c r="C16" s="8">
        <v>3</v>
      </c>
      <c r="D16" s="2"/>
      <c r="E16" s="3"/>
      <c r="F16" s="2"/>
      <c r="G16" s="3"/>
      <c r="H16" s="3"/>
      <c r="I16" s="3"/>
      <c r="J16" s="3"/>
      <c r="K16" s="3"/>
      <c r="L16" s="3"/>
      <c r="M16" s="3"/>
      <c r="N16" s="3"/>
      <c r="O16" s="3"/>
      <c r="P16" s="3"/>
      <c r="Q16" s="3"/>
      <c r="R16" s="3"/>
      <c r="S16" s="3"/>
      <c r="T16" s="3"/>
      <c r="U16" s="3"/>
      <c r="V16" s="3"/>
      <c r="W16" s="3"/>
      <c r="X16" s="3"/>
      <c r="Y16" s="3"/>
      <c r="Z16" s="3"/>
    </row>
    <row r="17" spans="1:26" ht="12.75" customHeight="1">
      <c r="A17" s="1"/>
      <c r="B17" s="2"/>
      <c r="C17" s="2"/>
      <c r="D17" s="2"/>
      <c r="E17" s="3"/>
      <c r="F17" s="2"/>
      <c r="G17" s="3"/>
      <c r="H17" s="3"/>
      <c r="I17" s="3"/>
      <c r="J17" s="3"/>
      <c r="K17" s="3"/>
      <c r="L17" s="3"/>
      <c r="M17" s="3"/>
      <c r="N17" s="3"/>
      <c r="O17" s="3"/>
      <c r="P17" s="3"/>
      <c r="Q17" s="3"/>
      <c r="R17" s="3"/>
      <c r="S17" s="3"/>
      <c r="T17" s="3"/>
      <c r="U17" s="3"/>
      <c r="V17" s="3"/>
      <c r="W17" s="3"/>
      <c r="X17" s="3"/>
      <c r="Y17" s="3"/>
      <c r="Z17" s="3"/>
    </row>
    <row r="18" spans="1:26" ht="12.75" customHeight="1">
      <c r="A18" s="1" t="s">
        <v>19</v>
      </c>
      <c r="B18" s="2"/>
      <c r="C18" s="2"/>
      <c r="D18" s="2"/>
      <c r="E18" s="3"/>
      <c r="F18" s="2"/>
      <c r="G18" s="3"/>
      <c r="H18" s="3"/>
      <c r="I18" s="3"/>
      <c r="J18" s="3"/>
      <c r="K18" s="3"/>
      <c r="L18" s="3"/>
      <c r="M18" s="3"/>
      <c r="N18" s="3"/>
      <c r="O18" s="3"/>
      <c r="P18" s="3"/>
      <c r="Q18" s="3"/>
      <c r="R18" s="3"/>
      <c r="S18" s="3"/>
      <c r="T18" s="3"/>
      <c r="U18" s="3"/>
      <c r="V18" s="3"/>
      <c r="W18" s="3"/>
      <c r="X18" s="3"/>
      <c r="Y18" s="3"/>
      <c r="Z18" s="3"/>
    </row>
    <row r="19" spans="1:26" ht="16.5" customHeight="1">
      <c r="A19" s="9" t="s">
        <v>20</v>
      </c>
      <c r="B19" s="2"/>
      <c r="C19" s="2"/>
      <c r="D19" s="2"/>
      <c r="E19" s="3"/>
      <c r="F19" s="2"/>
      <c r="G19" s="3"/>
      <c r="H19" s="3"/>
      <c r="I19" s="3"/>
      <c r="J19" s="3"/>
      <c r="K19" s="3"/>
      <c r="L19" s="3"/>
      <c r="M19" s="3"/>
      <c r="N19" s="3"/>
      <c r="O19" s="3"/>
      <c r="P19" s="3"/>
      <c r="Q19" s="3"/>
      <c r="R19" s="3"/>
      <c r="S19" s="3"/>
      <c r="T19" s="3"/>
      <c r="U19" s="3"/>
      <c r="V19" s="3"/>
      <c r="W19" s="3"/>
      <c r="X19" s="3"/>
      <c r="Y19" s="3"/>
      <c r="Z19" s="3"/>
    </row>
    <row r="20" spans="1:26" ht="15.75" customHeight="1">
      <c r="A20" s="10" t="s">
        <v>21</v>
      </c>
      <c r="B20" s="10" t="s">
        <v>22</v>
      </c>
      <c r="C20" s="10" t="s">
        <v>23</v>
      </c>
      <c r="E20" s="3"/>
      <c r="F20" s="2"/>
      <c r="G20" s="3"/>
      <c r="H20" s="3"/>
      <c r="I20" s="3"/>
      <c r="J20" s="3"/>
      <c r="K20" s="3"/>
      <c r="L20" s="3"/>
      <c r="M20" s="3"/>
      <c r="N20" s="3"/>
      <c r="O20" s="3"/>
      <c r="P20" s="3"/>
      <c r="Q20" s="3"/>
      <c r="R20" s="3"/>
      <c r="S20" s="3"/>
      <c r="T20" s="3"/>
      <c r="U20" s="3"/>
      <c r="V20" s="3"/>
      <c r="W20" s="3"/>
      <c r="X20" s="3"/>
      <c r="Y20" s="3"/>
      <c r="Z20" s="3"/>
    </row>
    <row r="21" spans="1:26" ht="14.25" customHeight="1">
      <c r="A21" s="11" t="s">
        <v>24</v>
      </c>
      <c r="B21" s="11" t="s">
        <v>25</v>
      </c>
      <c r="C21" s="12">
        <v>2</v>
      </c>
      <c r="D21" s="13" t="s">
        <v>26</v>
      </c>
      <c r="E21" s="3"/>
      <c r="F21" s="2"/>
      <c r="G21" s="3"/>
      <c r="H21" s="3"/>
      <c r="I21" s="3"/>
      <c r="J21" s="3"/>
      <c r="K21" s="3"/>
      <c r="L21" s="3"/>
      <c r="M21" s="3"/>
      <c r="N21" s="3"/>
      <c r="O21" s="3"/>
      <c r="P21" s="3"/>
      <c r="Q21" s="3"/>
      <c r="R21" s="3"/>
      <c r="S21" s="3"/>
      <c r="T21" s="3"/>
      <c r="U21" s="3"/>
      <c r="V21" s="3"/>
      <c r="W21" s="3"/>
      <c r="X21" s="3"/>
      <c r="Y21" s="3"/>
      <c r="Z21" s="3"/>
    </row>
    <row r="22" spans="1:26" ht="14.25" customHeight="1">
      <c r="A22" s="11" t="s">
        <v>27</v>
      </c>
      <c r="B22" s="11" t="s">
        <v>28</v>
      </c>
      <c r="C22" s="12">
        <v>1</v>
      </c>
      <c r="D22" s="13" t="s">
        <v>29</v>
      </c>
      <c r="F22" s="2"/>
      <c r="G22" s="3"/>
      <c r="H22" s="3"/>
      <c r="I22" s="3"/>
      <c r="J22" s="3"/>
      <c r="K22" s="3"/>
      <c r="L22" s="3"/>
      <c r="M22" s="3"/>
      <c r="N22" s="3"/>
      <c r="O22" s="3"/>
      <c r="P22" s="3"/>
      <c r="Q22" s="3"/>
      <c r="R22" s="3"/>
      <c r="S22" s="3"/>
      <c r="T22" s="3"/>
      <c r="U22" s="3"/>
      <c r="V22" s="3"/>
      <c r="W22" s="3"/>
      <c r="X22" s="3"/>
      <c r="Y22" s="3"/>
      <c r="Z22" s="3"/>
    </row>
    <row r="23" spans="1:26" ht="14.25" customHeight="1">
      <c r="A23" s="11" t="s">
        <v>30</v>
      </c>
      <c r="B23" s="11" t="s">
        <v>31</v>
      </c>
      <c r="C23" s="12">
        <v>1</v>
      </c>
      <c r="D23" s="14" t="s">
        <v>32</v>
      </c>
      <c r="E23" s="15" t="s">
        <v>33</v>
      </c>
      <c r="F23" s="2"/>
      <c r="G23" s="3"/>
      <c r="H23" s="3"/>
      <c r="I23" s="3"/>
      <c r="J23" s="3"/>
      <c r="K23" s="3"/>
      <c r="L23" s="3"/>
      <c r="M23" s="3"/>
      <c r="N23" s="3"/>
      <c r="O23" s="3"/>
      <c r="P23" s="3"/>
      <c r="Q23" s="3"/>
      <c r="R23" s="3"/>
      <c r="S23" s="3"/>
      <c r="T23" s="3"/>
      <c r="U23" s="3"/>
      <c r="V23" s="3"/>
      <c r="W23" s="3"/>
      <c r="X23" s="3"/>
      <c r="Y23" s="3"/>
      <c r="Z23" s="3"/>
    </row>
    <row r="24" spans="1:26" ht="14.25" customHeight="1">
      <c r="A24" s="11" t="s">
        <v>34</v>
      </c>
      <c r="B24" s="11" t="s">
        <v>33</v>
      </c>
      <c r="C24" s="12">
        <v>1</v>
      </c>
      <c r="D24" s="14" t="s">
        <v>35</v>
      </c>
      <c r="E24" s="15" t="s">
        <v>36</v>
      </c>
      <c r="F24" s="2"/>
      <c r="G24" s="3"/>
      <c r="H24" s="3"/>
      <c r="I24" s="3"/>
      <c r="J24" s="3"/>
      <c r="K24" s="3"/>
      <c r="L24" s="3"/>
      <c r="M24" s="3"/>
      <c r="N24" s="3"/>
      <c r="O24" s="3"/>
      <c r="P24" s="3"/>
      <c r="Q24" s="3"/>
      <c r="R24" s="3"/>
      <c r="S24" s="3"/>
      <c r="T24" s="3"/>
      <c r="U24" s="3"/>
      <c r="V24" s="3"/>
      <c r="W24" s="3"/>
      <c r="X24" s="3"/>
      <c r="Y24" s="3"/>
      <c r="Z24" s="3"/>
    </row>
    <row r="25" spans="1:26" ht="14.25" customHeight="1">
      <c r="A25" s="11" t="s">
        <v>37</v>
      </c>
      <c r="B25" s="11" t="s">
        <v>36</v>
      </c>
      <c r="C25" s="12">
        <v>1</v>
      </c>
      <c r="D25" s="13" t="s">
        <v>38</v>
      </c>
      <c r="E25" s="3"/>
      <c r="F25" s="2"/>
      <c r="G25" s="3"/>
      <c r="H25" s="3"/>
      <c r="I25" s="3"/>
      <c r="J25" s="3"/>
      <c r="K25" s="3"/>
      <c r="L25" s="3"/>
      <c r="M25" s="3"/>
      <c r="N25" s="3"/>
      <c r="O25" s="3"/>
      <c r="P25" s="3"/>
      <c r="Q25" s="3"/>
      <c r="R25" s="3"/>
      <c r="S25" s="3"/>
      <c r="T25" s="3"/>
      <c r="U25" s="3"/>
      <c r="V25" s="3"/>
      <c r="W25" s="3"/>
      <c r="X25" s="3"/>
      <c r="Y25" s="3"/>
      <c r="Z25" s="3"/>
    </row>
    <row r="26" spans="1:26" ht="14.25" customHeight="1">
      <c r="A26" s="11" t="s">
        <v>39</v>
      </c>
      <c r="B26" s="11" t="s">
        <v>40</v>
      </c>
      <c r="C26" s="12">
        <v>0.5</v>
      </c>
      <c r="D26" s="14" t="s">
        <v>41</v>
      </c>
      <c r="E26" s="15" t="s">
        <v>42</v>
      </c>
      <c r="F26" s="2"/>
      <c r="G26" s="3"/>
      <c r="H26" s="3"/>
      <c r="I26" s="3"/>
      <c r="J26" s="3"/>
      <c r="K26" s="3"/>
      <c r="L26" s="3"/>
      <c r="M26" s="3"/>
      <c r="N26" s="3"/>
      <c r="O26" s="3"/>
      <c r="P26" s="3"/>
      <c r="Q26" s="3"/>
      <c r="R26" s="3"/>
      <c r="S26" s="3"/>
      <c r="T26" s="3"/>
      <c r="U26" s="3"/>
      <c r="V26" s="3"/>
      <c r="W26" s="3"/>
      <c r="X26" s="3"/>
      <c r="Y26" s="3"/>
      <c r="Z26" s="3"/>
    </row>
    <row r="27" spans="1:26" ht="14.25" customHeight="1">
      <c r="A27" s="11" t="s">
        <v>43</v>
      </c>
      <c r="B27" s="11" t="s">
        <v>44</v>
      </c>
      <c r="C27" s="12">
        <v>0.5</v>
      </c>
      <c r="D27" s="13" t="s">
        <v>45</v>
      </c>
      <c r="E27" s="3"/>
      <c r="F27" s="2"/>
      <c r="G27" s="3"/>
      <c r="H27" s="3"/>
      <c r="I27" s="3"/>
      <c r="J27" s="3"/>
      <c r="K27" s="3"/>
      <c r="L27" s="3"/>
      <c r="M27" s="3"/>
      <c r="N27" s="3"/>
      <c r="O27" s="3"/>
      <c r="P27" s="3"/>
      <c r="Q27" s="3"/>
      <c r="R27" s="3"/>
      <c r="S27" s="3"/>
      <c r="T27" s="3"/>
      <c r="U27" s="3"/>
      <c r="V27" s="3"/>
      <c r="W27" s="3"/>
      <c r="X27" s="3"/>
      <c r="Y27" s="3"/>
      <c r="Z27" s="3"/>
    </row>
    <row r="28" spans="1:26" ht="14.25" customHeight="1">
      <c r="A28" s="11" t="s">
        <v>46</v>
      </c>
      <c r="B28" s="11" t="s">
        <v>47</v>
      </c>
      <c r="C28" s="12">
        <v>2</v>
      </c>
      <c r="D28" s="13" t="s">
        <v>48</v>
      </c>
      <c r="E28" s="3"/>
      <c r="F28" s="2"/>
      <c r="G28" s="3"/>
      <c r="H28" s="3"/>
      <c r="I28" s="3"/>
      <c r="J28" s="3"/>
      <c r="K28" s="3"/>
      <c r="L28" s="3"/>
      <c r="M28" s="3"/>
      <c r="N28" s="3"/>
      <c r="O28" s="3"/>
      <c r="P28" s="3"/>
      <c r="Q28" s="3"/>
      <c r="R28" s="3"/>
      <c r="S28" s="3"/>
      <c r="T28" s="3"/>
      <c r="U28" s="3"/>
      <c r="V28" s="3"/>
      <c r="W28" s="3"/>
      <c r="X28" s="3"/>
      <c r="Y28" s="3"/>
      <c r="Z28" s="3"/>
    </row>
    <row r="29" spans="1:26" ht="14.25" customHeight="1">
      <c r="A29" s="11" t="s">
        <v>49</v>
      </c>
      <c r="B29" s="11" t="s">
        <v>50</v>
      </c>
      <c r="C29" s="12">
        <v>1</v>
      </c>
      <c r="D29" s="14" t="s">
        <v>51</v>
      </c>
      <c r="E29" s="15" t="s">
        <v>52</v>
      </c>
      <c r="F29" s="2"/>
      <c r="G29" s="3"/>
      <c r="H29" s="3"/>
      <c r="I29" s="3"/>
      <c r="J29" s="3"/>
      <c r="K29" s="3"/>
      <c r="L29" s="3"/>
      <c r="M29" s="3"/>
      <c r="N29" s="3"/>
      <c r="O29" s="3"/>
      <c r="P29" s="3"/>
      <c r="Q29" s="3"/>
      <c r="R29" s="3"/>
      <c r="S29" s="3"/>
      <c r="T29" s="3"/>
      <c r="U29" s="3"/>
      <c r="V29" s="3"/>
      <c r="W29" s="3"/>
      <c r="X29" s="3"/>
      <c r="Y29" s="3"/>
      <c r="Z29" s="3"/>
    </row>
    <row r="30" spans="1:26" ht="14.25" customHeight="1">
      <c r="A30" s="11" t="s">
        <v>53</v>
      </c>
      <c r="B30" s="11" t="s">
        <v>54</v>
      </c>
      <c r="C30" s="12">
        <v>1</v>
      </c>
      <c r="D30" s="14" t="s">
        <v>55</v>
      </c>
      <c r="E30" s="15" t="s">
        <v>56</v>
      </c>
      <c r="F30" s="2"/>
      <c r="G30" s="3"/>
      <c r="H30" s="3"/>
      <c r="I30" s="3"/>
      <c r="J30" s="3"/>
      <c r="K30" s="3"/>
      <c r="L30" s="3"/>
      <c r="M30" s="3"/>
      <c r="N30" s="3"/>
      <c r="O30" s="3"/>
      <c r="P30" s="3"/>
      <c r="Q30" s="3"/>
      <c r="R30" s="3"/>
      <c r="S30" s="3"/>
      <c r="T30" s="3"/>
      <c r="U30" s="3"/>
      <c r="V30" s="3"/>
      <c r="W30" s="3"/>
      <c r="X30" s="3"/>
      <c r="Y30" s="3"/>
      <c r="Z30" s="3"/>
    </row>
    <row r="31" spans="1:26" ht="14.25" customHeight="1">
      <c r="A31" s="11" t="s">
        <v>57</v>
      </c>
      <c r="B31" s="11" t="s">
        <v>58</v>
      </c>
      <c r="C31" s="12">
        <v>1</v>
      </c>
      <c r="D31" s="14" t="s">
        <v>59</v>
      </c>
      <c r="E31" s="15" t="s">
        <v>60</v>
      </c>
      <c r="F31" s="2"/>
      <c r="G31" s="3"/>
      <c r="H31" s="3"/>
      <c r="I31" s="3"/>
      <c r="J31" s="3"/>
      <c r="K31" s="3"/>
      <c r="L31" s="3"/>
      <c r="M31" s="3"/>
      <c r="N31" s="3"/>
      <c r="O31" s="3"/>
      <c r="P31" s="3"/>
      <c r="Q31" s="3"/>
      <c r="R31" s="3"/>
      <c r="S31" s="3"/>
      <c r="T31" s="3"/>
      <c r="U31" s="3"/>
      <c r="V31" s="3"/>
      <c r="W31" s="3"/>
      <c r="X31" s="3"/>
      <c r="Y31" s="3"/>
      <c r="Z31" s="3"/>
    </row>
    <row r="32" spans="1:26" ht="14.25" customHeight="1">
      <c r="A32" s="11" t="s">
        <v>61</v>
      </c>
      <c r="B32" s="11" t="s">
        <v>62</v>
      </c>
      <c r="C32" s="12">
        <v>1</v>
      </c>
      <c r="D32" s="16" t="s">
        <v>63</v>
      </c>
      <c r="E32" s="15" t="s">
        <v>64</v>
      </c>
      <c r="F32" s="2"/>
      <c r="G32" s="3"/>
      <c r="H32" s="3"/>
      <c r="I32" s="3"/>
      <c r="J32" s="3"/>
      <c r="K32" s="3"/>
      <c r="L32" s="3"/>
      <c r="M32" s="3"/>
      <c r="N32" s="3"/>
      <c r="O32" s="3"/>
      <c r="P32" s="3"/>
      <c r="Q32" s="3"/>
      <c r="R32" s="3"/>
      <c r="S32" s="3"/>
      <c r="T32" s="3"/>
      <c r="U32" s="3"/>
      <c r="V32" s="3"/>
      <c r="W32" s="3"/>
      <c r="X32" s="3"/>
      <c r="Y32" s="3"/>
      <c r="Z32" s="3"/>
    </row>
    <row r="33" spans="1:26" ht="14.25" customHeight="1">
      <c r="A33" s="11" t="s">
        <v>65</v>
      </c>
      <c r="B33" s="11" t="s">
        <v>66</v>
      </c>
      <c r="C33" s="12">
        <v>1</v>
      </c>
      <c r="D33" s="13" t="s">
        <v>67</v>
      </c>
      <c r="E33" s="3"/>
      <c r="F33" s="2"/>
      <c r="G33" s="3"/>
      <c r="H33" s="3"/>
      <c r="I33" s="3"/>
      <c r="J33" s="3"/>
      <c r="K33" s="3"/>
      <c r="L33" s="3"/>
      <c r="M33" s="3"/>
      <c r="N33" s="3"/>
      <c r="O33" s="3"/>
      <c r="P33" s="3"/>
      <c r="Q33" s="3"/>
      <c r="R33" s="3"/>
      <c r="S33" s="3"/>
      <c r="T33" s="3"/>
      <c r="U33" s="3"/>
      <c r="V33" s="3"/>
      <c r="W33" s="3"/>
      <c r="X33" s="3"/>
      <c r="Y33" s="3"/>
      <c r="Z33" s="3"/>
    </row>
    <row r="34" spans="1:26" ht="12.75" customHeight="1">
      <c r="A34" s="1"/>
      <c r="B34" s="2"/>
      <c r="C34" s="2"/>
      <c r="D34" s="14" t="s">
        <v>68</v>
      </c>
      <c r="E34" s="15" t="s">
        <v>69</v>
      </c>
      <c r="F34" s="2"/>
      <c r="G34" s="3"/>
      <c r="H34" s="3"/>
      <c r="I34" s="3"/>
      <c r="J34" s="3"/>
      <c r="K34" s="3"/>
      <c r="L34" s="3"/>
      <c r="M34" s="3"/>
      <c r="N34" s="3"/>
      <c r="O34" s="3"/>
      <c r="P34" s="3"/>
      <c r="Q34" s="3"/>
      <c r="R34" s="3"/>
      <c r="S34" s="3"/>
      <c r="T34" s="3"/>
      <c r="U34" s="3"/>
      <c r="V34" s="3"/>
      <c r="W34" s="3"/>
      <c r="X34" s="3"/>
      <c r="Y34" s="3"/>
      <c r="Z34" s="3"/>
    </row>
    <row r="35" spans="1:26" ht="12.75" customHeight="1">
      <c r="A35" s="1" t="s">
        <v>70</v>
      </c>
      <c r="B35" s="2"/>
      <c r="C35" s="2"/>
      <c r="D35" s="13" t="s">
        <v>71</v>
      </c>
      <c r="E35" s="3"/>
      <c r="F35" s="2"/>
      <c r="G35" s="3"/>
      <c r="H35" s="3"/>
      <c r="I35" s="3"/>
      <c r="J35" s="3"/>
      <c r="K35" s="3"/>
      <c r="L35" s="3"/>
      <c r="M35" s="3"/>
      <c r="N35" s="3"/>
      <c r="O35" s="3"/>
      <c r="P35" s="3"/>
      <c r="Q35" s="3"/>
      <c r="R35" s="3"/>
      <c r="S35" s="3"/>
      <c r="T35" s="3"/>
      <c r="U35" s="3"/>
      <c r="V35" s="3"/>
      <c r="W35" s="3"/>
      <c r="X35" s="3"/>
      <c r="Y35" s="3"/>
      <c r="Z35" s="3"/>
    </row>
    <row r="36" spans="1:26" ht="14.25" customHeight="1">
      <c r="A36" s="17" t="s">
        <v>72</v>
      </c>
      <c r="B36" s="2"/>
      <c r="C36" s="2"/>
      <c r="D36" s="13" t="s">
        <v>73</v>
      </c>
      <c r="E36" s="3"/>
      <c r="F36" s="2"/>
      <c r="G36" s="3"/>
      <c r="H36" s="3"/>
      <c r="I36" s="3"/>
      <c r="J36" s="3"/>
      <c r="K36" s="3"/>
      <c r="L36" s="3"/>
      <c r="M36" s="3"/>
      <c r="N36" s="3"/>
      <c r="O36" s="3"/>
      <c r="P36" s="3"/>
      <c r="Q36" s="3"/>
      <c r="R36" s="3"/>
      <c r="S36" s="3"/>
      <c r="T36" s="3"/>
      <c r="U36" s="3"/>
      <c r="V36" s="3"/>
      <c r="W36" s="3"/>
      <c r="X36" s="3"/>
      <c r="Y36" s="3"/>
      <c r="Z36" s="3"/>
    </row>
    <row r="37" spans="1:26" ht="15.75" customHeight="1">
      <c r="A37" s="10" t="s">
        <v>21</v>
      </c>
      <c r="B37" s="10" t="s">
        <v>22</v>
      </c>
      <c r="C37" s="10" t="s">
        <v>23</v>
      </c>
      <c r="D37" s="13" t="s">
        <v>74</v>
      </c>
      <c r="E37" s="3"/>
      <c r="F37" s="2"/>
      <c r="G37" s="3"/>
      <c r="H37" s="3"/>
      <c r="I37" s="3"/>
      <c r="J37" s="3"/>
      <c r="K37" s="3"/>
      <c r="L37" s="3"/>
      <c r="M37" s="3"/>
      <c r="N37" s="3"/>
      <c r="O37" s="3"/>
      <c r="P37" s="3"/>
      <c r="Q37" s="3"/>
      <c r="R37" s="3"/>
      <c r="S37" s="3"/>
      <c r="T37" s="3"/>
      <c r="U37" s="3"/>
      <c r="V37" s="3"/>
      <c r="W37" s="3"/>
      <c r="X37" s="3"/>
      <c r="Y37" s="3"/>
      <c r="Z37" s="3"/>
    </row>
    <row r="38" spans="1:26" ht="14.25" customHeight="1">
      <c r="A38" s="11" t="s">
        <v>75</v>
      </c>
      <c r="B38" s="11" t="s">
        <v>76</v>
      </c>
      <c r="C38" s="12">
        <v>1.5</v>
      </c>
      <c r="D38" s="14" t="s">
        <v>77</v>
      </c>
      <c r="E38" s="15" t="s">
        <v>64</v>
      </c>
      <c r="F38" s="2"/>
      <c r="G38" s="3"/>
      <c r="H38" s="3"/>
      <c r="I38" s="3"/>
      <c r="J38" s="3"/>
      <c r="K38" s="3"/>
      <c r="L38" s="3"/>
      <c r="M38" s="3"/>
      <c r="N38" s="3"/>
      <c r="O38" s="3"/>
      <c r="P38" s="3"/>
      <c r="Q38" s="3"/>
      <c r="R38" s="3"/>
      <c r="S38" s="3"/>
      <c r="T38" s="3"/>
      <c r="U38" s="3"/>
      <c r="V38" s="3"/>
      <c r="W38" s="3"/>
      <c r="X38" s="3"/>
      <c r="Y38" s="3"/>
      <c r="Z38" s="3"/>
    </row>
    <row r="39" spans="1:26" ht="14.25" customHeight="1">
      <c r="A39" s="11" t="s">
        <v>78</v>
      </c>
      <c r="B39" s="11" t="s">
        <v>64</v>
      </c>
      <c r="C39" s="12">
        <v>0.5</v>
      </c>
      <c r="D39" s="14" t="s">
        <v>79</v>
      </c>
      <c r="E39" s="3"/>
      <c r="F39" s="2"/>
      <c r="G39" s="3"/>
      <c r="H39" s="3"/>
      <c r="I39" s="3"/>
      <c r="J39" s="3"/>
      <c r="K39" s="3"/>
      <c r="L39" s="3"/>
      <c r="M39" s="3"/>
      <c r="N39" s="3"/>
      <c r="O39" s="3"/>
      <c r="P39" s="3"/>
      <c r="Q39" s="3"/>
      <c r="R39" s="3"/>
      <c r="S39" s="3"/>
      <c r="T39" s="3"/>
      <c r="U39" s="3"/>
      <c r="V39" s="3"/>
      <c r="W39" s="3"/>
      <c r="X39" s="3"/>
      <c r="Y39" s="3"/>
      <c r="Z39" s="3"/>
    </row>
    <row r="40" spans="1:26" ht="14.25" customHeight="1">
      <c r="A40" s="11" t="s">
        <v>80</v>
      </c>
      <c r="B40" s="11" t="s">
        <v>56</v>
      </c>
      <c r="C40" s="12">
        <v>1</v>
      </c>
      <c r="D40" s="14" t="s">
        <v>81</v>
      </c>
      <c r="E40" s="15" t="s">
        <v>82</v>
      </c>
      <c r="F40" s="2"/>
      <c r="G40" s="3"/>
      <c r="H40" s="3"/>
      <c r="I40" s="3"/>
      <c r="J40" s="3"/>
      <c r="K40" s="3"/>
      <c r="L40" s="3"/>
      <c r="M40" s="3"/>
      <c r="N40" s="3"/>
      <c r="O40" s="3"/>
      <c r="P40" s="3"/>
      <c r="Q40" s="3"/>
      <c r="R40" s="3"/>
      <c r="S40" s="3"/>
      <c r="T40" s="3"/>
      <c r="U40" s="3"/>
      <c r="V40" s="3"/>
      <c r="W40" s="3"/>
      <c r="X40" s="3"/>
      <c r="Y40" s="3"/>
      <c r="Z40" s="3"/>
    </row>
    <row r="41" spans="1:26" ht="14.25" customHeight="1">
      <c r="A41" s="11" t="s">
        <v>83</v>
      </c>
      <c r="B41" s="11" t="s">
        <v>52</v>
      </c>
      <c r="C41" s="12">
        <v>0.5</v>
      </c>
      <c r="D41" s="14" t="s">
        <v>84</v>
      </c>
      <c r="E41" s="15" t="s">
        <v>85</v>
      </c>
      <c r="F41" s="2"/>
      <c r="G41" s="3"/>
      <c r="H41" s="3"/>
      <c r="I41" s="3"/>
      <c r="J41" s="3"/>
      <c r="K41" s="3"/>
      <c r="L41" s="3"/>
      <c r="M41" s="3"/>
      <c r="N41" s="3"/>
      <c r="O41" s="3"/>
      <c r="P41" s="3"/>
      <c r="Q41" s="3"/>
      <c r="R41" s="3"/>
      <c r="S41" s="3"/>
      <c r="T41" s="3"/>
      <c r="U41" s="3"/>
      <c r="V41" s="3"/>
      <c r="W41" s="3"/>
      <c r="X41" s="3"/>
      <c r="Y41" s="3"/>
      <c r="Z41" s="3"/>
    </row>
    <row r="42" spans="1:26" ht="14.25" customHeight="1">
      <c r="A42" s="11" t="s">
        <v>86</v>
      </c>
      <c r="B42" s="11" t="s">
        <v>85</v>
      </c>
      <c r="C42" s="12">
        <v>1</v>
      </c>
      <c r="D42" s="13" t="s">
        <v>87</v>
      </c>
      <c r="E42" s="3"/>
      <c r="F42" s="2"/>
      <c r="G42" s="3"/>
      <c r="H42" s="3"/>
      <c r="I42" s="3"/>
      <c r="J42" s="3"/>
      <c r="K42" s="3"/>
      <c r="L42" s="3"/>
      <c r="M42" s="3"/>
      <c r="N42" s="3"/>
      <c r="O42" s="3"/>
      <c r="P42" s="3"/>
      <c r="Q42" s="3"/>
      <c r="R42" s="3"/>
      <c r="S42" s="3"/>
      <c r="T42" s="3"/>
      <c r="U42" s="3"/>
      <c r="V42" s="3"/>
      <c r="W42" s="3"/>
      <c r="X42" s="3"/>
      <c r="Y42" s="3"/>
      <c r="Z42" s="3"/>
    </row>
    <row r="43" spans="1:26" ht="14.25" customHeight="1">
      <c r="A43" s="11" t="s">
        <v>88</v>
      </c>
      <c r="B43" s="11" t="s">
        <v>89</v>
      </c>
      <c r="C43" s="12">
        <v>2</v>
      </c>
      <c r="D43" s="2"/>
      <c r="E43" s="3"/>
      <c r="F43" s="2"/>
      <c r="G43" s="3"/>
      <c r="H43" s="3"/>
      <c r="I43" s="3"/>
      <c r="J43" s="3"/>
      <c r="K43" s="3"/>
      <c r="L43" s="3"/>
      <c r="M43" s="3"/>
      <c r="N43" s="3"/>
      <c r="O43" s="3"/>
      <c r="P43" s="3"/>
      <c r="Q43" s="3"/>
      <c r="R43" s="3"/>
      <c r="S43" s="3"/>
      <c r="T43" s="3"/>
      <c r="U43" s="3"/>
      <c r="V43" s="3"/>
      <c r="W43" s="3"/>
      <c r="X43" s="3"/>
      <c r="Y43" s="3"/>
      <c r="Z43" s="3"/>
    </row>
    <row r="44" spans="1:26" ht="14.25" customHeight="1">
      <c r="A44" s="11" t="s">
        <v>90</v>
      </c>
      <c r="B44" s="11" t="s">
        <v>60</v>
      </c>
      <c r="C44" s="12">
        <v>-1</v>
      </c>
      <c r="D44" s="2"/>
      <c r="E44" s="3"/>
      <c r="F44" s="2"/>
      <c r="G44" s="3"/>
      <c r="H44" s="3"/>
      <c r="I44" s="3"/>
      <c r="J44" s="3"/>
      <c r="K44" s="3"/>
      <c r="L44" s="3"/>
      <c r="M44" s="3"/>
      <c r="N44" s="3"/>
      <c r="O44" s="3"/>
      <c r="P44" s="3"/>
      <c r="Q44" s="3"/>
      <c r="R44" s="3"/>
      <c r="S44" s="3"/>
      <c r="T44" s="3"/>
      <c r="U44" s="3"/>
      <c r="V44" s="3"/>
      <c r="W44" s="3"/>
      <c r="X44" s="3"/>
      <c r="Y44" s="3"/>
      <c r="Z44" s="3"/>
    </row>
    <row r="45" spans="1:26" ht="14.25" customHeight="1">
      <c r="A45" s="11" t="s">
        <v>91</v>
      </c>
      <c r="B45" s="11" t="s">
        <v>92</v>
      </c>
      <c r="C45" s="12">
        <v>-1</v>
      </c>
      <c r="D45" s="2"/>
      <c r="E45" s="3"/>
      <c r="F45" s="2"/>
      <c r="G45" s="3"/>
      <c r="H45" s="3"/>
      <c r="I45" s="3"/>
      <c r="J45" s="3"/>
      <c r="K45" s="3"/>
      <c r="L45" s="3"/>
      <c r="M45" s="3"/>
      <c r="N45" s="3"/>
      <c r="O45" s="3"/>
      <c r="P45" s="3"/>
      <c r="Q45" s="3"/>
      <c r="R45" s="3"/>
      <c r="S45" s="3"/>
      <c r="T45" s="3"/>
      <c r="U45" s="3"/>
      <c r="V45" s="3"/>
      <c r="W45" s="3"/>
      <c r="X45" s="3"/>
      <c r="Y45" s="3"/>
      <c r="Z45" s="3"/>
    </row>
    <row r="46" spans="1:26" ht="12.75" customHeight="1">
      <c r="A46" s="1"/>
      <c r="B46" s="2"/>
      <c r="C46" s="2"/>
      <c r="D46" s="2"/>
      <c r="E46" s="3"/>
      <c r="F46" s="2"/>
      <c r="G46" s="3"/>
      <c r="H46" s="3"/>
      <c r="I46" s="3"/>
      <c r="J46" s="3"/>
      <c r="K46" s="3"/>
      <c r="L46" s="3"/>
      <c r="M46" s="3"/>
      <c r="N46" s="3"/>
      <c r="O46" s="3"/>
      <c r="P46" s="3"/>
      <c r="Q46" s="3"/>
      <c r="R46" s="3"/>
      <c r="S46" s="3"/>
      <c r="T46" s="3"/>
      <c r="U46" s="3"/>
      <c r="V46" s="3"/>
      <c r="W46" s="3"/>
      <c r="X46" s="3"/>
      <c r="Y46" s="3"/>
      <c r="Z46" s="3"/>
    </row>
    <row r="47" spans="1:26" ht="12.75" customHeight="1">
      <c r="A47" s="1" t="s">
        <v>93</v>
      </c>
      <c r="B47" s="2"/>
      <c r="C47" s="2"/>
      <c r="D47" s="2"/>
      <c r="E47" s="3"/>
      <c r="F47" s="2"/>
      <c r="G47" s="3"/>
      <c r="H47" s="3"/>
      <c r="I47" s="3"/>
      <c r="J47" s="3"/>
      <c r="K47" s="3"/>
      <c r="L47" s="3"/>
      <c r="M47" s="3"/>
      <c r="N47" s="3"/>
      <c r="O47" s="3"/>
      <c r="P47" s="3"/>
      <c r="Q47" s="3"/>
      <c r="R47" s="3"/>
      <c r="S47" s="3"/>
      <c r="T47" s="3"/>
      <c r="U47" s="3"/>
      <c r="V47" s="3"/>
      <c r="W47" s="3"/>
      <c r="X47" s="3"/>
      <c r="Y47" s="3"/>
      <c r="Z47" s="3"/>
    </row>
    <row r="48" spans="1:26" ht="12.75" customHeight="1">
      <c r="A48" s="1" t="s">
        <v>94</v>
      </c>
      <c r="B48" s="2"/>
      <c r="C48" s="2"/>
      <c r="D48" s="2"/>
      <c r="E48" s="3"/>
      <c r="F48" s="2"/>
      <c r="G48" s="3"/>
      <c r="H48" s="3"/>
      <c r="I48" s="3"/>
      <c r="J48" s="3"/>
      <c r="K48" s="3"/>
      <c r="L48" s="3"/>
      <c r="M48" s="3"/>
      <c r="N48" s="3"/>
      <c r="O48" s="3"/>
      <c r="P48" s="3"/>
      <c r="Q48" s="3"/>
      <c r="R48" s="3"/>
      <c r="S48" s="3"/>
      <c r="T48" s="3"/>
      <c r="U48" s="3"/>
      <c r="V48" s="3"/>
      <c r="W48" s="3"/>
      <c r="X48" s="3"/>
      <c r="Y48" s="3"/>
      <c r="Z48" s="3"/>
    </row>
    <row r="49" spans="1:26" ht="12.75" customHeight="1">
      <c r="A49" s="1"/>
      <c r="B49" s="1"/>
      <c r="C49" s="1"/>
      <c r="D49" s="1"/>
      <c r="E49" s="1"/>
      <c r="F49" s="1"/>
      <c r="G49" s="1"/>
      <c r="H49" s="1"/>
      <c r="I49" s="1"/>
      <c r="J49" s="3"/>
      <c r="K49" s="3"/>
      <c r="L49" s="3"/>
      <c r="M49" s="3"/>
      <c r="N49" s="3"/>
      <c r="O49" s="3"/>
      <c r="P49" s="3"/>
      <c r="Q49" s="3"/>
      <c r="R49" s="3"/>
      <c r="S49" s="3"/>
      <c r="T49" s="3"/>
      <c r="U49" s="3"/>
      <c r="V49" s="3"/>
      <c r="W49" s="3"/>
      <c r="X49" s="3"/>
      <c r="Y49" s="3"/>
      <c r="Z49" s="3"/>
    </row>
    <row r="50" spans="1:26" ht="12.75" customHeight="1">
      <c r="A50" s="1"/>
      <c r="B50" s="1"/>
      <c r="C50" s="1"/>
      <c r="D50" s="1"/>
      <c r="E50" s="1"/>
      <c r="F50" s="1"/>
      <c r="G50" s="1"/>
      <c r="H50" s="1"/>
      <c r="I50" s="1"/>
      <c r="J50" s="3"/>
      <c r="K50" s="3"/>
      <c r="L50" s="3"/>
      <c r="M50" s="3"/>
      <c r="N50" s="3"/>
      <c r="O50" s="3"/>
      <c r="P50" s="3"/>
      <c r="Q50" s="3"/>
      <c r="R50" s="3"/>
      <c r="S50" s="3"/>
      <c r="T50" s="3"/>
      <c r="U50" s="3"/>
      <c r="V50" s="3"/>
      <c r="W50" s="3"/>
      <c r="X50" s="3"/>
      <c r="Y50" s="3"/>
      <c r="Z50" s="3"/>
    </row>
    <row r="51" spans="1:26" ht="12.75" customHeight="1">
      <c r="A51" s="1" t="s">
        <v>95</v>
      </c>
      <c r="B51" s="1" t="s">
        <v>96</v>
      </c>
      <c r="C51" s="1" t="s">
        <v>97</v>
      </c>
      <c r="D51" s="1" t="s">
        <v>98</v>
      </c>
      <c r="E51" s="1" t="s">
        <v>99</v>
      </c>
      <c r="F51" s="1" t="s">
        <v>100</v>
      </c>
      <c r="G51" s="1" t="s">
        <v>101</v>
      </c>
      <c r="H51" s="1" t="s">
        <v>102</v>
      </c>
      <c r="I51" s="1" t="s">
        <v>103</v>
      </c>
      <c r="J51" s="3"/>
      <c r="L51" s="3"/>
      <c r="M51" s="3"/>
      <c r="N51" s="3"/>
      <c r="O51" s="3"/>
      <c r="P51" s="3"/>
      <c r="Q51" s="3"/>
      <c r="R51" s="3"/>
      <c r="S51" s="3"/>
      <c r="T51" s="3"/>
      <c r="U51" s="3"/>
      <c r="V51" s="3"/>
      <c r="W51" s="3"/>
      <c r="X51" s="3"/>
      <c r="Y51" s="3"/>
      <c r="Z51" s="3"/>
    </row>
    <row r="52" spans="1:26" ht="12.75" customHeight="1">
      <c r="A52" s="1" t="s">
        <v>104</v>
      </c>
      <c r="B52" s="1" t="s">
        <v>105</v>
      </c>
      <c r="C52" s="1">
        <v>2</v>
      </c>
      <c r="D52" s="1">
        <f>IF(C52&lt;4,5,IF(C52&lt;8,10,15))</f>
        <v>5</v>
      </c>
      <c r="E52" s="1" t="s">
        <v>106</v>
      </c>
      <c r="F52" s="1">
        <v>3</v>
      </c>
      <c r="G52" s="1">
        <v>1.1399999999999999</v>
      </c>
      <c r="H52" s="1">
        <v>1.21</v>
      </c>
      <c r="I52" s="2">
        <f>(D73+F60)*G52*H52</f>
        <v>191.73659999999998</v>
      </c>
      <c r="J52" s="3"/>
      <c r="L52" s="3"/>
      <c r="M52" s="3"/>
      <c r="N52" s="3"/>
      <c r="O52" s="3"/>
      <c r="P52" s="3"/>
      <c r="Q52" s="3"/>
      <c r="R52" s="3"/>
      <c r="S52" s="3"/>
      <c r="T52" s="3"/>
      <c r="U52" s="3"/>
      <c r="V52" s="3"/>
      <c r="W52" s="3"/>
      <c r="X52" s="3"/>
      <c r="Y52" s="3"/>
      <c r="Z52" s="3"/>
    </row>
    <row r="53" spans="1:26" ht="12.75" customHeight="1">
      <c r="A53" s="2"/>
      <c r="B53" s="1" t="s">
        <v>107</v>
      </c>
      <c r="C53" s="1">
        <v>4</v>
      </c>
      <c r="D53" s="1">
        <f t="shared" ref="D52:D59" si="0">IF(C53&lt;4,5,IF(C53&lt;8,10,15))</f>
        <v>10</v>
      </c>
      <c r="E53" s="1" t="s">
        <v>108</v>
      </c>
      <c r="F53" s="1">
        <v>3</v>
      </c>
      <c r="G53" s="1"/>
      <c r="H53" s="3"/>
      <c r="I53" s="3"/>
      <c r="J53" s="3"/>
      <c r="L53" s="3"/>
      <c r="M53" s="3"/>
      <c r="N53" s="3"/>
      <c r="O53" s="3"/>
      <c r="P53" s="3"/>
      <c r="Q53" s="3"/>
      <c r="R53" s="3"/>
      <c r="S53" s="3"/>
      <c r="T53" s="3"/>
      <c r="U53" s="3"/>
      <c r="V53" s="3"/>
      <c r="W53" s="3"/>
      <c r="X53" s="3"/>
      <c r="Y53" s="3"/>
      <c r="Z53" s="3"/>
    </row>
    <row r="54" spans="1:26" ht="12.75" customHeight="1">
      <c r="A54" s="2"/>
      <c r="B54" s="1" t="s">
        <v>109</v>
      </c>
      <c r="C54" s="1">
        <v>3</v>
      </c>
      <c r="D54" s="1">
        <f t="shared" si="0"/>
        <v>5</v>
      </c>
      <c r="E54" s="1" t="s">
        <v>110</v>
      </c>
      <c r="F54" s="1">
        <v>3</v>
      </c>
      <c r="G54" s="1"/>
      <c r="H54" s="3"/>
      <c r="I54" s="3"/>
      <c r="J54" s="3"/>
      <c r="L54" s="3"/>
      <c r="M54" s="3"/>
      <c r="N54" s="3"/>
      <c r="O54" s="3"/>
      <c r="P54" s="3"/>
      <c r="Q54" s="3"/>
      <c r="R54" s="3"/>
      <c r="S54" s="3"/>
      <c r="T54" s="3"/>
      <c r="U54" s="3"/>
      <c r="V54" s="3"/>
      <c r="W54" s="3"/>
      <c r="X54" s="3"/>
      <c r="Y54" s="3"/>
      <c r="Z54" s="3"/>
    </row>
    <row r="55" spans="1:26" ht="12.75" customHeight="1">
      <c r="A55" s="2"/>
      <c r="B55" s="1" t="s">
        <v>111</v>
      </c>
      <c r="C55" s="1">
        <v>4</v>
      </c>
      <c r="D55" s="1">
        <f t="shared" si="0"/>
        <v>10</v>
      </c>
      <c r="E55" s="1" t="s">
        <v>112</v>
      </c>
      <c r="F55" s="1">
        <v>3</v>
      </c>
      <c r="G55" s="1"/>
      <c r="H55" s="3"/>
      <c r="I55" s="3"/>
      <c r="J55" s="3"/>
      <c r="L55" s="3"/>
      <c r="M55" s="3"/>
      <c r="N55" s="3"/>
      <c r="O55" s="3"/>
      <c r="P55" s="3"/>
      <c r="Q55" s="3"/>
      <c r="R55" s="3"/>
      <c r="S55" s="3"/>
      <c r="T55" s="3"/>
      <c r="U55" s="3"/>
      <c r="V55" s="3"/>
      <c r="W55" s="3"/>
      <c r="X55" s="3"/>
      <c r="Y55" s="3"/>
      <c r="Z55" s="3"/>
    </row>
    <row r="56" spans="1:26" ht="12.75" customHeight="1">
      <c r="A56" s="2"/>
      <c r="B56" s="1" t="s">
        <v>113</v>
      </c>
      <c r="C56" s="1">
        <v>2</v>
      </c>
      <c r="D56" s="1">
        <f t="shared" si="0"/>
        <v>5</v>
      </c>
      <c r="E56" s="1" t="s">
        <v>114</v>
      </c>
      <c r="F56" s="1">
        <v>2</v>
      </c>
      <c r="G56" s="1"/>
      <c r="H56" s="3"/>
      <c r="I56" s="3"/>
      <c r="J56" s="3"/>
      <c r="L56" s="3"/>
      <c r="M56" s="3"/>
      <c r="N56" s="3"/>
      <c r="O56" s="3"/>
      <c r="P56" s="3"/>
      <c r="Q56" s="3"/>
      <c r="R56" s="3"/>
      <c r="S56" s="3"/>
      <c r="T56" s="3"/>
      <c r="U56" s="3"/>
      <c r="V56" s="3"/>
      <c r="W56" s="3"/>
      <c r="X56" s="3"/>
      <c r="Y56" s="3"/>
      <c r="Z56" s="3"/>
    </row>
    <row r="57" spans="1:26" ht="12.75" customHeight="1">
      <c r="A57" s="2"/>
      <c r="B57" s="1" t="s">
        <v>115</v>
      </c>
      <c r="C57" s="1">
        <v>5</v>
      </c>
      <c r="D57" s="1">
        <f t="shared" si="0"/>
        <v>10</v>
      </c>
      <c r="E57" s="1"/>
      <c r="F57" s="1"/>
      <c r="G57" s="1"/>
      <c r="H57" s="3"/>
      <c r="I57" s="3"/>
      <c r="J57" s="3"/>
      <c r="L57" s="3"/>
      <c r="M57" s="3"/>
      <c r="N57" s="3"/>
      <c r="O57" s="3"/>
      <c r="P57" s="3"/>
      <c r="Q57" s="3"/>
      <c r="R57" s="3"/>
      <c r="S57" s="3"/>
      <c r="T57" s="3"/>
      <c r="U57" s="3"/>
      <c r="V57" s="3"/>
      <c r="W57" s="3"/>
      <c r="X57" s="3"/>
      <c r="Y57" s="3"/>
      <c r="Z57" s="3"/>
    </row>
    <row r="58" spans="1:26" ht="12.75" customHeight="1">
      <c r="A58" s="2"/>
      <c r="B58" s="1" t="s">
        <v>116</v>
      </c>
      <c r="C58" s="1">
        <v>2</v>
      </c>
      <c r="D58" s="1">
        <f t="shared" si="0"/>
        <v>5</v>
      </c>
      <c r="E58" s="1"/>
      <c r="F58" s="1"/>
      <c r="G58" s="1"/>
      <c r="H58" s="3"/>
      <c r="I58" s="3"/>
      <c r="J58" s="3"/>
      <c r="L58" s="3"/>
      <c r="M58" s="3"/>
      <c r="N58" s="3"/>
      <c r="O58" s="3"/>
      <c r="P58" s="3"/>
      <c r="Q58" s="3"/>
      <c r="R58" s="3"/>
      <c r="S58" s="3"/>
      <c r="T58" s="3"/>
      <c r="U58" s="3"/>
      <c r="V58" s="3"/>
      <c r="W58" s="3"/>
      <c r="X58" s="3"/>
      <c r="Y58" s="3"/>
      <c r="Z58" s="3"/>
    </row>
    <row r="59" spans="1:26" ht="12.75" customHeight="1">
      <c r="A59" s="2"/>
      <c r="B59" s="1" t="s">
        <v>117</v>
      </c>
      <c r="C59" s="1">
        <v>1</v>
      </c>
      <c r="D59" s="1">
        <f t="shared" si="0"/>
        <v>5</v>
      </c>
      <c r="E59" s="1"/>
      <c r="F59" s="1"/>
      <c r="G59" s="1"/>
      <c r="H59" s="3"/>
      <c r="I59" s="3"/>
      <c r="J59" s="3"/>
      <c r="L59" s="3"/>
      <c r="M59" s="3"/>
      <c r="N59" s="3"/>
      <c r="O59" s="3"/>
      <c r="P59" s="3"/>
      <c r="Q59" s="3"/>
      <c r="R59" s="3"/>
      <c r="S59" s="3"/>
      <c r="T59" s="3"/>
      <c r="U59" s="3"/>
      <c r="V59" s="3"/>
      <c r="W59" s="3"/>
      <c r="X59" s="3"/>
      <c r="Y59" s="3"/>
      <c r="Z59" s="3"/>
    </row>
    <row r="60" spans="1:26" ht="12.75" customHeight="1">
      <c r="A60" s="2"/>
      <c r="B60" s="1" t="s">
        <v>118</v>
      </c>
      <c r="C60" s="1">
        <v>2</v>
      </c>
      <c r="D60" s="1">
        <f>IF(C59&lt;4,5,IF(C59&lt;8,10,15))</f>
        <v>5</v>
      </c>
      <c r="E60" s="1" t="s">
        <v>119</v>
      </c>
      <c r="F60" s="1">
        <f>SUM(F52:F56)</f>
        <v>14</v>
      </c>
      <c r="G60" s="1"/>
      <c r="H60" s="3"/>
      <c r="I60" s="3"/>
      <c r="J60" s="3"/>
      <c r="L60" s="3"/>
      <c r="M60" s="3"/>
      <c r="N60" s="3"/>
      <c r="O60" s="3"/>
      <c r="P60" s="3"/>
      <c r="Q60" s="3"/>
      <c r="R60" s="3"/>
      <c r="S60" s="3"/>
      <c r="T60" s="3"/>
      <c r="U60" s="3"/>
      <c r="V60" s="3"/>
      <c r="W60" s="3"/>
      <c r="X60" s="3"/>
      <c r="Y60" s="3"/>
      <c r="Z60" s="3"/>
    </row>
    <row r="61" spans="1:26" ht="12.75" customHeight="1">
      <c r="A61" s="2"/>
      <c r="B61" s="1" t="s">
        <v>120</v>
      </c>
      <c r="C61" s="1">
        <v>4</v>
      </c>
      <c r="D61" s="1">
        <f t="shared" ref="D61:D71" si="1">IF(C61&lt;4,5,IF(C61&lt;8,10,15))</f>
        <v>10</v>
      </c>
      <c r="F61" s="1"/>
      <c r="G61" s="1"/>
      <c r="H61" s="1"/>
      <c r="I61" s="3"/>
      <c r="J61" s="3"/>
      <c r="K61" s="3"/>
      <c r="L61" s="3"/>
      <c r="M61" s="3"/>
      <c r="N61" s="3"/>
      <c r="O61" s="3"/>
      <c r="P61" s="3"/>
      <c r="Q61" s="3"/>
      <c r="R61" s="3"/>
      <c r="S61" s="3"/>
      <c r="T61" s="3"/>
      <c r="U61" s="3"/>
      <c r="V61" s="3"/>
      <c r="W61" s="3"/>
      <c r="X61" s="3"/>
      <c r="Y61" s="3"/>
      <c r="Z61" s="3"/>
    </row>
    <row r="62" spans="1:26" ht="12.75" customHeight="1">
      <c r="A62" s="2"/>
      <c r="B62" s="1" t="s">
        <v>121</v>
      </c>
      <c r="C62" s="1">
        <v>4</v>
      </c>
      <c r="D62" s="1">
        <f t="shared" si="1"/>
        <v>10</v>
      </c>
      <c r="F62" s="1"/>
      <c r="G62" s="1"/>
      <c r="H62" s="1"/>
      <c r="I62" s="3"/>
      <c r="J62" s="3"/>
      <c r="K62" s="3"/>
      <c r="L62" s="3"/>
      <c r="M62" s="3"/>
      <c r="N62" s="3"/>
      <c r="O62" s="3"/>
      <c r="P62" s="3"/>
      <c r="Q62" s="3"/>
      <c r="R62" s="3"/>
      <c r="S62" s="3"/>
      <c r="T62" s="3"/>
      <c r="U62" s="3"/>
      <c r="V62" s="3"/>
      <c r="W62" s="3"/>
      <c r="X62" s="3"/>
      <c r="Y62" s="3"/>
      <c r="Z62" s="3"/>
    </row>
    <row r="63" spans="1:26" ht="12.75" customHeight="1">
      <c r="A63" s="2"/>
      <c r="B63" s="1" t="s">
        <v>122</v>
      </c>
      <c r="C63" s="1">
        <v>2</v>
      </c>
      <c r="D63" s="1">
        <f t="shared" si="1"/>
        <v>5</v>
      </c>
      <c r="F63" s="1"/>
      <c r="G63" s="1"/>
      <c r="H63" s="1"/>
      <c r="I63" s="3"/>
      <c r="J63" s="3"/>
      <c r="K63" s="3"/>
      <c r="L63" s="3"/>
      <c r="M63" s="3"/>
      <c r="N63" s="3"/>
      <c r="O63" s="3"/>
      <c r="P63" s="3"/>
      <c r="Q63" s="3"/>
      <c r="R63" s="3"/>
      <c r="S63" s="3"/>
      <c r="T63" s="3"/>
      <c r="U63" s="3"/>
      <c r="V63" s="3"/>
      <c r="W63" s="3"/>
      <c r="X63" s="3"/>
      <c r="Y63" s="3"/>
      <c r="Z63" s="3"/>
    </row>
    <row r="64" spans="1:26" ht="12.75" customHeight="1">
      <c r="A64" s="2"/>
      <c r="B64" s="1" t="s">
        <v>123</v>
      </c>
      <c r="C64" s="1">
        <v>3</v>
      </c>
      <c r="D64" s="1">
        <f t="shared" si="1"/>
        <v>5</v>
      </c>
      <c r="F64" s="1"/>
      <c r="G64" s="1"/>
      <c r="H64" s="1"/>
      <c r="I64" s="3"/>
      <c r="J64" s="3"/>
      <c r="K64" s="3"/>
      <c r="L64" s="3"/>
      <c r="M64" s="3"/>
      <c r="N64" s="3"/>
      <c r="O64" s="3"/>
      <c r="P64" s="3"/>
      <c r="Q64" s="3"/>
      <c r="R64" s="3"/>
      <c r="S64" s="3"/>
      <c r="T64" s="3"/>
      <c r="U64" s="3"/>
      <c r="V64" s="3"/>
      <c r="W64" s="3"/>
      <c r="X64" s="3"/>
      <c r="Y64" s="3"/>
      <c r="Z64" s="3"/>
    </row>
    <row r="65" spans="1:26" ht="12.75" customHeight="1">
      <c r="A65" s="2"/>
      <c r="B65" s="1" t="s">
        <v>124</v>
      </c>
      <c r="C65" s="1">
        <v>2</v>
      </c>
      <c r="D65" s="1">
        <f t="shared" si="1"/>
        <v>5</v>
      </c>
      <c r="F65" s="3"/>
      <c r="G65" s="2"/>
      <c r="H65" s="3"/>
      <c r="I65" s="3"/>
      <c r="J65" s="3"/>
      <c r="K65" s="3"/>
      <c r="L65" s="3"/>
      <c r="M65" s="3"/>
      <c r="N65" s="3"/>
      <c r="O65" s="3"/>
      <c r="P65" s="3"/>
      <c r="Q65" s="3"/>
      <c r="R65" s="3"/>
      <c r="S65" s="3"/>
      <c r="T65" s="3"/>
      <c r="U65" s="3"/>
      <c r="V65" s="3"/>
      <c r="W65" s="3"/>
      <c r="X65" s="3"/>
      <c r="Y65" s="3"/>
      <c r="Z65" s="3"/>
    </row>
    <row r="66" spans="1:26" ht="12.75" customHeight="1">
      <c r="A66" s="2"/>
      <c r="B66" s="1" t="s">
        <v>125</v>
      </c>
      <c r="C66" s="1">
        <v>2</v>
      </c>
      <c r="D66" s="1">
        <f t="shared" si="1"/>
        <v>5</v>
      </c>
      <c r="F66" s="3"/>
      <c r="G66" s="2"/>
      <c r="H66" s="3"/>
      <c r="I66" s="3"/>
      <c r="J66" s="3"/>
      <c r="K66" s="3"/>
      <c r="L66" s="3"/>
      <c r="M66" s="3"/>
      <c r="N66" s="3"/>
      <c r="O66" s="3"/>
      <c r="P66" s="3"/>
      <c r="Q66" s="3"/>
      <c r="R66" s="3"/>
      <c r="S66" s="3"/>
      <c r="T66" s="3"/>
      <c r="U66" s="3"/>
      <c r="V66" s="3"/>
      <c r="W66" s="3"/>
      <c r="X66" s="3"/>
      <c r="Y66" s="3"/>
      <c r="Z66" s="3"/>
    </row>
    <row r="67" spans="1:26" ht="12.75" customHeight="1">
      <c r="A67" s="2"/>
      <c r="B67" s="1" t="s">
        <v>126</v>
      </c>
      <c r="C67" s="1">
        <v>3</v>
      </c>
      <c r="D67" s="1">
        <f t="shared" si="1"/>
        <v>5</v>
      </c>
      <c r="F67" s="3"/>
      <c r="G67" s="2"/>
      <c r="H67" s="3"/>
      <c r="I67" s="3"/>
      <c r="J67" s="3"/>
      <c r="K67" s="3"/>
      <c r="L67" s="3"/>
      <c r="M67" s="3"/>
      <c r="N67" s="3"/>
      <c r="O67" s="3"/>
      <c r="P67" s="3"/>
      <c r="Q67" s="3"/>
      <c r="R67" s="3"/>
      <c r="S67" s="3"/>
      <c r="T67" s="3"/>
      <c r="U67" s="3"/>
      <c r="V67" s="3"/>
      <c r="W67" s="3"/>
      <c r="X67" s="3"/>
      <c r="Y67" s="3"/>
      <c r="Z67" s="3"/>
    </row>
    <row r="68" spans="1:26" ht="12.75" customHeight="1">
      <c r="A68" s="2"/>
      <c r="B68" s="1" t="s">
        <v>127</v>
      </c>
      <c r="C68" s="1">
        <v>2</v>
      </c>
      <c r="D68" s="1">
        <f t="shared" si="1"/>
        <v>5</v>
      </c>
      <c r="F68" s="3"/>
      <c r="G68" s="2"/>
      <c r="H68" s="3"/>
      <c r="I68" s="3"/>
      <c r="J68" s="3"/>
      <c r="K68" s="3"/>
      <c r="L68" s="3"/>
      <c r="M68" s="3"/>
      <c r="N68" s="3"/>
      <c r="O68" s="3"/>
      <c r="P68" s="3"/>
      <c r="Q68" s="3"/>
      <c r="R68" s="3"/>
      <c r="S68" s="3"/>
      <c r="T68" s="3"/>
      <c r="U68" s="3"/>
      <c r="V68" s="3"/>
      <c r="W68" s="3"/>
      <c r="X68" s="3"/>
      <c r="Y68" s="3"/>
      <c r="Z68" s="3"/>
    </row>
    <row r="69" spans="1:26" ht="12.75" customHeight="1">
      <c r="A69" s="2"/>
      <c r="B69" s="1" t="s">
        <v>128</v>
      </c>
      <c r="C69" s="1">
        <v>2</v>
      </c>
      <c r="D69" s="1">
        <f t="shared" si="1"/>
        <v>5</v>
      </c>
      <c r="F69" s="3"/>
      <c r="G69" s="2"/>
      <c r="H69" s="3"/>
      <c r="I69" s="3"/>
      <c r="J69" s="3"/>
      <c r="K69" s="3"/>
      <c r="L69" s="3"/>
      <c r="M69" s="3"/>
      <c r="N69" s="3"/>
      <c r="O69" s="3"/>
      <c r="P69" s="3"/>
      <c r="Q69" s="3"/>
      <c r="R69" s="3"/>
      <c r="S69" s="3"/>
      <c r="T69" s="3"/>
      <c r="U69" s="3"/>
      <c r="V69" s="3"/>
      <c r="W69" s="3"/>
      <c r="X69" s="3"/>
      <c r="Y69" s="3"/>
      <c r="Z69" s="3"/>
    </row>
    <row r="70" spans="1:26" ht="12.75" customHeight="1">
      <c r="A70" s="2"/>
      <c r="B70" s="1" t="s">
        <v>129</v>
      </c>
      <c r="C70" s="1">
        <v>2</v>
      </c>
      <c r="D70" s="1">
        <f t="shared" si="1"/>
        <v>5</v>
      </c>
      <c r="F70" s="3"/>
      <c r="G70" s="2"/>
      <c r="H70" s="3"/>
      <c r="I70" s="3"/>
      <c r="J70" s="3"/>
      <c r="K70" s="3"/>
      <c r="L70" s="3"/>
      <c r="M70" s="3"/>
      <c r="N70" s="3"/>
      <c r="O70" s="3"/>
      <c r="P70" s="3"/>
      <c r="Q70" s="3"/>
      <c r="R70" s="3"/>
      <c r="S70" s="3"/>
      <c r="T70" s="3"/>
      <c r="U70" s="3"/>
      <c r="V70" s="3"/>
      <c r="W70" s="3"/>
      <c r="X70" s="3"/>
      <c r="Y70" s="3"/>
      <c r="Z70" s="3"/>
    </row>
    <row r="71" spans="1:26" ht="12.75" customHeight="1">
      <c r="A71" s="2"/>
      <c r="B71" s="1" t="s">
        <v>130</v>
      </c>
      <c r="C71" s="1">
        <v>2</v>
      </c>
      <c r="D71" s="1">
        <f t="shared" si="1"/>
        <v>5</v>
      </c>
      <c r="F71" s="3"/>
      <c r="G71" s="2"/>
      <c r="H71" s="3"/>
      <c r="I71" s="3"/>
      <c r="J71" s="3"/>
      <c r="K71" s="3"/>
      <c r="L71" s="3"/>
      <c r="M71" s="3"/>
      <c r="N71" s="3"/>
      <c r="O71" s="3"/>
      <c r="P71" s="3"/>
      <c r="Q71" s="3"/>
      <c r="R71" s="3"/>
      <c r="S71" s="3"/>
      <c r="T71" s="3"/>
      <c r="U71" s="3"/>
      <c r="V71" s="3"/>
      <c r="W71" s="3"/>
      <c r="X71" s="3"/>
      <c r="Y71" s="3"/>
      <c r="Z71" s="3"/>
    </row>
    <row r="72" spans="1:26" ht="12.75" customHeight="1">
      <c r="A72" s="2"/>
      <c r="B72" s="2"/>
      <c r="C72" s="1"/>
      <c r="D72" s="2"/>
      <c r="E72" s="3"/>
      <c r="F72" s="2"/>
      <c r="G72" s="3"/>
      <c r="H72" s="3"/>
      <c r="I72" s="3"/>
      <c r="J72" s="3"/>
      <c r="K72" s="3"/>
      <c r="L72" s="3"/>
      <c r="M72" s="3"/>
      <c r="N72" s="3"/>
      <c r="O72" s="3"/>
      <c r="P72" s="3"/>
      <c r="Q72" s="3"/>
      <c r="R72" s="3"/>
      <c r="S72" s="3"/>
      <c r="T72" s="3"/>
      <c r="U72" s="3"/>
      <c r="V72" s="3"/>
      <c r="W72" s="3"/>
      <c r="X72" s="3"/>
      <c r="Y72" s="3"/>
      <c r="Z72" s="3"/>
    </row>
    <row r="73" spans="1:26" ht="12.75" customHeight="1">
      <c r="A73" s="2"/>
      <c r="B73" s="2"/>
      <c r="C73" s="1" t="s">
        <v>131</v>
      </c>
      <c r="D73" s="2">
        <f>SUM(D52:D71)</f>
        <v>125</v>
      </c>
      <c r="E73" s="3"/>
      <c r="F73" s="2"/>
      <c r="G73" s="3"/>
      <c r="H73" s="3"/>
      <c r="I73" s="3"/>
      <c r="J73" s="3"/>
      <c r="K73" s="3"/>
      <c r="L73" s="3"/>
      <c r="M73" s="3"/>
      <c r="N73" s="3"/>
      <c r="O73" s="3"/>
      <c r="P73" s="3"/>
      <c r="Q73" s="3"/>
      <c r="R73" s="3"/>
      <c r="S73" s="3"/>
      <c r="T73" s="3"/>
      <c r="U73" s="3"/>
      <c r="V73" s="3"/>
      <c r="W73" s="3"/>
      <c r="X73" s="3"/>
      <c r="Y73" s="3"/>
      <c r="Z73" s="3"/>
    </row>
    <row r="74" spans="1:26" ht="12.75" customHeight="1">
      <c r="A74" s="1"/>
      <c r="B74" s="1"/>
      <c r="C74" s="1"/>
      <c r="D74" s="1"/>
      <c r="E74" s="1"/>
      <c r="F74" s="1"/>
      <c r="G74" s="1"/>
      <c r="H74" s="1"/>
      <c r="I74" s="1"/>
      <c r="J74" s="3"/>
      <c r="K74" s="3"/>
      <c r="L74" s="3"/>
      <c r="M74" s="3"/>
      <c r="N74" s="3"/>
      <c r="O74" s="3"/>
      <c r="P74" s="3"/>
      <c r="Q74" s="3"/>
      <c r="R74" s="3"/>
      <c r="S74" s="3"/>
      <c r="T74" s="3"/>
      <c r="U74" s="3"/>
      <c r="V74" s="3"/>
      <c r="W74" s="3"/>
      <c r="X74" s="3"/>
      <c r="Y74" s="3"/>
      <c r="Z74" s="3"/>
    </row>
    <row r="75" spans="1:26" ht="12.75" customHeight="1">
      <c r="A75" s="1" t="s">
        <v>95</v>
      </c>
      <c r="B75" s="1" t="s">
        <v>96</v>
      </c>
      <c r="C75" s="1" t="s">
        <v>97</v>
      </c>
      <c r="D75" s="1" t="s">
        <v>98</v>
      </c>
      <c r="E75" s="1" t="s">
        <v>99</v>
      </c>
      <c r="F75" s="1" t="s">
        <v>100</v>
      </c>
      <c r="G75" s="1" t="s">
        <v>101</v>
      </c>
      <c r="H75" s="1" t="s">
        <v>102</v>
      </c>
      <c r="I75" s="1" t="s">
        <v>103</v>
      </c>
      <c r="J75" s="3"/>
      <c r="K75" s="3"/>
      <c r="L75" s="3"/>
      <c r="M75" s="3"/>
      <c r="N75" s="3"/>
      <c r="O75" s="3"/>
      <c r="P75" s="3"/>
      <c r="Q75" s="3"/>
      <c r="R75" s="3"/>
      <c r="S75" s="3"/>
      <c r="T75" s="3"/>
      <c r="U75" s="3"/>
      <c r="V75" s="3"/>
      <c r="W75" s="3"/>
      <c r="X75" s="3"/>
      <c r="Y75" s="3"/>
      <c r="Z75" s="3"/>
    </row>
    <row r="76" spans="1:26" ht="12.75" customHeight="1">
      <c r="A76" s="1" t="s">
        <v>132</v>
      </c>
      <c r="B76" s="1" t="s">
        <v>133</v>
      </c>
      <c r="C76" s="1">
        <v>4</v>
      </c>
      <c r="D76" s="1">
        <f t="shared" ref="D76:D103" si="2">IF(C76&lt;4,5,IF(C76&lt;8,10,15))</f>
        <v>10</v>
      </c>
      <c r="E76" s="1" t="s">
        <v>134</v>
      </c>
      <c r="F76" s="1">
        <v>3</v>
      </c>
      <c r="G76" s="1">
        <v>1.06</v>
      </c>
      <c r="H76" s="1">
        <v>1.03</v>
      </c>
      <c r="I76" s="2">
        <f>(D104+F80)*G76*H76</f>
        <v>227.09440000000004</v>
      </c>
      <c r="J76" s="3"/>
      <c r="K76" s="3"/>
      <c r="L76" s="3"/>
      <c r="M76" s="3"/>
      <c r="N76" s="3"/>
      <c r="O76" s="3"/>
      <c r="P76" s="3"/>
      <c r="Q76" s="3"/>
      <c r="R76" s="3"/>
      <c r="S76" s="3"/>
      <c r="T76" s="3"/>
      <c r="U76" s="3"/>
      <c r="V76" s="3"/>
      <c r="W76" s="3"/>
      <c r="X76" s="3"/>
      <c r="Y76" s="3"/>
      <c r="Z76" s="3"/>
    </row>
    <row r="77" spans="1:26" ht="12.75" customHeight="1">
      <c r="A77" s="2"/>
      <c r="B77" s="1" t="s">
        <v>135</v>
      </c>
      <c r="C77" s="1">
        <v>2</v>
      </c>
      <c r="D77" s="1">
        <f t="shared" si="2"/>
        <v>5</v>
      </c>
      <c r="E77" s="1" t="s">
        <v>136</v>
      </c>
      <c r="F77" s="1">
        <v>3</v>
      </c>
      <c r="G77" s="3"/>
      <c r="H77" s="3"/>
      <c r="I77" s="3"/>
      <c r="J77" s="3"/>
      <c r="K77" s="3"/>
      <c r="L77" s="3"/>
      <c r="M77" s="3"/>
      <c r="N77" s="3"/>
      <c r="O77" s="3"/>
      <c r="P77" s="3"/>
      <c r="Q77" s="3"/>
      <c r="R77" s="3"/>
      <c r="S77" s="3"/>
      <c r="T77" s="3"/>
      <c r="U77" s="3"/>
      <c r="V77" s="3"/>
      <c r="W77" s="3"/>
      <c r="X77" s="3"/>
      <c r="Y77" s="3"/>
      <c r="Z77" s="3"/>
    </row>
    <row r="78" spans="1:26" ht="12.75" customHeight="1">
      <c r="A78" s="2"/>
      <c r="B78" s="1" t="s">
        <v>137</v>
      </c>
      <c r="C78" s="1">
        <v>2</v>
      </c>
      <c r="D78" s="1">
        <f t="shared" si="2"/>
        <v>5</v>
      </c>
      <c r="E78" s="1" t="s">
        <v>138</v>
      </c>
      <c r="F78" s="1">
        <v>2</v>
      </c>
      <c r="G78" s="3"/>
      <c r="H78" s="3"/>
      <c r="I78" s="3"/>
      <c r="J78" s="3"/>
      <c r="K78" s="3"/>
      <c r="L78" s="3"/>
      <c r="M78" s="3"/>
      <c r="N78" s="3"/>
      <c r="O78" s="3"/>
      <c r="P78" s="3"/>
      <c r="Q78" s="3"/>
      <c r="R78" s="3"/>
      <c r="S78" s="3"/>
      <c r="T78" s="3"/>
      <c r="U78" s="3"/>
      <c r="V78" s="3"/>
      <c r="W78" s="3"/>
      <c r="X78" s="3"/>
      <c r="Y78" s="3"/>
      <c r="Z78" s="3"/>
    </row>
    <row r="79" spans="1:26" ht="12.75" customHeight="1">
      <c r="A79" s="2"/>
      <c r="B79" s="1" t="s">
        <v>139</v>
      </c>
      <c r="C79" s="1">
        <v>2</v>
      </c>
      <c r="D79" s="1">
        <f t="shared" si="2"/>
        <v>5</v>
      </c>
      <c r="E79" s="3"/>
      <c r="F79" s="2"/>
      <c r="G79" s="3"/>
      <c r="H79" s="3"/>
      <c r="I79" s="3"/>
      <c r="J79" s="3"/>
      <c r="K79" s="3"/>
      <c r="L79" s="3"/>
      <c r="M79" s="3"/>
      <c r="N79" s="3"/>
      <c r="O79" s="3"/>
      <c r="P79" s="3"/>
      <c r="Q79" s="3"/>
      <c r="R79" s="3"/>
      <c r="S79" s="3"/>
      <c r="T79" s="3"/>
      <c r="U79" s="3"/>
      <c r="V79" s="3"/>
      <c r="W79" s="3"/>
      <c r="X79" s="3"/>
      <c r="Y79" s="3"/>
      <c r="Z79" s="3"/>
    </row>
    <row r="80" spans="1:26" ht="12.75" customHeight="1">
      <c r="A80" s="2"/>
      <c r="B80" s="1" t="s">
        <v>140</v>
      </c>
      <c r="C80" s="1">
        <v>2</v>
      </c>
      <c r="D80" s="1">
        <f t="shared" si="2"/>
        <v>5</v>
      </c>
      <c r="E80" s="1" t="s">
        <v>119</v>
      </c>
      <c r="F80" s="2">
        <f>SUM(F76:F78)</f>
        <v>8</v>
      </c>
      <c r="G80" s="3"/>
      <c r="H80" s="3"/>
      <c r="I80" s="3"/>
      <c r="J80" s="3"/>
      <c r="K80" s="3"/>
      <c r="L80" s="3"/>
      <c r="M80" s="3"/>
      <c r="N80" s="3"/>
      <c r="O80" s="3"/>
      <c r="P80" s="3"/>
      <c r="Q80" s="3"/>
      <c r="R80" s="3"/>
      <c r="S80" s="3"/>
      <c r="T80" s="3"/>
      <c r="U80" s="3"/>
      <c r="V80" s="3"/>
      <c r="W80" s="3"/>
      <c r="X80" s="3"/>
      <c r="Y80" s="3"/>
      <c r="Z80" s="3"/>
    </row>
    <row r="81" spans="1:26" ht="12.75" customHeight="1">
      <c r="A81" s="2"/>
      <c r="B81" s="1" t="s">
        <v>141</v>
      </c>
      <c r="C81" s="1">
        <v>2</v>
      </c>
      <c r="D81" s="1">
        <f t="shared" si="2"/>
        <v>5</v>
      </c>
      <c r="E81" s="3"/>
      <c r="F81" s="2"/>
      <c r="G81" s="3"/>
      <c r="H81" s="3"/>
      <c r="I81" s="3"/>
      <c r="J81" s="3"/>
      <c r="K81" s="3"/>
      <c r="L81" s="3"/>
      <c r="M81" s="3"/>
      <c r="N81" s="3"/>
      <c r="O81" s="3"/>
      <c r="P81" s="3"/>
      <c r="Q81" s="3"/>
      <c r="R81" s="3"/>
      <c r="S81" s="3"/>
      <c r="T81" s="3"/>
      <c r="U81" s="3"/>
      <c r="V81" s="3"/>
      <c r="W81" s="3"/>
      <c r="X81" s="3"/>
      <c r="Y81" s="3"/>
      <c r="Z81" s="3"/>
    </row>
    <row r="82" spans="1:26" ht="12.75" customHeight="1">
      <c r="A82" s="2"/>
      <c r="B82" s="1" t="s">
        <v>142</v>
      </c>
      <c r="C82" s="1">
        <v>2</v>
      </c>
      <c r="D82" s="1">
        <f t="shared" si="2"/>
        <v>5</v>
      </c>
      <c r="E82" s="3"/>
      <c r="F82" s="2"/>
      <c r="G82" s="3"/>
      <c r="H82" s="3"/>
      <c r="I82" s="3"/>
      <c r="J82" s="3"/>
      <c r="K82" s="3"/>
      <c r="L82" s="3"/>
      <c r="M82" s="3"/>
      <c r="N82" s="3"/>
      <c r="O82" s="3"/>
      <c r="P82" s="3"/>
      <c r="Q82" s="3"/>
      <c r="R82" s="3"/>
      <c r="S82" s="3"/>
      <c r="T82" s="3"/>
      <c r="U82" s="3"/>
      <c r="V82" s="3"/>
      <c r="W82" s="3"/>
      <c r="X82" s="3"/>
      <c r="Y82" s="3"/>
      <c r="Z82" s="3"/>
    </row>
    <row r="83" spans="1:26" ht="12.75" customHeight="1">
      <c r="A83" s="2"/>
      <c r="B83" s="1" t="s">
        <v>143</v>
      </c>
      <c r="C83" s="1">
        <v>2</v>
      </c>
      <c r="D83" s="1">
        <f t="shared" si="2"/>
        <v>5</v>
      </c>
      <c r="E83" s="3"/>
      <c r="F83" s="2"/>
      <c r="G83" s="3"/>
      <c r="H83" s="3"/>
      <c r="I83" s="3"/>
      <c r="J83" s="3"/>
      <c r="K83" s="3"/>
      <c r="L83" s="3"/>
      <c r="M83" s="3"/>
      <c r="N83" s="3"/>
      <c r="O83" s="3"/>
      <c r="P83" s="3"/>
      <c r="Q83" s="3"/>
      <c r="R83" s="3"/>
      <c r="S83" s="3"/>
      <c r="T83" s="3"/>
      <c r="U83" s="3"/>
      <c r="V83" s="3"/>
      <c r="W83" s="3"/>
      <c r="X83" s="3"/>
      <c r="Y83" s="3"/>
      <c r="Z83" s="3"/>
    </row>
    <row r="84" spans="1:26" ht="12.75" customHeight="1">
      <c r="A84" s="2"/>
      <c r="B84" s="1" t="s">
        <v>144</v>
      </c>
      <c r="C84" s="1">
        <v>4</v>
      </c>
      <c r="D84" s="1">
        <f t="shared" si="2"/>
        <v>10</v>
      </c>
      <c r="E84" s="3"/>
      <c r="F84" s="2"/>
      <c r="G84" s="3"/>
      <c r="H84" s="3"/>
      <c r="I84" s="3"/>
      <c r="J84" s="3"/>
      <c r="K84" s="3"/>
      <c r="L84" s="3"/>
      <c r="M84" s="3"/>
      <c r="N84" s="3"/>
      <c r="O84" s="3"/>
      <c r="P84" s="3"/>
      <c r="Q84" s="3"/>
      <c r="R84" s="3"/>
      <c r="S84" s="3"/>
      <c r="T84" s="3"/>
      <c r="U84" s="3"/>
      <c r="V84" s="3"/>
      <c r="W84" s="3"/>
      <c r="X84" s="3"/>
      <c r="Y84" s="3"/>
      <c r="Z84" s="3"/>
    </row>
    <row r="85" spans="1:26" ht="12.75" customHeight="1">
      <c r="A85" s="2"/>
      <c r="B85" s="1" t="s">
        <v>145</v>
      </c>
      <c r="C85" s="1">
        <v>2</v>
      </c>
      <c r="D85" s="1">
        <f t="shared" si="2"/>
        <v>5</v>
      </c>
      <c r="E85" s="3"/>
      <c r="F85" s="2"/>
      <c r="G85" s="3"/>
      <c r="H85" s="3"/>
      <c r="I85" s="3"/>
      <c r="J85" s="3"/>
      <c r="K85" s="3"/>
      <c r="L85" s="3"/>
      <c r="M85" s="3"/>
      <c r="N85" s="3"/>
      <c r="O85" s="3"/>
      <c r="P85" s="3"/>
      <c r="Q85" s="3"/>
      <c r="R85" s="3"/>
      <c r="S85" s="3"/>
      <c r="T85" s="3"/>
      <c r="U85" s="3"/>
      <c r="V85" s="3"/>
      <c r="W85" s="3"/>
      <c r="X85" s="3"/>
      <c r="Y85" s="3"/>
      <c r="Z85" s="3"/>
    </row>
    <row r="86" spans="1:26" ht="12.75" customHeight="1">
      <c r="A86" s="2"/>
      <c r="B86" s="1" t="s">
        <v>146</v>
      </c>
      <c r="C86" s="1">
        <v>4</v>
      </c>
      <c r="D86" s="1">
        <f t="shared" si="2"/>
        <v>10</v>
      </c>
      <c r="E86" s="3"/>
      <c r="F86" s="2"/>
      <c r="G86" s="3"/>
      <c r="H86" s="3"/>
      <c r="I86" s="3"/>
      <c r="J86" s="3"/>
      <c r="K86" s="3"/>
      <c r="L86" s="3"/>
      <c r="M86" s="3"/>
      <c r="N86" s="3"/>
      <c r="O86" s="3"/>
      <c r="P86" s="3"/>
      <c r="Q86" s="3"/>
      <c r="R86" s="3"/>
      <c r="S86" s="3"/>
      <c r="T86" s="3"/>
      <c r="U86" s="3"/>
      <c r="V86" s="3"/>
      <c r="W86" s="3"/>
      <c r="X86" s="3"/>
      <c r="Y86" s="3"/>
      <c r="Z86" s="3"/>
    </row>
    <row r="87" spans="1:26" ht="12.75" customHeight="1">
      <c r="A87" s="2"/>
      <c r="B87" s="1" t="s">
        <v>147</v>
      </c>
      <c r="C87" s="18">
        <v>4</v>
      </c>
      <c r="D87" s="1">
        <f t="shared" si="2"/>
        <v>10</v>
      </c>
      <c r="E87" s="3"/>
      <c r="F87" s="2"/>
      <c r="G87" s="3"/>
      <c r="H87" s="3"/>
      <c r="I87" s="3"/>
      <c r="J87" s="3"/>
      <c r="K87" s="3"/>
      <c r="L87" s="3"/>
      <c r="M87" s="3"/>
      <c r="N87" s="3"/>
      <c r="O87" s="3"/>
      <c r="P87" s="3"/>
      <c r="Q87" s="3"/>
      <c r="R87" s="3"/>
      <c r="S87" s="3"/>
      <c r="T87" s="3"/>
      <c r="U87" s="3"/>
      <c r="V87" s="3"/>
      <c r="W87" s="3"/>
      <c r="X87" s="3"/>
      <c r="Y87" s="3"/>
      <c r="Z87" s="3"/>
    </row>
    <row r="88" spans="1:26" ht="12.75" customHeight="1">
      <c r="A88" s="2"/>
      <c r="B88" s="1" t="s">
        <v>148</v>
      </c>
      <c r="C88" s="1">
        <v>3</v>
      </c>
      <c r="D88" s="1">
        <f t="shared" si="2"/>
        <v>5</v>
      </c>
      <c r="E88" s="3"/>
      <c r="F88" s="2"/>
      <c r="G88" s="3"/>
      <c r="H88" s="3"/>
      <c r="I88" s="3"/>
      <c r="J88" s="3"/>
      <c r="K88" s="3"/>
      <c r="L88" s="3"/>
      <c r="M88" s="3"/>
      <c r="N88" s="3"/>
      <c r="O88" s="3"/>
      <c r="P88" s="3"/>
      <c r="Q88" s="3"/>
      <c r="R88" s="3"/>
      <c r="S88" s="3"/>
      <c r="T88" s="3"/>
      <c r="U88" s="3"/>
      <c r="V88" s="3"/>
      <c r="W88" s="3"/>
      <c r="X88" s="3"/>
      <c r="Y88" s="3"/>
      <c r="Z88" s="3"/>
    </row>
    <row r="89" spans="1:26" ht="12.75" customHeight="1">
      <c r="A89" s="2"/>
      <c r="B89" s="1" t="s">
        <v>149</v>
      </c>
      <c r="C89" s="1">
        <v>4</v>
      </c>
      <c r="D89" s="1">
        <f t="shared" si="2"/>
        <v>10</v>
      </c>
      <c r="E89" s="3"/>
      <c r="F89" s="2"/>
      <c r="G89" s="3"/>
      <c r="H89" s="3"/>
      <c r="I89" s="3"/>
      <c r="J89" s="3"/>
      <c r="K89" s="3"/>
      <c r="L89" s="3"/>
      <c r="M89" s="3"/>
      <c r="N89" s="3"/>
      <c r="O89" s="3"/>
      <c r="P89" s="3"/>
      <c r="Q89" s="3"/>
      <c r="R89" s="3"/>
      <c r="S89" s="3"/>
      <c r="T89" s="3"/>
      <c r="U89" s="3"/>
      <c r="V89" s="3"/>
      <c r="W89" s="3"/>
      <c r="X89" s="3"/>
      <c r="Y89" s="3"/>
      <c r="Z89" s="3"/>
    </row>
    <row r="90" spans="1:26" ht="12.75" customHeight="1">
      <c r="A90" s="2"/>
      <c r="B90" s="1" t="s">
        <v>150</v>
      </c>
      <c r="C90" s="1">
        <v>2</v>
      </c>
      <c r="D90" s="1">
        <f t="shared" si="2"/>
        <v>5</v>
      </c>
      <c r="E90" s="3"/>
      <c r="F90" s="2"/>
      <c r="G90" s="3"/>
      <c r="H90" s="3"/>
      <c r="I90" s="3"/>
      <c r="J90" s="3"/>
      <c r="K90" s="3"/>
      <c r="L90" s="3"/>
      <c r="M90" s="3"/>
      <c r="N90" s="3"/>
      <c r="O90" s="3"/>
      <c r="P90" s="3"/>
      <c r="Q90" s="3"/>
      <c r="R90" s="3"/>
      <c r="S90" s="3"/>
      <c r="T90" s="3"/>
      <c r="U90" s="3"/>
      <c r="V90" s="3"/>
      <c r="W90" s="3"/>
      <c r="X90" s="3"/>
      <c r="Y90" s="3"/>
      <c r="Z90" s="3"/>
    </row>
    <row r="91" spans="1:26" ht="12.75" customHeight="1">
      <c r="A91" s="2"/>
      <c r="B91" s="1" t="s">
        <v>151</v>
      </c>
      <c r="C91" s="18">
        <v>4</v>
      </c>
      <c r="D91" s="1">
        <f t="shared" si="2"/>
        <v>10</v>
      </c>
      <c r="E91" s="3"/>
      <c r="F91" s="2"/>
      <c r="G91" s="3"/>
      <c r="H91" s="3"/>
      <c r="I91" s="3"/>
      <c r="J91" s="3"/>
      <c r="K91" s="3"/>
      <c r="L91" s="3"/>
      <c r="M91" s="3"/>
      <c r="N91" s="3"/>
      <c r="O91" s="3"/>
      <c r="P91" s="3"/>
      <c r="Q91" s="3"/>
      <c r="R91" s="3"/>
      <c r="S91" s="3"/>
      <c r="T91" s="3"/>
      <c r="U91" s="3"/>
      <c r="V91" s="3"/>
      <c r="W91" s="3"/>
      <c r="X91" s="3"/>
      <c r="Y91" s="3"/>
      <c r="Z91" s="3"/>
    </row>
    <row r="92" spans="1:26" ht="12.75" customHeight="1">
      <c r="A92" s="2"/>
      <c r="B92" s="1" t="s">
        <v>152</v>
      </c>
      <c r="C92" s="18">
        <v>4</v>
      </c>
      <c r="D92" s="1">
        <f t="shared" si="2"/>
        <v>10</v>
      </c>
      <c r="E92" s="3"/>
      <c r="F92" s="2"/>
      <c r="G92" s="3"/>
      <c r="H92" s="3"/>
      <c r="I92" s="3"/>
      <c r="J92" s="3"/>
      <c r="K92" s="3"/>
      <c r="L92" s="3"/>
      <c r="M92" s="3"/>
      <c r="N92" s="3"/>
      <c r="O92" s="3"/>
      <c r="P92" s="3"/>
      <c r="Q92" s="3"/>
      <c r="R92" s="3"/>
      <c r="S92" s="3"/>
      <c r="T92" s="3"/>
      <c r="U92" s="3"/>
      <c r="V92" s="3"/>
      <c r="W92" s="3"/>
      <c r="X92" s="3"/>
      <c r="Y92" s="3"/>
      <c r="Z92" s="3"/>
    </row>
    <row r="93" spans="1:26" ht="12.75" customHeight="1">
      <c r="A93" s="2"/>
      <c r="B93" s="1" t="s">
        <v>153</v>
      </c>
      <c r="C93" s="18">
        <v>5</v>
      </c>
      <c r="D93" s="1">
        <f t="shared" si="2"/>
        <v>10</v>
      </c>
      <c r="E93" s="3"/>
      <c r="F93" s="2"/>
      <c r="G93" s="3"/>
      <c r="H93" s="3"/>
      <c r="I93" s="3"/>
      <c r="J93" s="3"/>
      <c r="K93" s="3"/>
      <c r="L93" s="3"/>
      <c r="M93" s="3"/>
      <c r="N93" s="3"/>
      <c r="O93" s="3"/>
      <c r="P93" s="3"/>
      <c r="Q93" s="3"/>
      <c r="R93" s="3"/>
      <c r="S93" s="3"/>
      <c r="T93" s="3"/>
      <c r="U93" s="3"/>
      <c r="V93" s="3"/>
      <c r="W93" s="3"/>
      <c r="X93" s="3"/>
      <c r="Y93" s="3"/>
      <c r="Z93" s="3"/>
    </row>
    <row r="94" spans="1:26" ht="12.75" customHeight="1">
      <c r="A94" s="2"/>
      <c r="B94" s="1" t="s">
        <v>154</v>
      </c>
      <c r="C94" s="1">
        <v>5</v>
      </c>
      <c r="D94" s="1">
        <f t="shared" si="2"/>
        <v>10</v>
      </c>
      <c r="E94" s="3"/>
      <c r="F94" s="2"/>
      <c r="G94" s="3"/>
      <c r="H94" s="3"/>
      <c r="I94" s="3"/>
      <c r="J94" s="3"/>
      <c r="K94" s="3"/>
      <c r="L94" s="3"/>
      <c r="M94" s="3"/>
      <c r="N94" s="3"/>
      <c r="O94" s="3"/>
      <c r="P94" s="3"/>
      <c r="Q94" s="3"/>
      <c r="R94" s="3"/>
      <c r="S94" s="3"/>
      <c r="T94" s="3"/>
      <c r="U94" s="3"/>
      <c r="V94" s="3"/>
      <c r="W94" s="3"/>
      <c r="X94" s="3"/>
      <c r="Y94" s="3"/>
      <c r="Z94" s="3"/>
    </row>
    <row r="95" spans="1:26" ht="12.75" customHeight="1">
      <c r="A95" s="2"/>
      <c r="B95" s="1" t="s">
        <v>155</v>
      </c>
      <c r="C95" s="1">
        <v>4</v>
      </c>
      <c r="D95" s="1">
        <f t="shared" si="2"/>
        <v>10</v>
      </c>
      <c r="E95" s="3"/>
      <c r="F95" s="2"/>
      <c r="G95" s="3"/>
      <c r="H95" s="3"/>
      <c r="I95" s="3"/>
      <c r="J95" s="3"/>
      <c r="K95" s="3"/>
      <c r="L95" s="3"/>
      <c r="M95" s="3"/>
      <c r="N95" s="3"/>
      <c r="O95" s="3"/>
      <c r="P95" s="3"/>
      <c r="Q95" s="3"/>
      <c r="R95" s="3"/>
      <c r="S95" s="3"/>
      <c r="T95" s="3"/>
      <c r="U95" s="3"/>
      <c r="V95" s="3"/>
      <c r="W95" s="3"/>
      <c r="X95" s="3"/>
      <c r="Y95" s="3"/>
      <c r="Z95" s="3"/>
    </row>
    <row r="96" spans="1:26" ht="12.75" customHeight="1">
      <c r="A96" s="2"/>
      <c r="B96" s="1" t="s">
        <v>156</v>
      </c>
      <c r="C96" s="1">
        <v>3</v>
      </c>
      <c r="D96" s="1">
        <f t="shared" si="2"/>
        <v>5</v>
      </c>
      <c r="E96" s="3"/>
      <c r="F96" s="2"/>
      <c r="G96" s="3"/>
      <c r="H96" s="3"/>
      <c r="I96" s="3"/>
      <c r="J96" s="3"/>
      <c r="K96" s="3"/>
      <c r="L96" s="3"/>
      <c r="M96" s="3"/>
      <c r="N96" s="3"/>
      <c r="O96" s="3"/>
      <c r="P96" s="3"/>
      <c r="Q96" s="3"/>
      <c r="R96" s="3"/>
      <c r="S96" s="3"/>
      <c r="T96" s="3"/>
      <c r="U96" s="3"/>
      <c r="V96" s="3"/>
      <c r="W96" s="3"/>
      <c r="X96" s="3"/>
      <c r="Y96" s="3"/>
      <c r="Z96" s="3"/>
    </row>
    <row r="97" spans="1:26" ht="12.75" customHeight="1">
      <c r="A97" s="2"/>
      <c r="B97" s="1" t="s">
        <v>157</v>
      </c>
      <c r="C97" s="1">
        <v>2</v>
      </c>
      <c r="D97" s="1">
        <f t="shared" si="2"/>
        <v>5</v>
      </c>
      <c r="E97" s="3"/>
      <c r="F97" s="2"/>
      <c r="G97" s="3"/>
      <c r="H97" s="3"/>
      <c r="I97" s="3"/>
      <c r="J97" s="3"/>
      <c r="K97" s="3"/>
      <c r="L97" s="3"/>
      <c r="M97" s="3"/>
      <c r="N97" s="3"/>
      <c r="O97" s="3"/>
      <c r="P97" s="3"/>
      <c r="Q97" s="3"/>
      <c r="R97" s="3"/>
      <c r="S97" s="3"/>
      <c r="T97" s="3"/>
      <c r="U97" s="3"/>
      <c r="V97" s="3"/>
      <c r="W97" s="3"/>
      <c r="X97" s="3"/>
      <c r="Y97" s="3"/>
      <c r="Z97" s="3"/>
    </row>
    <row r="98" spans="1:26" ht="12.75" customHeight="1">
      <c r="A98" s="2"/>
      <c r="B98" s="1" t="s">
        <v>158</v>
      </c>
      <c r="C98" s="1">
        <v>2</v>
      </c>
      <c r="D98" s="1">
        <f t="shared" si="2"/>
        <v>5</v>
      </c>
      <c r="E98" s="3"/>
      <c r="F98" s="2"/>
      <c r="G98" s="3"/>
      <c r="H98" s="3"/>
      <c r="I98" s="3"/>
      <c r="J98" s="3"/>
      <c r="K98" s="3"/>
      <c r="L98" s="3"/>
      <c r="M98" s="3"/>
      <c r="N98" s="3"/>
      <c r="O98" s="3"/>
      <c r="P98" s="3"/>
      <c r="Q98" s="3"/>
      <c r="R98" s="3"/>
      <c r="S98" s="3"/>
      <c r="T98" s="3"/>
      <c r="U98" s="3"/>
      <c r="V98" s="3"/>
      <c r="W98" s="3"/>
      <c r="X98" s="3"/>
      <c r="Y98" s="3"/>
      <c r="Z98" s="3"/>
    </row>
    <row r="99" spans="1:26" ht="12.75" customHeight="1">
      <c r="A99" s="2"/>
      <c r="B99" s="1" t="s">
        <v>159</v>
      </c>
      <c r="C99" s="1">
        <v>2</v>
      </c>
      <c r="D99" s="1">
        <f t="shared" si="2"/>
        <v>5</v>
      </c>
      <c r="E99" s="3"/>
      <c r="F99" s="2"/>
      <c r="G99" s="3"/>
      <c r="H99" s="3"/>
      <c r="I99" s="3"/>
      <c r="J99" s="3"/>
      <c r="K99" s="3"/>
      <c r="L99" s="3"/>
      <c r="M99" s="3"/>
      <c r="N99" s="3"/>
      <c r="O99" s="3"/>
      <c r="P99" s="3"/>
      <c r="Q99" s="3"/>
      <c r="R99" s="3"/>
      <c r="S99" s="3"/>
      <c r="T99" s="3"/>
      <c r="U99" s="3"/>
      <c r="V99" s="3"/>
      <c r="W99" s="3"/>
      <c r="X99" s="3"/>
      <c r="Y99" s="3"/>
      <c r="Z99" s="3"/>
    </row>
    <row r="100" spans="1:26" ht="12.75" customHeight="1">
      <c r="A100" s="2"/>
      <c r="B100" s="1" t="s">
        <v>160</v>
      </c>
      <c r="C100" s="1">
        <v>4</v>
      </c>
      <c r="D100" s="1">
        <f t="shared" si="2"/>
        <v>10</v>
      </c>
      <c r="E100" s="3"/>
      <c r="F100" s="2"/>
      <c r="G100" s="3"/>
      <c r="H100" s="3"/>
      <c r="I100" s="3"/>
      <c r="J100" s="3"/>
      <c r="K100" s="3"/>
      <c r="L100" s="3"/>
      <c r="M100" s="3"/>
      <c r="N100" s="3"/>
      <c r="O100" s="3"/>
      <c r="P100" s="3"/>
      <c r="Q100" s="3"/>
      <c r="R100" s="3"/>
      <c r="S100" s="3"/>
      <c r="T100" s="3"/>
      <c r="U100" s="3"/>
      <c r="V100" s="3"/>
      <c r="W100" s="3"/>
      <c r="X100" s="3"/>
      <c r="Y100" s="3"/>
      <c r="Z100" s="3"/>
    </row>
    <row r="101" spans="1:26" ht="12.75" customHeight="1">
      <c r="A101" s="2"/>
      <c r="B101" s="1" t="s">
        <v>161</v>
      </c>
      <c r="C101" s="1">
        <v>4</v>
      </c>
      <c r="D101" s="1">
        <f t="shared" si="2"/>
        <v>10</v>
      </c>
      <c r="E101" s="3"/>
      <c r="F101" s="2"/>
      <c r="G101" s="3"/>
      <c r="H101" s="3"/>
      <c r="I101" s="3"/>
      <c r="J101" s="3"/>
      <c r="K101" s="3"/>
      <c r="L101" s="3"/>
      <c r="M101" s="3"/>
      <c r="N101" s="3"/>
      <c r="O101" s="3"/>
      <c r="P101" s="3"/>
      <c r="Q101" s="3"/>
      <c r="R101" s="3"/>
      <c r="S101" s="3"/>
      <c r="T101" s="3"/>
      <c r="U101" s="3"/>
      <c r="V101" s="3"/>
      <c r="W101" s="3"/>
      <c r="X101" s="3"/>
      <c r="Y101" s="3"/>
      <c r="Z101" s="3"/>
    </row>
    <row r="102" spans="1:26" ht="12.75" customHeight="1">
      <c r="A102" s="2"/>
      <c r="B102" s="1" t="s">
        <v>162</v>
      </c>
      <c r="C102" s="1">
        <v>3</v>
      </c>
      <c r="D102" s="1">
        <f t="shared" si="2"/>
        <v>5</v>
      </c>
      <c r="E102" s="3"/>
      <c r="F102" s="2"/>
      <c r="G102" s="3"/>
      <c r="H102" s="3"/>
      <c r="I102" s="3"/>
      <c r="J102" s="3"/>
      <c r="K102" s="3"/>
      <c r="L102" s="3"/>
      <c r="M102" s="3"/>
      <c r="N102" s="3"/>
      <c r="O102" s="3"/>
      <c r="P102" s="3"/>
      <c r="Q102" s="3"/>
      <c r="R102" s="3"/>
      <c r="S102" s="3"/>
      <c r="T102" s="3"/>
      <c r="U102" s="3"/>
      <c r="V102" s="3"/>
      <c r="W102" s="3"/>
      <c r="X102" s="3"/>
      <c r="Y102" s="3"/>
      <c r="Z102" s="3"/>
    </row>
    <row r="103" spans="1:26" ht="12.75" customHeight="1">
      <c r="A103" s="2"/>
      <c r="B103" s="1" t="s">
        <v>163</v>
      </c>
      <c r="C103" s="1">
        <v>1</v>
      </c>
      <c r="D103" s="1">
        <f t="shared" si="2"/>
        <v>5</v>
      </c>
      <c r="E103" s="3"/>
      <c r="F103" s="2"/>
      <c r="G103" s="3"/>
      <c r="H103" s="3"/>
      <c r="I103" s="3"/>
      <c r="J103" s="3"/>
      <c r="K103" s="3"/>
      <c r="L103" s="3"/>
      <c r="M103" s="3"/>
      <c r="N103" s="3"/>
      <c r="O103" s="3"/>
      <c r="P103" s="3"/>
      <c r="Q103" s="3"/>
      <c r="R103" s="3"/>
      <c r="S103" s="3"/>
      <c r="T103" s="3"/>
      <c r="U103" s="3"/>
      <c r="V103" s="3"/>
      <c r="W103" s="3"/>
      <c r="X103" s="3"/>
      <c r="Y103" s="3"/>
      <c r="Z103" s="3"/>
    </row>
    <row r="104" spans="1:26" ht="12.75" customHeight="1">
      <c r="A104" s="2"/>
      <c r="B104" s="2"/>
      <c r="C104" s="1" t="s">
        <v>131</v>
      </c>
      <c r="D104" s="2">
        <f>SUM(D76:D103)</f>
        <v>200</v>
      </c>
      <c r="E104" s="3"/>
      <c r="F104" s="2"/>
      <c r="G104" s="3"/>
      <c r="H104" s="3"/>
      <c r="I104" s="3"/>
      <c r="J104" s="3"/>
      <c r="K104" s="3"/>
      <c r="L104" s="3"/>
      <c r="M104" s="3"/>
      <c r="N104" s="3"/>
      <c r="O104" s="3"/>
      <c r="P104" s="3"/>
      <c r="Q104" s="3"/>
      <c r="R104" s="3"/>
      <c r="S104" s="3"/>
      <c r="T104" s="3"/>
      <c r="U104" s="3"/>
      <c r="V104" s="3"/>
      <c r="W104" s="3"/>
      <c r="X104" s="3"/>
      <c r="Y104" s="3"/>
      <c r="Z104" s="3"/>
    </row>
    <row r="105" spans="1:26" ht="12.75" customHeight="1">
      <c r="A105" s="1"/>
      <c r="B105" s="1"/>
      <c r="C105" s="1"/>
      <c r="D105" s="1"/>
      <c r="E105" s="1"/>
      <c r="F105" s="1"/>
      <c r="G105" s="1"/>
      <c r="H105" s="1"/>
      <c r="I105" s="1"/>
      <c r="J105" s="3"/>
      <c r="K105" s="3"/>
      <c r="L105" s="3"/>
      <c r="M105" s="3"/>
      <c r="N105" s="3"/>
      <c r="O105" s="3"/>
      <c r="P105" s="3"/>
      <c r="Q105" s="3"/>
      <c r="R105" s="3"/>
      <c r="S105" s="3"/>
      <c r="T105" s="3"/>
      <c r="U105" s="3"/>
      <c r="V105" s="3"/>
      <c r="W105" s="3"/>
      <c r="X105" s="3"/>
      <c r="Y105" s="3"/>
      <c r="Z105" s="3"/>
    </row>
    <row r="106" spans="1:26" ht="12.75" customHeight="1">
      <c r="A106" s="1" t="s">
        <v>95</v>
      </c>
      <c r="B106" s="1" t="s">
        <v>96</v>
      </c>
      <c r="C106" s="1" t="s">
        <v>97</v>
      </c>
      <c r="D106" s="1" t="s">
        <v>98</v>
      </c>
      <c r="E106" s="1" t="s">
        <v>99</v>
      </c>
      <c r="F106" s="1" t="s">
        <v>100</v>
      </c>
      <c r="G106" s="1" t="s">
        <v>101</v>
      </c>
      <c r="H106" s="1" t="s">
        <v>102</v>
      </c>
      <c r="I106" s="1" t="s">
        <v>103</v>
      </c>
      <c r="J106" s="3"/>
      <c r="K106" s="3"/>
      <c r="L106" s="3"/>
      <c r="M106" s="3"/>
      <c r="N106" s="3"/>
      <c r="O106" s="3"/>
      <c r="P106" s="3"/>
      <c r="Q106" s="3"/>
      <c r="R106" s="3"/>
      <c r="S106" s="3"/>
      <c r="T106" s="3"/>
      <c r="U106" s="3"/>
      <c r="V106" s="3"/>
      <c r="W106" s="3"/>
      <c r="X106" s="3"/>
      <c r="Y106" s="3"/>
      <c r="Z106" s="3"/>
    </row>
    <row r="107" spans="1:26" ht="12.75" customHeight="1">
      <c r="A107" s="1" t="s">
        <v>164</v>
      </c>
      <c r="B107" s="1" t="s">
        <v>165</v>
      </c>
      <c r="C107" s="1">
        <v>4</v>
      </c>
      <c r="D107" s="1">
        <f t="shared" ref="D107:D153" si="3">IF(C107&lt;4,5,IF(C107&lt;8,10,15))</f>
        <v>10</v>
      </c>
      <c r="E107" s="1" t="s">
        <v>166</v>
      </c>
      <c r="F107" s="1">
        <v>3</v>
      </c>
      <c r="G107" s="1">
        <v>1.1200000000000001</v>
      </c>
      <c r="H107" s="1">
        <v>1.32</v>
      </c>
      <c r="I107" s="2">
        <f>(D156+F113)*G107*H107</f>
        <v>564.74880000000007</v>
      </c>
      <c r="J107" s="3"/>
      <c r="K107" s="3"/>
      <c r="L107" s="3"/>
      <c r="M107" s="3"/>
      <c r="N107" s="3"/>
      <c r="O107" s="3"/>
      <c r="P107" s="3"/>
      <c r="Q107" s="3"/>
      <c r="R107" s="3"/>
      <c r="S107" s="3"/>
      <c r="T107" s="3"/>
      <c r="U107" s="3"/>
      <c r="V107" s="3"/>
      <c r="W107" s="3"/>
      <c r="X107" s="3"/>
      <c r="Y107" s="3"/>
      <c r="Z107" s="3"/>
    </row>
    <row r="108" spans="1:26" ht="12.75" customHeight="1">
      <c r="A108" s="2"/>
      <c r="B108" s="1" t="s">
        <v>167</v>
      </c>
      <c r="C108" s="1">
        <v>4</v>
      </c>
      <c r="D108" s="1">
        <f t="shared" si="3"/>
        <v>10</v>
      </c>
      <c r="E108" s="1" t="s">
        <v>168</v>
      </c>
      <c r="F108" s="1">
        <v>3</v>
      </c>
      <c r="G108" s="3"/>
      <c r="H108" s="3"/>
      <c r="I108" s="3"/>
      <c r="J108" s="3"/>
      <c r="K108" s="3"/>
      <c r="L108" s="3"/>
      <c r="M108" s="3"/>
      <c r="N108" s="3"/>
      <c r="O108" s="3"/>
      <c r="P108" s="3"/>
      <c r="Q108" s="3"/>
      <c r="R108" s="3"/>
      <c r="S108" s="3"/>
      <c r="T108" s="3"/>
      <c r="U108" s="3"/>
      <c r="V108" s="3"/>
      <c r="W108" s="3"/>
      <c r="X108" s="3"/>
      <c r="Y108" s="3"/>
      <c r="Z108" s="3"/>
    </row>
    <row r="109" spans="1:26" ht="12.75" customHeight="1">
      <c r="A109" s="2"/>
      <c r="B109" s="1" t="s">
        <v>169</v>
      </c>
      <c r="C109" s="1">
        <v>2</v>
      </c>
      <c r="D109" s="1">
        <f t="shared" si="3"/>
        <v>5</v>
      </c>
      <c r="E109" s="1" t="s">
        <v>136</v>
      </c>
      <c r="F109" s="1">
        <v>3</v>
      </c>
      <c r="G109" s="3"/>
      <c r="H109" s="3"/>
      <c r="I109" s="3"/>
      <c r="J109" s="3"/>
      <c r="K109" s="3"/>
      <c r="L109" s="3"/>
      <c r="M109" s="3"/>
      <c r="N109" s="3"/>
      <c r="O109" s="3"/>
      <c r="P109" s="3"/>
      <c r="Q109" s="3"/>
      <c r="R109" s="3"/>
      <c r="S109" s="3"/>
      <c r="T109" s="3"/>
      <c r="U109" s="3"/>
      <c r="V109" s="3"/>
      <c r="W109" s="3"/>
      <c r="X109" s="3"/>
      <c r="Y109" s="3"/>
      <c r="Z109" s="3"/>
    </row>
    <row r="110" spans="1:26" ht="12.75" customHeight="1">
      <c r="A110" s="2"/>
      <c r="B110" s="1" t="s">
        <v>170</v>
      </c>
      <c r="C110" s="1">
        <v>4</v>
      </c>
      <c r="D110" s="1">
        <f t="shared" si="3"/>
        <v>10</v>
      </c>
      <c r="E110" s="1" t="s">
        <v>171</v>
      </c>
      <c r="F110" s="1">
        <v>2</v>
      </c>
      <c r="G110" s="3"/>
      <c r="H110" s="3"/>
      <c r="I110" s="3"/>
      <c r="J110" s="3"/>
      <c r="K110" s="3"/>
      <c r="L110" s="3"/>
      <c r="M110" s="3"/>
      <c r="N110" s="3"/>
      <c r="O110" s="3"/>
      <c r="P110" s="3"/>
      <c r="Q110" s="3"/>
      <c r="R110" s="3"/>
      <c r="S110" s="3"/>
      <c r="T110" s="3"/>
      <c r="U110" s="3"/>
      <c r="V110" s="3"/>
      <c r="W110" s="3"/>
      <c r="X110" s="3"/>
      <c r="Y110" s="3"/>
      <c r="Z110" s="3"/>
    </row>
    <row r="111" spans="1:26" ht="12.75" customHeight="1">
      <c r="A111" s="2"/>
      <c r="B111" s="1" t="s">
        <v>172</v>
      </c>
      <c r="C111" s="1">
        <v>3</v>
      </c>
      <c r="D111" s="1">
        <f t="shared" si="3"/>
        <v>5</v>
      </c>
      <c r="E111" s="1" t="s">
        <v>173</v>
      </c>
      <c r="F111" s="1">
        <v>1</v>
      </c>
      <c r="G111" s="3"/>
      <c r="H111" s="3"/>
      <c r="I111" s="3"/>
      <c r="J111" s="3"/>
      <c r="K111" s="3"/>
      <c r="L111" s="3"/>
      <c r="M111" s="3"/>
      <c r="N111" s="3"/>
      <c r="O111" s="3"/>
      <c r="P111" s="3"/>
      <c r="Q111" s="3"/>
      <c r="R111" s="3"/>
      <c r="S111" s="3"/>
      <c r="T111" s="3"/>
      <c r="U111" s="3"/>
      <c r="V111" s="3"/>
      <c r="W111" s="3"/>
      <c r="X111" s="3"/>
      <c r="Y111" s="3"/>
      <c r="Z111" s="3"/>
    </row>
    <row r="112" spans="1:26" ht="12.75" customHeight="1">
      <c r="A112" s="2"/>
      <c r="B112" s="1" t="s">
        <v>174</v>
      </c>
      <c r="C112" s="1">
        <v>3</v>
      </c>
      <c r="D112" s="1">
        <f t="shared" si="3"/>
        <v>5</v>
      </c>
      <c r="E112" s="3"/>
      <c r="F112" s="2"/>
      <c r="G112" s="3"/>
      <c r="H112" s="3"/>
      <c r="I112" s="3"/>
      <c r="J112" s="3"/>
      <c r="K112" s="3"/>
      <c r="L112" s="3"/>
      <c r="M112" s="3"/>
      <c r="N112" s="3"/>
      <c r="O112" s="3"/>
      <c r="P112" s="3"/>
      <c r="Q112" s="3"/>
      <c r="R112" s="3"/>
      <c r="S112" s="3"/>
      <c r="T112" s="3"/>
      <c r="U112" s="3"/>
      <c r="V112" s="3"/>
      <c r="W112" s="3"/>
      <c r="X112" s="3"/>
      <c r="Y112" s="3"/>
      <c r="Z112" s="3"/>
    </row>
    <row r="113" spans="1:26" ht="12.75" customHeight="1">
      <c r="A113" s="2"/>
      <c r="B113" s="1" t="s">
        <v>175</v>
      </c>
      <c r="C113" s="1">
        <v>6</v>
      </c>
      <c r="D113" s="1">
        <f t="shared" si="3"/>
        <v>10</v>
      </c>
      <c r="E113" s="1" t="s">
        <v>119</v>
      </c>
      <c r="F113" s="2">
        <f>SUM(F107:F111)</f>
        <v>12</v>
      </c>
      <c r="G113" s="3"/>
      <c r="H113" s="3"/>
      <c r="I113" s="3"/>
      <c r="J113" s="3"/>
      <c r="K113" s="3"/>
      <c r="L113" s="3"/>
      <c r="M113" s="3"/>
      <c r="N113" s="3"/>
      <c r="O113" s="3"/>
      <c r="P113" s="3"/>
      <c r="Q113" s="3"/>
      <c r="R113" s="3"/>
      <c r="S113" s="3"/>
      <c r="T113" s="3"/>
      <c r="U113" s="3"/>
      <c r="V113" s="3"/>
      <c r="W113" s="3"/>
      <c r="X113" s="3"/>
      <c r="Y113" s="3"/>
      <c r="Z113" s="3"/>
    </row>
    <row r="114" spans="1:26" ht="12.75" customHeight="1">
      <c r="A114" s="2"/>
      <c r="B114" s="1" t="s">
        <v>176</v>
      </c>
      <c r="C114" s="1">
        <v>3</v>
      </c>
      <c r="D114" s="1">
        <f t="shared" si="3"/>
        <v>5</v>
      </c>
      <c r="E114" s="3"/>
      <c r="F114" s="2"/>
      <c r="G114" s="3"/>
      <c r="H114" s="3"/>
      <c r="I114" s="3"/>
      <c r="J114" s="3"/>
      <c r="K114" s="3"/>
      <c r="L114" s="3"/>
      <c r="M114" s="3"/>
      <c r="N114" s="3"/>
      <c r="O114" s="3"/>
      <c r="P114" s="3"/>
      <c r="Q114" s="3"/>
      <c r="R114" s="3"/>
      <c r="S114" s="3"/>
      <c r="T114" s="3"/>
      <c r="U114" s="3"/>
      <c r="V114" s="3"/>
      <c r="W114" s="3"/>
      <c r="X114" s="3"/>
      <c r="Y114" s="3"/>
      <c r="Z114" s="3"/>
    </row>
    <row r="115" spans="1:26" ht="12.75" customHeight="1">
      <c r="A115" s="2"/>
      <c r="B115" s="1" t="s">
        <v>177</v>
      </c>
      <c r="C115" s="1">
        <v>3</v>
      </c>
      <c r="D115" s="1">
        <f t="shared" si="3"/>
        <v>5</v>
      </c>
      <c r="E115" s="3"/>
      <c r="F115" s="2"/>
      <c r="G115" s="3"/>
      <c r="H115" s="3"/>
      <c r="I115" s="3"/>
      <c r="J115" s="3"/>
      <c r="K115" s="3"/>
      <c r="L115" s="3"/>
      <c r="M115" s="3"/>
      <c r="N115" s="3"/>
      <c r="O115" s="3"/>
      <c r="P115" s="3"/>
      <c r="Q115" s="3"/>
      <c r="R115" s="3"/>
      <c r="S115" s="3"/>
      <c r="T115" s="3"/>
      <c r="U115" s="3"/>
      <c r="V115" s="3"/>
      <c r="W115" s="3"/>
      <c r="X115" s="3"/>
      <c r="Y115" s="3"/>
      <c r="Z115" s="3"/>
    </row>
    <row r="116" spans="1:26" ht="12.75" customHeight="1">
      <c r="A116" s="2"/>
      <c r="B116" s="1" t="s">
        <v>178</v>
      </c>
      <c r="C116" s="1">
        <v>4</v>
      </c>
      <c r="D116" s="1">
        <f t="shared" si="3"/>
        <v>10</v>
      </c>
      <c r="E116" s="3"/>
      <c r="F116" s="2"/>
      <c r="G116" s="3"/>
      <c r="H116" s="3"/>
      <c r="I116" s="3"/>
      <c r="J116" s="3"/>
      <c r="K116" s="3"/>
      <c r="L116" s="3"/>
      <c r="M116" s="3"/>
      <c r="N116" s="3"/>
      <c r="O116" s="3"/>
      <c r="P116" s="3"/>
      <c r="Q116" s="3"/>
      <c r="R116" s="3"/>
      <c r="S116" s="3"/>
      <c r="T116" s="3"/>
      <c r="U116" s="3"/>
      <c r="V116" s="3"/>
      <c r="W116" s="3"/>
      <c r="X116" s="3"/>
      <c r="Y116" s="3"/>
      <c r="Z116" s="3"/>
    </row>
    <row r="117" spans="1:26" ht="12.75" customHeight="1">
      <c r="A117" s="2"/>
      <c r="B117" s="1" t="s">
        <v>179</v>
      </c>
      <c r="C117" s="1">
        <v>6</v>
      </c>
      <c r="D117" s="1">
        <f t="shared" si="3"/>
        <v>10</v>
      </c>
      <c r="E117" s="3"/>
      <c r="F117" s="2"/>
      <c r="G117" s="3"/>
      <c r="H117" s="3"/>
      <c r="I117" s="3"/>
      <c r="J117" s="3"/>
      <c r="K117" s="3"/>
      <c r="L117" s="3"/>
      <c r="M117" s="3"/>
      <c r="N117" s="3"/>
      <c r="O117" s="3"/>
      <c r="P117" s="3"/>
      <c r="Q117" s="3"/>
      <c r="R117" s="3"/>
      <c r="S117" s="3"/>
      <c r="T117" s="3"/>
      <c r="U117" s="3"/>
      <c r="V117" s="3"/>
      <c r="W117" s="3"/>
      <c r="X117" s="3"/>
      <c r="Y117" s="3"/>
      <c r="Z117" s="3"/>
    </row>
    <row r="118" spans="1:26" ht="12.75" customHeight="1">
      <c r="A118" s="2"/>
      <c r="B118" s="1" t="s">
        <v>180</v>
      </c>
      <c r="C118" s="1">
        <v>5</v>
      </c>
      <c r="D118" s="1">
        <f t="shared" si="3"/>
        <v>10</v>
      </c>
      <c r="E118" s="3"/>
      <c r="F118" s="2"/>
      <c r="G118" s="3"/>
      <c r="H118" s="3"/>
      <c r="I118" s="3"/>
      <c r="J118" s="3"/>
      <c r="K118" s="3"/>
      <c r="L118" s="3"/>
      <c r="M118" s="3"/>
      <c r="N118" s="3"/>
      <c r="O118" s="3"/>
      <c r="P118" s="3"/>
      <c r="Q118" s="3"/>
      <c r="R118" s="3"/>
      <c r="S118" s="3"/>
      <c r="T118" s="3"/>
      <c r="U118" s="3"/>
      <c r="V118" s="3"/>
      <c r="W118" s="3"/>
      <c r="X118" s="3"/>
      <c r="Y118" s="3"/>
      <c r="Z118" s="3"/>
    </row>
    <row r="119" spans="1:26" ht="12.75" customHeight="1">
      <c r="A119" s="19"/>
      <c r="B119" s="19" t="s">
        <v>181</v>
      </c>
      <c r="C119" s="19">
        <v>7</v>
      </c>
      <c r="D119" s="19">
        <f t="shared" si="3"/>
        <v>10</v>
      </c>
      <c r="E119" s="19"/>
      <c r="F119" s="19"/>
      <c r="G119" s="19"/>
      <c r="H119" s="19"/>
      <c r="I119" s="19"/>
      <c r="J119" s="3"/>
      <c r="K119" s="3"/>
      <c r="L119" s="3"/>
      <c r="M119" s="3"/>
      <c r="N119" s="3"/>
      <c r="O119" s="3"/>
      <c r="P119" s="3"/>
      <c r="Q119" s="3"/>
      <c r="R119" s="3"/>
      <c r="S119" s="3"/>
      <c r="T119" s="3"/>
      <c r="U119" s="3"/>
      <c r="V119" s="3"/>
      <c r="W119" s="3"/>
      <c r="X119" s="3"/>
      <c r="Y119" s="3"/>
      <c r="Z119" s="3"/>
    </row>
    <row r="120" spans="1:26" ht="15" customHeight="1">
      <c r="A120" s="2"/>
      <c r="B120" s="1" t="s">
        <v>182</v>
      </c>
      <c r="C120" s="1">
        <v>5</v>
      </c>
      <c r="D120" s="1">
        <f t="shared" si="3"/>
        <v>10</v>
      </c>
      <c r="E120" s="3"/>
      <c r="F120" s="2"/>
      <c r="G120" s="3"/>
      <c r="H120" s="3"/>
      <c r="I120" s="3"/>
      <c r="J120" s="3"/>
      <c r="K120" s="3"/>
      <c r="L120" s="3"/>
      <c r="M120" s="3"/>
      <c r="N120" s="3"/>
      <c r="O120" s="3"/>
      <c r="P120" s="3"/>
      <c r="Q120" s="3"/>
      <c r="R120" s="3"/>
      <c r="S120" s="3"/>
      <c r="T120" s="3"/>
      <c r="U120" s="3"/>
      <c r="V120" s="3"/>
      <c r="W120" s="3"/>
      <c r="X120" s="3"/>
      <c r="Y120" s="3"/>
      <c r="Z120" s="3"/>
    </row>
    <row r="121" spans="1:26" ht="15" customHeight="1">
      <c r="A121" s="2"/>
      <c r="B121" s="1" t="s">
        <v>183</v>
      </c>
      <c r="C121" s="1">
        <v>2</v>
      </c>
      <c r="D121" s="1">
        <f t="shared" si="3"/>
        <v>5</v>
      </c>
      <c r="E121" s="3"/>
      <c r="F121" s="2"/>
      <c r="G121" s="3"/>
      <c r="H121" s="3"/>
      <c r="I121" s="3"/>
      <c r="J121" s="3"/>
      <c r="K121" s="3"/>
      <c r="L121" s="3"/>
      <c r="M121" s="3"/>
      <c r="N121" s="3"/>
      <c r="O121" s="3"/>
      <c r="P121" s="3"/>
      <c r="Q121" s="3"/>
      <c r="R121" s="3"/>
      <c r="S121" s="3"/>
      <c r="T121" s="3"/>
      <c r="U121" s="3"/>
      <c r="V121" s="3"/>
      <c r="W121" s="3"/>
      <c r="X121" s="3"/>
      <c r="Y121" s="3"/>
      <c r="Z121" s="3"/>
    </row>
    <row r="122" spans="1:26" ht="15" customHeight="1">
      <c r="A122" s="2"/>
      <c r="B122" s="1" t="s">
        <v>184</v>
      </c>
      <c r="C122" s="1">
        <v>1</v>
      </c>
      <c r="D122" s="1">
        <f t="shared" si="3"/>
        <v>5</v>
      </c>
      <c r="E122" s="3"/>
      <c r="F122" s="2"/>
      <c r="G122" s="3"/>
      <c r="H122" s="3"/>
      <c r="I122" s="3"/>
      <c r="J122" s="3"/>
      <c r="K122" s="3"/>
      <c r="L122" s="3"/>
      <c r="M122" s="3"/>
      <c r="N122" s="3"/>
      <c r="O122" s="3"/>
      <c r="P122" s="3"/>
      <c r="Q122" s="3"/>
      <c r="R122" s="3"/>
      <c r="S122" s="3"/>
      <c r="T122" s="3"/>
      <c r="U122" s="3"/>
      <c r="V122" s="3"/>
      <c r="W122" s="3"/>
      <c r="X122" s="3"/>
      <c r="Y122" s="3"/>
      <c r="Z122" s="3"/>
    </row>
    <row r="123" spans="1:26" ht="15" customHeight="1">
      <c r="A123" s="2"/>
      <c r="B123" s="1" t="s">
        <v>185</v>
      </c>
      <c r="C123" s="1">
        <v>2</v>
      </c>
      <c r="D123" s="1">
        <f t="shared" si="3"/>
        <v>5</v>
      </c>
      <c r="E123" s="3"/>
      <c r="F123" s="2"/>
      <c r="G123" s="3"/>
      <c r="H123" s="3"/>
      <c r="I123" s="3"/>
      <c r="J123" s="3"/>
      <c r="K123" s="3"/>
      <c r="L123" s="3"/>
      <c r="M123" s="3"/>
      <c r="N123" s="3"/>
      <c r="O123" s="3"/>
      <c r="P123" s="3"/>
      <c r="Q123" s="3"/>
      <c r="R123" s="3"/>
      <c r="S123" s="3"/>
      <c r="T123" s="3"/>
      <c r="U123" s="3"/>
      <c r="V123" s="3"/>
      <c r="W123" s="3"/>
      <c r="X123" s="3"/>
      <c r="Y123" s="3"/>
      <c r="Z123" s="3"/>
    </row>
    <row r="124" spans="1:26" ht="15" customHeight="1">
      <c r="A124" s="2"/>
      <c r="B124" s="1" t="s">
        <v>186</v>
      </c>
      <c r="C124" s="1">
        <v>2</v>
      </c>
      <c r="D124" s="1">
        <f t="shared" si="3"/>
        <v>5</v>
      </c>
      <c r="E124" s="3"/>
      <c r="F124" s="2"/>
      <c r="G124" s="3"/>
      <c r="H124" s="3"/>
      <c r="I124" s="3"/>
      <c r="J124" s="3"/>
      <c r="K124" s="3"/>
      <c r="L124" s="3"/>
      <c r="M124" s="3"/>
      <c r="N124" s="3"/>
      <c r="O124" s="3"/>
      <c r="P124" s="3"/>
      <c r="Q124" s="3"/>
      <c r="R124" s="3"/>
      <c r="S124" s="3"/>
      <c r="T124" s="3"/>
      <c r="U124" s="3"/>
      <c r="V124" s="3"/>
      <c r="W124" s="3"/>
      <c r="X124" s="3"/>
      <c r="Y124" s="3"/>
      <c r="Z124" s="3"/>
    </row>
    <row r="125" spans="1:26" ht="15" customHeight="1">
      <c r="A125" s="2"/>
      <c r="B125" s="2" t="s">
        <v>187</v>
      </c>
      <c r="C125" s="2">
        <v>4</v>
      </c>
      <c r="D125" s="2">
        <f t="shared" si="3"/>
        <v>10</v>
      </c>
      <c r="E125" s="2"/>
      <c r="F125" s="2"/>
      <c r="G125" s="2"/>
      <c r="H125" s="2"/>
      <c r="I125" s="2"/>
      <c r="J125" s="3"/>
      <c r="K125" s="3"/>
      <c r="L125" s="3"/>
      <c r="M125" s="3"/>
      <c r="N125" s="3"/>
      <c r="O125" s="3"/>
      <c r="P125" s="3"/>
      <c r="Q125" s="3"/>
      <c r="R125" s="3"/>
      <c r="S125" s="3"/>
      <c r="T125" s="3"/>
      <c r="U125" s="3"/>
      <c r="V125" s="3"/>
      <c r="W125" s="3"/>
      <c r="X125" s="3"/>
      <c r="Y125" s="3"/>
      <c r="Z125" s="3"/>
    </row>
    <row r="126" spans="1:26" ht="12.75" customHeight="1">
      <c r="A126" s="2"/>
      <c r="B126" s="1" t="s">
        <v>188</v>
      </c>
      <c r="C126" s="1">
        <v>3</v>
      </c>
      <c r="D126" s="1">
        <f t="shared" si="3"/>
        <v>5</v>
      </c>
      <c r="E126" s="3"/>
      <c r="F126" s="2"/>
      <c r="G126" s="3"/>
      <c r="H126" s="3"/>
      <c r="I126" s="3"/>
      <c r="J126" s="3"/>
      <c r="K126" s="3"/>
      <c r="L126" s="3"/>
      <c r="M126" s="3"/>
      <c r="N126" s="3"/>
      <c r="O126" s="3"/>
      <c r="P126" s="3"/>
      <c r="Q126" s="3"/>
      <c r="R126" s="3"/>
      <c r="S126" s="3"/>
      <c r="T126" s="3"/>
      <c r="U126" s="3"/>
      <c r="V126" s="3"/>
      <c r="W126" s="3"/>
      <c r="X126" s="3"/>
      <c r="Y126" s="3"/>
      <c r="Z126" s="3"/>
    </row>
    <row r="127" spans="1:26" ht="12.75" customHeight="1">
      <c r="A127" s="2"/>
      <c r="B127" s="1" t="s">
        <v>189</v>
      </c>
      <c r="C127" s="1">
        <v>2</v>
      </c>
      <c r="D127" s="1">
        <f t="shared" si="3"/>
        <v>5</v>
      </c>
      <c r="E127" s="3"/>
      <c r="F127" s="2"/>
      <c r="G127" s="3"/>
      <c r="H127" s="3"/>
      <c r="I127" s="3"/>
      <c r="J127" s="3"/>
      <c r="K127" s="3"/>
      <c r="L127" s="3"/>
      <c r="M127" s="3"/>
      <c r="N127" s="3"/>
      <c r="O127" s="3"/>
      <c r="P127" s="3"/>
      <c r="Q127" s="3"/>
      <c r="R127" s="3"/>
      <c r="S127" s="3"/>
      <c r="T127" s="3"/>
      <c r="U127" s="3"/>
      <c r="V127" s="3"/>
      <c r="W127" s="3"/>
      <c r="X127" s="3"/>
      <c r="Y127" s="3"/>
      <c r="Z127" s="3"/>
    </row>
    <row r="128" spans="1:26" ht="12.75" customHeight="1">
      <c r="A128" s="2"/>
      <c r="B128" s="1" t="s">
        <v>190</v>
      </c>
      <c r="C128" s="1">
        <v>4</v>
      </c>
      <c r="D128" s="1">
        <f t="shared" si="3"/>
        <v>10</v>
      </c>
      <c r="E128" s="3"/>
      <c r="F128" s="2"/>
      <c r="G128" s="3"/>
      <c r="H128" s="3"/>
      <c r="I128" s="3"/>
      <c r="J128" s="3"/>
      <c r="K128" s="3"/>
      <c r="L128" s="3"/>
      <c r="M128" s="3"/>
      <c r="N128" s="3"/>
      <c r="O128" s="3"/>
      <c r="P128" s="3"/>
      <c r="Q128" s="3"/>
      <c r="R128" s="3"/>
      <c r="S128" s="3"/>
      <c r="T128" s="3"/>
      <c r="U128" s="3"/>
      <c r="V128" s="3"/>
      <c r="W128" s="3"/>
      <c r="X128" s="3"/>
      <c r="Y128" s="3"/>
      <c r="Z128" s="3"/>
    </row>
    <row r="129" spans="1:26" ht="12.75" customHeight="1">
      <c r="A129" s="2"/>
      <c r="B129" s="1" t="s">
        <v>191</v>
      </c>
      <c r="C129" s="1">
        <v>5</v>
      </c>
      <c r="D129" s="1">
        <f t="shared" si="3"/>
        <v>10</v>
      </c>
      <c r="E129" s="3"/>
      <c r="F129" s="2"/>
      <c r="G129" s="3"/>
      <c r="H129" s="3"/>
      <c r="I129" s="3"/>
      <c r="J129" s="3"/>
      <c r="K129" s="3"/>
      <c r="L129" s="3"/>
      <c r="M129" s="3"/>
      <c r="N129" s="3"/>
      <c r="O129" s="3"/>
      <c r="P129" s="3"/>
      <c r="Q129" s="3"/>
      <c r="R129" s="3"/>
      <c r="S129" s="3"/>
      <c r="T129" s="3"/>
      <c r="U129" s="3"/>
      <c r="V129" s="3"/>
      <c r="W129" s="3"/>
      <c r="X129" s="3"/>
      <c r="Y129" s="3"/>
      <c r="Z129" s="3"/>
    </row>
    <row r="130" spans="1:26" ht="12.75" customHeight="1">
      <c r="A130" s="2"/>
      <c r="B130" s="20" t="s">
        <v>192</v>
      </c>
      <c r="C130" s="1">
        <v>6</v>
      </c>
      <c r="D130" s="1">
        <f t="shared" si="3"/>
        <v>10</v>
      </c>
      <c r="E130" s="3"/>
      <c r="F130" s="2"/>
      <c r="G130" s="3"/>
      <c r="H130" s="3"/>
      <c r="I130" s="3"/>
      <c r="J130" s="3"/>
      <c r="K130" s="3"/>
      <c r="L130" s="3"/>
      <c r="M130" s="3"/>
      <c r="N130" s="3"/>
      <c r="O130" s="3"/>
      <c r="P130" s="3"/>
      <c r="Q130" s="3"/>
      <c r="R130" s="3"/>
      <c r="S130" s="3"/>
      <c r="T130" s="3"/>
      <c r="U130" s="3"/>
      <c r="V130" s="3"/>
      <c r="W130" s="3"/>
      <c r="X130" s="3"/>
      <c r="Y130" s="3"/>
      <c r="Z130" s="3"/>
    </row>
    <row r="131" spans="1:26" ht="12.75" customHeight="1">
      <c r="A131" s="2"/>
      <c r="B131" s="1" t="s">
        <v>193</v>
      </c>
      <c r="C131" s="1">
        <v>3</v>
      </c>
      <c r="D131" s="1">
        <f t="shared" si="3"/>
        <v>5</v>
      </c>
      <c r="E131" s="3"/>
      <c r="F131" s="2"/>
      <c r="G131" s="3"/>
      <c r="H131" s="3"/>
      <c r="I131" s="3"/>
      <c r="J131" s="3"/>
      <c r="K131" s="3"/>
      <c r="L131" s="3"/>
      <c r="M131" s="3"/>
      <c r="N131" s="3"/>
      <c r="O131" s="3"/>
      <c r="P131" s="3"/>
      <c r="Q131" s="3"/>
      <c r="R131" s="3"/>
      <c r="S131" s="3"/>
      <c r="T131" s="3"/>
      <c r="U131" s="3"/>
      <c r="V131" s="3"/>
      <c r="W131" s="3"/>
      <c r="X131" s="3"/>
      <c r="Y131" s="3"/>
      <c r="Z131" s="3"/>
    </row>
    <row r="132" spans="1:26" ht="12.75" customHeight="1">
      <c r="A132" s="2"/>
      <c r="B132" s="1" t="s">
        <v>194</v>
      </c>
      <c r="C132" s="1">
        <v>6</v>
      </c>
      <c r="D132" s="1">
        <f t="shared" si="3"/>
        <v>10</v>
      </c>
      <c r="E132" s="3"/>
      <c r="F132" s="2"/>
      <c r="G132" s="3"/>
      <c r="H132" s="3"/>
      <c r="I132" s="3"/>
      <c r="J132" s="3"/>
      <c r="K132" s="3"/>
      <c r="L132" s="3"/>
      <c r="M132" s="3"/>
      <c r="N132" s="3"/>
      <c r="O132" s="3"/>
      <c r="P132" s="3"/>
      <c r="Q132" s="3"/>
      <c r="R132" s="3"/>
      <c r="S132" s="3"/>
      <c r="T132" s="3"/>
      <c r="U132" s="3"/>
      <c r="V132" s="3"/>
      <c r="W132" s="3"/>
      <c r="X132" s="3"/>
      <c r="Y132" s="3"/>
      <c r="Z132" s="3"/>
    </row>
    <row r="133" spans="1:26" ht="12.75" customHeight="1">
      <c r="A133" s="2"/>
      <c r="B133" s="1" t="s">
        <v>195</v>
      </c>
      <c r="C133" s="1">
        <v>4</v>
      </c>
      <c r="D133" s="1">
        <f t="shared" si="3"/>
        <v>10</v>
      </c>
      <c r="E133" s="3"/>
      <c r="F133" s="2"/>
      <c r="G133" s="3"/>
      <c r="H133" s="3"/>
      <c r="I133" s="3"/>
      <c r="J133" s="3"/>
      <c r="K133" s="3"/>
      <c r="L133" s="3"/>
      <c r="M133" s="3"/>
      <c r="N133" s="3"/>
      <c r="O133" s="3"/>
      <c r="P133" s="3"/>
      <c r="Q133" s="3"/>
      <c r="R133" s="3"/>
      <c r="S133" s="3"/>
      <c r="T133" s="3"/>
      <c r="U133" s="3"/>
      <c r="V133" s="3"/>
      <c r="W133" s="3"/>
      <c r="X133" s="3"/>
      <c r="Y133" s="3"/>
      <c r="Z133" s="3"/>
    </row>
    <row r="134" spans="1:26" ht="12.75" customHeight="1">
      <c r="A134" s="2"/>
      <c r="B134" s="1" t="s">
        <v>196</v>
      </c>
      <c r="C134" s="1">
        <v>5</v>
      </c>
      <c r="D134" s="1">
        <f t="shared" si="3"/>
        <v>10</v>
      </c>
      <c r="E134" s="3"/>
      <c r="F134" s="2"/>
      <c r="G134" s="3"/>
      <c r="H134" s="3"/>
      <c r="I134" s="3"/>
      <c r="J134" s="3"/>
      <c r="K134" s="3"/>
      <c r="L134" s="3"/>
      <c r="M134" s="3"/>
      <c r="N134" s="3"/>
      <c r="O134" s="3"/>
      <c r="P134" s="3"/>
      <c r="Q134" s="3"/>
      <c r="R134" s="3"/>
      <c r="S134" s="3"/>
      <c r="T134" s="3"/>
      <c r="U134" s="3"/>
      <c r="V134" s="3"/>
      <c r="W134" s="3"/>
      <c r="X134" s="3"/>
      <c r="Y134" s="3"/>
      <c r="Z134" s="3"/>
    </row>
    <row r="135" spans="1:26" ht="12.75" customHeight="1">
      <c r="A135" s="2"/>
      <c r="B135" s="1" t="s">
        <v>197</v>
      </c>
      <c r="C135" s="1">
        <v>4</v>
      </c>
      <c r="D135" s="1">
        <f t="shared" si="3"/>
        <v>10</v>
      </c>
      <c r="E135" s="3"/>
      <c r="F135" s="2"/>
      <c r="G135" s="3"/>
      <c r="H135" s="3"/>
      <c r="I135" s="3"/>
      <c r="J135" s="3"/>
      <c r="K135" s="3"/>
      <c r="L135" s="3"/>
      <c r="M135" s="3"/>
      <c r="N135" s="3"/>
      <c r="O135" s="3"/>
      <c r="P135" s="3"/>
      <c r="Q135" s="3"/>
      <c r="R135" s="3"/>
      <c r="S135" s="3"/>
      <c r="T135" s="3"/>
      <c r="U135" s="3"/>
      <c r="V135" s="3"/>
      <c r="W135" s="3"/>
      <c r="X135" s="3"/>
      <c r="Y135" s="3"/>
      <c r="Z135" s="3"/>
    </row>
    <row r="136" spans="1:26" ht="12.75" customHeight="1">
      <c r="A136" s="2"/>
      <c r="B136" s="1" t="s">
        <v>198</v>
      </c>
      <c r="C136" s="1">
        <v>4</v>
      </c>
      <c r="D136" s="1">
        <f t="shared" si="3"/>
        <v>10</v>
      </c>
      <c r="E136" s="3"/>
      <c r="F136" s="2"/>
      <c r="G136" s="3"/>
      <c r="H136" s="3"/>
      <c r="I136" s="3"/>
      <c r="J136" s="3"/>
      <c r="K136" s="3"/>
      <c r="L136" s="3"/>
      <c r="M136" s="3"/>
      <c r="N136" s="3"/>
      <c r="O136" s="3"/>
      <c r="P136" s="3"/>
      <c r="Q136" s="3"/>
      <c r="R136" s="3"/>
      <c r="S136" s="3"/>
      <c r="T136" s="3"/>
      <c r="U136" s="3"/>
      <c r="V136" s="3"/>
      <c r="W136" s="3"/>
      <c r="X136" s="3"/>
      <c r="Y136" s="3"/>
      <c r="Z136" s="3"/>
    </row>
    <row r="137" spans="1:26" ht="12.75" customHeight="1">
      <c r="A137" s="2"/>
      <c r="B137" s="1" t="s">
        <v>199</v>
      </c>
      <c r="C137" s="1">
        <v>2</v>
      </c>
      <c r="D137" s="1">
        <f t="shared" si="3"/>
        <v>5</v>
      </c>
      <c r="E137" s="3"/>
      <c r="F137" s="2"/>
      <c r="G137" s="3"/>
      <c r="H137" s="3"/>
      <c r="I137" s="3"/>
      <c r="J137" s="3"/>
      <c r="K137" s="3"/>
      <c r="L137" s="3"/>
      <c r="M137" s="3"/>
      <c r="N137" s="3"/>
      <c r="O137" s="3"/>
      <c r="P137" s="3"/>
      <c r="Q137" s="3"/>
      <c r="R137" s="3"/>
      <c r="S137" s="3"/>
      <c r="T137" s="3"/>
      <c r="U137" s="3"/>
      <c r="V137" s="3"/>
      <c r="W137" s="3"/>
      <c r="X137" s="3"/>
      <c r="Y137" s="3"/>
      <c r="Z137" s="3"/>
    </row>
    <row r="138" spans="1:26" ht="12.75" customHeight="1">
      <c r="A138" s="2"/>
      <c r="B138" s="1" t="s">
        <v>200</v>
      </c>
      <c r="C138" s="1">
        <v>3</v>
      </c>
      <c r="D138" s="1">
        <f t="shared" si="3"/>
        <v>5</v>
      </c>
      <c r="E138" s="3"/>
      <c r="F138" s="2"/>
      <c r="G138" s="3"/>
      <c r="H138" s="3"/>
      <c r="I138" s="3"/>
      <c r="J138" s="3"/>
      <c r="K138" s="3"/>
      <c r="L138" s="3"/>
      <c r="M138" s="3"/>
      <c r="N138" s="3"/>
      <c r="O138" s="3"/>
      <c r="P138" s="3"/>
      <c r="Q138" s="3"/>
      <c r="R138" s="3"/>
      <c r="S138" s="3"/>
      <c r="T138" s="3"/>
      <c r="U138" s="3"/>
      <c r="V138" s="3"/>
      <c r="W138" s="3"/>
      <c r="X138" s="3"/>
      <c r="Y138" s="3"/>
      <c r="Z138" s="3"/>
    </row>
    <row r="139" spans="1:26" ht="12.75" customHeight="1">
      <c r="A139" s="2"/>
      <c r="B139" s="1" t="s">
        <v>201</v>
      </c>
      <c r="C139" s="1">
        <v>5</v>
      </c>
      <c r="D139" s="1">
        <f t="shared" si="3"/>
        <v>10</v>
      </c>
      <c r="E139" s="3"/>
      <c r="F139" s="2"/>
      <c r="G139" s="3"/>
      <c r="H139" s="3"/>
      <c r="I139" s="3"/>
      <c r="J139" s="3"/>
      <c r="K139" s="3"/>
      <c r="L139" s="3"/>
      <c r="M139" s="3"/>
      <c r="N139" s="3"/>
      <c r="O139" s="3"/>
      <c r="P139" s="3"/>
      <c r="Q139" s="3"/>
      <c r="R139" s="3"/>
      <c r="S139" s="3"/>
      <c r="T139" s="3"/>
      <c r="U139" s="3"/>
      <c r="V139" s="3"/>
      <c r="W139" s="3"/>
      <c r="X139" s="3"/>
      <c r="Y139" s="3"/>
      <c r="Z139" s="3"/>
    </row>
    <row r="140" spans="1:26" ht="12.75" customHeight="1">
      <c r="A140" s="2"/>
      <c r="B140" s="1" t="s">
        <v>202</v>
      </c>
      <c r="C140" s="1">
        <v>2</v>
      </c>
      <c r="D140" s="1">
        <f t="shared" si="3"/>
        <v>5</v>
      </c>
      <c r="E140" s="3"/>
      <c r="F140" s="2"/>
      <c r="G140" s="3"/>
      <c r="H140" s="3"/>
      <c r="I140" s="3"/>
      <c r="J140" s="3"/>
      <c r="K140" s="3"/>
      <c r="L140" s="3"/>
      <c r="M140" s="3"/>
      <c r="N140" s="3"/>
      <c r="O140" s="3"/>
      <c r="P140" s="3"/>
      <c r="Q140" s="3"/>
      <c r="R140" s="3"/>
      <c r="S140" s="3"/>
      <c r="T140" s="3"/>
      <c r="U140" s="3"/>
      <c r="V140" s="3"/>
      <c r="W140" s="3"/>
      <c r="X140" s="3"/>
      <c r="Y140" s="3"/>
      <c r="Z140" s="3"/>
    </row>
    <row r="141" spans="1:26" ht="12.75" customHeight="1">
      <c r="A141" s="2"/>
      <c r="B141" s="1" t="s">
        <v>203</v>
      </c>
      <c r="C141" s="1">
        <v>3</v>
      </c>
      <c r="D141" s="1">
        <f t="shared" si="3"/>
        <v>5</v>
      </c>
      <c r="E141" s="3"/>
      <c r="F141" s="2"/>
      <c r="G141" s="3"/>
      <c r="H141" s="3"/>
      <c r="I141" s="3"/>
      <c r="J141" s="3"/>
      <c r="K141" s="3"/>
      <c r="L141" s="3"/>
      <c r="M141" s="3"/>
      <c r="N141" s="3"/>
      <c r="O141" s="3"/>
      <c r="P141" s="3"/>
      <c r="Q141" s="3"/>
      <c r="R141" s="3"/>
      <c r="S141" s="3"/>
      <c r="T141" s="3"/>
      <c r="U141" s="3"/>
      <c r="V141" s="3"/>
      <c r="W141" s="3"/>
      <c r="X141" s="3"/>
      <c r="Y141" s="3"/>
      <c r="Z141" s="3"/>
    </row>
    <row r="142" spans="1:26" ht="12.75" customHeight="1">
      <c r="A142" s="2"/>
      <c r="B142" s="1" t="s">
        <v>204</v>
      </c>
      <c r="C142" s="1">
        <v>2</v>
      </c>
      <c r="D142" s="1">
        <f t="shared" si="3"/>
        <v>5</v>
      </c>
      <c r="E142" s="3"/>
      <c r="F142" s="2"/>
      <c r="G142" s="3"/>
      <c r="H142" s="3"/>
      <c r="I142" s="3"/>
      <c r="J142" s="3"/>
      <c r="K142" s="3"/>
      <c r="L142" s="3"/>
      <c r="M142" s="3"/>
      <c r="N142" s="3"/>
      <c r="O142" s="3"/>
      <c r="P142" s="3"/>
      <c r="Q142" s="3"/>
      <c r="R142" s="3"/>
      <c r="S142" s="3"/>
      <c r="T142" s="3"/>
      <c r="U142" s="3"/>
      <c r="V142" s="3"/>
      <c r="W142" s="3"/>
      <c r="X142" s="3"/>
      <c r="Y142" s="3"/>
      <c r="Z142" s="3"/>
    </row>
    <row r="143" spans="1:26" ht="12.75" customHeight="1">
      <c r="A143" s="2"/>
      <c r="B143" s="1" t="s">
        <v>205</v>
      </c>
      <c r="C143" s="1">
        <v>2</v>
      </c>
      <c r="D143" s="1">
        <f t="shared" si="3"/>
        <v>5</v>
      </c>
      <c r="E143" s="3"/>
      <c r="F143" s="2"/>
      <c r="G143" s="3"/>
      <c r="H143" s="3"/>
      <c r="I143" s="3"/>
      <c r="J143" s="3"/>
      <c r="K143" s="3"/>
      <c r="L143" s="3"/>
      <c r="M143" s="3"/>
      <c r="N143" s="3"/>
      <c r="O143" s="3"/>
      <c r="P143" s="3"/>
      <c r="Q143" s="3"/>
      <c r="R143" s="3"/>
      <c r="S143" s="3"/>
      <c r="T143" s="3"/>
      <c r="U143" s="3"/>
      <c r="V143" s="3"/>
      <c r="W143" s="3"/>
      <c r="X143" s="3"/>
      <c r="Y143" s="3"/>
      <c r="Z143" s="3"/>
    </row>
    <row r="144" spans="1:26" ht="12.75" customHeight="1">
      <c r="A144" s="2"/>
      <c r="B144" s="1" t="s">
        <v>206</v>
      </c>
      <c r="C144" s="1">
        <v>4</v>
      </c>
      <c r="D144" s="1">
        <f t="shared" si="3"/>
        <v>10</v>
      </c>
      <c r="E144" s="3"/>
      <c r="F144" s="2"/>
      <c r="G144" s="3"/>
      <c r="H144" s="3"/>
      <c r="I144" s="3"/>
      <c r="J144" s="3"/>
      <c r="K144" s="3"/>
      <c r="L144" s="3"/>
      <c r="M144" s="3"/>
      <c r="N144" s="3"/>
      <c r="O144" s="3"/>
      <c r="P144" s="3"/>
      <c r="Q144" s="3"/>
      <c r="R144" s="3"/>
      <c r="S144" s="3"/>
      <c r="T144" s="3"/>
      <c r="U144" s="3"/>
      <c r="V144" s="3"/>
      <c r="W144" s="3"/>
      <c r="X144" s="3"/>
      <c r="Y144" s="3"/>
      <c r="Z144" s="3"/>
    </row>
    <row r="145" spans="1:26" ht="12.75" customHeight="1">
      <c r="A145" s="2"/>
      <c r="B145" s="1" t="s">
        <v>207</v>
      </c>
      <c r="C145" s="1">
        <v>6</v>
      </c>
      <c r="D145" s="1">
        <f t="shared" si="3"/>
        <v>10</v>
      </c>
      <c r="E145" s="3"/>
      <c r="F145" s="2"/>
      <c r="G145" s="3"/>
      <c r="H145" s="3"/>
      <c r="I145" s="3"/>
      <c r="J145" s="3"/>
      <c r="K145" s="3"/>
      <c r="L145" s="3"/>
      <c r="M145" s="3"/>
      <c r="N145" s="3"/>
      <c r="O145" s="3"/>
      <c r="P145" s="3"/>
      <c r="Q145" s="3"/>
      <c r="R145" s="3"/>
      <c r="S145" s="3"/>
      <c r="T145" s="3"/>
      <c r="U145" s="3"/>
      <c r="V145" s="3"/>
      <c r="W145" s="3"/>
      <c r="X145" s="3"/>
      <c r="Y145" s="3"/>
      <c r="Z145" s="3"/>
    </row>
    <row r="146" spans="1:26" ht="12.75" customHeight="1">
      <c r="A146" s="2"/>
      <c r="B146" s="1" t="s">
        <v>208</v>
      </c>
      <c r="C146" s="1">
        <v>9</v>
      </c>
      <c r="D146" s="1">
        <f t="shared" si="3"/>
        <v>15</v>
      </c>
      <c r="E146" s="3"/>
      <c r="F146" s="2"/>
      <c r="G146" s="3"/>
      <c r="H146" s="3"/>
      <c r="I146" s="3"/>
      <c r="J146" s="3"/>
      <c r="K146" s="3"/>
      <c r="L146" s="3"/>
      <c r="M146" s="3"/>
      <c r="N146" s="3"/>
      <c r="O146" s="3"/>
      <c r="P146" s="3"/>
      <c r="Q146" s="3"/>
      <c r="R146" s="3"/>
      <c r="S146" s="3"/>
      <c r="T146" s="3"/>
      <c r="U146" s="3"/>
      <c r="V146" s="3"/>
      <c r="W146" s="3"/>
      <c r="X146" s="3"/>
      <c r="Y146" s="3"/>
      <c r="Z146" s="3"/>
    </row>
    <row r="147" spans="1:26" ht="12.75" customHeight="1">
      <c r="A147" s="2"/>
      <c r="B147" s="1" t="s">
        <v>209</v>
      </c>
      <c r="C147" s="1">
        <v>4</v>
      </c>
      <c r="D147" s="1">
        <f t="shared" si="3"/>
        <v>10</v>
      </c>
      <c r="E147" s="3"/>
      <c r="F147" s="2"/>
      <c r="G147" s="3"/>
      <c r="H147" s="3"/>
      <c r="I147" s="3"/>
      <c r="J147" s="3"/>
      <c r="K147" s="3"/>
      <c r="L147" s="3"/>
      <c r="M147" s="3"/>
      <c r="N147" s="3"/>
      <c r="O147" s="3"/>
      <c r="P147" s="3"/>
      <c r="Q147" s="3"/>
      <c r="R147" s="3"/>
      <c r="S147" s="3"/>
      <c r="T147" s="3"/>
      <c r="U147" s="3"/>
      <c r="V147" s="3"/>
      <c r="W147" s="3"/>
      <c r="X147" s="3"/>
      <c r="Y147" s="3"/>
      <c r="Z147" s="3"/>
    </row>
    <row r="148" spans="1:26" ht="12.75" customHeight="1">
      <c r="A148" s="2"/>
      <c r="B148" s="1" t="s">
        <v>210</v>
      </c>
      <c r="C148" s="1">
        <v>3</v>
      </c>
      <c r="D148" s="1">
        <f t="shared" si="3"/>
        <v>5</v>
      </c>
      <c r="E148" s="3"/>
      <c r="F148" s="2"/>
      <c r="G148" s="3"/>
      <c r="H148" s="3"/>
      <c r="I148" s="3"/>
      <c r="J148" s="3"/>
      <c r="K148" s="3"/>
      <c r="L148" s="3"/>
      <c r="M148" s="3"/>
      <c r="N148" s="3"/>
      <c r="O148" s="3"/>
      <c r="P148" s="3"/>
      <c r="Q148" s="3"/>
      <c r="R148" s="3"/>
      <c r="S148" s="3"/>
      <c r="T148" s="3"/>
      <c r="U148" s="3"/>
      <c r="V148" s="3"/>
      <c r="W148" s="3"/>
      <c r="X148" s="3"/>
      <c r="Y148" s="3"/>
      <c r="Z148" s="3"/>
    </row>
    <row r="149" spans="1:26" ht="12.75" customHeight="1">
      <c r="A149" s="2"/>
      <c r="B149" s="1" t="s">
        <v>211</v>
      </c>
      <c r="C149" s="1">
        <v>5</v>
      </c>
      <c r="D149" s="1">
        <f t="shared" si="3"/>
        <v>10</v>
      </c>
      <c r="E149" s="3"/>
      <c r="F149" s="2"/>
      <c r="G149" s="3"/>
      <c r="H149" s="3"/>
      <c r="I149" s="3"/>
      <c r="J149" s="3"/>
      <c r="K149" s="3"/>
      <c r="L149" s="3"/>
      <c r="M149" s="3"/>
      <c r="N149" s="3"/>
      <c r="O149" s="3"/>
      <c r="P149" s="3"/>
      <c r="Q149" s="3"/>
      <c r="R149" s="3"/>
      <c r="S149" s="3"/>
      <c r="T149" s="3"/>
      <c r="U149" s="3"/>
      <c r="V149" s="3"/>
      <c r="W149" s="3"/>
      <c r="X149" s="3"/>
      <c r="Y149" s="3"/>
      <c r="Z149" s="3"/>
    </row>
    <row r="150" spans="1:26" ht="12.75" customHeight="1">
      <c r="A150" s="2"/>
      <c r="B150" s="1" t="s">
        <v>213</v>
      </c>
      <c r="C150" s="1">
        <v>2</v>
      </c>
      <c r="D150" s="1">
        <f t="shared" si="3"/>
        <v>5</v>
      </c>
      <c r="E150" s="3"/>
      <c r="F150" s="2"/>
      <c r="G150" s="3"/>
      <c r="H150" s="3"/>
      <c r="I150" s="3"/>
      <c r="J150" s="3"/>
      <c r="K150" s="3"/>
      <c r="L150" s="3"/>
      <c r="M150" s="3"/>
      <c r="N150" s="3"/>
      <c r="O150" s="3"/>
      <c r="P150" s="3"/>
      <c r="Q150" s="3"/>
      <c r="R150" s="3"/>
      <c r="S150" s="3"/>
      <c r="T150" s="3"/>
      <c r="U150" s="3"/>
      <c r="V150" s="3"/>
      <c r="W150" s="3"/>
      <c r="X150" s="3"/>
      <c r="Y150" s="3"/>
      <c r="Z150" s="3"/>
    </row>
    <row r="151" spans="1:26" ht="12.75" customHeight="1">
      <c r="A151" s="2"/>
      <c r="B151" s="1" t="s">
        <v>215</v>
      </c>
      <c r="C151" s="1">
        <v>3</v>
      </c>
      <c r="D151" s="1">
        <f t="shared" si="3"/>
        <v>5</v>
      </c>
      <c r="E151" s="3"/>
      <c r="F151" s="2"/>
      <c r="G151" s="3"/>
      <c r="H151" s="3"/>
      <c r="I151" s="3"/>
      <c r="J151" s="3"/>
      <c r="K151" s="3"/>
      <c r="L151" s="3"/>
      <c r="M151" s="3"/>
      <c r="N151" s="3"/>
      <c r="O151" s="3"/>
      <c r="P151" s="3"/>
      <c r="Q151" s="3"/>
      <c r="R151" s="3"/>
      <c r="S151" s="3"/>
      <c r="T151" s="3"/>
      <c r="U151" s="3"/>
      <c r="V151" s="3"/>
      <c r="W151" s="3"/>
      <c r="X151" s="3"/>
      <c r="Y151" s="3"/>
      <c r="Z151" s="3"/>
    </row>
    <row r="152" spans="1:26" ht="12.75" customHeight="1">
      <c r="A152" s="2"/>
      <c r="B152" s="1" t="s">
        <v>216</v>
      </c>
      <c r="C152" s="1">
        <v>4</v>
      </c>
      <c r="D152" s="1">
        <f t="shared" si="3"/>
        <v>10</v>
      </c>
      <c r="E152" s="3"/>
      <c r="F152" s="2"/>
      <c r="G152" s="3"/>
      <c r="H152" s="3"/>
      <c r="I152" s="3"/>
      <c r="J152" s="3"/>
      <c r="K152" s="3"/>
      <c r="L152" s="3"/>
      <c r="M152" s="3"/>
      <c r="N152" s="3"/>
      <c r="O152" s="3"/>
      <c r="P152" s="3"/>
      <c r="Q152" s="3"/>
      <c r="R152" s="3"/>
      <c r="S152" s="3"/>
      <c r="T152" s="3"/>
      <c r="U152" s="3"/>
      <c r="V152" s="3"/>
      <c r="W152" s="3"/>
      <c r="X152" s="3"/>
      <c r="Y152" s="3"/>
      <c r="Z152" s="3"/>
    </row>
    <row r="153" spans="1:26" s="78" customFormat="1" ht="12.75" customHeight="1">
      <c r="A153" s="3"/>
      <c r="B153" s="83" t="s">
        <v>215</v>
      </c>
      <c r="C153" s="1">
        <v>3</v>
      </c>
      <c r="D153" s="1">
        <f t="shared" si="3"/>
        <v>5</v>
      </c>
      <c r="E153" s="3"/>
      <c r="F153" s="3"/>
      <c r="G153" s="3"/>
      <c r="H153" s="3"/>
      <c r="I153" s="3"/>
      <c r="J153" s="3"/>
      <c r="K153" s="3"/>
      <c r="L153" s="3"/>
      <c r="M153" s="3"/>
      <c r="N153" s="3"/>
      <c r="O153" s="3"/>
      <c r="P153" s="3"/>
      <c r="Q153" s="3"/>
      <c r="R153" s="3"/>
      <c r="S153" s="3"/>
      <c r="T153" s="3"/>
      <c r="U153" s="3"/>
      <c r="V153" s="3"/>
      <c r="W153" s="3"/>
      <c r="X153" s="3"/>
      <c r="Y153" s="3"/>
      <c r="Z153" s="3"/>
    </row>
    <row r="154" spans="1:26" s="78" customFormat="1" ht="12.75" customHeight="1">
      <c r="A154" s="3"/>
      <c r="B154" s="83" t="s">
        <v>319</v>
      </c>
      <c r="C154" s="1">
        <v>3</v>
      </c>
      <c r="D154" s="1">
        <f>IF(C154&lt;4,5,IF(C154&lt;8,10,15))</f>
        <v>5</v>
      </c>
      <c r="E154" s="3"/>
      <c r="F154" s="3"/>
      <c r="G154" s="3"/>
      <c r="H154" s="3"/>
      <c r="I154" s="3"/>
      <c r="J154" s="3"/>
      <c r="K154" s="3"/>
      <c r="L154" s="3"/>
      <c r="M154" s="3"/>
      <c r="N154" s="3"/>
      <c r="O154" s="3"/>
      <c r="P154" s="3"/>
      <c r="Q154" s="3"/>
      <c r="R154" s="3"/>
      <c r="S154" s="3"/>
      <c r="T154" s="3"/>
      <c r="U154" s="3"/>
      <c r="V154" s="3"/>
      <c r="W154" s="3"/>
      <c r="X154" s="3"/>
      <c r="Y154" s="3"/>
      <c r="Z154" s="3"/>
    </row>
    <row r="155" spans="1:26" s="78" customFormat="1" ht="12.75" customHeight="1">
      <c r="A155" s="3"/>
      <c r="B155" s="83" t="s">
        <v>326</v>
      </c>
      <c r="C155" s="1">
        <v>2</v>
      </c>
      <c r="D155" s="1">
        <f>IF(C155&lt;4,5,IF(C155&lt;8,10,15))</f>
        <v>5</v>
      </c>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c r="A156" s="2"/>
      <c r="B156" s="2"/>
      <c r="C156" s="1" t="s">
        <v>131</v>
      </c>
      <c r="D156" s="2">
        <f>SUM(D107:D154)</f>
        <v>370</v>
      </c>
      <c r="E156" s="3"/>
      <c r="F156" s="2"/>
      <c r="G156" s="3"/>
      <c r="H156" s="3"/>
      <c r="I156" s="3"/>
      <c r="J156" s="3"/>
      <c r="K156" s="3"/>
      <c r="L156" s="3"/>
      <c r="M156" s="3"/>
      <c r="N156" s="3"/>
      <c r="O156" s="3"/>
      <c r="P156" s="3"/>
      <c r="Q156" s="3"/>
      <c r="R156" s="3"/>
      <c r="S156" s="3"/>
      <c r="T156" s="3"/>
      <c r="U156" s="3"/>
      <c r="V156" s="3"/>
      <c r="W156" s="3"/>
      <c r="X156" s="3"/>
      <c r="Y156" s="3"/>
      <c r="Z156" s="3"/>
    </row>
    <row r="157" spans="1:26" ht="15.75" customHeight="1">
      <c r="A157" s="2"/>
      <c r="B157" s="2"/>
      <c r="C157" s="2"/>
      <c r="D157" s="2"/>
      <c r="E157" s="3"/>
      <c r="F157" s="2"/>
      <c r="G157" s="3"/>
      <c r="H157" s="3"/>
      <c r="I157" s="3"/>
      <c r="J157" s="3"/>
      <c r="K157" s="3"/>
      <c r="L157" s="3"/>
      <c r="M157" s="3"/>
      <c r="N157" s="3"/>
      <c r="O157" s="3"/>
      <c r="P157" s="3"/>
      <c r="Q157" s="3"/>
      <c r="R157" s="3"/>
      <c r="S157" s="3"/>
      <c r="T157" s="3"/>
      <c r="U157" s="3"/>
      <c r="V157" s="3"/>
      <c r="W157" s="3"/>
      <c r="X157" s="3"/>
      <c r="Y157" s="3"/>
      <c r="Z157" s="3"/>
    </row>
    <row r="158" spans="1:26" ht="12.75" customHeight="1">
      <c r="A158" s="1" t="s">
        <v>95</v>
      </c>
      <c r="B158" s="1" t="s">
        <v>103</v>
      </c>
      <c r="C158" s="1" t="s">
        <v>219</v>
      </c>
      <c r="D158" s="2"/>
      <c r="E158" s="3"/>
      <c r="F158" s="2"/>
      <c r="G158" s="3"/>
      <c r="H158" s="3"/>
      <c r="I158" s="3"/>
      <c r="J158" s="3"/>
      <c r="K158" s="3"/>
      <c r="L158" s="3"/>
      <c r="M158" s="3"/>
      <c r="N158" s="3"/>
      <c r="O158" s="3"/>
      <c r="P158" s="3"/>
      <c r="Q158" s="3"/>
      <c r="R158" s="3"/>
      <c r="S158" s="3"/>
      <c r="T158" s="3"/>
      <c r="U158" s="3"/>
      <c r="V158" s="3"/>
      <c r="W158" s="3"/>
      <c r="X158" s="3"/>
      <c r="Y158" s="3"/>
      <c r="Z158" s="3"/>
    </row>
    <row r="159" spans="1:26" ht="12.75" customHeight="1">
      <c r="A159" s="1" t="s">
        <v>104</v>
      </c>
      <c r="B159" s="21">
        <f>I52</f>
        <v>191.73659999999998</v>
      </c>
      <c r="C159" s="21">
        <f>16*15*5</f>
        <v>1200</v>
      </c>
      <c r="D159" s="2"/>
      <c r="E159" s="3"/>
      <c r="F159" s="2"/>
      <c r="G159" s="3"/>
      <c r="H159" s="3"/>
      <c r="I159" s="3"/>
      <c r="J159" s="3"/>
      <c r="K159" s="3"/>
      <c r="L159" s="3"/>
      <c r="M159" s="3"/>
      <c r="N159" s="3"/>
      <c r="O159" s="3"/>
      <c r="P159" s="3"/>
      <c r="Q159" s="3"/>
      <c r="R159" s="3"/>
      <c r="S159" s="3"/>
      <c r="T159" s="3"/>
      <c r="U159" s="3"/>
      <c r="V159" s="3"/>
      <c r="W159" s="3"/>
      <c r="X159" s="3"/>
      <c r="Y159" s="3"/>
      <c r="Z159" s="3"/>
    </row>
    <row r="160" spans="1:26" ht="12.75" customHeight="1">
      <c r="A160" s="1" t="s">
        <v>132</v>
      </c>
      <c r="B160" s="1">
        <f>I76</f>
        <v>227.09440000000004</v>
      </c>
      <c r="C160" s="1">
        <f>24*12*7</f>
        <v>2016</v>
      </c>
      <c r="D160" s="2"/>
      <c r="E160" s="3"/>
      <c r="F160" s="2"/>
      <c r="G160" s="3"/>
      <c r="H160" s="3"/>
      <c r="I160" s="3"/>
      <c r="J160" s="3"/>
      <c r="K160" s="3"/>
      <c r="L160" s="3"/>
      <c r="M160" s="3"/>
      <c r="N160" s="3"/>
      <c r="O160" s="3"/>
      <c r="P160" s="3"/>
      <c r="Q160" s="3"/>
      <c r="R160" s="3"/>
      <c r="S160" s="3"/>
      <c r="T160" s="3"/>
      <c r="U160" s="3"/>
      <c r="V160" s="3"/>
      <c r="W160" s="3"/>
      <c r="X160" s="3"/>
      <c r="Y160" s="3"/>
      <c r="Z160" s="3"/>
    </row>
    <row r="161" spans="1:26" ht="12.75" customHeight="1">
      <c r="A161" s="1" t="s">
        <v>220</v>
      </c>
      <c r="B161" s="1">
        <f>I107</f>
        <v>564.74880000000007</v>
      </c>
      <c r="C161" s="2">
        <f>49*4*8+24*4*10+12*12*8</f>
        <v>3680</v>
      </c>
      <c r="D161" s="2"/>
      <c r="E161" s="3"/>
      <c r="F161" s="2"/>
      <c r="G161" s="3"/>
      <c r="H161" s="3"/>
      <c r="I161" s="3"/>
      <c r="J161" s="3"/>
      <c r="K161" s="3"/>
      <c r="L161" s="3"/>
      <c r="M161" s="3"/>
      <c r="N161" s="3"/>
      <c r="O161" s="3"/>
      <c r="P161" s="3"/>
      <c r="Q161" s="3"/>
      <c r="R161" s="3"/>
      <c r="S161" s="3"/>
      <c r="T161" s="3"/>
      <c r="U161" s="3"/>
      <c r="V161" s="3"/>
      <c r="W161" s="3"/>
      <c r="X161" s="3"/>
      <c r="Y161" s="3"/>
      <c r="Z161" s="3"/>
    </row>
    <row r="162" spans="1:26" ht="12.75" customHeight="1">
      <c r="A162" s="1" t="s">
        <v>221</v>
      </c>
      <c r="B162" s="1">
        <v>0</v>
      </c>
      <c r="C162" s="1">
        <v>0</v>
      </c>
      <c r="D162" s="2"/>
      <c r="E162" s="3"/>
      <c r="F162" s="2"/>
      <c r="G162" s="3"/>
      <c r="H162" s="3"/>
      <c r="I162" s="3"/>
      <c r="J162" s="3"/>
      <c r="K162" s="3"/>
      <c r="L162" s="3"/>
      <c r="M162" s="3"/>
      <c r="N162" s="3"/>
      <c r="O162" s="3"/>
      <c r="P162" s="3"/>
      <c r="Q162" s="3"/>
      <c r="R162" s="3"/>
      <c r="S162" s="3"/>
      <c r="T162" s="3"/>
      <c r="U162" s="3"/>
      <c r="V162" s="3"/>
      <c r="W162" s="3"/>
      <c r="X162" s="3"/>
      <c r="Y162" s="3"/>
      <c r="Z162" s="3"/>
    </row>
    <row r="163" spans="1:26" ht="12.75" customHeight="1">
      <c r="A163" s="1"/>
      <c r="B163" s="1"/>
      <c r="C163" s="2"/>
      <c r="D163" s="2"/>
      <c r="E163" s="3"/>
      <c r="F163" s="2"/>
      <c r="G163" s="3"/>
      <c r="H163" s="3"/>
      <c r="I163" s="3"/>
      <c r="J163" s="3"/>
      <c r="K163" s="3"/>
      <c r="L163" s="3"/>
      <c r="M163" s="3"/>
      <c r="N163" s="3"/>
      <c r="O163" s="3"/>
      <c r="P163" s="3"/>
      <c r="Q163" s="3"/>
      <c r="R163" s="3"/>
      <c r="S163" s="3"/>
      <c r="T163" s="3"/>
      <c r="U163" s="3"/>
      <c r="V163" s="3"/>
      <c r="W163" s="3"/>
      <c r="X163" s="3"/>
      <c r="Y163" s="3"/>
      <c r="Z163" s="3"/>
    </row>
    <row r="164" spans="1:26" ht="12.75" customHeight="1">
      <c r="A164" s="1" t="s">
        <v>222</v>
      </c>
      <c r="B164" s="1">
        <f>COUNT(B160:B162)</f>
        <v>3</v>
      </c>
      <c r="C164" s="2"/>
      <c r="D164" s="2"/>
      <c r="E164" s="3"/>
      <c r="F164" s="2"/>
      <c r="G164" s="3"/>
      <c r="H164" s="3"/>
      <c r="I164" s="3"/>
      <c r="J164" s="3"/>
      <c r="K164" s="3"/>
      <c r="L164" s="3"/>
      <c r="M164" s="3"/>
      <c r="N164" s="3"/>
      <c r="O164" s="3"/>
      <c r="P164" s="3"/>
      <c r="Q164" s="3"/>
      <c r="R164" s="3"/>
      <c r="S164" s="3"/>
      <c r="T164" s="3"/>
      <c r="U164" s="3"/>
      <c r="V164" s="3"/>
      <c r="W164" s="3"/>
      <c r="X164" s="3"/>
      <c r="Y164" s="3"/>
      <c r="Z164" s="3"/>
    </row>
    <row r="165" spans="1:26" ht="12.75" customHeight="1">
      <c r="A165" s="1" t="s">
        <v>223</v>
      </c>
      <c r="B165" s="1">
        <f>CORREL(B160:B162,C160:C162)</f>
        <v>0.98596826016831518</v>
      </c>
      <c r="C165" s="2"/>
      <c r="D165" s="2"/>
      <c r="E165" s="3"/>
      <c r="F165" s="2"/>
      <c r="G165" s="3"/>
      <c r="H165" s="3"/>
      <c r="I165" s="3"/>
      <c r="J165" s="3"/>
      <c r="K165" s="3"/>
      <c r="L165" s="3"/>
      <c r="M165" s="3"/>
      <c r="N165" s="3"/>
      <c r="O165" s="3"/>
      <c r="P165" s="3"/>
      <c r="Q165" s="3"/>
      <c r="R165" s="3"/>
      <c r="S165" s="3"/>
      <c r="T165" s="3"/>
      <c r="U165" s="3"/>
      <c r="V165" s="3"/>
      <c r="W165" s="3"/>
      <c r="X165" s="3"/>
      <c r="Y165" s="3"/>
      <c r="Z165" s="3"/>
    </row>
    <row r="166" spans="1:26" ht="12.75" customHeight="1">
      <c r="A166" s="1" t="s">
        <v>224</v>
      </c>
      <c r="B166" s="1">
        <f>STDEV(B160:B162)</f>
        <v>284.17235598962355</v>
      </c>
      <c r="C166" s="2"/>
      <c r="D166" s="2"/>
      <c r="E166" s="3"/>
      <c r="F166" s="2"/>
      <c r="G166" s="3"/>
      <c r="H166" s="3"/>
      <c r="I166" s="3"/>
      <c r="J166" s="3"/>
      <c r="K166" s="3"/>
      <c r="L166" s="3"/>
      <c r="M166" s="3"/>
      <c r="N166" s="3"/>
      <c r="O166" s="3"/>
      <c r="P166" s="3"/>
      <c r="Q166" s="3"/>
      <c r="R166" s="3"/>
      <c r="S166" s="3"/>
      <c r="T166" s="3"/>
      <c r="U166" s="3"/>
      <c r="V166" s="3"/>
      <c r="W166" s="3"/>
      <c r="X166" s="3"/>
      <c r="Y166" s="3"/>
      <c r="Z166" s="3"/>
    </row>
    <row r="167" spans="1:26" ht="12.75" customHeight="1">
      <c r="A167" s="1" t="s">
        <v>225</v>
      </c>
      <c r="B167" s="1">
        <f>STDEV(C160:C162)</f>
        <v>1842.8036610917977</v>
      </c>
      <c r="C167" s="2"/>
      <c r="D167" s="2"/>
      <c r="E167" s="3"/>
      <c r="F167" s="2"/>
      <c r="G167" s="3"/>
      <c r="H167" s="3"/>
      <c r="I167" s="3"/>
      <c r="J167" s="3"/>
      <c r="K167" s="3"/>
      <c r="L167" s="3"/>
      <c r="M167" s="3"/>
      <c r="N167" s="3"/>
      <c r="O167" s="3"/>
      <c r="P167" s="3"/>
      <c r="Q167" s="3"/>
      <c r="R167" s="3"/>
      <c r="S167" s="3"/>
      <c r="T167" s="3"/>
      <c r="U167" s="3"/>
      <c r="V167" s="3"/>
      <c r="W167" s="3"/>
      <c r="X167" s="3"/>
      <c r="Y167" s="3"/>
      <c r="Z167" s="3"/>
    </row>
    <row r="168" spans="1:26" ht="12.75" customHeight="1">
      <c r="A168" s="1" t="s">
        <v>226</v>
      </c>
      <c r="B168" s="1">
        <f>B165*B167/B166</f>
        <v>6.393816573857122</v>
      </c>
      <c r="C168" s="2"/>
      <c r="D168" s="2"/>
      <c r="E168" s="3"/>
      <c r="F168" s="2"/>
      <c r="G168" s="3"/>
      <c r="H168" s="3"/>
      <c r="I168" s="3"/>
      <c r="J168" s="3"/>
      <c r="K168" s="3"/>
      <c r="L168" s="3"/>
      <c r="M168" s="3"/>
      <c r="N168" s="3"/>
      <c r="O168" s="3"/>
      <c r="P168" s="3"/>
      <c r="Q168" s="3"/>
      <c r="R168" s="3"/>
      <c r="S168" s="3"/>
      <c r="T168" s="3"/>
      <c r="U168" s="3"/>
      <c r="V168" s="3"/>
      <c r="W168" s="3"/>
      <c r="X168" s="3"/>
      <c r="Y168" s="3"/>
      <c r="Z168" s="3"/>
    </row>
    <row r="169" spans="1:26" ht="12.75" customHeight="1">
      <c r="A169" s="1" t="s">
        <v>227</v>
      </c>
      <c r="B169" s="1">
        <f>AVERAGE(C160:C162)-AVERAGE(B160:B162)*B168</f>
        <v>211.03327464797985</v>
      </c>
      <c r="C169" s="2"/>
      <c r="D169" s="2"/>
      <c r="E169" s="3"/>
      <c r="F169" s="2"/>
      <c r="G169" s="3"/>
      <c r="H169" s="3"/>
      <c r="I169" s="3"/>
      <c r="J169" s="3"/>
      <c r="K169" s="3"/>
      <c r="L169" s="3"/>
      <c r="M169" s="3"/>
      <c r="N169" s="3"/>
      <c r="O169" s="3"/>
      <c r="P169" s="3"/>
      <c r="Q169" s="3"/>
      <c r="R169" s="3"/>
      <c r="S169" s="3"/>
      <c r="T169" s="3"/>
      <c r="U169" s="3"/>
      <c r="V169" s="3"/>
      <c r="W169" s="3"/>
      <c r="X169" s="3"/>
      <c r="Y169" s="3"/>
      <c r="Z169" s="3"/>
    </row>
    <row r="170" spans="1:26" ht="12.75" customHeight="1">
      <c r="A170" s="1" t="s">
        <v>228</v>
      </c>
      <c r="B170" s="1">
        <f>B167*SQRT((1-B165^2)*(B164-2)/(B164-1))</f>
        <v>217.52339958395066</v>
      </c>
      <c r="C170" s="2"/>
      <c r="D170" s="2"/>
      <c r="E170" s="3"/>
      <c r="F170" s="2"/>
      <c r="G170" s="3"/>
      <c r="H170" s="3"/>
      <c r="I170" s="3"/>
      <c r="J170" s="3"/>
      <c r="K170" s="3"/>
      <c r="L170" s="3"/>
      <c r="M170" s="3"/>
      <c r="N170" s="3"/>
      <c r="O170" s="3"/>
      <c r="P170" s="3"/>
      <c r="Q170" s="3"/>
      <c r="R170" s="3"/>
      <c r="S170" s="3"/>
      <c r="T170" s="3"/>
      <c r="U170" s="3"/>
      <c r="V170" s="3"/>
      <c r="W170" s="3"/>
      <c r="X170" s="3"/>
      <c r="Y170" s="3"/>
      <c r="Z170" s="3"/>
    </row>
    <row r="171" spans="1:26" ht="12.75" customHeight="1">
      <c r="A171" s="1" t="s">
        <v>229</v>
      </c>
      <c r="B171" s="1">
        <f>B170/(B166*SQRT(B164-1))</f>
        <v>0.54126401696222326</v>
      </c>
      <c r="C171" s="2"/>
      <c r="D171" s="2"/>
      <c r="E171" s="3"/>
      <c r="F171" s="2"/>
      <c r="G171" s="3"/>
      <c r="H171" s="3"/>
      <c r="I171" s="3"/>
      <c r="J171" s="3"/>
      <c r="K171" s="3"/>
      <c r="L171" s="3"/>
      <c r="M171" s="3"/>
      <c r="N171" s="3"/>
      <c r="O171" s="3"/>
      <c r="P171" s="3"/>
      <c r="Q171" s="3"/>
      <c r="R171" s="3"/>
      <c r="S171" s="3"/>
      <c r="T171" s="3"/>
      <c r="U171" s="3"/>
      <c r="V171" s="3"/>
      <c r="W171" s="3"/>
      <c r="X171" s="3"/>
      <c r="Y171" s="3"/>
      <c r="Z171" s="3"/>
    </row>
    <row r="172" spans="1:26" ht="12.75" customHeight="1">
      <c r="A172" s="1" t="s">
        <v>230</v>
      </c>
      <c r="B172" s="1">
        <f>B168/B171</f>
        <v>11.812750106208092</v>
      </c>
      <c r="C172" s="2"/>
      <c r="D172" s="2"/>
      <c r="E172" s="3"/>
      <c r="F172" s="2"/>
      <c r="G172" s="3"/>
      <c r="H172" s="3"/>
      <c r="I172" s="3"/>
      <c r="J172" s="3"/>
      <c r="K172" s="3"/>
      <c r="L172" s="3"/>
      <c r="M172" s="3"/>
      <c r="N172" s="3"/>
      <c r="O172" s="3"/>
      <c r="P172" s="3"/>
      <c r="Q172" s="3"/>
      <c r="R172" s="3"/>
      <c r="S172" s="3"/>
      <c r="T172" s="3"/>
      <c r="U172" s="3"/>
      <c r="V172" s="3"/>
      <c r="W172" s="3"/>
      <c r="X172" s="3"/>
      <c r="Y172" s="3"/>
      <c r="Z172" s="3"/>
    </row>
    <row r="173" spans="1:26" ht="12.75" customHeight="1">
      <c r="A173" s="1" t="s">
        <v>231</v>
      </c>
      <c r="B173" s="1">
        <f>B164-2</f>
        <v>1</v>
      </c>
      <c r="C173" s="2"/>
      <c r="D173" s="2"/>
      <c r="E173" s="3"/>
      <c r="F173" s="2"/>
      <c r="G173" s="3"/>
      <c r="H173" s="3"/>
      <c r="I173" s="3"/>
      <c r="J173" s="3"/>
      <c r="K173" s="3"/>
      <c r="L173" s="3"/>
      <c r="M173" s="3"/>
      <c r="N173" s="3"/>
      <c r="O173" s="3"/>
      <c r="P173" s="3"/>
      <c r="Q173" s="3"/>
      <c r="R173" s="3"/>
      <c r="S173" s="3"/>
      <c r="T173" s="3"/>
      <c r="U173" s="3"/>
      <c r="V173" s="3"/>
      <c r="W173" s="3"/>
      <c r="X173" s="3"/>
      <c r="Y173" s="3"/>
      <c r="Z173" s="3"/>
    </row>
    <row r="174" spans="1:26" ht="12.75" customHeight="1">
      <c r="A174" s="22" t="s">
        <v>232</v>
      </c>
      <c r="B174" s="22">
        <f>TDIST(B172,B173,2)</f>
        <v>5.3764409283158184E-2</v>
      </c>
      <c r="C174" s="2"/>
      <c r="D174" s="2"/>
      <c r="E174" s="3"/>
      <c r="F174" s="2"/>
      <c r="G174" s="3"/>
      <c r="H174" s="3"/>
      <c r="I174" s="3"/>
      <c r="J174" s="3"/>
      <c r="K174" s="3"/>
      <c r="L174" s="3"/>
      <c r="M174" s="3"/>
      <c r="N174" s="3"/>
      <c r="O174" s="3"/>
      <c r="P174" s="3"/>
      <c r="Q174" s="3"/>
      <c r="R174" s="3"/>
      <c r="S174" s="3"/>
      <c r="T174" s="3"/>
      <c r="U174" s="3"/>
      <c r="V174" s="3"/>
      <c r="W174" s="3"/>
      <c r="X174" s="3"/>
      <c r="Y174" s="3"/>
      <c r="Z174" s="3"/>
    </row>
    <row r="175" spans="1:26" ht="12.75" customHeight="1">
      <c r="A175" s="1" t="s">
        <v>233</v>
      </c>
      <c r="B175" s="1">
        <v>0.05</v>
      </c>
      <c r="C175" s="2"/>
      <c r="D175" s="2"/>
      <c r="E175" s="3"/>
      <c r="F175" s="2"/>
      <c r="G175" s="3"/>
      <c r="H175" s="3"/>
      <c r="I175" s="3"/>
      <c r="J175" s="3"/>
      <c r="K175" s="3"/>
      <c r="L175" s="3"/>
      <c r="M175" s="3"/>
      <c r="N175" s="3"/>
      <c r="O175" s="3"/>
      <c r="P175" s="3"/>
      <c r="Q175" s="3"/>
      <c r="R175" s="3"/>
      <c r="S175" s="3"/>
      <c r="T175" s="3"/>
      <c r="U175" s="3"/>
      <c r="V175" s="3"/>
      <c r="W175" s="3"/>
      <c r="X175" s="3"/>
      <c r="Y175" s="3"/>
      <c r="Z175" s="3"/>
    </row>
    <row r="176" spans="1:26" ht="12.75" customHeight="1">
      <c r="A176" s="1" t="s">
        <v>234</v>
      </c>
      <c r="B176" s="1">
        <f>TINV(B175,B173)</f>
        <v>12.706204736174707</v>
      </c>
      <c r="C176" s="2"/>
      <c r="D176" s="2"/>
      <c r="E176" s="3"/>
      <c r="F176" s="2"/>
      <c r="G176" s="3"/>
      <c r="H176" s="3"/>
      <c r="I176" s="3"/>
      <c r="J176" s="3"/>
      <c r="K176" s="3"/>
      <c r="L176" s="3"/>
      <c r="M176" s="3"/>
      <c r="N176" s="3"/>
      <c r="O176" s="3"/>
      <c r="P176" s="3"/>
      <c r="Q176" s="3"/>
      <c r="R176" s="3"/>
      <c r="S176" s="3"/>
      <c r="T176" s="3"/>
      <c r="U176" s="3"/>
      <c r="V176" s="3"/>
      <c r="W176" s="3"/>
      <c r="X176" s="3"/>
      <c r="Y176" s="3"/>
      <c r="Z176" s="3"/>
    </row>
    <row r="177" spans="1:26" ht="12.75" customHeight="1">
      <c r="A177" s="1" t="s">
        <v>235</v>
      </c>
      <c r="B177" s="18" t="str">
        <f>IF(B172&gt;B176,"yes", "no")</f>
        <v>no</v>
      </c>
      <c r="C177" s="2"/>
      <c r="D177" s="2"/>
      <c r="E177" s="3"/>
      <c r="F177" s="2"/>
      <c r="G177" s="3"/>
      <c r="H177" s="3"/>
      <c r="I177" s="3"/>
      <c r="J177" s="3"/>
      <c r="K177" s="3"/>
      <c r="L177" s="3"/>
      <c r="M177" s="3"/>
      <c r="N177" s="3"/>
      <c r="O177" s="3"/>
      <c r="P177" s="3"/>
      <c r="Q177" s="3"/>
      <c r="R177" s="3"/>
      <c r="S177" s="3"/>
      <c r="T177" s="3"/>
      <c r="U177" s="3"/>
      <c r="V177" s="3"/>
      <c r="W177" s="3"/>
      <c r="X177" s="3"/>
      <c r="Y177" s="3"/>
      <c r="Z177" s="3"/>
    </row>
    <row r="178" spans="1:26" ht="12.75" customHeight="1">
      <c r="A178" s="1"/>
      <c r="B178" s="1"/>
      <c r="C178" s="2"/>
      <c r="D178" s="2"/>
      <c r="E178" s="3"/>
      <c r="F178" s="2"/>
      <c r="G178" s="3"/>
      <c r="H178" s="3"/>
      <c r="I178" s="3"/>
      <c r="J178" s="3"/>
      <c r="K178" s="3"/>
      <c r="L178" s="3"/>
      <c r="M178" s="3"/>
      <c r="N178" s="3"/>
      <c r="O178" s="3"/>
      <c r="P178" s="3"/>
      <c r="Q178" s="3"/>
      <c r="R178" s="3"/>
      <c r="S178" s="3"/>
      <c r="T178" s="3"/>
      <c r="U178" s="3"/>
      <c r="V178" s="3"/>
      <c r="W178" s="3"/>
      <c r="X178" s="3"/>
      <c r="Y178" s="3"/>
      <c r="Z178" s="3"/>
    </row>
    <row r="179" spans="1:26" ht="12.75" customHeight="1">
      <c r="A179" s="1" t="s">
        <v>236</v>
      </c>
      <c r="B179" s="2"/>
      <c r="C179" s="2"/>
      <c r="D179" s="2"/>
      <c r="E179" s="3"/>
      <c r="F179" s="2"/>
      <c r="G179" s="3"/>
      <c r="H179" s="3"/>
      <c r="I179" s="3"/>
      <c r="J179" s="3"/>
      <c r="K179" s="3"/>
      <c r="L179" s="3"/>
      <c r="M179" s="3"/>
      <c r="N179" s="3"/>
      <c r="O179" s="3"/>
      <c r="P179" s="3"/>
      <c r="Q179" s="3"/>
      <c r="R179" s="3"/>
      <c r="S179" s="3"/>
      <c r="T179" s="3"/>
      <c r="U179" s="3"/>
      <c r="V179" s="3"/>
      <c r="W179" s="3"/>
      <c r="X179" s="3"/>
      <c r="Y179" s="3"/>
      <c r="Z179" s="3"/>
    </row>
    <row r="180" spans="1:26" ht="12.75" customHeight="1">
      <c r="A180" s="1" t="s">
        <v>237</v>
      </c>
      <c r="B180" s="2"/>
      <c r="C180" s="2"/>
      <c r="D180" s="2"/>
      <c r="E180" s="3"/>
      <c r="F180" s="2"/>
      <c r="G180" s="3"/>
      <c r="H180" s="3"/>
      <c r="I180" s="3"/>
      <c r="J180" s="3"/>
      <c r="K180" s="3"/>
      <c r="L180" s="3"/>
      <c r="M180" s="3"/>
      <c r="N180" s="3"/>
      <c r="O180" s="3"/>
      <c r="P180" s="3"/>
      <c r="Q180" s="3"/>
      <c r="R180" s="3"/>
      <c r="S180" s="3"/>
      <c r="T180" s="3"/>
      <c r="U180" s="3"/>
      <c r="V180" s="3"/>
      <c r="W180" s="3"/>
      <c r="X180" s="3"/>
      <c r="Y180" s="3"/>
      <c r="Z180" s="3"/>
    </row>
    <row r="181" spans="1:26" ht="12.75" customHeight="1">
      <c r="A181" s="1" t="s">
        <v>238</v>
      </c>
      <c r="B181" s="23">
        <f t="shared" ref="B181:B182" si="4">B168</f>
        <v>6.393816573857122</v>
      </c>
      <c r="C181" s="2"/>
      <c r="D181" s="2"/>
      <c r="E181" s="3"/>
      <c r="F181" s="2"/>
      <c r="G181" s="3"/>
      <c r="H181" s="3"/>
      <c r="I181" s="3"/>
      <c r="J181" s="3"/>
      <c r="K181" s="3"/>
      <c r="L181" s="3"/>
      <c r="M181" s="3"/>
      <c r="N181" s="3"/>
      <c r="O181" s="3"/>
      <c r="P181" s="3"/>
      <c r="Q181" s="3"/>
      <c r="R181" s="3"/>
      <c r="S181" s="3"/>
      <c r="T181" s="3"/>
      <c r="U181" s="3"/>
      <c r="V181" s="3"/>
      <c r="W181" s="3"/>
      <c r="X181" s="3"/>
      <c r="Y181" s="3"/>
      <c r="Z181" s="3"/>
    </row>
    <row r="182" spans="1:26" ht="12.75" customHeight="1">
      <c r="A182" s="1" t="s">
        <v>239</v>
      </c>
      <c r="B182" s="23">
        <f t="shared" si="4"/>
        <v>211.03327464797985</v>
      </c>
      <c r="C182" s="2"/>
      <c r="D182" s="2"/>
      <c r="E182" s="3"/>
      <c r="F182" s="2"/>
      <c r="G182" s="3"/>
      <c r="H182" s="3"/>
      <c r="I182" s="3"/>
      <c r="J182" s="3"/>
      <c r="K182" s="3"/>
      <c r="L182" s="3"/>
      <c r="M182" s="3"/>
      <c r="N182" s="3"/>
      <c r="O182" s="3"/>
      <c r="P182" s="3"/>
      <c r="Q182" s="3"/>
      <c r="R182" s="3"/>
      <c r="S182" s="3"/>
      <c r="T182" s="3"/>
      <c r="U182" s="3"/>
      <c r="V182" s="3"/>
      <c r="W182" s="3"/>
      <c r="X182" s="3"/>
      <c r="Y182" s="3"/>
      <c r="Z182" s="3"/>
    </row>
    <row r="183" spans="1:26" ht="12.75" customHeight="1">
      <c r="A183" s="1" t="s">
        <v>240</v>
      </c>
      <c r="B183" s="2"/>
      <c r="C183" s="2"/>
      <c r="D183" s="2"/>
      <c r="E183" s="3"/>
      <c r="F183" s="2"/>
      <c r="G183" s="3"/>
      <c r="H183" s="3"/>
      <c r="I183" s="3"/>
      <c r="J183" s="3"/>
      <c r="K183" s="3"/>
      <c r="L183" s="3"/>
      <c r="M183" s="3"/>
      <c r="N183" s="3"/>
      <c r="O183" s="3"/>
      <c r="P183" s="3"/>
      <c r="Q183" s="3"/>
      <c r="R183" s="3"/>
      <c r="S183" s="3"/>
      <c r="T183" s="3"/>
      <c r="U183" s="3"/>
      <c r="V183" s="3"/>
      <c r="W183" s="3"/>
      <c r="X183" s="3"/>
      <c r="Y183" s="3"/>
      <c r="Z183" s="3"/>
    </row>
    <row r="184" spans="1:26" ht="12.75" customHeight="1">
      <c r="A184" s="1" t="s">
        <v>241</v>
      </c>
      <c r="B184" s="2"/>
      <c r="C184" s="2"/>
      <c r="D184" s="2"/>
      <c r="E184" s="3"/>
      <c r="F184" s="2"/>
      <c r="G184" s="3"/>
      <c r="H184" s="3"/>
      <c r="I184" s="3"/>
      <c r="J184" s="3"/>
      <c r="K184" s="3"/>
      <c r="L184" s="3"/>
      <c r="M184" s="3"/>
      <c r="N184" s="3"/>
      <c r="O184" s="3"/>
      <c r="P184" s="3"/>
      <c r="Q184" s="3"/>
      <c r="R184" s="3"/>
      <c r="S184" s="3"/>
      <c r="T184" s="3"/>
      <c r="U184" s="3"/>
      <c r="V184" s="3"/>
      <c r="W184" s="3"/>
      <c r="X184" s="3"/>
      <c r="Y184" s="3"/>
      <c r="Z184" s="3"/>
    </row>
    <row r="185" spans="1:26" ht="12.75" customHeight="1">
      <c r="A185" s="1" t="s">
        <v>242</v>
      </c>
      <c r="B185" s="2">
        <f>(B165)^2</f>
        <v>0.9721334100593344</v>
      </c>
      <c r="C185" s="2"/>
      <c r="D185" s="2"/>
      <c r="E185" s="3"/>
      <c r="F185" s="2"/>
      <c r="G185" s="3"/>
      <c r="H185" s="3"/>
      <c r="I185" s="3"/>
      <c r="J185" s="3"/>
      <c r="K185" s="3"/>
      <c r="L185" s="3"/>
      <c r="M185" s="3"/>
      <c r="N185" s="3"/>
      <c r="O185" s="3"/>
      <c r="P185" s="3"/>
      <c r="Q185" s="3"/>
      <c r="R185" s="3"/>
      <c r="S185" s="3"/>
      <c r="T185" s="3"/>
      <c r="U185" s="3"/>
      <c r="V185" s="3"/>
      <c r="W185" s="3"/>
      <c r="X185" s="3"/>
      <c r="Y185" s="3"/>
      <c r="Z185" s="3"/>
    </row>
    <row r="186" spans="1:26" ht="12.75" customHeight="1">
      <c r="A186" s="1" t="s">
        <v>243</v>
      </c>
      <c r="B186" s="1">
        <f>B174</f>
        <v>5.3764409283158184E-2</v>
      </c>
      <c r="C186" s="1"/>
      <c r="D186" s="2"/>
      <c r="E186" s="3"/>
      <c r="F186" s="2"/>
      <c r="G186" s="3"/>
      <c r="H186" s="3"/>
      <c r="I186" s="3"/>
      <c r="J186" s="3"/>
      <c r="K186" s="3"/>
      <c r="L186" s="3"/>
      <c r="M186" s="3"/>
      <c r="N186" s="3"/>
      <c r="O186" s="3"/>
      <c r="P186" s="3"/>
      <c r="Q186" s="3"/>
      <c r="R186" s="3"/>
      <c r="S186" s="3"/>
      <c r="T186" s="3"/>
      <c r="U186" s="3"/>
      <c r="V186" s="3"/>
      <c r="W186" s="3"/>
      <c r="X186" s="3"/>
      <c r="Y186" s="3"/>
      <c r="Z186" s="3"/>
    </row>
    <row r="187" spans="1:26" ht="12.75" customHeight="1">
      <c r="A187" s="1"/>
      <c r="B187" s="1"/>
      <c r="C187" s="1"/>
      <c r="D187" s="2"/>
      <c r="E187" s="3"/>
      <c r="F187" s="2"/>
      <c r="G187" s="3"/>
      <c r="H187" s="3"/>
      <c r="I187" s="3"/>
      <c r="J187" s="3"/>
      <c r="K187" s="3"/>
      <c r="L187" s="3"/>
      <c r="M187" s="3"/>
      <c r="N187" s="3"/>
      <c r="O187" s="3"/>
      <c r="P187" s="3"/>
      <c r="Q187" s="3"/>
      <c r="R187" s="3"/>
      <c r="S187" s="3"/>
      <c r="T187" s="3"/>
      <c r="U187" s="3"/>
      <c r="V187" s="3"/>
      <c r="W187" s="3"/>
      <c r="X187" s="3"/>
      <c r="Y187" s="3"/>
      <c r="Z187" s="3"/>
    </row>
    <row r="188" spans="1:26" ht="12.75" customHeight="1">
      <c r="A188" s="1" t="s">
        <v>95</v>
      </c>
      <c r="B188" s="1" t="s">
        <v>103</v>
      </c>
      <c r="C188" s="1" t="s">
        <v>219</v>
      </c>
      <c r="D188" s="1" t="s">
        <v>244</v>
      </c>
      <c r="E188" s="1" t="s">
        <v>245</v>
      </c>
      <c r="F188" s="2"/>
      <c r="G188" s="3"/>
      <c r="H188" s="3"/>
      <c r="I188" s="3"/>
      <c r="J188" s="3"/>
      <c r="K188" s="3"/>
      <c r="L188" s="3"/>
      <c r="M188" s="3"/>
      <c r="N188" s="3"/>
      <c r="O188" s="3"/>
      <c r="P188" s="3"/>
      <c r="Q188" s="3"/>
      <c r="R188" s="3"/>
      <c r="S188" s="3"/>
      <c r="T188" s="3"/>
      <c r="U188" s="3"/>
      <c r="V188" s="3"/>
      <c r="W188" s="3"/>
      <c r="X188" s="3"/>
      <c r="Y188" s="3"/>
      <c r="Z188" s="3"/>
    </row>
    <row r="189" spans="1:26" ht="12.75" customHeight="1">
      <c r="A189" s="22" t="s">
        <v>246</v>
      </c>
      <c r="B189" s="1">
        <v>191.73659999999998</v>
      </c>
      <c r="C189" s="1">
        <f>16*15*5</f>
        <v>1200</v>
      </c>
      <c r="D189" s="2">
        <f t="shared" ref="D189:D191" si="5">B189*$B$181+$B$182</f>
        <v>1436.9619255429932</v>
      </c>
      <c r="E189" s="2"/>
      <c r="F189" s="2"/>
      <c r="G189" s="3"/>
      <c r="H189" s="3"/>
      <c r="I189" s="3"/>
      <c r="J189" s="3"/>
      <c r="K189" s="3"/>
      <c r="L189" s="3"/>
      <c r="M189" s="3"/>
      <c r="N189" s="3"/>
      <c r="O189" s="3"/>
      <c r="P189" s="3"/>
      <c r="Q189" s="3"/>
      <c r="R189" s="3"/>
      <c r="S189" s="3"/>
      <c r="T189" s="3"/>
      <c r="U189" s="3"/>
      <c r="V189" s="3"/>
      <c r="W189" s="3"/>
      <c r="X189" s="3"/>
      <c r="Y189" s="3"/>
      <c r="Z189" s="3"/>
    </row>
    <row r="190" spans="1:26" ht="12.75" customHeight="1">
      <c r="A190" s="1" t="s">
        <v>132</v>
      </c>
      <c r="B190" s="1">
        <v>227.09440000000004</v>
      </c>
      <c r="C190" s="1">
        <f>24*12*7</f>
        <v>2016</v>
      </c>
      <c r="D190" s="2">
        <f t="shared" si="5"/>
        <v>1663.0332131981188</v>
      </c>
      <c r="E190" s="2">
        <f t="shared" ref="E190:E191" si="6">ABS(D190-C190)/C190</f>
        <v>0.1750827315485522</v>
      </c>
      <c r="F190" s="2"/>
      <c r="G190" s="3"/>
      <c r="H190" s="3"/>
      <c r="I190" s="3"/>
      <c r="J190" s="3"/>
      <c r="K190" s="3"/>
      <c r="L190" s="3"/>
      <c r="M190" s="3"/>
      <c r="N190" s="3"/>
      <c r="O190" s="3"/>
      <c r="P190" s="3"/>
      <c r="Q190" s="3"/>
      <c r="R190" s="3"/>
      <c r="S190" s="3"/>
      <c r="T190" s="3"/>
      <c r="U190" s="3"/>
      <c r="V190" s="3"/>
      <c r="W190" s="3"/>
      <c r="X190" s="3"/>
      <c r="Y190" s="3"/>
      <c r="Z190" s="3"/>
    </row>
    <row r="191" spans="1:26" ht="12.75" customHeight="1">
      <c r="A191" s="1" t="s">
        <v>220</v>
      </c>
      <c r="B191" s="1">
        <v>586.92480000000012</v>
      </c>
      <c r="C191" s="2">
        <f>49*4*8+24*4*10+12*12*8</f>
        <v>3680</v>
      </c>
      <c r="D191" s="2">
        <f t="shared" si="5"/>
        <v>3963.722788495757</v>
      </c>
      <c r="E191" s="2">
        <f t="shared" si="6"/>
        <v>7.7098583830368744E-2</v>
      </c>
      <c r="F191" s="2"/>
      <c r="G191" s="3"/>
      <c r="H191" s="3"/>
      <c r="I191" s="3"/>
      <c r="J191" s="3"/>
      <c r="K191" s="3"/>
      <c r="L191" s="3"/>
      <c r="M191" s="3"/>
      <c r="N191" s="3"/>
      <c r="O191" s="3"/>
      <c r="P191" s="3"/>
      <c r="Q191" s="3"/>
      <c r="R191" s="3"/>
      <c r="S191" s="3"/>
      <c r="T191" s="3"/>
      <c r="U191" s="3"/>
      <c r="V191" s="3"/>
      <c r="W191" s="3"/>
      <c r="X191" s="3"/>
      <c r="Y191" s="3"/>
      <c r="Z191" s="3"/>
    </row>
    <row r="192" spans="1:26" ht="12.75" customHeight="1">
      <c r="A192" s="24" t="s">
        <v>221</v>
      </c>
      <c r="B192" s="21">
        <v>0</v>
      </c>
      <c r="C192" s="21">
        <v>0</v>
      </c>
      <c r="D192" s="21"/>
      <c r="E192" s="21"/>
      <c r="F192" s="21"/>
      <c r="G192" s="21"/>
      <c r="H192" s="21"/>
      <c r="I192" s="21"/>
      <c r="J192" s="3"/>
      <c r="K192" s="3"/>
      <c r="L192" s="3"/>
      <c r="M192" s="3"/>
      <c r="N192" s="3"/>
      <c r="O192" s="3"/>
      <c r="P192" s="3"/>
      <c r="Q192" s="3"/>
      <c r="R192" s="3"/>
      <c r="S192" s="3"/>
      <c r="T192" s="3"/>
      <c r="U192" s="3"/>
      <c r="V192" s="3"/>
      <c r="W192" s="3"/>
      <c r="X192" s="3"/>
      <c r="Y192" s="3"/>
      <c r="Z192" s="3"/>
    </row>
    <row r="193" spans="1:26" ht="12.75" customHeight="1">
      <c r="A193" s="2"/>
      <c r="B193" s="1"/>
      <c r="C193" s="1"/>
      <c r="D193" s="1" t="s">
        <v>247</v>
      </c>
      <c r="E193" s="2">
        <f>AVERAGE(E190:E191)</f>
        <v>0.12609065768946048</v>
      </c>
      <c r="F193" s="2"/>
      <c r="G193" s="3"/>
      <c r="H193" s="3"/>
      <c r="I193" s="3"/>
      <c r="J193" s="3"/>
      <c r="K193" s="3"/>
      <c r="L193" s="3"/>
      <c r="M193" s="3"/>
      <c r="N193" s="3"/>
      <c r="O193" s="3"/>
      <c r="P193" s="3"/>
      <c r="Q193" s="3"/>
      <c r="R193" s="3"/>
      <c r="S193" s="3"/>
      <c r="T193" s="3"/>
      <c r="U193" s="3"/>
      <c r="V193" s="3"/>
      <c r="W193" s="3"/>
      <c r="X193" s="3"/>
      <c r="Y193" s="3"/>
      <c r="Z193" s="3"/>
    </row>
    <row r="194" spans="1:26" ht="12.75" customHeight="1">
      <c r="A194" s="1"/>
      <c r="B194" s="2"/>
      <c r="C194" s="2"/>
      <c r="D194" s="2"/>
      <c r="E194" s="3"/>
      <c r="F194" s="2"/>
      <c r="G194" s="3"/>
      <c r="H194" s="3"/>
      <c r="I194" s="3"/>
      <c r="J194" s="3"/>
      <c r="K194" s="3"/>
      <c r="L194" s="3"/>
      <c r="M194" s="3"/>
      <c r="N194" s="3"/>
      <c r="O194" s="3"/>
      <c r="P194" s="3"/>
      <c r="Q194" s="3"/>
      <c r="R194" s="3"/>
      <c r="S194" s="3"/>
      <c r="T194" s="3"/>
      <c r="U194" s="3"/>
      <c r="V194" s="3"/>
      <c r="W194" s="3"/>
      <c r="X194" s="3"/>
      <c r="Y194" s="3"/>
      <c r="Z194" s="3"/>
    </row>
    <row r="195" spans="1:26" ht="12.75" customHeight="1">
      <c r="A195" s="22" t="s">
        <v>248</v>
      </c>
      <c r="B195" s="1"/>
      <c r="C195" s="1"/>
      <c r="D195" s="2"/>
      <c r="E195" s="3"/>
      <c r="F195" s="2"/>
      <c r="G195" s="3"/>
      <c r="H195" s="3"/>
      <c r="I195" s="3"/>
      <c r="J195" s="3"/>
      <c r="K195" s="3"/>
      <c r="L195" s="3"/>
      <c r="M195" s="3"/>
      <c r="N195" s="3"/>
      <c r="O195" s="3"/>
      <c r="P195" s="3"/>
      <c r="Q195" s="3"/>
      <c r="R195" s="3"/>
      <c r="S195" s="3"/>
      <c r="T195" s="3"/>
      <c r="U195" s="3"/>
      <c r="V195" s="3"/>
      <c r="W195" s="3"/>
      <c r="X195" s="3"/>
      <c r="Y195" s="3"/>
      <c r="Z195" s="3"/>
    </row>
    <row r="196" spans="1:26" ht="12.75" customHeight="1">
      <c r="A196" s="22" t="s">
        <v>249</v>
      </c>
      <c r="B196" s="2"/>
      <c r="C196" s="1"/>
      <c r="D196" s="2"/>
      <c r="E196" s="3"/>
      <c r="F196" s="2"/>
      <c r="G196" s="3"/>
      <c r="H196" s="3"/>
      <c r="I196" s="3"/>
      <c r="J196" s="3"/>
      <c r="K196" s="3"/>
      <c r="L196" s="3"/>
      <c r="M196" s="3"/>
      <c r="N196" s="3"/>
      <c r="O196" s="3"/>
      <c r="P196" s="3"/>
      <c r="Q196" s="3"/>
      <c r="R196" s="3"/>
      <c r="S196" s="3"/>
      <c r="T196" s="3"/>
      <c r="U196" s="3"/>
      <c r="V196" s="3"/>
      <c r="W196" s="3"/>
      <c r="X196" s="3"/>
      <c r="Y196" s="3"/>
      <c r="Z196" s="3"/>
    </row>
    <row r="197" spans="1:26" ht="12.75" customHeight="1">
      <c r="A197" s="1"/>
      <c r="B197" s="2"/>
      <c r="C197" s="2"/>
      <c r="D197" s="2"/>
      <c r="E197" s="3"/>
      <c r="F197" s="2"/>
      <c r="G197" s="3"/>
      <c r="H197" s="3"/>
      <c r="I197" s="3"/>
      <c r="J197" s="3"/>
      <c r="K197" s="3"/>
      <c r="L197" s="3"/>
      <c r="M197" s="3"/>
      <c r="N197" s="3"/>
      <c r="O197" s="3"/>
      <c r="P197" s="3"/>
      <c r="Q197" s="3"/>
      <c r="R197" s="3"/>
      <c r="S197" s="3"/>
      <c r="T197" s="3"/>
      <c r="U197" s="3"/>
      <c r="V197" s="3"/>
      <c r="W197" s="3"/>
      <c r="X197" s="3"/>
      <c r="Y197" s="3"/>
      <c r="Z197" s="3"/>
    </row>
    <row r="198" spans="1:26" ht="12.75" customHeight="1">
      <c r="A198" s="1" t="s">
        <v>95</v>
      </c>
      <c r="B198" s="1" t="s">
        <v>250</v>
      </c>
      <c r="C198" s="1" t="s">
        <v>244</v>
      </c>
      <c r="D198" s="1" t="s">
        <v>251</v>
      </c>
      <c r="E198" s="3"/>
      <c r="F198" s="2"/>
      <c r="G198" s="3"/>
      <c r="H198" s="3"/>
      <c r="I198" s="3"/>
      <c r="J198" s="3"/>
      <c r="K198" s="3"/>
      <c r="L198" s="3"/>
      <c r="M198" s="3"/>
      <c r="N198" s="3"/>
      <c r="O198" s="3"/>
      <c r="P198" s="3"/>
      <c r="Q198" s="3"/>
      <c r="R198" s="3"/>
      <c r="S198" s="3"/>
      <c r="T198" s="3"/>
      <c r="U198" s="3"/>
      <c r="V198" s="3"/>
      <c r="W198" s="3"/>
      <c r="X198" s="3"/>
      <c r="Y198" s="3"/>
      <c r="Z198" s="3"/>
    </row>
    <row r="199" spans="1:26" ht="12.75" customHeight="1">
      <c r="A199" s="1" t="s">
        <v>252</v>
      </c>
      <c r="B199" s="1">
        <f>16*15*5</f>
        <v>1200</v>
      </c>
      <c r="C199" s="1">
        <f>191.74*6.12+237.96</f>
        <v>1411.4088000000002</v>
      </c>
      <c r="D199" s="1">
        <f>(C199-B199)/B199</f>
        <v>0.17617400000000014</v>
      </c>
      <c r="E199" s="3"/>
      <c r="F199" s="2"/>
      <c r="G199" s="3"/>
      <c r="H199" s="3"/>
      <c r="I199" s="3"/>
      <c r="J199" s="3"/>
      <c r="K199" s="3"/>
      <c r="L199" s="3"/>
      <c r="M199" s="3"/>
      <c r="N199" s="3"/>
      <c r="O199" s="3"/>
      <c r="P199" s="3"/>
      <c r="Q199" s="3"/>
      <c r="R199" s="3"/>
      <c r="S199" s="3"/>
      <c r="T199" s="3"/>
      <c r="U199" s="3"/>
      <c r="V199" s="3"/>
      <c r="W199" s="3"/>
      <c r="X199" s="3"/>
      <c r="Y199" s="3"/>
      <c r="Z199" s="3"/>
    </row>
    <row r="200" spans="1:26" ht="12.75" customHeight="1">
      <c r="A200" s="1"/>
      <c r="B200" s="2"/>
      <c r="C200" s="2"/>
      <c r="D200" s="2"/>
      <c r="E200" s="3"/>
      <c r="F200" s="2"/>
      <c r="G200" s="3"/>
      <c r="H200" s="3"/>
      <c r="I200" s="3"/>
      <c r="J200" s="3"/>
      <c r="K200" s="3"/>
      <c r="L200" s="3"/>
      <c r="M200" s="3"/>
      <c r="N200" s="3"/>
      <c r="O200" s="3"/>
      <c r="P200" s="3"/>
      <c r="Q200" s="3"/>
      <c r="R200" s="3"/>
      <c r="S200" s="3"/>
      <c r="T200" s="3"/>
      <c r="U200" s="3"/>
      <c r="V200" s="3"/>
      <c r="W200" s="3"/>
      <c r="X200" s="3"/>
      <c r="Y200" s="3"/>
      <c r="Z200" s="3"/>
    </row>
    <row r="201" spans="1:26" ht="12.75" customHeight="1">
      <c r="A201" s="1"/>
      <c r="B201" s="2"/>
      <c r="C201" s="2"/>
      <c r="D201" s="2"/>
      <c r="E201" s="3"/>
      <c r="F201" s="2"/>
      <c r="G201" s="3"/>
      <c r="H201" s="3"/>
      <c r="I201" s="3"/>
      <c r="J201" s="3"/>
      <c r="K201" s="3"/>
      <c r="L201" s="3"/>
      <c r="M201" s="3"/>
      <c r="N201" s="3"/>
      <c r="O201" s="3"/>
      <c r="P201" s="3"/>
      <c r="Q201" s="3"/>
      <c r="R201" s="3"/>
      <c r="S201" s="3"/>
      <c r="T201" s="3"/>
      <c r="U201" s="3"/>
      <c r="V201" s="3"/>
      <c r="W201" s="3"/>
      <c r="X201" s="3"/>
      <c r="Y201" s="3"/>
      <c r="Z201" s="3"/>
    </row>
    <row r="202" spans="1:26" ht="12.75" customHeight="1">
      <c r="A202" s="1" t="s">
        <v>253</v>
      </c>
      <c r="B202" s="2"/>
      <c r="C202" s="2"/>
      <c r="D202" s="2"/>
      <c r="E202" s="3"/>
      <c r="F202" s="2"/>
      <c r="G202" s="3"/>
      <c r="H202" s="3"/>
      <c r="I202" s="3"/>
      <c r="J202" s="3"/>
      <c r="K202" s="3"/>
      <c r="L202" s="3"/>
      <c r="M202" s="3"/>
      <c r="N202" s="3"/>
      <c r="O202" s="3"/>
      <c r="P202" s="3"/>
      <c r="Q202" s="3"/>
      <c r="R202" s="3"/>
      <c r="S202" s="3"/>
      <c r="T202" s="3"/>
      <c r="U202" s="3"/>
      <c r="V202" s="3"/>
      <c r="W202" s="3"/>
      <c r="X202" s="3"/>
      <c r="Y202" s="3"/>
      <c r="Z202" s="3"/>
    </row>
    <row r="203" spans="1:26" ht="12.75" customHeight="1">
      <c r="A203" s="1" t="s">
        <v>254</v>
      </c>
      <c r="B203" s="2"/>
      <c r="C203" s="2"/>
      <c r="D203" s="2"/>
      <c r="E203" s="3"/>
      <c r="F203" s="2"/>
      <c r="G203" s="3"/>
      <c r="H203" s="3"/>
      <c r="I203" s="3"/>
      <c r="J203" s="3"/>
      <c r="K203" s="3"/>
      <c r="L203" s="3"/>
      <c r="M203" s="3"/>
      <c r="N203" s="3"/>
      <c r="O203" s="3"/>
      <c r="P203" s="3"/>
      <c r="Q203" s="3"/>
      <c r="R203" s="3"/>
      <c r="S203" s="3"/>
      <c r="T203" s="3"/>
      <c r="U203" s="3"/>
      <c r="V203" s="3"/>
      <c r="W203" s="3"/>
      <c r="X203" s="3"/>
      <c r="Y203" s="3"/>
      <c r="Z203" s="3"/>
    </row>
    <row r="204" spans="1:26" ht="12.75" customHeight="1">
      <c r="A204" s="25" t="str">
        <f>HYPERLINK("https://en.wikipedia.org/wiki/Use_Case_Points","https://en.wikipedia.org/wiki/Use_Case_Points")</f>
        <v>https://en.wikipedia.org/wiki/Use_Case_Points</v>
      </c>
      <c r="B204" s="2"/>
      <c r="C204" s="2"/>
      <c r="D204" s="2"/>
      <c r="E204" s="3"/>
      <c r="F204" s="2"/>
      <c r="G204" s="3"/>
      <c r="H204" s="3"/>
      <c r="I204" s="3"/>
      <c r="J204" s="3"/>
      <c r="K204" s="3"/>
      <c r="L204" s="3"/>
      <c r="M204" s="3"/>
      <c r="N204" s="3"/>
      <c r="O204" s="3"/>
      <c r="P204" s="3"/>
      <c r="Q204" s="3"/>
      <c r="R204" s="3"/>
      <c r="S204" s="3"/>
      <c r="T204" s="3"/>
      <c r="U204" s="3"/>
      <c r="V204" s="3"/>
      <c r="W204" s="3"/>
      <c r="X204" s="3"/>
      <c r="Y204" s="3"/>
      <c r="Z204" s="3"/>
    </row>
    <row r="205" spans="1:26" ht="15.75" customHeight="1">
      <c r="A205" s="2"/>
      <c r="B205" s="2"/>
      <c r="C205" s="2"/>
      <c r="D205" s="2"/>
      <c r="E205" s="3"/>
      <c r="F205" s="2"/>
      <c r="G205" s="3"/>
      <c r="H205" s="3"/>
      <c r="I205" s="3"/>
      <c r="J205" s="3"/>
      <c r="K205" s="3"/>
      <c r="L205" s="3"/>
      <c r="M205" s="3"/>
      <c r="N205" s="3"/>
      <c r="O205" s="3"/>
      <c r="P205" s="3"/>
      <c r="Q205" s="3"/>
      <c r="R205" s="3"/>
      <c r="S205" s="3"/>
      <c r="T205" s="3"/>
      <c r="U205" s="3"/>
      <c r="V205" s="3"/>
      <c r="W205" s="3"/>
      <c r="X205" s="3"/>
      <c r="Y205" s="3"/>
      <c r="Z205" s="3"/>
    </row>
    <row r="206" spans="1:26" ht="12.7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7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7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7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7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7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7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7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7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7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7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2.7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P14" workbookViewId="0">
      <selection activeCell="X11" sqref="X11"/>
    </sheetView>
  </sheetViews>
  <sheetFormatPr defaultColWidth="17.28515625" defaultRowHeight="15" customHeight="1"/>
  <cols>
    <col min="1" max="1" width="12.42578125" customWidth="1"/>
    <col min="2" max="2" width="33.5703125" customWidth="1"/>
    <col min="3" max="26" width="12.5703125" customWidth="1"/>
  </cols>
  <sheetData>
    <row r="1" spans="1:26" ht="12.75" customHeight="1">
      <c r="A1" s="113" t="s">
        <v>582</v>
      </c>
      <c r="B1" s="110"/>
      <c r="C1" s="110"/>
      <c r="D1" s="110"/>
      <c r="E1" s="110"/>
      <c r="F1" s="110"/>
      <c r="G1" s="2"/>
      <c r="H1" s="2"/>
      <c r="I1" s="63" t="s">
        <v>611</v>
      </c>
      <c r="J1" s="63" t="s">
        <v>103</v>
      </c>
      <c r="K1" s="63" t="s">
        <v>278</v>
      </c>
      <c r="L1" s="63" t="s">
        <v>420</v>
      </c>
      <c r="M1" s="2"/>
      <c r="N1" s="2"/>
      <c r="O1" s="2"/>
      <c r="P1" s="84">
        <v>42847</v>
      </c>
      <c r="Q1" s="3"/>
      <c r="R1" s="63" t="s">
        <v>611</v>
      </c>
      <c r="S1" s="63" t="s">
        <v>103</v>
      </c>
      <c r="T1" s="63" t="s">
        <v>278</v>
      </c>
      <c r="U1" s="63" t="s">
        <v>420</v>
      </c>
      <c r="V1" s="3"/>
      <c r="W1" s="3"/>
      <c r="X1" s="2"/>
      <c r="Y1" s="2"/>
      <c r="Z1" s="2"/>
    </row>
    <row r="2" spans="1:26" ht="12.75" customHeight="1">
      <c r="A2" s="110"/>
      <c r="B2" s="110"/>
      <c r="C2" s="110"/>
      <c r="D2" s="110"/>
      <c r="E2" s="110"/>
      <c r="F2" s="110"/>
      <c r="G2" s="2"/>
      <c r="H2" s="63" t="s">
        <v>687</v>
      </c>
      <c r="I2" s="2">
        <f>(289.21+482.38)/2</f>
        <v>385.79499999999996</v>
      </c>
      <c r="J2" s="2">
        <f>2.54*0.5</f>
        <v>1.27</v>
      </c>
      <c r="K2" s="2">
        <f>2.17*0.5</f>
        <v>1.085</v>
      </c>
      <c r="L2" s="2">
        <f>0.99*0.5+1.14*0.5</f>
        <v>1.0649999999999999</v>
      </c>
      <c r="M2" s="2"/>
      <c r="N2" s="2"/>
      <c r="O2" s="2"/>
      <c r="P2" s="2"/>
      <c r="Q2" s="63" t="s">
        <v>687</v>
      </c>
      <c r="R2" s="3">
        <f>(289.21+482.38)/2</f>
        <v>385.79499999999996</v>
      </c>
      <c r="S2" s="3">
        <f>2.54*0.5</f>
        <v>1.27</v>
      </c>
      <c r="T2" s="3">
        <f>2.17*0.5</f>
        <v>1.085</v>
      </c>
      <c r="U2" s="3">
        <f>0.99*0.5+1.14*0.5</f>
        <v>1.0649999999999999</v>
      </c>
      <c r="V2" s="3"/>
      <c r="W2" s="3"/>
      <c r="X2" s="2"/>
      <c r="Y2" s="2"/>
      <c r="Z2" s="2"/>
    </row>
    <row r="3" spans="1:26" ht="12.75" customHeight="1">
      <c r="A3" s="110"/>
      <c r="B3" s="110"/>
      <c r="C3" s="110"/>
      <c r="D3" s="110"/>
      <c r="E3" s="110"/>
      <c r="F3" s="110"/>
      <c r="G3" s="2"/>
      <c r="H3" s="2"/>
      <c r="I3" s="2">
        <f>385.795+1.27*I9+1.085*J9+1.065*K9</f>
        <v>1240.91155</v>
      </c>
      <c r="J3" s="3">
        <v>1242.757513</v>
      </c>
      <c r="K3" s="2"/>
      <c r="L3" s="2"/>
      <c r="M3" s="2"/>
      <c r="N3" s="2"/>
      <c r="O3" s="2"/>
      <c r="P3" s="2"/>
      <c r="Q3" s="3"/>
      <c r="R3" s="3">
        <f>385.795+1.27*R9+1.085*S9+1.065*T9</f>
        <v>1240.91155</v>
      </c>
      <c r="S3" s="3">
        <v>1242.757513</v>
      </c>
      <c r="T3" s="3"/>
      <c r="U3" s="3"/>
      <c r="V3" s="3"/>
      <c r="W3" s="3"/>
      <c r="X3" s="2"/>
      <c r="Y3" s="2"/>
      <c r="Z3" s="2"/>
    </row>
    <row r="4" spans="1:26" ht="12.75" customHeight="1">
      <c r="A4" s="110"/>
      <c r="B4" s="110"/>
      <c r="C4" s="110"/>
      <c r="D4" s="110"/>
      <c r="E4" s="110"/>
      <c r="F4" s="110"/>
      <c r="G4" s="2"/>
      <c r="H4" s="2"/>
      <c r="I4" s="3">
        <f>385.795+1.27*I10+1.085*J10+1.065*K10</f>
        <v>1674.3906499999998</v>
      </c>
      <c r="J4" s="3">
        <v>1675.623278</v>
      </c>
      <c r="K4" s="2"/>
      <c r="L4" s="2"/>
      <c r="M4" s="2"/>
      <c r="N4" s="2"/>
      <c r="O4" s="2"/>
      <c r="P4" s="2"/>
      <c r="Q4" s="3"/>
      <c r="R4" s="3">
        <f>385.795+1.27*R10+1.085*S10+1.065*T10</f>
        <v>1674.3906499999998</v>
      </c>
      <c r="S4" s="3">
        <v>1675.623278</v>
      </c>
      <c r="T4" s="3"/>
      <c r="U4" s="3"/>
      <c r="V4" s="3"/>
      <c r="W4" s="3"/>
      <c r="X4" s="2"/>
      <c r="Y4" s="2"/>
      <c r="Z4" s="2"/>
    </row>
    <row r="5" spans="1:26" ht="12.75" customHeight="1">
      <c r="A5" s="110"/>
      <c r="B5" s="110"/>
      <c r="C5" s="110"/>
      <c r="D5" s="110"/>
      <c r="E5" s="110"/>
      <c r="F5" s="110"/>
      <c r="G5" s="2"/>
      <c r="H5" s="2"/>
      <c r="I5" s="3">
        <f>385.795+1.27*I11+1.085*J11+1.065*K11</f>
        <v>3026.7869000000001</v>
      </c>
      <c r="J5" s="3">
        <v>3029.6462609999999</v>
      </c>
      <c r="K5" s="2"/>
      <c r="L5" s="2"/>
      <c r="M5" s="2"/>
      <c r="N5" s="2"/>
      <c r="O5" s="2"/>
      <c r="P5" s="2"/>
      <c r="Q5" s="3"/>
      <c r="R5" s="3">
        <f>385.795+1.27*R11+1.085*S11+1.065*T11</f>
        <v>3026.7869000000001</v>
      </c>
      <c r="S5" s="3">
        <v>3029.6462609999999</v>
      </c>
      <c r="T5" s="3"/>
      <c r="U5" s="3"/>
      <c r="V5" s="3"/>
      <c r="W5" s="3"/>
      <c r="X5" s="2"/>
      <c r="Y5" s="2"/>
      <c r="Z5" s="2"/>
    </row>
    <row r="6" spans="1:26" ht="12.75" customHeight="1">
      <c r="A6" s="110"/>
      <c r="B6" s="110"/>
      <c r="C6" s="110"/>
      <c r="D6" s="110"/>
      <c r="E6" s="110"/>
      <c r="F6" s="110"/>
      <c r="G6" s="2"/>
      <c r="H6" s="2"/>
      <c r="I6" s="3"/>
      <c r="J6" s="2"/>
      <c r="K6" s="2"/>
      <c r="L6" s="2"/>
      <c r="M6" s="2"/>
      <c r="N6" s="2"/>
      <c r="O6" s="2"/>
      <c r="P6" s="2"/>
      <c r="Q6" s="3"/>
      <c r="R6" s="3"/>
      <c r="S6" s="3"/>
      <c r="T6" s="3"/>
      <c r="U6" s="3"/>
      <c r="V6" s="3"/>
      <c r="W6" s="3"/>
      <c r="X6" s="2"/>
      <c r="Y6" s="2"/>
      <c r="Z6" s="2"/>
    </row>
    <row r="7" spans="1:26" ht="12.75" hidden="1" customHeight="1">
      <c r="A7" s="110"/>
      <c r="B7" s="110"/>
      <c r="C7" s="110"/>
      <c r="D7" s="110"/>
      <c r="E7" s="110"/>
      <c r="F7" s="110"/>
      <c r="G7" s="2"/>
      <c r="H7" s="2"/>
      <c r="I7" s="2"/>
      <c r="J7" s="2"/>
      <c r="K7" s="2"/>
      <c r="L7" s="2"/>
      <c r="M7" s="2"/>
      <c r="N7" s="2"/>
      <c r="O7" s="2"/>
      <c r="P7" s="2"/>
      <c r="Q7" s="3"/>
      <c r="R7" s="3"/>
      <c r="S7" s="3"/>
      <c r="T7" s="3"/>
      <c r="U7" s="3"/>
      <c r="V7" s="3"/>
      <c r="W7" s="3"/>
      <c r="X7" s="2"/>
      <c r="Y7" s="2"/>
      <c r="Z7" s="2"/>
    </row>
    <row r="8" spans="1:26" ht="12.75" customHeight="1">
      <c r="A8" s="1"/>
      <c r="B8" s="1"/>
      <c r="C8" s="1"/>
      <c r="D8" s="1"/>
      <c r="E8" s="1"/>
      <c r="F8" s="2"/>
      <c r="G8" s="2"/>
      <c r="H8" s="1" t="s">
        <v>95</v>
      </c>
      <c r="I8" s="1" t="s">
        <v>131</v>
      </c>
      <c r="J8" s="1" t="s">
        <v>291</v>
      </c>
      <c r="K8" s="1" t="s">
        <v>421</v>
      </c>
      <c r="L8" s="1" t="s">
        <v>486</v>
      </c>
      <c r="M8" s="2"/>
      <c r="N8" s="76" t="s">
        <v>245</v>
      </c>
      <c r="O8" s="2"/>
      <c r="P8" s="2"/>
      <c r="Q8" s="1" t="s">
        <v>95</v>
      </c>
      <c r="R8" s="1" t="s">
        <v>131</v>
      </c>
      <c r="S8" s="1" t="s">
        <v>291</v>
      </c>
      <c r="T8" s="1" t="s">
        <v>421</v>
      </c>
      <c r="U8" s="1" t="s">
        <v>486</v>
      </c>
      <c r="V8" s="3"/>
      <c r="W8" s="76" t="s">
        <v>245</v>
      </c>
      <c r="X8" s="2"/>
      <c r="Y8" s="2"/>
      <c r="Z8" s="2"/>
    </row>
    <row r="9" spans="1:26" ht="30" customHeight="1">
      <c r="A9" s="113" t="s">
        <v>583</v>
      </c>
      <c r="B9" s="110"/>
      <c r="C9" s="110"/>
      <c r="D9" s="110"/>
      <c r="E9" s="110"/>
      <c r="F9" s="110"/>
      <c r="G9" s="2"/>
      <c r="H9" s="1" t="s">
        <v>488</v>
      </c>
      <c r="I9" s="3">
        <v>191.74</v>
      </c>
      <c r="J9" s="3">
        <v>104.83</v>
      </c>
      <c r="K9" s="1">
        <v>467.48</v>
      </c>
      <c r="L9" s="18">
        <v>1242.76</v>
      </c>
      <c r="M9" s="3">
        <v>1240.9165499999999</v>
      </c>
      <c r="N9" s="2">
        <f>ABS(M9-L9)/L9</f>
        <v>1.4833515723068616E-3</v>
      </c>
      <c r="O9" s="2"/>
      <c r="P9" s="2"/>
      <c r="Q9" s="1" t="s">
        <v>488</v>
      </c>
      <c r="R9" s="3">
        <v>191.74</v>
      </c>
      <c r="S9" s="3">
        <v>104.83</v>
      </c>
      <c r="T9" s="1">
        <v>467.48</v>
      </c>
      <c r="U9" s="18">
        <v>1242.76</v>
      </c>
      <c r="V9" s="3">
        <v>1240.9165499999999</v>
      </c>
      <c r="W9" s="3">
        <f>ABS(V9-U9)/U9</f>
        <v>1.4833515723068616E-3</v>
      </c>
      <c r="X9" s="2"/>
      <c r="Y9" s="2"/>
      <c r="Z9" s="2"/>
    </row>
    <row r="10" spans="1:26" ht="12.75" customHeight="1">
      <c r="A10" s="53" t="s">
        <v>584</v>
      </c>
      <c r="B10" s="2"/>
      <c r="C10" s="2"/>
      <c r="D10" s="2"/>
      <c r="E10" s="2"/>
      <c r="F10" s="2"/>
      <c r="G10" s="2"/>
      <c r="H10" s="1" t="s">
        <v>476</v>
      </c>
      <c r="I10" s="1">
        <v>227.09</v>
      </c>
      <c r="J10" s="1">
        <v>123.37</v>
      </c>
      <c r="K10" s="1">
        <v>813.46</v>
      </c>
      <c r="L10" s="18">
        <v>1676.62</v>
      </c>
      <c r="M10" s="3">
        <v>1674.3956499999999</v>
      </c>
      <c r="N10" s="3">
        <f>ABS(M10-L10)/L10</f>
        <v>1.3266870250861606E-3</v>
      </c>
      <c r="O10" s="2"/>
      <c r="P10" s="2"/>
      <c r="Q10" s="1" t="s">
        <v>476</v>
      </c>
      <c r="R10" s="1">
        <v>227.09</v>
      </c>
      <c r="S10" s="1">
        <v>123.37</v>
      </c>
      <c r="T10" s="1">
        <v>813.46</v>
      </c>
      <c r="U10" s="18">
        <v>1676.62</v>
      </c>
      <c r="V10" s="3">
        <v>1674.3956499999999</v>
      </c>
      <c r="W10" s="3">
        <f>ABS(V10-U10)/U10</f>
        <v>1.3266870250861606E-3</v>
      </c>
      <c r="X10" s="2"/>
      <c r="Y10" s="2"/>
      <c r="Z10" s="2"/>
    </row>
    <row r="11" spans="1:26" ht="12.75" customHeight="1">
      <c r="A11" s="53" t="s">
        <v>585</v>
      </c>
      <c r="B11" s="2"/>
      <c r="C11" s="2"/>
      <c r="D11" s="1"/>
      <c r="E11" s="2"/>
      <c r="F11" s="2"/>
      <c r="G11" s="2"/>
      <c r="H11" s="1" t="s">
        <v>489</v>
      </c>
      <c r="I11" s="1">
        <v>586.91999999999996</v>
      </c>
      <c r="J11" s="1">
        <v>515.96</v>
      </c>
      <c r="K11" s="1">
        <v>1254.26</v>
      </c>
      <c r="L11" s="52">
        <v>3029.65</v>
      </c>
      <c r="M11" s="3">
        <v>3026.7919000000002</v>
      </c>
      <c r="N11" s="3">
        <f>ABS(M11-L11)/L11</f>
        <v>9.4337629759210537E-4</v>
      </c>
      <c r="O11" s="2"/>
      <c r="P11" s="2"/>
      <c r="Q11" s="1" t="s">
        <v>489</v>
      </c>
      <c r="R11" s="1">
        <v>586.91999999999996</v>
      </c>
      <c r="S11" s="1">
        <v>515.96</v>
      </c>
      <c r="T11" s="1">
        <v>1254.26</v>
      </c>
      <c r="U11" s="52">
        <v>3029.65</v>
      </c>
      <c r="V11" s="3">
        <v>3026.7919000000002</v>
      </c>
      <c r="W11" s="3">
        <f>ABS(V11-U11)/U11</f>
        <v>9.4337629759210537E-4</v>
      </c>
      <c r="X11" s="2"/>
      <c r="Y11" s="2"/>
      <c r="Z11" s="2"/>
    </row>
    <row r="12" spans="1:26" ht="12.75" customHeight="1">
      <c r="A12" s="53" t="s">
        <v>586</v>
      </c>
      <c r="B12" s="2"/>
      <c r="C12" s="2"/>
      <c r="D12" s="2"/>
      <c r="E12" s="2"/>
      <c r="F12" s="2"/>
      <c r="G12" s="2"/>
      <c r="H12" s="2"/>
      <c r="I12" s="1">
        <v>0</v>
      </c>
      <c r="J12" s="1">
        <v>0</v>
      </c>
      <c r="K12" s="1">
        <v>0</v>
      </c>
      <c r="L12" s="1">
        <v>0</v>
      </c>
      <c r="M12" s="2"/>
      <c r="N12" s="2"/>
      <c r="O12" s="2"/>
      <c r="P12" s="2"/>
      <c r="Q12" s="3"/>
      <c r="R12" s="1">
        <v>0</v>
      </c>
      <c r="S12" s="1">
        <v>0</v>
      </c>
      <c r="T12" s="1">
        <v>0</v>
      </c>
      <c r="U12" s="1">
        <v>0</v>
      </c>
      <c r="V12" s="3"/>
      <c r="W12" s="3"/>
      <c r="X12" s="2"/>
      <c r="Y12" s="2"/>
      <c r="Z12" s="2"/>
    </row>
    <row r="13" spans="1:26" ht="12.75" customHeight="1">
      <c r="A13" s="53"/>
      <c r="B13" s="2"/>
      <c r="C13" s="2"/>
      <c r="D13" s="2"/>
      <c r="E13" s="2"/>
      <c r="F13" s="2"/>
      <c r="G13" s="2"/>
      <c r="H13" s="2"/>
      <c r="I13" s="2"/>
      <c r="J13" s="2"/>
      <c r="K13" s="2"/>
      <c r="L13" s="2"/>
      <c r="M13" s="2"/>
      <c r="N13" s="2"/>
      <c r="O13" s="2"/>
      <c r="P13" s="2"/>
      <c r="Q13" s="3"/>
      <c r="R13" s="3"/>
      <c r="S13" s="3"/>
      <c r="T13" s="3"/>
      <c r="U13" s="3"/>
      <c r="V13" s="3"/>
      <c r="W13" s="3"/>
      <c r="X13" s="2"/>
      <c r="Y13" s="2"/>
      <c r="Z13" s="2"/>
    </row>
    <row r="14" spans="1:26" ht="12.75" customHeight="1">
      <c r="A14" s="111" t="s">
        <v>587</v>
      </c>
      <c r="B14" s="110"/>
      <c r="C14" s="110"/>
      <c r="D14" s="110"/>
      <c r="E14" s="110"/>
      <c r="F14" s="110"/>
      <c r="G14" s="2"/>
      <c r="H14" t="s">
        <v>702</v>
      </c>
      <c r="L14" s="63" t="s">
        <v>555</v>
      </c>
      <c r="M14" s="2">
        <f>AVERAGE(L9:L11)</f>
        <v>1983.0100000000002</v>
      </c>
      <c r="N14">
        <f>AVERAGE(N9:N11)</f>
        <v>1.2511382983283758E-3</v>
      </c>
      <c r="O14" s="2"/>
      <c r="P14" s="2"/>
      <c r="Q14" s="78" t="s">
        <v>702</v>
      </c>
      <c r="R14" s="78"/>
      <c r="S14" s="78"/>
      <c r="T14" s="78"/>
      <c r="U14" s="63" t="s">
        <v>555</v>
      </c>
      <c r="V14" s="3">
        <f>AVERAGE(U9:U11)</f>
        <v>1983.0100000000002</v>
      </c>
      <c r="W14" s="78">
        <f>AVERAGE(W9:W11)</f>
        <v>1.2511382983283758E-3</v>
      </c>
      <c r="X14" s="2"/>
      <c r="Y14" s="2"/>
      <c r="Z14" s="2"/>
    </row>
    <row r="15" spans="1:26" ht="12.75" customHeight="1">
      <c r="A15" s="110"/>
      <c r="B15" s="110"/>
      <c r="C15" s="110"/>
      <c r="D15" s="110"/>
      <c r="E15" s="110"/>
      <c r="F15" s="110"/>
      <c r="G15" s="2"/>
      <c r="O15" s="2"/>
      <c r="P15" s="2"/>
      <c r="Q15" s="78"/>
      <c r="R15" s="78"/>
      <c r="S15" s="78"/>
      <c r="T15" s="78"/>
      <c r="U15" s="78"/>
      <c r="V15" s="78"/>
      <c r="W15" s="78"/>
      <c r="X15" s="2"/>
      <c r="Y15" s="2"/>
      <c r="Z15" s="2"/>
    </row>
    <row r="16" spans="1:26" ht="12.75" customHeight="1">
      <c r="A16" s="1" t="s">
        <v>95</v>
      </c>
      <c r="B16" s="1" t="s">
        <v>131</v>
      </c>
      <c r="C16" s="1" t="s">
        <v>291</v>
      </c>
      <c r="D16" s="1" t="s">
        <v>421</v>
      </c>
      <c r="E16" s="1" t="s">
        <v>558</v>
      </c>
      <c r="F16" s="2"/>
      <c r="G16" s="2"/>
      <c r="O16" s="2"/>
      <c r="P16" s="2"/>
      <c r="Q16" s="78"/>
      <c r="R16" s="78"/>
      <c r="S16" s="78"/>
      <c r="T16" s="78"/>
      <c r="U16" s="78"/>
      <c r="V16" s="78"/>
      <c r="W16" s="78"/>
      <c r="X16" s="2"/>
      <c r="Y16" s="2"/>
      <c r="Z16" s="2"/>
    </row>
    <row r="17" spans="1:26" ht="12.75" customHeight="1" thickBot="1">
      <c r="A17" s="1" t="s">
        <v>104</v>
      </c>
      <c r="B17" s="2">
        <v>125</v>
      </c>
      <c r="C17" s="2">
        <v>62</v>
      </c>
      <c r="D17" s="1">
        <v>403</v>
      </c>
      <c r="E17" s="18">
        <v>1200</v>
      </c>
      <c r="F17" s="2"/>
      <c r="G17" s="2"/>
      <c r="O17" s="2"/>
      <c r="P17" s="2"/>
      <c r="Q17" s="78"/>
      <c r="R17" s="78"/>
      <c r="S17" s="78"/>
      <c r="T17" s="78"/>
      <c r="U17" s="78"/>
      <c r="V17" s="78"/>
      <c r="W17" s="78"/>
      <c r="X17" s="2"/>
      <c r="Y17" s="2"/>
      <c r="Z17" s="2"/>
    </row>
    <row r="18" spans="1:26" ht="12.75" customHeight="1" thickBot="1">
      <c r="A18" s="1" t="s">
        <v>132</v>
      </c>
      <c r="B18" s="1">
        <v>200</v>
      </c>
      <c r="C18" s="1">
        <v>105</v>
      </c>
      <c r="D18" s="1">
        <v>889</v>
      </c>
      <c r="E18" s="18">
        <v>2016</v>
      </c>
      <c r="F18" s="2"/>
      <c r="G18" s="2"/>
      <c r="H18" s="74" t="s">
        <v>703</v>
      </c>
      <c r="I18" s="75">
        <v>385.8</v>
      </c>
      <c r="J18" s="74">
        <v>1.27</v>
      </c>
      <c r="K18" s="74">
        <v>1.085</v>
      </c>
      <c r="L18" s="74">
        <v>1.0649999999999999</v>
      </c>
      <c r="O18" s="2"/>
      <c r="P18" s="2"/>
      <c r="Q18" s="74" t="s">
        <v>703</v>
      </c>
      <c r="R18" s="75">
        <v>385.8</v>
      </c>
      <c r="S18" s="74">
        <v>1.27</v>
      </c>
      <c r="T18" s="74">
        <v>1.085</v>
      </c>
      <c r="U18" s="74">
        <v>1.0649999999999999</v>
      </c>
      <c r="V18" s="78"/>
      <c r="W18" s="78"/>
      <c r="X18" s="2"/>
      <c r="Y18" s="2"/>
      <c r="Z18" s="2"/>
    </row>
    <row r="19" spans="1:26" ht="12.75" customHeight="1">
      <c r="A19" s="1" t="s">
        <v>575</v>
      </c>
      <c r="B19" s="1">
        <v>385</v>
      </c>
      <c r="C19" s="1">
        <v>337</v>
      </c>
      <c r="D19" s="1">
        <v>1054</v>
      </c>
      <c r="E19" s="52">
        <v>3680</v>
      </c>
      <c r="F19" s="2"/>
      <c r="G19" s="2"/>
      <c r="H19" s="2"/>
      <c r="I19" s="2"/>
      <c r="J19" s="2"/>
      <c r="K19" s="2"/>
      <c r="L19" s="2"/>
      <c r="M19" s="2"/>
      <c r="N19" s="2"/>
      <c r="O19" s="2"/>
      <c r="P19" s="2"/>
      <c r="Q19" s="3"/>
      <c r="R19" s="3"/>
      <c r="S19" s="3"/>
      <c r="T19" s="3"/>
      <c r="U19" s="3"/>
      <c r="V19" s="3"/>
      <c r="W19" s="3"/>
      <c r="X19" s="2"/>
      <c r="Y19" s="2"/>
      <c r="Z19" s="2"/>
    </row>
    <row r="20" spans="1:26" ht="12.75" customHeight="1">
      <c r="A20" s="2"/>
      <c r="B20" s="2"/>
      <c r="C20" s="2"/>
      <c r="D20" s="2"/>
      <c r="E20" s="2"/>
      <c r="F20" s="2"/>
      <c r="G20" s="2"/>
      <c r="J20" s="2"/>
      <c r="K20" s="2"/>
      <c r="L20" s="2"/>
      <c r="M20" s="2"/>
      <c r="N20" s="2"/>
      <c r="O20" s="2"/>
      <c r="P20" s="2"/>
      <c r="Q20" s="78"/>
      <c r="R20" s="78"/>
      <c r="S20" s="3"/>
      <c r="T20" s="3"/>
      <c r="U20" s="3"/>
      <c r="V20" s="3"/>
      <c r="W20" s="3"/>
      <c r="X20" s="2"/>
      <c r="Y20" s="2"/>
      <c r="Z20" s="2"/>
    </row>
    <row r="21" spans="1:26" ht="12.75" customHeight="1">
      <c r="A21" s="2"/>
      <c r="B21" s="2"/>
      <c r="C21" s="2"/>
      <c r="D21" s="2"/>
      <c r="E21" s="2"/>
      <c r="F21" s="2"/>
      <c r="G21" s="2"/>
      <c r="J21" s="2"/>
      <c r="K21" s="2"/>
      <c r="L21" s="2"/>
      <c r="M21" s="2"/>
      <c r="N21" s="2"/>
      <c r="O21" s="2"/>
      <c r="P21" s="2"/>
      <c r="Q21" s="78"/>
      <c r="R21" s="78"/>
      <c r="S21" s="3"/>
      <c r="T21" s="3"/>
      <c r="U21" s="3"/>
      <c r="V21" s="3"/>
      <c r="W21" s="3"/>
      <c r="X21" s="2"/>
      <c r="Y21" s="2"/>
      <c r="Z21" s="2"/>
    </row>
    <row r="22" spans="1:26" ht="12.75" customHeight="1">
      <c r="A22" s="2"/>
      <c r="B22" s="2"/>
      <c r="C22" s="2"/>
      <c r="D22" s="2"/>
      <c r="E22" s="2"/>
      <c r="F22" s="2"/>
      <c r="G22" s="2"/>
      <c r="H22" s="63" t="s">
        <v>704</v>
      </c>
      <c r="I22" s="2">
        <f>$I$18+$J$18*I9+$K$18*J9+$L$18*K9</f>
        <v>1240.9165499999999</v>
      </c>
      <c r="J22" s="2"/>
      <c r="K22" s="2"/>
      <c r="L22" s="2"/>
      <c r="M22" s="2"/>
      <c r="N22" s="2"/>
      <c r="O22" s="2"/>
      <c r="P22" s="2"/>
      <c r="Q22" s="63" t="s">
        <v>704</v>
      </c>
      <c r="R22" s="3">
        <f>$I$18+$J$18*R9+$K$18*S9+$L$18*T9</f>
        <v>1240.9165499999999</v>
      </c>
      <c r="S22" s="3"/>
      <c r="T22" s="3"/>
      <c r="U22" s="3"/>
      <c r="V22" s="3"/>
      <c r="W22" s="3"/>
      <c r="X22" s="2"/>
      <c r="Y22" s="2"/>
      <c r="Z22" s="2"/>
    </row>
    <row r="23" spans="1:26" ht="12.75" customHeight="1">
      <c r="A23" s="2"/>
      <c r="B23" s="2"/>
      <c r="C23" s="2"/>
      <c r="D23" s="2"/>
      <c r="E23" s="2"/>
      <c r="F23" s="2"/>
      <c r="G23" s="2"/>
      <c r="H23" s="63" t="s">
        <v>476</v>
      </c>
      <c r="I23" s="3">
        <f>$I$18+$J$18*I10+$K$18*J10+$L$18*K10</f>
        <v>1674.3956499999999</v>
      </c>
      <c r="J23" s="2"/>
      <c r="K23" s="2"/>
      <c r="L23" s="2"/>
      <c r="M23" s="2"/>
      <c r="N23" s="2"/>
      <c r="O23" s="2"/>
      <c r="P23" s="2"/>
      <c r="Q23" s="63" t="s">
        <v>476</v>
      </c>
      <c r="R23" s="3">
        <f>$I$18+$J$18*R10+$K$18*S10+$L$18*T10</f>
        <v>1674.3956499999999</v>
      </c>
      <c r="S23" s="3"/>
      <c r="T23" s="3"/>
      <c r="U23" s="3"/>
      <c r="V23" s="3"/>
      <c r="W23" s="3"/>
      <c r="X23" s="2"/>
      <c r="Y23" s="2"/>
      <c r="Z23" s="2"/>
    </row>
    <row r="24" spans="1:26" ht="12.75" customHeight="1">
      <c r="A24" s="2"/>
      <c r="B24" s="2"/>
      <c r="C24" s="2"/>
      <c r="D24" s="2"/>
      <c r="E24" s="2"/>
      <c r="F24" s="2"/>
      <c r="G24" s="2"/>
      <c r="H24" s="63" t="s">
        <v>575</v>
      </c>
      <c r="I24" s="3">
        <f>$I$18+$J$18*I11+$K$18*J11+$L$18*K11</f>
        <v>3026.7919000000002</v>
      </c>
      <c r="J24" s="2"/>
      <c r="K24" s="2"/>
      <c r="L24" s="2"/>
      <c r="M24" s="2"/>
      <c r="N24" s="2"/>
      <c r="O24" s="2"/>
      <c r="P24" s="2"/>
      <c r="Q24" s="63" t="s">
        <v>575</v>
      </c>
      <c r="R24" s="3">
        <f>$I$18+$J$18*R11+$K$18*S11+$L$18*T11</f>
        <v>3026.7919000000002</v>
      </c>
      <c r="S24" s="3"/>
      <c r="T24" s="3"/>
      <c r="U24" s="3"/>
      <c r="V24" s="3"/>
      <c r="W24" s="3"/>
      <c r="X24" s="2"/>
      <c r="Y24" s="2"/>
      <c r="Z24" s="2"/>
    </row>
    <row r="25" spans="1:26" ht="12.75" customHeight="1">
      <c r="A25" s="2"/>
      <c r="B25" s="2"/>
      <c r="C25" s="2"/>
      <c r="D25" s="2"/>
      <c r="E25" s="2"/>
      <c r="F25" s="2"/>
      <c r="G25" s="2"/>
      <c r="H25" s="63"/>
      <c r="I25" s="2"/>
      <c r="J25" s="2"/>
      <c r="K25" s="2"/>
      <c r="L25" s="2"/>
      <c r="M25" s="2"/>
      <c r="N25" s="2"/>
      <c r="O25" s="2"/>
      <c r="P25" s="2"/>
      <c r="Q25" s="63"/>
      <c r="R25" s="3"/>
      <c r="S25" s="3"/>
      <c r="T25" s="3"/>
      <c r="U25" s="3"/>
      <c r="V25" s="3"/>
      <c r="W25" s="3"/>
      <c r="X25" s="2"/>
      <c r="Y25" s="2"/>
      <c r="Z25" s="2"/>
    </row>
    <row r="26" spans="1:26" ht="12.75" customHeight="1">
      <c r="A26" s="2"/>
      <c r="B26" s="2"/>
      <c r="C26" s="2"/>
      <c r="D26" s="2"/>
      <c r="E26" s="2"/>
      <c r="F26" s="2"/>
      <c r="G26" s="2"/>
      <c r="H26" s="63" t="s">
        <v>705</v>
      </c>
      <c r="I26" s="63">
        <f>(I22-L9)^2+(I23-L10)^2+(I24-L11)^2</f>
        <v>16.514776434999646</v>
      </c>
      <c r="J26" s="2"/>
      <c r="K26" s="2"/>
      <c r="L26" s="2"/>
      <c r="M26" s="2"/>
      <c r="N26" s="2"/>
      <c r="O26" s="2"/>
      <c r="P26" s="2"/>
      <c r="Q26" s="63" t="s">
        <v>705</v>
      </c>
      <c r="R26" s="63">
        <f>(R22-U9)^2+(R23-U10)^2+(R24-U11)^2</f>
        <v>16.514776434999646</v>
      </c>
      <c r="S26" s="3"/>
      <c r="T26" s="3"/>
      <c r="U26" s="3"/>
      <c r="V26" s="3"/>
      <c r="W26" s="3"/>
      <c r="X26" s="2"/>
      <c r="Y26" s="2"/>
      <c r="Z26" s="2"/>
    </row>
    <row r="27" spans="1:26" ht="12.75" customHeight="1">
      <c r="A27" s="2"/>
      <c r="B27" s="2"/>
      <c r="C27" s="2"/>
      <c r="D27" s="2"/>
      <c r="E27" s="2"/>
      <c r="F27" s="2"/>
      <c r="G27" s="2"/>
      <c r="H27" s="63" t="s">
        <v>706</v>
      </c>
      <c r="I27" s="2">
        <f>(L9-M14)^2+(L10-M14)^2+(L11-M14)^2</f>
        <v>1737300.1842000005</v>
      </c>
      <c r="J27" s="2"/>
      <c r="K27" s="2"/>
      <c r="L27" s="2"/>
      <c r="M27" s="2"/>
      <c r="N27" s="2"/>
      <c r="O27" s="2"/>
      <c r="P27" s="2"/>
      <c r="Q27" s="63" t="s">
        <v>706</v>
      </c>
      <c r="R27" s="3">
        <f>(U9-V14)^2+(U10-V14)^2+(U11-V14)^2</f>
        <v>1737300.1842000005</v>
      </c>
      <c r="S27" s="3"/>
      <c r="T27" s="3"/>
      <c r="U27" s="3"/>
      <c r="V27" s="3"/>
      <c r="W27" s="3"/>
      <c r="X27" s="2"/>
      <c r="Y27" s="2"/>
      <c r="Z27" s="2"/>
    </row>
    <row r="28" spans="1:26" ht="12.75" customHeight="1">
      <c r="A28" s="2"/>
      <c r="B28" s="2"/>
      <c r="C28" s="2"/>
      <c r="D28" s="2"/>
      <c r="E28" s="2"/>
      <c r="F28" s="2"/>
      <c r="G28" s="2"/>
      <c r="H28" s="63" t="s">
        <v>707</v>
      </c>
      <c r="I28" s="2">
        <f>1 - I26/I27</f>
        <v>0.99999049399949114</v>
      </c>
      <c r="J28" s="2"/>
      <c r="K28" s="2"/>
      <c r="L28" s="2"/>
      <c r="M28" s="2"/>
      <c r="N28" s="2"/>
      <c r="O28" s="2"/>
      <c r="P28" s="2"/>
      <c r="Q28" s="63" t="s">
        <v>707</v>
      </c>
      <c r="R28" s="3">
        <f>1 - R26/R27</f>
        <v>0.99999049399949114</v>
      </c>
      <c r="S28" s="3"/>
      <c r="T28" s="3"/>
      <c r="U28" s="3"/>
      <c r="V28" s="3"/>
      <c r="W28" s="3"/>
      <c r="X28" s="2"/>
      <c r="Y28" s="2"/>
      <c r="Z28" s="2"/>
    </row>
    <row r="29" spans="1:26" ht="12.75" customHeight="1">
      <c r="A29" s="2"/>
      <c r="B29" s="2"/>
      <c r="C29" s="2"/>
      <c r="D29" s="2"/>
      <c r="E29" s="2"/>
      <c r="F29" s="2"/>
      <c r="G29" s="2"/>
      <c r="H29" s="63" t="s">
        <v>708</v>
      </c>
      <c r="I29" s="2"/>
      <c r="J29" s="2"/>
      <c r="K29" s="2"/>
      <c r="L29" s="2"/>
      <c r="M29" s="2"/>
      <c r="N29" s="2"/>
      <c r="O29" s="2"/>
      <c r="P29" s="2"/>
      <c r="Q29" s="63" t="s">
        <v>708</v>
      </c>
      <c r="R29" s="3"/>
      <c r="S29" s="3"/>
      <c r="T29" s="3"/>
      <c r="U29" s="3"/>
      <c r="V29" s="3"/>
      <c r="W29" s="3"/>
      <c r="X29" s="2"/>
      <c r="Y29" s="2"/>
      <c r="Z29" s="2"/>
    </row>
    <row r="30" spans="1:26" ht="12.75" customHeight="1">
      <c r="A30" s="2"/>
      <c r="B30" s="2"/>
      <c r="C30" s="2"/>
      <c r="D30" s="2"/>
      <c r="E30" s="2"/>
      <c r="F30" s="2"/>
      <c r="G30" s="2"/>
      <c r="H30" s="63" t="s">
        <v>710</v>
      </c>
      <c r="I30" s="2">
        <f>I26/(3-(3+1))</f>
        <v>-16.514776434999646</v>
      </c>
      <c r="J30" s="2"/>
      <c r="K30" s="2"/>
      <c r="L30" s="2"/>
      <c r="M30" s="2"/>
      <c r="N30" s="2"/>
      <c r="O30" s="2"/>
      <c r="P30" s="2"/>
      <c r="Q30" s="63" t="s">
        <v>710</v>
      </c>
      <c r="R30" s="3">
        <f>R26/(3-(3+1))</f>
        <v>-16.514776434999646</v>
      </c>
      <c r="S30" s="3"/>
      <c r="T30" s="3"/>
      <c r="U30" s="3"/>
      <c r="V30" s="3"/>
      <c r="W30" s="3"/>
      <c r="X30" s="2"/>
      <c r="Y30" s="2"/>
      <c r="Z30" s="2"/>
    </row>
    <row r="31" spans="1:26" ht="12.75" customHeight="1">
      <c r="A31" s="2"/>
      <c r="B31" s="2"/>
      <c r="C31" s="2"/>
      <c r="D31" s="2"/>
      <c r="E31" s="2"/>
      <c r="F31" s="2"/>
      <c r="G31" s="2"/>
      <c r="H31" s="63" t="s">
        <v>711</v>
      </c>
      <c r="I31" s="2">
        <f>I27/(3-1)</f>
        <v>868650.09210000024</v>
      </c>
      <c r="J31" s="2"/>
      <c r="K31" s="2"/>
      <c r="L31" s="2"/>
      <c r="M31" s="2"/>
      <c r="N31" s="2"/>
      <c r="O31" s="2"/>
      <c r="P31" s="2"/>
      <c r="Q31" s="63" t="s">
        <v>711</v>
      </c>
      <c r="R31" s="3">
        <f>R27/(3-1)</f>
        <v>868650.09210000024</v>
      </c>
      <c r="S31" s="3"/>
      <c r="T31" s="3"/>
      <c r="U31" s="3"/>
      <c r="V31" s="3"/>
      <c r="W31" s="3"/>
      <c r="X31" s="2"/>
      <c r="Y31" s="2"/>
      <c r="Z31" s="2"/>
    </row>
    <row r="32" spans="1:26" ht="12.75" customHeight="1">
      <c r="A32" s="2"/>
      <c r="B32" s="2"/>
      <c r="C32" s="2"/>
      <c r="D32" s="2"/>
      <c r="E32" s="2"/>
      <c r="F32" s="2"/>
      <c r="G32" s="2"/>
      <c r="H32" s="2"/>
      <c r="I32" s="2"/>
      <c r="J32" s="2"/>
      <c r="K32" s="2"/>
      <c r="L32" s="2"/>
      <c r="M32" s="2"/>
      <c r="N32" s="2"/>
      <c r="O32" s="2"/>
      <c r="P32" s="2"/>
      <c r="Q32" s="3"/>
      <c r="R32" s="3"/>
      <c r="S32" s="3"/>
      <c r="T32" s="3"/>
      <c r="U32" s="3"/>
      <c r="V32" s="3"/>
      <c r="W32" s="3"/>
      <c r="X32" s="2"/>
      <c r="Y32" s="2"/>
      <c r="Z32" s="2"/>
    </row>
    <row r="33" spans="1:26" ht="12.75" customHeight="1" thickBot="1">
      <c r="A33" s="2"/>
      <c r="B33" s="2"/>
      <c r="C33" s="2"/>
      <c r="D33" s="2"/>
      <c r="E33" s="2"/>
      <c r="F33" s="2"/>
      <c r="G33" s="2"/>
      <c r="H33" s="2"/>
      <c r="I33" s="2"/>
      <c r="J33" s="2"/>
      <c r="K33" s="2"/>
      <c r="L33" s="2"/>
      <c r="M33" s="2"/>
      <c r="N33" s="2"/>
      <c r="O33" s="2"/>
      <c r="P33" s="2"/>
      <c r="Q33" s="3"/>
      <c r="R33" s="3"/>
      <c r="S33" s="3"/>
      <c r="T33" s="3"/>
      <c r="U33" s="3"/>
      <c r="V33" s="3"/>
      <c r="W33" s="3"/>
      <c r="X33" s="2"/>
      <c r="Y33" s="2"/>
      <c r="Z33" s="2"/>
    </row>
    <row r="34" spans="1:26" ht="12.75" customHeight="1">
      <c r="A34" s="2"/>
      <c r="B34" s="2"/>
      <c r="C34" s="2"/>
      <c r="D34" s="2"/>
      <c r="E34" s="2"/>
      <c r="F34" s="2"/>
      <c r="G34" s="2"/>
      <c r="H34" s="64" t="s">
        <v>615</v>
      </c>
      <c r="I34" s="64">
        <v>290.83</v>
      </c>
      <c r="J34" s="64">
        <v>2.5499999999999998</v>
      </c>
      <c r="K34" s="64">
        <v>0</v>
      </c>
      <c r="L34" s="64">
        <v>0.99</v>
      </c>
      <c r="M34" s="64">
        <v>0.33</v>
      </c>
      <c r="N34" s="2"/>
      <c r="O34" s="2"/>
      <c r="P34" s="2"/>
      <c r="Q34" s="64" t="s">
        <v>615</v>
      </c>
      <c r="R34" s="64">
        <v>290.83</v>
      </c>
      <c r="S34" s="64">
        <v>2.5499999999999998</v>
      </c>
      <c r="T34" s="64">
        <v>0</v>
      </c>
      <c r="U34" s="64">
        <v>0.99</v>
      </c>
      <c r="V34" s="64">
        <v>0.33</v>
      </c>
      <c r="W34" s="3"/>
      <c r="X34" s="2"/>
      <c r="Y34" s="2"/>
      <c r="Z34" s="2"/>
    </row>
    <row r="35" spans="1:26" ht="12.75" customHeight="1">
      <c r="A35" s="2"/>
      <c r="B35" s="2"/>
      <c r="C35" s="2"/>
      <c r="D35" s="2"/>
      <c r="E35" s="2"/>
      <c r="F35" s="2"/>
      <c r="G35" s="2"/>
      <c r="H35" s="66" t="s">
        <v>616</v>
      </c>
      <c r="I35" s="66">
        <v>-1041.19</v>
      </c>
      <c r="J35" s="66">
        <v>20.100000000000001</v>
      </c>
      <c r="K35" s="66">
        <v>-14.97</v>
      </c>
      <c r="L35" s="66">
        <v>0</v>
      </c>
      <c r="M35" s="66">
        <v>0.33</v>
      </c>
      <c r="N35" s="2"/>
      <c r="O35" s="2"/>
      <c r="P35" s="2"/>
      <c r="Q35" s="66" t="s">
        <v>616</v>
      </c>
      <c r="R35" s="66">
        <v>-1041.19</v>
      </c>
      <c r="S35" s="66">
        <v>20.100000000000001</v>
      </c>
      <c r="T35" s="66">
        <v>-14.97</v>
      </c>
      <c r="U35" s="66">
        <v>0</v>
      </c>
      <c r="V35" s="66">
        <v>0.33</v>
      </c>
      <c r="W35" s="3"/>
      <c r="X35" s="2"/>
      <c r="Y35" s="2"/>
      <c r="Z35" s="2"/>
    </row>
    <row r="36" spans="1:26" ht="12.75" customHeight="1" thickBot="1">
      <c r="A36" s="2"/>
      <c r="B36" s="2"/>
      <c r="C36" s="2"/>
      <c r="D36" s="2"/>
      <c r="E36" s="2"/>
      <c r="F36" s="2"/>
      <c r="G36" s="2"/>
      <c r="H36" s="70" t="s">
        <v>617</v>
      </c>
      <c r="I36" s="70">
        <v>484.36</v>
      </c>
      <c r="J36" s="70">
        <v>0</v>
      </c>
      <c r="K36" s="70">
        <v>2.1800000000000002</v>
      </c>
      <c r="L36" s="70">
        <v>1.1299999999999999</v>
      </c>
      <c r="M36" s="70">
        <v>0.33</v>
      </c>
      <c r="N36" s="2"/>
      <c r="O36" s="2"/>
      <c r="P36" s="2"/>
      <c r="Q36" s="70" t="s">
        <v>617</v>
      </c>
      <c r="R36" s="70">
        <v>484.36</v>
      </c>
      <c r="S36" s="70">
        <v>0</v>
      </c>
      <c r="T36" s="70">
        <v>2.1800000000000002</v>
      </c>
      <c r="U36" s="70">
        <v>1.1299999999999999</v>
      </c>
      <c r="V36" s="70">
        <v>0.33</v>
      </c>
      <c r="W36" s="3"/>
      <c r="X36" s="2"/>
      <c r="Y36" s="2"/>
      <c r="Z36" s="2"/>
    </row>
    <row r="37" spans="1:26" ht="12.75" customHeight="1">
      <c r="A37" s="2"/>
      <c r="B37" s="2"/>
      <c r="C37" s="2"/>
      <c r="D37" s="2"/>
      <c r="E37" s="2"/>
      <c r="F37" s="2"/>
      <c r="G37" s="2"/>
      <c r="H37" s="2"/>
      <c r="I37" s="2"/>
      <c r="J37" s="2"/>
      <c r="K37" s="2"/>
      <c r="L37" s="2"/>
      <c r="M37" s="2"/>
      <c r="N37" s="2"/>
      <c r="O37" s="2"/>
      <c r="P37" s="2"/>
      <c r="Q37" s="3"/>
      <c r="R37" s="3"/>
      <c r="S37" s="3"/>
      <c r="T37" s="3"/>
      <c r="U37" s="3"/>
      <c r="V37" s="3"/>
      <c r="W37" s="3"/>
      <c r="X37" s="2"/>
      <c r="Y37" s="2"/>
      <c r="Z37" s="2"/>
    </row>
    <row r="38" spans="1:26" ht="12.75" customHeight="1">
      <c r="A38" s="2"/>
      <c r="B38" s="2"/>
      <c r="C38" s="2"/>
      <c r="D38" s="2"/>
      <c r="E38" s="2"/>
      <c r="F38" s="2"/>
      <c r="G38" s="2"/>
      <c r="H38" s="71" t="s">
        <v>615</v>
      </c>
      <c r="I38" s="3">
        <f>$I$34+$J$34*I9+$K$34*J9+$L$34*K9</f>
        <v>1242.5722000000001</v>
      </c>
      <c r="J38" s="2"/>
      <c r="K38" s="2"/>
      <c r="L38" s="2"/>
      <c r="M38" s="2"/>
      <c r="N38" s="2"/>
      <c r="O38" s="2"/>
      <c r="P38" s="2"/>
      <c r="Q38" s="71" t="s">
        <v>615</v>
      </c>
      <c r="R38" s="3">
        <f>$I$34+$J$34*R9+$K$34*S9+$L$34*T9</f>
        <v>1242.5722000000001</v>
      </c>
      <c r="S38" s="3"/>
      <c r="T38" s="3"/>
      <c r="U38" s="3"/>
      <c r="V38" s="3"/>
      <c r="W38" s="3"/>
      <c r="X38" s="2"/>
      <c r="Y38" s="2"/>
      <c r="Z38" s="2"/>
    </row>
    <row r="39" spans="1:26" ht="12.75" customHeight="1">
      <c r="A39" s="111" t="s">
        <v>588</v>
      </c>
      <c r="B39" s="110"/>
      <c r="C39" s="110"/>
      <c r="D39" s="110"/>
      <c r="E39" s="110"/>
      <c r="F39" s="110"/>
      <c r="G39" s="2"/>
      <c r="H39" s="2"/>
      <c r="I39" s="3">
        <f>$I$34+$J$34*I10+$K$34*J10+$L$34*K10</f>
        <v>1675.2348999999999</v>
      </c>
      <c r="J39" s="2"/>
      <c r="K39" s="2"/>
      <c r="L39" s="2"/>
      <c r="M39" s="2"/>
      <c r="N39" s="2"/>
      <c r="O39" s="2"/>
      <c r="P39" s="2"/>
      <c r="Q39" s="3"/>
      <c r="R39" s="3">
        <f>$I$34+$J$34*R10+$K$34*S10+$L$34*T10</f>
        <v>1675.2348999999999</v>
      </c>
      <c r="S39" s="3"/>
      <c r="T39" s="3"/>
      <c r="U39" s="3"/>
      <c r="V39" s="3"/>
      <c r="W39" s="3"/>
      <c r="X39" s="2"/>
      <c r="Y39" s="2"/>
      <c r="Z39" s="2"/>
    </row>
    <row r="40" spans="1:26" ht="12.75" customHeight="1">
      <c r="A40" s="110"/>
      <c r="B40" s="110"/>
      <c r="C40" s="110"/>
      <c r="D40" s="110"/>
      <c r="E40" s="110"/>
      <c r="F40" s="110"/>
      <c r="G40" s="2"/>
      <c r="H40" s="2"/>
      <c r="I40" s="3">
        <f>$I$34+$J$34*I11+$K$34*J11+$L$34*K11</f>
        <v>3029.1933999999997</v>
      </c>
      <c r="J40" s="2"/>
      <c r="K40" s="2"/>
      <c r="L40" s="2"/>
      <c r="M40" s="2"/>
      <c r="N40" s="2"/>
      <c r="O40" s="2"/>
      <c r="P40" s="2"/>
      <c r="Q40" s="3"/>
      <c r="R40" s="3">
        <f>$I$34+$J$34*R11+$K$34*S11+$L$34*T11</f>
        <v>3029.1933999999997</v>
      </c>
      <c r="S40" s="3"/>
      <c r="T40" s="3"/>
      <c r="U40" s="3"/>
      <c r="V40" s="3"/>
      <c r="W40" s="3"/>
      <c r="X40" s="2"/>
      <c r="Y40" s="2"/>
      <c r="Z40" s="2"/>
    </row>
    <row r="41" spans="1:26" ht="12.75" customHeight="1">
      <c r="A41" s="2"/>
      <c r="B41" s="2"/>
      <c r="C41" s="2"/>
      <c r="D41" s="2"/>
      <c r="E41" s="2"/>
      <c r="F41" s="2"/>
      <c r="G41" s="2"/>
      <c r="H41" s="2"/>
      <c r="I41" s="2"/>
      <c r="J41" s="2"/>
      <c r="K41" s="2"/>
      <c r="L41" s="2"/>
      <c r="M41" s="2"/>
      <c r="N41" s="2"/>
      <c r="O41" s="2"/>
      <c r="P41" s="2"/>
      <c r="Q41" s="3"/>
      <c r="R41" s="3"/>
      <c r="S41" s="3"/>
      <c r="T41" s="3"/>
      <c r="U41" s="3"/>
      <c r="V41" s="3"/>
      <c r="W41" s="3"/>
      <c r="X41" s="2"/>
      <c r="Y41" s="2"/>
      <c r="Z41" s="2"/>
    </row>
    <row r="42" spans="1:26" ht="12.75" customHeight="1">
      <c r="A42" s="2"/>
      <c r="B42" s="2"/>
      <c r="C42" s="2"/>
      <c r="D42" s="2"/>
      <c r="E42" s="2"/>
      <c r="F42" s="2"/>
      <c r="G42" s="2"/>
      <c r="H42" s="63" t="s">
        <v>705</v>
      </c>
      <c r="I42" s="63">
        <f>(I38-L9)^2+(I39-L10)^2+(I40-L11)^2</f>
        <v>2.1622544100002741</v>
      </c>
      <c r="J42" s="2"/>
      <c r="K42" s="2"/>
      <c r="L42" s="2"/>
      <c r="M42" s="2"/>
      <c r="N42" s="2"/>
      <c r="O42" s="2"/>
      <c r="P42" s="2"/>
      <c r="Q42" s="63" t="s">
        <v>705</v>
      </c>
      <c r="R42" s="63">
        <f>(R38-U9)^2+(R39-U10)^2+(R40-U11)^2</f>
        <v>2.1622544100002741</v>
      </c>
      <c r="S42" s="3"/>
      <c r="T42" s="3"/>
      <c r="U42" s="3"/>
      <c r="V42" s="3"/>
      <c r="W42" s="3"/>
      <c r="X42" s="2"/>
      <c r="Y42" s="2"/>
      <c r="Z42" s="2"/>
    </row>
    <row r="43" spans="1:26" ht="12.75" customHeight="1">
      <c r="A43" s="2"/>
      <c r="B43" s="2"/>
      <c r="C43" s="2"/>
      <c r="D43" s="2"/>
      <c r="E43" s="2"/>
      <c r="F43" s="2"/>
      <c r="G43" s="2"/>
      <c r="H43" s="63" t="s">
        <v>706</v>
      </c>
      <c r="I43" s="3">
        <v>1737300.1842000005</v>
      </c>
      <c r="J43" s="2"/>
      <c r="K43" s="2"/>
      <c r="L43" s="2"/>
      <c r="M43" s="2"/>
      <c r="N43" s="2"/>
      <c r="O43" s="2"/>
      <c r="P43" s="2"/>
      <c r="Q43" s="63" t="s">
        <v>706</v>
      </c>
      <c r="R43" s="3">
        <v>1737300.1842000005</v>
      </c>
      <c r="S43" s="3"/>
      <c r="T43" s="3"/>
      <c r="U43" s="3"/>
      <c r="V43" s="3"/>
      <c r="W43" s="3"/>
      <c r="X43" s="2"/>
      <c r="Y43" s="2"/>
      <c r="Z43" s="2"/>
    </row>
    <row r="44" spans="1:26" ht="12.75" customHeight="1">
      <c r="A44" s="2"/>
      <c r="B44" s="2"/>
      <c r="C44" s="2"/>
      <c r="D44" s="2"/>
      <c r="E44" s="2"/>
      <c r="F44" s="2"/>
      <c r="G44" s="2"/>
      <c r="H44" s="63" t="s">
        <v>707</v>
      </c>
      <c r="I44" s="3">
        <f>1 - I42/I43</f>
        <v>0.99999875539389815</v>
      </c>
      <c r="J44" s="2"/>
      <c r="K44" s="2"/>
      <c r="L44" s="2"/>
      <c r="M44" s="2"/>
      <c r="N44" s="2"/>
      <c r="O44" s="2"/>
      <c r="P44" s="2"/>
      <c r="Q44" s="63" t="s">
        <v>707</v>
      </c>
      <c r="R44" s="3">
        <f>1 - R42/R43</f>
        <v>0.99999875539389815</v>
      </c>
      <c r="S44" s="3"/>
      <c r="T44" s="3"/>
      <c r="U44" s="3"/>
      <c r="V44" s="3"/>
      <c r="W44" s="3"/>
      <c r="X44" s="2"/>
      <c r="Y44" s="2"/>
      <c r="Z44" s="2"/>
    </row>
    <row r="45" spans="1:26" ht="12.75" customHeight="1">
      <c r="A45" s="2"/>
      <c r="B45" s="2"/>
      <c r="C45" s="2"/>
      <c r="D45" s="2"/>
      <c r="E45" s="2"/>
      <c r="F45" s="2"/>
      <c r="G45" s="2"/>
      <c r="H45" s="63" t="s">
        <v>708</v>
      </c>
      <c r="I45" s="3"/>
      <c r="J45" s="2"/>
      <c r="K45" s="2"/>
      <c r="L45" s="2"/>
      <c r="M45" s="2"/>
      <c r="N45" s="2"/>
      <c r="O45" s="2"/>
      <c r="P45" s="2"/>
      <c r="Q45" s="63" t="s">
        <v>708</v>
      </c>
      <c r="R45" s="3"/>
      <c r="S45" s="3"/>
      <c r="T45" s="3"/>
      <c r="U45" s="3"/>
      <c r="V45" s="3"/>
      <c r="W45" s="3"/>
      <c r="X45" s="2"/>
      <c r="Y45" s="2"/>
      <c r="Z45" s="2"/>
    </row>
    <row r="46" spans="1:26" ht="12.75" customHeight="1">
      <c r="A46" s="2" t="s">
        <v>589</v>
      </c>
      <c r="B46" s="2"/>
      <c r="C46" s="2"/>
      <c r="D46" s="2"/>
      <c r="E46" s="2"/>
      <c r="F46" s="2"/>
      <c r="G46" s="2"/>
      <c r="H46" s="63" t="s">
        <v>710</v>
      </c>
      <c r="I46" s="3">
        <f>I42/(3-(1+1))</f>
        <v>2.1622544100002741</v>
      </c>
      <c r="J46" s="2"/>
      <c r="K46" s="2"/>
      <c r="L46" s="2"/>
      <c r="M46" s="2"/>
      <c r="N46" s="2"/>
      <c r="O46" s="2"/>
      <c r="P46" s="2"/>
      <c r="Q46" s="63" t="s">
        <v>710</v>
      </c>
      <c r="R46" s="3">
        <f>R42/(3-(1+1))</f>
        <v>2.1622544100002741</v>
      </c>
      <c r="S46" s="3"/>
      <c r="T46" s="3"/>
      <c r="U46" s="3"/>
      <c r="V46" s="3"/>
      <c r="W46" s="3"/>
      <c r="X46" s="2"/>
      <c r="Y46" s="2"/>
      <c r="Z46" s="2"/>
    </row>
    <row r="47" spans="1:26" ht="12.75" customHeight="1">
      <c r="A47" s="53" t="s">
        <v>584</v>
      </c>
      <c r="B47" s="2"/>
      <c r="C47" s="2"/>
      <c r="D47" s="2"/>
      <c r="E47" s="2"/>
      <c r="F47" s="2"/>
      <c r="G47" s="2"/>
      <c r="H47" s="63" t="s">
        <v>711</v>
      </c>
      <c r="I47" s="3">
        <f>I43/(3-1)</f>
        <v>868650.09210000024</v>
      </c>
      <c r="J47" s="2"/>
      <c r="K47" s="2"/>
      <c r="L47" s="2"/>
      <c r="M47" s="2"/>
      <c r="N47" s="2"/>
      <c r="O47" s="2"/>
      <c r="P47" s="2"/>
      <c r="Q47" s="63" t="s">
        <v>711</v>
      </c>
      <c r="R47" s="3">
        <f>R43/(3-1)</f>
        <v>868650.09210000024</v>
      </c>
      <c r="S47" s="3"/>
      <c r="T47" s="3"/>
      <c r="U47" s="3"/>
      <c r="V47" s="3"/>
      <c r="W47" s="3"/>
      <c r="X47" s="2"/>
      <c r="Y47" s="2"/>
      <c r="Z47" s="2"/>
    </row>
    <row r="48" spans="1:26" ht="16.5" customHeight="1">
      <c r="A48" s="2" t="s">
        <v>590</v>
      </c>
      <c r="B48" s="2"/>
      <c r="C48" s="2"/>
      <c r="D48" s="2"/>
      <c r="E48" s="2"/>
      <c r="F48" s="2"/>
      <c r="G48" s="2"/>
      <c r="H48" s="63" t="s">
        <v>709</v>
      </c>
      <c r="I48" s="63">
        <f>1-I46/I47</f>
        <v>0.99999751078779631</v>
      </c>
      <c r="J48" s="2"/>
      <c r="K48" s="2"/>
      <c r="L48" s="2"/>
      <c r="M48" s="2"/>
      <c r="N48" s="2"/>
      <c r="O48" s="2"/>
      <c r="P48" s="2"/>
      <c r="Q48" s="63" t="s">
        <v>709</v>
      </c>
      <c r="R48" s="63">
        <f>1-R46/R47</f>
        <v>0.99999751078779631</v>
      </c>
      <c r="S48" s="3"/>
      <c r="T48" s="3"/>
      <c r="U48" s="3"/>
      <c r="V48" s="3"/>
      <c r="W48" s="3"/>
      <c r="X48" s="2"/>
      <c r="Y48" s="2"/>
      <c r="Z48" s="2"/>
    </row>
    <row r="49" spans="1:26" ht="12.75" customHeight="1">
      <c r="A49" s="2" t="s">
        <v>591</v>
      </c>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55" t="s">
        <v>592</v>
      </c>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111" t="s">
        <v>593</v>
      </c>
      <c r="B52" s="110"/>
      <c r="C52" s="110"/>
      <c r="D52" s="110"/>
      <c r="E52" s="110"/>
      <c r="F52" s="110"/>
      <c r="G52" s="2"/>
      <c r="H52" s="2"/>
      <c r="I52" s="2"/>
      <c r="J52" s="2"/>
      <c r="K52" s="2"/>
      <c r="L52" s="2"/>
      <c r="M52" s="2"/>
      <c r="N52" s="2"/>
      <c r="O52" s="2"/>
      <c r="P52" s="2"/>
      <c r="Q52" s="2"/>
      <c r="R52" s="2"/>
      <c r="S52" s="2"/>
      <c r="T52" s="2"/>
      <c r="U52" s="2"/>
      <c r="V52" s="2"/>
      <c r="W52" s="2"/>
      <c r="X52" s="2"/>
      <c r="Y52" s="2"/>
      <c r="Z52" s="2"/>
    </row>
    <row r="53" spans="1:26" ht="12.75" customHeight="1">
      <c r="A53" s="110"/>
      <c r="B53" s="110"/>
      <c r="C53" s="110"/>
      <c r="D53" s="110"/>
      <c r="E53" s="110"/>
      <c r="F53" s="110"/>
      <c r="G53" s="2"/>
      <c r="H53" s="2"/>
      <c r="I53" s="2"/>
      <c r="J53" s="2"/>
      <c r="K53" s="2"/>
      <c r="L53" s="2"/>
      <c r="M53" s="2"/>
      <c r="N53" s="2"/>
      <c r="O53" s="2"/>
      <c r="P53" s="2"/>
      <c r="Q53" s="2"/>
      <c r="R53" s="2"/>
      <c r="S53" s="2"/>
      <c r="T53" s="2"/>
      <c r="U53" s="2"/>
      <c r="V53" s="2"/>
      <c r="W53" s="2"/>
      <c r="X53" s="2"/>
      <c r="Y53" s="2"/>
      <c r="Z53" s="2"/>
    </row>
    <row r="54" spans="1:26" ht="12.75" customHeight="1">
      <c r="A54" s="110"/>
      <c r="B54" s="110"/>
      <c r="C54" s="110"/>
      <c r="D54" s="110"/>
      <c r="E54" s="110"/>
      <c r="F54" s="110"/>
      <c r="G54" s="2"/>
      <c r="H54" s="2"/>
      <c r="I54" s="2"/>
      <c r="J54" s="2"/>
      <c r="K54" s="2"/>
      <c r="L54" s="2"/>
      <c r="M54" s="2"/>
      <c r="N54" s="2"/>
      <c r="O54" s="2"/>
      <c r="P54" s="2"/>
      <c r="Q54" s="2"/>
      <c r="R54" s="2"/>
      <c r="S54" s="2"/>
      <c r="T54" s="2"/>
      <c r="U54" s="2"/>
      <c r="V54" s="2"/>
      <c r="W54" s="2"/>
      <c r="X54" s="2"/>
      <c r="Y54" s="2"/>
      <c r="Z54" s="2"/>
    </row>
    <row r="55" spans="1:26" ht="34.5" customHeight="1">
      <c r="A55" s="110"/>
      <c r="B55" s="110"/>
      <c r="C55" s="110"/>
      <c r="D55" s="110"/>
      <c r="E55" s="110"/>
      <c r="F55" s="110"/>
      <c r="G55" s="2"/>
      <c r="H55" s="2"/>
      <c r="I55" s="2"/>
      <c r="J55" s="2"/>
      <c r="K55" s="2"/>
      <c r="L55" s="2"/>
      <c r="M55" s="2"/>
      <c r="N55" s="2"/>
      <c r="O55" s="2"/>
      <c r="P55" s="2"/>
      <c r="Q55" s="2"/>
      <c r="R55" s="2"/>
      <c r="S55" s="2"/>
      <c r="T55" s="2"/>
      <c r="U55" s="2"/>
      <c r="V55" s="2"/>
      <c r="W55" s="2"/>
      <c r="X55" s="2"/>
      <c r="Y55" s="2"/>
      <c r="Z55" s="2"/>
    </row>
    <row r="56" spans="1:26" ht="12.75" customHeight="1">
      <c r="A56" s="53" t="s">
        <v>585</v>
      </c>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c r="A57" s="2" t="s">
        <v>594</v>
      </c>
      <c r="B57" s="21" t="s">
        <v>595</v>
      </c>
      <c r="C57" s="21">
        <f>0.171/(0.171+0.276)*65.61+0.276/(0.171+0.276)*(-186.77)</f>
        <v>-90.221946308724839</v>
      </c>
      <c r="D57" s="2"/>
      <c r="E57" s="2"/>
      <c r="F57" s="2"/>
      <c r="G57" s="2"/>
      <c r="H57" s="2"/>
      <c r="I57" s="2"/>
      <c r="J57" s="2"/>
      <c r="K57" s="2"/>
      <c r="L57" s="2"/>
      <c r="M57" s="2"/>
      <c r="N57" s="2"/>
      <c r="O57" s="2"/>
      <c r="P57" s="2"/>
      <c r="Q57" s="2"/>
      <c r="R57" s="2"/>
      <c r="S57" s="2"/>
      <c r="T57" s="2"/>
      <c r="U57" s="2"/>
      <c r="V57" s="2"/>
      <c r="W57" s="2"/>
      <c r="X57" s="2"/>
      <c r="Y57" s="2"/>
      <c r="Z57" s="2"/>
    </row>
    <row r="58" spans="1:26" ht="12.75" customHeight="1">
      <c r="A58" s="2" t="s">
        <v>596</v>
      </c>
      <c r="B58" s="21" t="s">
        <v>597</v>
      </c>
      <c r="C58" s="21">
        <f>9.44*0.171/(0.171+0.276)+12.47*0.276/(0.171+0.276)</f>
        <v>11.310872483221477</v>
      </c>
      <c r="D58" s="2"/>
      <c r="E58" s="2"/>
      <c r="F58" s="2"/>
      <c r="G58" s="2"/>
      <c r="H58" s="2"/>
      <c r="I58" s="2"/>
      <c r="J58" s="2"/>
      <c r="K58" s="2"/>
      <c r="L58" s="2"/>
      <c r="M58" s="2"/>
      <c r="N58" s="2"/>
      <c r="O58" s="2"/>
      <c r="P58" s="2"/>
      <c r="Q58" s="2"/>
      <c r="R58" s="2"/>
      <c r="S58" s="2"/>
      <c r="T58" s="2"/>
      <c r="U58" s="2"/>
      <c r="V58" s="2"/>
      <c r="W58" s="2"/>
      <c r="X58" s="2"/>
      <c r="Y58" s="2"/>
      <c r="Z58" s="2"/>
    </row>
    <row r="59" spans="1:26" ht="12.75" customHeight="1">
      <c r="A59" s="2" t="s">
        <v>598</v>
      </c>
      <c r="B59" s="21" t="s">
        <v>599</v>
      </c>
      <c r="C59" s="21">
        <f>-2.77*0.276/(0.276+0.171)</f>
        <v>-1.7103355704697987</v>
      </c>
      <c r="D59" s="2"/>
      <c r="E59" s="2"/>
      <c r="F59" s="2"/>
      <c r="G59" s="2"/>
      <c r="H59" s="2"/>
      <c r="I59" s="2"/>
      <c r="J59" s="2"/>
      <c r="K59" s="2"/>
      <c r="L59" s="2"/>
      <c r="M59" s="2"/>
      <c r="N59" s="2"/>
      <c r="O59" s="2"/>
      <c r="P59" s="2"/>
      <c r="Q59" s="2"/>
      <c r="R59" s="2"/>
      <c r="S59" s="2"/>
      <c r="T59" s="2"/>
      <c r="U59" s="2"/>
      <c r="V59" s="2"/>
      <c r="W59" s="2"/>
      <c r="X59" s="2"/>
      <c r="Y59" s="2"/>
      <c r="Z59" s="2"/>
    </row>
    <row r="60" spans="1:26" ht="15.75" customHeight="1">
      <c r="A60" s="55" t="s">
        <v>600</v>
      </c>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c r="A62" s="112" t="s">
        <v>601</v>
      </c>
      <c r="B62" s="110"/>
      <c r="C62" s="110"/>
      <c r="D62" s="110"/>
      <c r="E62" s="110"/>
      <c r="F62" s="110"/>
      <c r="G62" s="2"/>
      <c r="H62" s="2"/>
      <c r="I62" s="2"/>
      <c r="J62" s="2"/>
      <c r="K62" s="2"/>
      <c r="L62" s="2"/>
      <c r="M62" s="2"/>
      <c r="N62" s="2"/>
      <c r="O62" s="2"/>
      <c r="P62" s="2"/>
      <c r="Q62" s="2"/>
      <c r="R62" s="2"/>
      <c r="S62" s="2"/>
      <c r="T62" s="2"/>
      <c r="U62" s="2"/>
      <c r="V62" s="2"/>
      <c r="W62" s="2"/>
      <c r="X62" s="2"/>
      <c r="Y62" s="2"/>
      <c r="Z62" s="2"/>
    </row>
    <row r="63" spans="1:26" ht="12.75" customHeight="1">
      <c r="A63" s="110"/>
      <c r="B63" s="110"/>
      <c r="C63" s="110"/>
      <c r="D63" s="110"/>
      <c r="E63" s="110"/>
      <c r="F63" s="110"/>
      <c r="G63" s="2"/>
      <c r="H63" s="2"/>
      <c r="I63" s="2"/>
      <c r="J63" s="2"/>
      <c r="K63" s="2"/>
      <c r="L63" s="2"/>
      <c r="M63" s="2"/>
      <c r="N63" s="2"/>
      <c r="O63" s="2"/>
      <c r="P63" s="2"/>
      <c r="Q63" s="2"/>
      <c r="R63" s="2"/>
      <c r="S63" s="2"/>
      <c r="T63" s="2"/>
      <c r="U63" s="2"/>
      <c r="V63" s="2"/>
      <c r="W63" s="2"/>
      <c r="X63" s="2"/>
      <c r="Y63" s="2"/>
      <c r="Z63" s="2"/>
    </row>
    <row r="64" spans="1:26" ht="12.75" customHeight="1">
      <c r="A64" s="110"/>
      <c r="B64" s="110"/>
      <c r="C64" s="110"/>
      <c r="D64" s="110"/>
      <c r="E64" s="110"/>
      <c r="F64" s="110"/>
      <c r="G64" s="2"/>
      <c r="H64" s="2"/>
      <c r="I64" s="2"/>
      <c r="J64" s="2"/>
      <c r="K64" s="2"/>
      <c r="L64" s="2"/>
      <c r="M64" s="2"/>
      <c r="N64" s="2"/>
      <c r="O64" s="2"/>
      <c r="P64" s="2"/>
      <c r="Q64" s="2"/>
      <c r="R64" s="2"/>
      <c r="S64" s="2"/>
      <c r="T64" s="2"/>
      <c r="U64" s="2"/>
      <c r="V64" s="2"/>
      <c r="W64" s="2"/>
      <c r="X64" s="2"/>
      <c r="Y64" s="2"/>
      <c r="Z64" s="2"/>
    </row>
    <row r="65" spans="1:26" ht="12.75" customHeight="1">
      <c r="A65" s="53" t="s">
        <v>586</v>
      </c>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c r="A66" s="2" t="s">
        <v>602</v>
      </c>
      <c r="B66" s="2" t="s">
        <v>603</v>
      </c>
      <c r="C66" s="2">
        <f>0.276*-22.68+0.276*-186.77+0.276*355.29+0.171*65.61</f>
        <v>51.471150000000002</v>
      </c>
      <c r="D66" s="2"/>
      <c r="E66" s="2"/>
      <c r="F66" s="2"/>
      <c r="G66" s="2"/>
      <c r="H66" s="2"/>
      <c r="I66" s="2"/>
      <c r="J66" s="2"/>
      <c r="K66" s="2"/>
      <c r="L66" s="2"/>
      <c r="M66" s="2"/>
      <c r="N66" s="2"/>
      <c r="O66" s="2"/>
      <c r="P66" s="2"/>
      <c r="Q66" s="2"/>
      <c r="R66" s="2"/>
      <c r="S66" s="2"/>
      <c r="T66" s="2"/>
      <c r="U66" s="2"/>
      <c r="V66" s="2"/>
      <c r="W66" s="2"/>
      <c r="X66" s="2"/>
      <c r="Y66" s="2"/>
      <c r="Z66" s="2"/>
    </row>
    <row r="67" spans="1:26" ht="12.75" customHeight="1">
      <c r="A67" s="2" t="s">
        <v>596</v>
      </c>
      <c r="B67" s="2" t="s">
        <v>604</v>
      </c>
      <c r="C67" s="2">
        <f>0.276*8.69+0.276*12.47+0.171*9.44</f>
        <v>7.4544000000000015</v>
      </c>
      <c r="D67" s="2"/>
      <c r="E67" s="2"/>
      <c r="F67" s="2"/>
      <c r="G67" s="2"/>
      <c r="H67" s="2"/>
      <c r="I67" s="2"/>
      <c r="J67" s="2"/>
      <c r="K67" s="2"/>
      <c r="L67" s="2"/>
      <c r="M67" s="2"/>
      <c r="N67" s="2"/>
      <c r="O67" s="2"/>
      <c r="P67" s="2"/>
      <c r="Q67" s="2"/>
      <c r="R67" s="2"/>
      <c r="S67" s="2"/>
      <c r="T67" s="2"/>
      <c r="U67" s="2"/>
      <c r="V67" s="2"/>
      <c r="W67" s="2"/>
      <c r="X67" s="2"/>
      <c r="Y67" s="2"/>
      <c r="Z67" s="2"/>
    </row>
    <row r="68" spans="1:26" ht="12.75" customHeight="1">
      <c r="A68" s="2" t="s">
        <v>598</v>
      </c>
      <c r="B68" s="2" t="s">
        <v>605</v>
      </c>
      <c r="C68" s="2">
        <f>0.276*-2.77+0.276*6.38</f>
        <v>0.99636000000000013</v>
      </c>
      <c r="D68" s="2"/>
      <c r="E68" s="2"/>
      <c r="F68" s="2"/>
      <c r="G68" s="2"/>
      <c r="H68" s="2"/>
      <c r="I68" s="2"/>
      <c r="J68" s="2"/>
      <c r="K68" s="2"/>
      <c r="L68" s="2"/>
      <c r="M68" s="2"/>
      <c r="N68" s="2"/>
      <c r="O68" s="2"/>
      <c r="P68" s="2"/>
      <c r="Q68" s="2"/>
      <c r="R68" s="2"/>
      <c r="S68" s="2"/>
      <c r="T68" s="2"/>
      <c r="U68" s="2"/>
      <c r="V68" s="2"/>
      <c r="W68" s="2"/>
      <c r="X68" s="2"/>
      <c r="Y68" s="2"/>
      <c r="Z68" s="2"/>
    </row>
    <row r="69" spans="1:26" ht="12.75" customHeight="1">
      <c r="A69" s="2" t="s">
        <v>606</v>
      </c>
      <c r="B69" s="2" t="s">
        <v>607</v>
      </c>
      <c r="C69" s="2">
        <f>0.276*0.34+1.11*0.276</f>
        <v>0.40020000000000011</v>
      </c>
      <c r="D69" s="2"/>
      <c r="E69" s="2"/>
      <c r="F69" s="2"/>
      <c r="G69" s="2"/>
      <c r="H69" s="2"/>
      <c r="I69" s="2"/>
      <c r="J69" s="2"/>
      <c r="K69" s="2"/>
      <c r="L69" s="2"/>
      <c r="M69" s="2"/>
      <c r="N69" s="2"/>
      <c r="O69" s="2"/>
      <c r="P69" s="2"/>
      <c r="Q69" s="2"/>
      <c r="R69" s="2"/>
      <c r="S69" s="2"/>
      <c r="T69" s="2"/>
      <c r="U69" s="2"/>
      <c r="V69" s="2"/>
      <c r="W69" s="2"/>
      <c r="X69" s="2"/>
      <c r="Y69" s="2"/>
      <c r="Z69" s="2"/>
    </row>
    <row r="70" spans="1:26" ht="15.75" customHeight="1">
      <c r="A70" s="55" t="s">
        <v>608</v>
      </c>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c r="A72" s="1" t="s">
        <v>609</v>
      </c>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c r="A73" s="1" t="s">
        <v>610</v>
      </c>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c r="A75" s="2"/>
      <c r="B75" s="56" t="s">
        <v>611</v>
      </c>
      <c r="C75" s="56" t="s">
        <v>612</v>
      </c>
      <c r="D75" s="56" t="s">
        <v>613</v>
      </c>
      <c r="E75" s="56" t="s">
        <v>421</v>
      </c>
      <c r="F75" s="56" t="s">
        <v>614</v>
      </c>
      <c r="G75" s="2"/>
      <c r="H75" s="2"/>
      <c r="I75" s="2"/>
      <c r="J75" s="2"/>
      <c r="K75" s="2"/>
      <c r="L75" s="2"/>
      <c r="M75" s="2"/>
      <c r="N75" s="2"/>
      <c r="O75" s="2"/>
      <c r="P75" s="2"/>
      <c r="Q75" s="2"/>
      <c r="R75" s="2"/>
      <c r="S75" s="2"/>
      <c r="T75" s="2"/>
      <c r="U75" s="2"/>
      <c r="V75" s="2"/>
      <c r="W75" s="2"/>
      <c r="X75" s="2"/>
      <c r="Y75" s="2"/>
      <c r="Z75" s="2"/>
    </row>
    <row r="76" spans="1:26" ht="12.75" customHeight="1">
      <c r="A76" s="56" t="s">
        <v>615</v>
      </c>
      <c r="B76" s="56">
        <v>-22.68</v>
      </c>
      <c r="C76" s="56">
        <v>8.69</v>
      </c>
      <c r="D76" s="56">
        <v>0</v>
      </c>
      <c r="E76" s="56">
        <v>0.34</v>
      </c>
      <c r="F76" s="56">
        <v>0.27600000000000002</v>
      </c>
      <c r="G76" s="2"/>
      <c r="H76" s="2"/>
      <c r="I76" s="2"/>
      <c r="J76" s="2"/>
      <c r="K76" s="2"/>
      <c r="L76" s="2"/>
      <c r="M76" s="2"/>
      <c r="N76" s="2"/>
      <c r="O76" s="2"/>
      <c r="P76" s="2"/>
      <c r="Q76" s="2"/>
      <c r="R76" s="2"/>
      <c r="S76" s="2"/>
      <c r="T76" s="2"/>
      <c r="U76" s="2"/>
      <c r="V76" s="2"/>
      <c r="W76" s="2"/>
      <c r="X76" s="2"/>
      <c r="Y76" s="2"/>
      <c r="Z76" s="2"/>
    </row>
    <row r="77" spans="1:26" ht="12.75" customHeight="1">
      <c r="A77" s="56" t="s">
        <v>616</v>
      </c>
      <c r="B77" s="56">
        <v>-186.77</v>
      </c>
      <c r="C77" s="56">
        <v>12.47</v>
      </c>
      <c r="D77" s="56">
        <v>-2.77</v>
      </c>
      <c r="E77" s="56">
        <v>0</v>
      </c>
      <c r="F77" s="56">
        <v>0.27600000000000002</v>
      </c>
      <c r="G77" s="2"/>
      <c r="H77" s="2"/>
      <c r="I77" s="2"/>
      <c r="J77" s="2"/>
      <c r="K77" s="2"/>
      <c r="L77" s="2"/>
      <c r="M77" s="2"/>
      <c r="N77" s="2"/>
      <c r="O77" s="2"/>
      <c r="P77" s="2"/>
      <c r="Q77" s="2"/>
      <c r="R77" s="2"/>
      <c r="S77" s="2"/>
      <c r="T77" s="2"/>
      <c r="U77" s="2"/>
      <c r="V77" s="2"/>
      <c r="W77" s="2"/>
      <c r="X77" s="2"/>
      <c r="Y77" s="2"/>
      <c r="Z77" s="2"/>
    </row>
    <row r="78" spans="1:26" ht="12.75" customHeight="1">
      <c r="A78" s="56" t="s">
        <v>617</v>
      </c>
      <c r="B78" s="56">
        <v>355.29</v>
      </c>
      <c r="C78" s="56">
        <v>0</v>
      </c>
      <c r="D78" s="56">
        <v>6.38</v>
      </c>
      <c r="E78" s="56">
        <v>1.1100000000000001</v>
      </c>
      <c r="F78" s="56">
        <v>0.27600000000000002</v>
      </c>
      <c r="G78" s="2"/>
      <c r="H78" s="2"/>
      <c r="I78" s="2"/>
      <c r="J78" s="2"/>
      <c r="K78" s="2"/>
      <c r="L78" s="2"/>
      <c r="M78" s="2"/>
      <c r="N78" s="2"/>
      <c r="O78" s="2"/>
      <c r="P78" s="2"/>
      <c r="Q78" s="2"/>
      <c r="R78" s="2"/>
      <c r="S78" s="2"/>
      <c r="T78" s="2"/>
      <c r="U78" s="2"/>
      <c r="V78" s="2"/>
      <c r="W78" s="2"/>
      <c r="X78" s="2"/>
      <c r="Y78" s="2"/>
      <c r="Z78" s="2"/>
    </row>
    <row r="79" spans="1:26" ht="12.75" customHeight="1">
      <c r="A79" s="56" t="s">
        <v>618</v>
      </c>
      <c r="B79" s="56">
        <v>65.61</v>
      </c>
      <c r="C79" s="56">
        <v>9.44</v>
      </c>
      <c r="D79" s="56">
        <v>0</v>
      </c>
      <c r="E79" s="56">
        <v>0</v>
      </c>
      <c r="F79" s="56">
        <v>0.17100000000000001</v>
      </c>
      <c r="G79" s="2"/>
      <c r="H79" s="2"/>
      <c r="I79" s="2"/>
      <c r="J79" s="2"/>
      <c r="K79" s="2"/>
      <c r="L79" s="2"/>
      <c r="M79" s="2"/>
      <c r="N79" s="2"/>
      <c r="O79" s="2"/>
      <c r="P79" s="2"/>
      <c r="Q79" s="2"/>
      <c r="R79" s="2"/>
      <c r="S79" s="2"/>
      <c r="T79" s="2"/>
      <c r="U79" s="2"/>
      <c r="V79" s="2"/>
      <c r="W79" s="2"/>
      <c r="X79" s="2"/>
      <c r="Y79" s="2"/>
      <c r="Z79" s="2"/>
    </row>
    <row r="80" spans="1:26" ht="12.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c r="A82" s="3" t="s">
        <v>668</v>
      </c>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c r="A83" s="3" t="s">
        <v>669</v>
      </c>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c r="A84" s="3" t="s">
        <v>670</v>
      </c>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c r="A85" s="3" t="s">
        <v>671</v>
      </c>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c r="A86" s="3" t="s">
        <v>672</v>
      </c>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c r="A87" s="3" t="s">
        <v>673</v>
      </c>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c r="A88" s="3" t="s">
        <v>674</v>
      </c>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c r="A89" s="3"/>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c r="A90" s="3" t="s">
        <v>554</v>
      </c>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c r="A91" s="3" t="s">
        <v>556</v>
      </c>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c r="A92" s="3"/>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c r="A93" s="3"/>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c r="A94" s="3" t="s">
        <v>675</v>
      </c>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c r="A95" s="3" t="s">
        <v>676</v>
      </c>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c r="A96" s="3"/>
      <c r="B96" s="2"/>
      <c r="C96" s="2"/>
      <c r="D96" s="2"/>
      <c r="E96" s="2"/>
      <c r="F96" s="2"/>
      <c r="N96" s="2"/>
      <c r="O96" s="2"/>
      <c r="P96" s="2"/>
      <c r="Q96" s="2"/>
      <c r="R96" s="2"/>
      <c r="S96" s="2"/>
      <c r="T96" s="2"/>
      <c r="U96" s="2"/>
      <c r="V96" s="2"/>
      <c r="W96" s="2"/>
      <c r="X96" s="2"/>
      <c r="Y96" s="2"/>
      <c r="Z96" s="2"/>
    </row>
    <row r="97" spans="1:26" ht="12.75" customHeight="1">
      <c r="A97" s="3" t="s">
        <v>677</v>
      </c>
      <c r="B97" s="2"/>
      <c r="C97" s="2"/>
      <c r="D97" s="2"/>
      <c r="E97" s="2"/>
      <c r="F97" s="2"/>
      <c r="N97" s="2"/>
      <c r="O97" s="2"/>
      <c r="P97" s="2"/>
      <c r="Q97" s="2"/>
      <c r="R97" s="2"/>
      <c r="S97" s="2"/>
      <c r="T97" s="2"/>
      <c r="U97" s="2"/>
      <c r="V97" s="2"/>
      <c r="W97" s="2"/>
      <c r="X97" s="2"/>
      <c r="Y97" s="2"/>
      <c r="Z97" s="2"/>
    </row>
    <row r="98" spans="1:26" ht="12.75" customHeight="1">
      <c r="A98" s="3" t="s">
        <v>678</v>
      </c>
      <c r="B98" s="2"/>
      <c r="C98" s="2"/>
      <c r="D98" s="2"/>
      <c r="E98" s="2"/>
      <c r="F98" s="2"/>
      <c r="N98" s="2"/>
      <c r="O98" s="2"/>
      <c r="P98" s="2"/>
      <c r="Q98" s="2"/>
      <c r="R98" s="2"/>
      <c r="S98" s="2"/>
      <c r="T98" s="2"/>
      <c r="U98" s="2"/>
      <c r="V98" s="2"/>
      <c r="W98" s="2"/>
      <c r="X98" s="2"/>
      <c r="Y98" s="2"/>
      <c r="Z98" s="2"/>
    </row>
    <row r="99" spans="1:26" ht="12.75" customHeight="1">
      <c r="A99" s="3" t="s">
        <v>679</v>
      </c>
      <c r="B99" s="2"/>
      <c r="C99" s="2"/>
      <c r="D99" s="2"/>
      <c r="E99" s="2"/>
      <c r="F99" s="2"/>
      <c r="N99" s="2"/>
      <c r="O99" s="2"/>
      <c r="P99" s="2"/>
      <c r="Q99" s="2"/>
      <c r="R99" s="2"/>
      <c r="S99" s="2"/>
      <c r="T99" s="2"/>
      <c r="U99" s="2"/>
      <c r="V99" s="2"/>
      <c r="W99" s="2"/>
      <c r="X99" s="2"/>
      <c r="Y99" s="2"/>
      <c r="Z99" s="2"/>
    </row>
    <row r="100" spans="1:26" ht="12.75" customHeight="1">
      <c r="A100" s="3" t="s">
        <v>680</v>
      </c>
      <c r="B100" s="2"/>
      <c r="C100" s="2"/>
      <c r="D100" s="2"/>
      <c r="E100" s="2"/>
      <c r="F100" s="2"/>
      <c r="N100" s="2"/>
      <c r="O100" s="2"/>
      <c r="P100" s="2"/>
      <c r="Q100" s="2"/>
      <c r="R100" s="2"/>
      <c r="S100" s="2"/>
      <c r="T100" s="2"/>
      <c r="U100" s="2"/>
      <c r="V100" s="2"/>
      <c r="W100" s="2"/>
      <c r="X100" s="2"/>
      <c r="Y100" s="2"/>
      <c r="Z100" s="2"/>
    </row>
    <row r="101" spans="1:26" ht="12.75" customHeight="1">
      <c r="A101" s="3" t="s">
        <v>681</v>
      </c>
      <c r="B101" s="2"/>
      <c r="C101" s="2"/>
      <c r="D101" s="2"/>
      <c r="E101" s="2"/>
      <c r="F101" s="2"/>
      <c r="N101" s="2"/>
      <c r="O101" s="2"/>
      <c r="P101" s="2"/>
      <c r="Q101" s="2"/>
      <c r="R101" s="2"/>
      <c r="S101" s="2"/>
      <c r="T101" s="2"/>
      <c r="U101" s="2"/>
      <c r="V101" s="2"/>
      <c r="W101" s="2"/>
      <c r="X101" s="2"/>
      <c r="Y101" s="2"/>
      <c r="Z101" s="2"/>
    </row>
    <row r="102" spans="1:26" ht="12.75" customHeight="1">
      <c r="A102" s="3" t="s">
        <v>682</v>
      </c>
      <c r="B102" s="2"/>
      <c r="C102" s="2"/>
      <c r="D102" s="2"/>
      <c r="E102" s="2"/>
      <c r="F102" s="2"/>
      <c r="N102" s="2"/>
      <c r="O102" s="2"/>
      <c r="P102" s="2"/>
      <c r="Q102" s="2"/>
      <c r="R102" s="2"/>
      <c r="S102" s="2"/>
      <c r="T102" s="2"/>
      <c r="U102" s="2"/>
      <c r="V102" s="2"/>
      <c r="W102" s="2"/>
      <c r="X102" s="2"/>
      <c r="Y102" s="2"/>
      <c r="Z102" s="2"/>
    </row>
    <row r="103" spans="1:26" ht="12.75" customHeight="1">
      <c r="A103" s="3" t="s">
        <v>683</v>
      </c>
      <c r="B103" s="2"/>
      <c r="C103" s="2"/>
      <c r="D103" s="2"/>
      <c r="E103" s="2"/>
      <c r="F103" s="2"/>
      <c r="N103" s="2"/>
      <c r="O103" s="2"/>
      <c r="P103" s="2"/>
      <c r="Q103" s="2"/>
      <c r="R103" s="2"/>
      <c r="S103" s="2"/>
      <c r="T103" s="2"/>
      <c r="U103" s="2"/>
      <c r="V103" s="2"/>
      <c r="W103" s="2"/>
      <c r="X103" s="2"/>
      <c r="Y103" s="2"/>
      <c r="Z103" s="2"/>
    </row>
    <row r="104" spans="1:26" ht="12.75" customHeight="1">
      <c r="A104" s="3" t="s">
        <v>684</v>
      </c>
      <c r="B104" s="2"/>
      <c r="C104" s="2"/>
      <c r="D104" s="2"/>
      <c r="E104" s="2"/>
      <c r="F104" s="2"/>
      <c r="N104" s="2"/>
      <c r="O104" s="2"/>
      <c r="P104" s="2"/>
      <c r="Q104" s="2"/>
      <c r="R104" s="2"/>
      <c r="S104" s="2"/>
      <c r="T104" s="2"/>
      <c r="U104" s="2"/>
      <c r="V104" s="2"/>
      <c r="W104" s="2"/>
      <c r="X104" s="2"/>
      <c r="Y104" s="2"/>
      <c r="Z104" s="2"/>
    </row>
    <row r="105" spans="1:26" ht="12.75" customHeight="1">
      <c r="A105" s="3" t="s">
        <v>685</v>
      </c>
      <c r="B105" s="2"/>
      <c r="C105" s="2"/>
      <c r="D105" s="2"/>
      <c r="E105" s="2"/>
      <c r="F105" s="2"/>
      <c r="N105" s="2"/>
      <c r="O105" s="2"/>
      <c r="P105" s="2"/>
      <c r="Q105" s="2"/>
      <c r="R105" s="2"/>
      <c r="S105" s="2"/>
      <c r="T105" s="2"/>
      <c r="U105" s="2"/>
      <c r="V105" s="2"/>
      <c r="W105" s="2"/>
      <c r="X105" s="2"/>
      <c r="Y105" s="2"/>
      <c r="Z105" s="2"/>
    </row>
    <row r="106" spans="1:26" ht="12.75" customHeight="1">
      <c r="A106" s="3" t="s">
        <v>686</v>
      </c>
      <c r="B106" s="2"/>
      <c r="C106" s="2"/>
      <c r="D106" s="2"/>
      <c r="E106" s="2"/>
      <c r="F106" s="2"/>
      <c r="O106" s="2"/>
      <c r="P106" s="2"/>
      <c r="Q106" s="2"/>
      <c r="R106" s="2"/>
      <c r="S106" s="2"/>
      <c r="T106" s="2"/>
      <c r="U106" s="2"/>
      <c r="V106" s="2"/>
      <c r="W106" s="2"/>
      <c r="X106" s="2"/>
      <c r="Y106" s="2"/>
      <c r="Z106" s="2"/>
    </row>
    <row r="107" spans="1:26" ht="12.75" customHeight="1">
      <c r="A107" s="2"/>
      <c r="B107" s="2"/>
      <c r="C107" s="2"/>
      <c r="D107" s="2"/>
      <c r="E107" s="2"/>
      <c r="F107" s="2"/>
      <c r="N107" s="2"/>
      <c r="O107" s="2"/>
      <c r="P107" s="2"/>
      <c r="Q107" s="2"/>
      <c r="R107" s="2"/>
      <c r="S107" s="2"/>
      <c r="T107" s="2"/>
      <c r="U107" s="2"/>
      <c r="V107" s="2"/>
      <c r="W107" s="2"/>
      <c r="X107" s="2"/>
      <c r="Y107" s="2"/>
      <c r="Z107" s="2"/>
    </row>
    <row r="108" spans="1:26" ht="12.75" customHeight="1">
      <c r="A108" s="2"/>
      <c r="B108" s="2"/>
      <c r="C108" s="2"/>
      <c r="D108" s="2"/>
      <c r="E108" s="2"/>
      <c r="F108" s="2"/>
      <c r="N108" s="2"/>
      <c r="O108" s="2"/>
      <c r="P108" s="2"/>
      <c r="Q108" s="2"/>
      <c r="R108" s="2"/>
      <c r="S108" s="2"/>
      <c r="T108" s="2"/>
      <c r="U108" s="2"/>
      <c r="V108" s="2"/>
      <c r="W108" s="2"/>
      <c r="X108" s="2"/>
      <c r="Y108" s="2"/>
      <c r="Z108" s="2"/>
    </row>
    <row r="109" spans="1:26" ht="12.75" customHeight="1">
      <c r="A109" s="3"/>
      <c r="B109" s="2"/>
      <c r="C109" s="2"/>
      <c r="D109" s="2"/>
      <c r="E109" s="2"/>
      <c r="F109" s="2"/>
      <c r="P109" s="2"/>
      <c r="Q109" s="2"/>
      <c r="R109" s="2"/>
      <c r="S109" s="2"/>
      <c r="T109" s="2"/>
      <c r="U109" s="2"/>
      <c r="V109" s="2"/>
      <c r="W109" s="2"/>
      <c r="X109" s="2"/>
      <c r="Y109" s="2"/>
      <c r="Z109" s="2"/>
    </row>
    <row r="110" spans="1:26" ht="12.75" customHeight="1">
      <c r="A110" s="3" t="s">
        <v>692</v>
      </c>
      <c r="B110" s="2"/>
      <c r="C110" s="2"/>
      <c r="D110" s="2"/>
      <c r="E110" s="2"/>
      <c r="F110" s="2"/>
      <c r="P110" s="2"/>
      <c r="Q110" s="2"/>
      <c r="R110" s="2"/>
      <c r="S110" s="2"/>
      <c r="T110" s="2"/>
      <c r="U110" s="2"/>
      <c r="V110" s="2"/>
      <c r="W110" s="2"/>
      <c r="X110" s="2"/>
      <c r="Y110" s="2"/>
      <c r="Z110" s="2"/>
    </row>
    <row r="111" spans="1:26" ht="12.75" customHeight="1">
      <c r="A111" s="3" t="s">
        <v>693</v>
      </c>
      <c r="B111" s="2"/>
      <c r="C111" s="2"/>
      <c r="D111" s="2"/>
      <c r="E111" s="2"/>
      <c r="F111" s="2"/>
      <c r="P111" s="2"/>
      <c r="Q111" s="2"/>
      <c r="R111" s="2"/>
      <c r="S111" s="2"/>
      <c r="T111" s="2"/>
      <c r="U111" s="2"/>
      <c r="V111" s="2"/>
      <c r="W111" s="2"/>
      <c r="X111" s="2"/>
      <c r="Y111" s="2"/>
      <c r="Z111" s="2"/>
    </row>
    <row r="112" spans="1:26" ht="12.75" customHeight="1">
      <c r="A112" s="3" t="s">
        <v>694</v>
      </c>
      <c r="B112" s="2"/>
      <c r="C112" s="2"/>
      <c r="D112" s="2"/>
      <c r="E112" s="2"/>
      <c r="F112" s="2"/>
      <c r="P112" s="2"/>
      <c r="Q112" s="2"/>
      <c r="R112" s="2"/>
      <c r="S112" s="2"/>
      <c r="T112" s="2"/>
      <c r="U112" s="2"/>
      <c r="V112" s="2"/>
      <c r="W112" s="2"/>
      <c r="X112" s="2"/>
      <c r="Y112" s="2"/>
      <c r="Z112" s="2"/>
    </row>
    <row r="113" spans="1:26" ht="12.75" customHeight="1">
      <c r="A113" s="3" t="s">
        <v>695</v>
      </c>
      <c r="B113" s="2"/>
      <c r="C113" s="2"/>
      <c r="D113" s="2"/>
      <c r="E113" s="2"/>
      <c r="F113" s="2"/>
      <c r="P113" s="2"/>
      <c r="Q113" s="2"/>
      <c r="R113" s="2"/>
      <c r="S113" s="2"/>
      <c r="T113" s="2"/>
      <c r="U113" s="2"/>
      <c r="V113" s="2"/>
      <c r="W113" s="2"/>
      <c r="X113" s="2"/>
      <c r="Y113" s="2"/>
      <c r="Z113" s="2"/>
    </row>
    <row r="114" spans="1:26" ht="12.75" customHeight="1">
      <c r="A114" s="3" t="s">
        <v>696</v>
      </c>
      <c r="B114" s="2"/>
      <c r="C114" s="2"/>
      <c r="D114" s="2"/>
      <c r="E114" s="2"/>
      <c r="F114" s="2"/>
      <c r="N114" s="2"/>
      <c r="O114" s="2"/>
      <c r="P114" s="2"/>
      <c r="Q114" s="2"/>
      <c r="R114" s="2"/>
      <c r="S114" s="2"/>
      <c r="T114" s="2"/>
      <c r="U114" s="2"/>
      <c r="V114" s="2"/>
      <c r="W114" s="2"/>
      <c r="X114" s="2"/>
      <c r="Y114" s="2"/>
      <c r="Z114" s="2"/>
    </row>
    <row r="115" spans="1:26" ht="12.75" customHeight="1">
      <c r="A115" s="3" t="s">
        <v>697</v>
      </c>
      <c r="B115" s="2"/>
      <c r="C115" s="2"/>
      <c r="D115" s="2"/>
      <c r="E115" s="2"/>
      <c r="F115" s="2"/>
      <c r="N115" s="2"/>
      <c r="O115" s="2"/>
      <c r="P115" s="2"/>
      <c r="Q115" s="2"/>
      <c r="R115" s="2"/>
      <c r="S115" s="2"/>
      <c r="T115" s="2"/>
      <c r="U115" s="2"/>
      <c r="V115" s="2"/>
      <c r="W115" s="2"/>
      <c r="X115" s="2"/>
      <c r="Y115" s="2"/>
      <c r="Z115" s="2"/>
    </row>
    <row r="116" spans="1:26" ht="12.75" customHeight="1">
      <c r="A116" s="3" t="s">
        <v>698</v>
      </c>
      <c r="B116" s="2"/>
      <c r="C116" s="2"/>
      <c r="D116" s="2"/>
      <c r="E116" s="2"/>
      <c r="F116" s="2"/>
      <c r="N116" s="2"/>
      <c r="O116" s="2"/>
      <c r="P116" s="2"/>
      <c r="Q116" s="2"/>
      <c r="R116" s="2"/>
      <c r="S116" s="2"/>
      <c r="T116" s="2"/>
      <c r="U116" s="2"/>
      <c r="V116" s="2"/>
      <c r="W116" s="2"/>
      <c r="X116" s="2"/>
      <c r="Y116" s="2"/>
      <c r="Z116" s="2"/>
    </row>
    <row r="117" spans="1:26" ht="12.75" customHeight="1">
      <c r="A117" s="3" t="s">
        <v>699</v>
      </c>
      <c r="B117" s="2"/>
      <c r="C117" s="2"/>
      <c r="D117" s="2"/>
      <c r="E117" s="2"/>
      <c r="F117" s="2"/>
      <c r="N117" s="2"/>
      <c r="O117" s="2"/>
      <c r="P117" s="2"/>
      <c r="Q117" s="2"/>
      <c r="R117" s="2"/>
      <c r="S117" s="2"/>
      <c r="T117" s="2"/>
      <c r="U117" s="2"/>
      <c r="V117" s="2"/>
      <c r="W117" s="2"/>
      <c r="X117" s="2"/>
      <c r="Y117" s="2"/>
      <c r="Z117" s="2"/>
    </row>
    <row r="118" spans="1:26" ht="12.75" customHeight="1">
      <c r="A118" s="3" t="s">
        <v>700</v>
      </c>
      <c r="B118" s="2"/>
      <c r="C118" s="2"/>
      <c r="D118" s="2"/>
      <c r="E118" s="2"/>
      <c r="F118" s="2"/>
      <c r="N118" s="2"/>
      <c r="O118" s="2"/>
      <c r="P118" s="2"/>
      <c r="Q118" s="2"/>
      <c r="R118" s="2"/>
      <c r="S118" s="2"/>
      <c r="T118" s="2"/>
      <c r="U118" s="2"/>
      <c r="V118" s="2"/>
      <c r="W118" s="2"/>
      <c r="X118" s="2"/>
      <c r="Y118" s="2"/>
      <c r="Z118" s="2"/>
    </row>
    <row r="119" spans="1:26" ht="12.75" customHeight="1">
      <c r="A119" s="3" t="s">
        <v>701</v>
      </c>
      <c r="B119" s="2"/>
      <c r="C119" s="2"/>
      <c r="D119" s="2"/>
      <c r="E119" s="2"/>
      <c r="F119" s="2"/>
      <c r="N119" s="2"/>
      <c r="O119" s="2"/>
      <c r="P119" s="2"/>
      <c r="Q119" s="2"/>
      <c r="R119" s="2"/>
      <c r="S119" s="2"/>
      <c r="T119" s="2"/>
      <c r="U119" s="2"/>
      <c r="V119" s="2"/>
      <c r="W119" s="2"/>
      <c r="X119" s="2"/>
      <c r="Y119" s="2"/>
      <c r="Z119" s="2"/>
    </row>
    <row r="120" spans="1:26" ht="12.75" customHeight="1">
      <c r="A120" s="2"/>
      <c r="B120" s="2"/>
      <c r="C120" s="2"/>
      <c r="D120" s="2"/>
      <c r="E120" s="2"/>
      <c r="F120" s="2"/>
      <c r="N120" s="2"/>
      <c r="O120" s="2"/>
      <c r="P120" s="2"/>
      <c r="Q120" s="2"/>
      <c r="R120" s="2"/>
      <c r="S120" s="2"/>
      <c r="T120" s="2"/>
      <c r="U120" s="2"/>
      <c r="V120" s="2"/>
      <c r="W120" s="2"/>
      <c r="X120" s="2"/>
      <c r="Y120" s="2"/>
      <c r="Z120" s="2"/>
    </row>
    <row r="121" spans="1:26" ht="12.75" customHeight="1">
      <c r="A121" s="2"/>
      <c r="B121" s="2"/>
      <c r="C121" s="2"/>
      <c r="D121" s="2"/>
      <c r="E121" s="2"/>
      <c r="F121" s="2"/>
      <c r="N121" s="2"/>
      <c r="O121" s="2"/>
      <c r="P121" s="2"/>
      <c r="Q121" s="2"/>
      <c r="R121" s="2"/>
      <c r="S121" s="2"/>
      <c r="T121" s="2"/>
      <c r="U121" s="2"/>
      <c r="V121" s="2"/>
      <c r="W121" s="2"/>
      <c r="X121" s="2"/>
      <c r="Y121" s="2"/>
      <c r="Z121" s="2"/>
    </row>
    <row r="122" spans="1:26" ht="12.75" customHeight="1">
      <c r="A122" s="2"/>
      <c r="B122" s="2"/>
      <c r="C122" s="2"/>
      <c r="D122" s="2"/>
      <c r="E122" s="2"/>
      <c r="F122" s="2"/>
      <c r="N122" s="2"/>
      <c r="O122" s="2"/>
      <c r="P122" s="2"/>
      <c r="Q122" s="2"/>
      <c r="R122" s="2"/>
      <c r="S122" s="2"/>
      <c r="T122" s="2"/>
      <c r="U122" s="2"/>
      <c r="V122" s="2"/>
      <c r="W122" s="2"/>
      <c r="X122" s="2"/>
      <c r="Y122" s="2"/>
      <c r="Z122" s="2"/>
    </row>
    <row r="123" spans="1:26" ht="12.75" customHeight="1">
      <c r="A123" s="2"/>
      <c r="B123" s="2"/>
      <c r="C123" s="2"/>
      <c r="D123" s="2"/>
      <c r="E123" s="2"/>
      <c r="F123" s="2"/>
      <c r="N123" s="2"/>
      <c r="O123" s="2"/>
      <c r="P123" s="2"/>
      <c r="Q123" s="2"/>
      <c r="R123" s="2"/>
      <c r="S123" s="2"/>
      <c r="T123" s="2"/>
      <c r="U123" s="2"/>
      <c r="V123" s="2"/>
      <c r="W123" s="2"/>
      <c r="X123" s="2"/>
      <c r="Y123" s="2"/>
      <c r="Z123" s="2"/>
    </row>
    <row r="124" spans="1:26" ht="12.75" customHeight="1">
      <c r="A124" s="2"/>
      <c r="B124" s="2"/>
      <c r="C124" s="2"/>
      <c r="D124" s="2"/>
      <c r="E124" s="2"/>
      <c r="F124" s="2"/>
      <c r="N124" s="2"/>
      <c r="O124" s="2"/>
      <c r="P124" s="2"/>
      <c r="Q124" s="2"/>
      <c r="R124" s="2"/>
      <c r="S124" s="2"/>
      <c r="T124" s="2"/>
      <c r="U124" s="2"/>
      <c r="V124" s="2"/>
      <c r="W124" s="2"/>
      <c r="X124" s="2"/>
      <c r="Y124" s="2"/>
      <c r="Z124" s="2"/>
    </row>
    <row r="125" spans="1:26" ht="12.75" customHeight="1">
      <c r="A125" s="2"/>
      <c r="B125" s="2"/>
      <c r="C125" s="2"/>
      <c r="D125" s="2"/>
      <c r="E125" s="2"/>
      <c r="F125" s="2"/>
      <c r="N125" s="2"/>
      <c r="O125" s="2"/>
      <c r="P125" s="2"/>
      <c r="Q125" s="2"/>
      <c r="R125" s="2"/>
      <c r="S125" s="2"/>
      <c r="T125" s="2"/>
      <c r="U125" s="2"/>
      <c r="V125" s="2"/>
      <c r="W125" s="2"/>
      <c r="X125" s="2"/>
      <c r="Y125" s="2"/>
      <c r="Z125" s="2"/>
    </row>
    <row r="126" spans="1:26" ht="12.75" customHeight="1">
      <c r="A126" s="2"/>
      <c r="B126" s="2"/>
      <c r="C126" s="2"/>
      <c r="D126" s="2"/>
      <c r="E126" s="2"/>
      <c r="F126" s="2"/>
      <c r="N126" s="2"/>
      <c r="O126" s="2"/>
      <c r="P126" s="2"/>
      <c r="Q126" s="2"/>
      <c r="R126" s="2"/>
      <c r="S126" s="2"/>
      <c r="T126" s="2"/>
      <c r="U126" s="2"/>
      <c r="V126" s="2"/>
      <c r="W126" s="2"/>
      <c r="X126" s="2"/>
      <c r="Y126" s="2"/>
      <c r="Z126" s="2"/>
    </row>
    <row r="127" spans="1:26" ht="12.75" customHeight="1">
      <c r="A127" s="2"/>
      <c r="B127" s="2"/>
      <c r="C127" s="2"/>
      <c r="D127" s="2"/>
      <c r="E127" s="2"/>
      <c r="F127" s="2"/>
      <c r="N127" s="2"/>
      <c r="O127" s="2"/>
      <c r="P127" s="2"/>
      <c r="Q127" s="2"/>
      <c r="R127" s="2"/>
      <c r="S127" s="2"/>
      <c r="T127" s="2"/>
      <c r="U127" s="2"/>
      <c r="V127" s="2"/>
      <c r="W127" s="2"/>
      <c r="X127" s="2"/>
      <c r="Y127" s="2"/>
      <c r="Z127" s="2"/>
    </row>
    <row r="128" spans="1:26" ht="12.75" customHeight="1">
      <c r="A128" s="2"/>
      <c r="B128" s="2"/>
      <c r="C128" s="2"/>
      <c r="D128" s="2"/>
      <c r="E128" s="2"/>
      <c r="F128" s="2"/>
      <c r="N128" s="2"/>
      <c r="O128" s="2"/>
      <c r="P128" s="2"/>
      <c r="Q128" s="2"/>
      <c r="R128" s="2"/>
      <c r="S128" s="2"/>
      <c r="T128" s="2"/>
      <c r="U128" s="2"/>
      <c r="V128" s="2"/>
      <c r="W128" s="2"/>
      <c r="X128" s="2"/>
      <c r="Y128" s="2"/>
      <c r="Z128" s="2"/>
    </row>
    <row r="129" spans="1:26" ht="12.75" customHeight="1">
      <c r="A129" s="2"/>
      <c r="B129" s="2"/>
      <c r="C129" s="2"/>
      <c r="D129" s="2"/>
      <c r="E129" s="2"/>
      <c r="F129" s="2"/>
      <c r="N129" s="2"/>
      <c r="O129" s="2"/>
      <c r="P129" s="2"/>
      <c r="Q129" s="2"/>
      <c r="R129" s="2"/>
      <c r="S129" s="2"/>
      <c r="T129" s="2"/>
      <c r="U129" s="2"/>
      <c r="V129" s="2"/>
      <c r="W129" s="2"/>
      <c r="X129" s="2"/>
      <c r="Y129" s="2"/>
      <c r="Z129" s="2"/>
    </row>
    <row r="130" spans="1:26" ht="12.75" customHeight="1">
      <c r="A130" s="2"/>
      <c r="B130" s="2"/>
      <c r="C130" s="2"/>
      <c r="D130" s="2"/>
      <c r="E130" s="2"/>
      <c r="F130" s="2"/>
      <c r="N130" s="2"/>
      <c r="O130" s="2"/>
      <c r="P130" s="2"/>
      <c r="Q130" s="2"/>
      <c r="R130" s="2"/>
      <c r="S130" s="2"/>
      <c r="T130" s="2"/>
      <c r="U130" s="2"/>
      <c r="V130" s="2"/>
      <c r="W130" s="2"/>
      <c r="X130" s="2"/>
      <c r="Y130" s="2"/>
      <c r="Z130" s="2"/>
    </row>
    <row r="131" spans="1:26" ht="12.75" customHeight="1">
      <c r="A131" s="2"/>
      <c r="B131" s="2"/>
      <c r="C131" s="2"/>
      <c r="D131" s="2"/>
      <c r="E131" s="2"/>
      <c r="F131" s="2"/>
      <c r="N131" s="2"/>
      <c r="O131" s="2"/>
      <c r="P131" s="2"/>
      <c r="Q131" s="2"/>
      <c r="R131" s="2"/>
      <c r="S131" s="2"/>
      <c r="T131" s="2"/>
      <c r="U131" s="2"/>
      <c r="V131" s="2"/>
      <c r="W131" s="2"/>
      <c r="X131" s="2"/>
      <c r="Y131" s="2"/>
      <c r="Z131" s="2"/>
    </row>
    <row r="132" spans="1:26" ht="12.75" customHeight="1">
      <c r="A132" s="2"/>
      <c r="B132" s="2"/>
      <c r="C132" s="2"/>
      <c r="D132" s="2"/>
      <c r="E132" s="2"/>
      <c r="F132" s="2"/>
      <c r="N132" s="2"/>
      <c r="O132" s="2"/>
      <c r="P132" s="2"/>
      <c r="Q132" s="2"/>
      <c r="R132" s="2"/>
      <c r="S132" s="2"/>
      <c r="T132" s="2"/>
      <c r="U132" s="2"/>
      <c r="V132" s="2"/>
      <c r="W132" s="2"/>
      <c r="X132" s="2"/>
      <c r="Y132" s="2"/>
      <c r="Z132" s="2"/>
    </row>
    <row r="133" spans="1:26" ht="12.75" customHeight="1">
      <c r="A133" s="2"/>
      <c r="B133" s="2"/>
      <c r="C133" s="2"/>
      <c r="D133" s="2"/>
      <c r="E133" s="2"/>
      <c r="F133" s="2"/>
      <c r="N133" s="2"/>
      <c r="O133" s="2"/>
      <c r="P133" s="2"/>
      <c r="Q133" s="2"/>
      <c r="R133" s="2"/>
      <c r="S133" s="2"/>
      <c r="T133" s="2"/>
      <c r="U133" s="2"/>
      <c r="V133" s="2"/>
      <c r="W133" s="2"/>
      <c r="X133" s="2"/>
      <c r="Y133" s="2"/>
      <c r="Z133" s="2"/>
    </row>
    <row r="134" spans="1:26" ht="12.75" customHeight="1">
      <c r="A134" s="2"/>
      <c r="B134" s="2"/>
      <c r="C134" s="2"/>
      <c r="D134" s="2"/>
      <c r="E134" s="2"/>
      <c r="F134" s="2"/>
      <c r="N134" s="2"/>
      <c r="O134" s="2"/>
      <c r="P134" s="2"/>
      <c r="Q134" s="2"/>
      <c r="R134" s="2"/>
      <c r="S134" s="2"/>
      <c r="T134" s="2"/>
      <c r="U134" s="2"/>
      <c r="V134" s="2"/>
      <c r="W134" s="2"/>
      <c r="X134" s="2"/>
      <c r="Y134" s="2"/>
      <c r="Z134" s="2"/>
    </row>
    <row r="135" spans="1:26" ht="12.75" customHeight="1">
      <c r="A135" s="2"/>
      <c r="B135" s="2"/>
      <c r="C135" s="2"/>
      <c r="D135" s="2"/>
      <c r="E135" s="2"/>
      <c r="F135" s="2"/>
      <c r="N135" s="2"/>
      <c r="O135" s="2"/>
      <c r="P135" s="2"/>
      <c r="Q135" s="2"/>
      <c r="R135" s="2"/>
      <c r="S135" s="2"/>
      <c r="T135" s="2"/>
      <c r="U135" s="2"/>
      <c r="V135" s="2"/>
      <c r="W135" s="2"/>
      <c r="X135" s="2"/>
      <c r="Y135" s="2"/>
      <c r="Z135" s="2"/>
    </row>
    <row r="136" spans="1:26" ht="12.75" customHeight="1">
      <c r="A136" s="2"/>
      <c r="B136" s="2"/>
      <c r="C136" s="2"/>
      <c r="D136" s="2"/>
      <c r="E136" s="2"/>
      <c r="F136" s="2"/>
      <c r="N136" s="2"/>
      <c r="O136" s="2"/>
      <c r="P136" s="2"/>
      <c r="Q136" s="2"/>
      <c r="R136" s="2"/>
      <c r="S136" s="2"/>
      <c r="T136" s="2"/>
      <c r="U136" s="2"/>
      <c r="V136" s="2"/>
      <c r="W136" s="2"/>
      <c r="X136" s="2"/>
      <c r="Y136" s="2"/>
      <c r="Z136" s="2"/>
    </row>
    <row r="137" spans="1:26" ht="12.75" customHeight="1">
      <c r="A137" s="2"/>
      <c r="B137" s="2"/>
      <c r="C137" s="2"/>
      <c r="D137" s="2"/>
      <c r="E137" s="2"/>
      <c r="F137" s="2"/>
      <c r="N137" s="2"/>
      <c r="O137" s="2"/>
      <c r="P137" s="2"/>
      <c r="Q137" s="2"/>
      <c r="R137" s="2"/>
      <c r="S137" s="2"/>
      <c r="T137" s="2"/>
      <c r="U137" s="2"/>
      <c r="V137" s="2"/>
      <c r="W137" s="2"/>
      <c r="X137" s="2"/>
      <c r="Y137" s="2"/>
      <c r="Z137" s="2"/>
    </row>
    <row r="138" spans="1:26" ht="12.75" customHeight="1">
      <c r="A138" s="2"/>
      <c r="B138" s="2"/>
      <c r="C138" s="2"/>
      <c r="D138" s="2"/>
      <c r="E138" s="2"/>
      <c r="F138" s="2"/>
      <c r="N138" s="2"/>
      <c r="O138" s="2"/>
      <c r="P138" s="2"/>
      <c r="Q138" s="2"/>
      <c r="R138" s="2"/>
      <c r="S138" s="2"/>
      <c r="T138" s="2"/>
      <c r="U138" s="2"/>
      <c r="V138" s="2"/>
      <c r="W138" s="2"/>
      <c r="X138" s="2"/>
      <c r="Y138" s="2"/>
      <c r="Z138" s="2"/>
    </row>
    <row r="139" spans="1:26" ht="12.75" customHeight="1">
      <c r="A139" s="2"/>
      <c r="B139" s="2"/>
      <c r="C139" s="2"/>
      <c r="D139" s="2"/>
      <c r="E139" s="2"/>
      <c r="F139" s="2"/>
      <c r="N139" s="2"/>
      <c r="O139" s="2"/>
      <c r="P139" s="2"/>
      <c r="Q139" s="2"/>
      <c r="R139" s="2"/>
      <c r="S139" s="2"/>
      <c r="T139" s="2"/>
      <c r="U139" s="2"/>
      <c r="V139" s="2"/>
      <c r="W139" s="2"/>
      <c r="X139" s="2"/>
      <c r="Y139" s="2"/>
      <c r="Z139" s="2"/>
    </row>
    <row r="140" spans="1:26" ht="12.75" customHeight="1">
      <c r="A140" s="2"/>
      <c r="B140" s="2"/>
      <c r="C140" s="2"/>
      <c r="D140" s="2"/>
      <c r="E140" s="2"/>
      <c r="F140" s="2"/>
      <c r="N140" s="2"/>
      <c r="O140" s="2"/>
      <c r="P140" s="2"/>
      <c r="Q140" s="2"/>
      <c r="R140" s="2"/>
      <c r="S140" s="2"/>
      <c r="T140" s="2"/>
      <c r="U140" s="2"/>
      <c r="V140" s="2"/>
      <c r="W140" s="2"/>
      <c r="X140" s="2"/>
      <c r="Y140" s="2"/>
      <c r="Z140" s="2"/>
    </row>
    <row r="141" spans="1:26" ht="12.75" customHeight="1">
      <c r="A141" s="2"/>
      <c r="B141" s="2"/>
      <c r="C141" s="2"/>
      <c r="D141" s="2"/>
      <c r="E141" s="2"/>
      <c r="F141" s="2"/>
      <c r="N141" s="2"/>
      <c r="O141" s="2"/>
      <c r="P141" s="2"/>
      <c r="Q141" s="2"/>
      <c r="R141" s="2"/>
      <c r="S141" s="2"/>
      <c r="T141" s="2"/>
      <c r="U141" s="2"/>
      <c r="V141" s="2"/>
      <c r="W141" s="2"/>
      <c r="X141" s="2"/>
      <c r="Y141" s="2"/>
      <c r="Z141" s="2"/>
    </row>
    <row r="142" spans="1:26" ht="12.75" customHeight="1">
      <c r="A142" s="2"/>
      <c r="B142" s="2"/>
      <c r="C142" s="2"/>
      <c r="D142" s="2"/>
      <c r="E142" s="2"/>
      <c r="F142" s="2"/>
      <c r="N142" s="2"/>
      <c r="O142" s="2"/>
      <c r="P142" s="2"/>
      <c r="Q142" s="2"/>
      <c r="R142" s="2"/>
      <c r="S142" s="2"/>
      <c r="T142" s="2"/>
      <c r="U142" s="2"/>
      <c r="V142" s="2"/>
      <c r="W142" s="2"/>
      <c r="X142" s="2"/>
      <c r="Y142" s="2"/>
      <c r="Z142" s="2"/>
    </row>
    <row r="143" spans="1:26" ht="12.75" customHeight="1">
      <c r="A143" s="2"/>
      <c r="B143" s="2"/>
      <c r="C143" s="2"/>
      <c r="D143" s="2"/>
      <c r="E143" s="2"/>
      <c r="F143" s="2"/>
      <c r="N143" s="2"/>
      <c r="O143" s="2"/>
      <c r="P143" s="2"/>
      <c r="Q143" s="2"/>
      <c r="R143" s="2"/>
      <c r="S143" s="2"/>
      <c r="T143" s="2"/>
      <c r="U143" s="2"/>
      <c r="V143" s="2"/>
      <c r="W143" s="2"/>
      <c r="X143" s="2"/>
      <c r="Y143" s="2"/>
      <c r="Z143" s="2"/>
    </row>
    <row r="144" spans="1:26" ht="12.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c r="A983" s="2"/>
      <c r="B983" s="2"/>
      <c r="C983" s="2"/>
      <c r="D983" s="2"/>
      <c r="E983" s="2"/>
      <c r="F983" s="2"/>
      <c r="P983" s="2"/>
      <c r="Q983" s="2"/>
      <c r="R983" s="2"/>
      <c r="S983" s="2"/>
      <c r="T983" s="2"/>
      <c r="U983" s="2"/>
      <c r="V983" s="2"/>
      <c r="W983" s="2"/>
      <c r="X983" s="2"/>
      <c r="Y983" s="2"/>
      <c r="Z983" s="2"/>
    </row>
    <row r="984" spans="1:26" ht="12.75" customHeight="1">
      <c r="A984" s="2"/>
      <c r="B984" s="2"/>
      <c r="C984" s="2"/>
      <c r="D984" s="2"/>
      <c r="E984" s="2"/>
      <c r="F984" s="2"/>
      <c r="P984" s="2"/>
      <c r="Q984" s="2"/>
      <c r="R984" s="2"/>
      <c r="S984" s="2"/>
      <c r="T984" s="2"/>
      <c r="U984" s="2"/>
      <c r="V984" s="2"/>
      <c r="W984" s="2"/>
      <c r="X984" s="2"/>
      <c r="Y984" s="2"/>
      <c r="Z984" s="2"/>
    </row>
    <row r="985" spans="1:26" ht="12.75" customHeight="1">
      <c r="A985" s="2"/>
      <c r="B985" s="2"/>
      <c r="C985" s="2"/>
      <c r="D985" s="2"/>
      <c r="E985" s="2"/>
      <c r="F985" s="2"/>
      <c r="P985" s="2"/>
      <c r="Q985" s="2"/>
      <c r="R985" s="2"/>
      <c r="S985" s="2"/>
      <c r="T985" s="2"/>
      <c r="U985" s="2"/>
      <c r="V985" s="2"/>
      <c r="W985" s="2"/>
      <c r="X985" s="2"/>
      <c r="Y985" s="2"/>
      <c r="Z985" s="2"/>
    </row>
    <row r="986" spans="1:26" ht="12.75" customHeight="1">
      <c r="A986" s="2"/>
      <c r="B986" s="2"/>
      <c r="C986" s="2"/>
      <c r="D986" s="2"/>
      <c r="E986" s="2"/>
      <c r="F986" s="2"/>
      <c r="P986" s="2"/>
      <c r="Q986" s="2"/>
      <c r="R986" s="2"/>
      <c r="S986" s="2"/>
      <c r="T986" s="2"/>
      <c r="U986" s="2"/>
      <c r="V986" s="2"/>
      <c r="W986" s="2"/>
      <c r="X986" s="2"/>
      <c r="Y986" s="2"/>
      <c r="Z986" s="2"/>
    </row>
    <row r="987" spans="1:26" ht="12.75" customHeight="1">
      <c r="A987" s="2"/>
      <c r="B987" s="2"/>
      <c r="C987" s="2"/>
      <c r="D987" s="2"/>
      <c r="E987" s="2"/>
      <c r="F987" s="2"/>
      <c r="P987" s="2"/>
      <c r="Q987" s="2"/>
      <c r="R987" s="2"/>
      <c r="S987" s="2"/>
      <c r="T987" s="2"/>
      <c r="U987" s="2"/>
      <c r="V987" s="2"/>
      <c r="W987" s="2"/>
      <c r="X987" s="2"/>
      <c r="Y987" s="2"/>
      <c r="Z987" s="2"/>
    </row>
    <row r="988" spans="1:26" ht="12.75" customHeight="1">
      <c r="A988" s="2"/>
      <c r="B988" s="2"/>
      <c r="C988" s="2"/>
      <c r="D988" s="2"/>
      <c r="E988" s="2"/>
      <c r="F988" s="2"/>
      <c r="P988" s="2"/>
      <c r="Q988" s="2"/>
      <c r="R988" s="2"/>
      <c r="S988" s="2"/>
      <c r="T988" s="2"/>
      <c r="U988" s="2"/>
      <c r="V988" s="2"/>
      <c r="W988" s="2"/>
      <c r="X988" s="2"/>
      <c r="Y988" s="2"/>
      <c r="Z988" s="2"/>
    </row>
    <row r="989" spans="1:26" ht="12.75" customHeight="1">
      <c r="A989" s="2"/>
      <c r="B989" s="2"/>
      <c r="C989" s="2"/>
      <c r="D989" s="2"/>
      <c r="E989" s="2"/>
      <c r="F989" s="2"/>
      <c r="P989" s="2"/>
      <c r="Q989" s="2"/>
      <c r="R989" s="2"/>
      <c r="S989" s="2"/>
      <c r="T989" s="2"/>
      <c r="U989" s="2"/>
      <c r="V989" s="2"/>
      <c r="W989" s="2"/>
      <c r="X989" s="2"/>
      <c r="Y989" s="2"/>
      <c r="Z989" s="2"/>
    </row>
    <row r="990" spans="1:26" ht="12.75" customHeight="1">
      <c r="A990" s="2"/>
      <c r="B990" s="2"/>
      <c r="C990" s="2"/>
      <c r="D990" s="2"/>
      <c r="E990" s="2"/>
      <c r="F990" s="2"/>
      <c r="P990" s="2"/>
      <c r="Q990" s="2"/>
      <c r="R990" s="2"/>
      <c r="S990" s="2"/>
      <c r="T990" s="2"/>
      <c r="U990" s="2"/>
      <c r="V990" s="2"/>
      <c r="W990" s="2"/>
      <c r="X990" s="2"/>
      <c r="Y990" s="2"/>
      <c r="Z990" s="2"/>
    </row>
    <row r="991" spans="1:26" ht="12.75" customHeight="1">
      <c r="A991" s="2"/>
      <c r="B991" s="2"/>
      <c r="C991" s="2"/>
      <c r="D991" s="2"/>
      <c r="E991" s="2"/>
      <c r="F991" s="2"/>
      <c r="P991" s="2"/>
      <c r="Q991" s="2"/>
      <c r="R991" s="2"/>
      <c r="S991" s="2"/>
      <c r="T991" s="2"/>
      <c r="U991" s="2"/>
      <c r="V991" s="2"/>
      <c r="W991" s="2"/>
      <c r="X991" s="2"/>
      <c r="Y991" s="2"/>
      <c r="Z991" s="2"/>
    </row>
    <row r="992" spans="1:26" ht="12.75" customHeight="1">
      <c r="A992" s="2"/>
      <c r="B992" s="2"/>
      <c r="C992" s="2"/>
      <c r="D992" s="2"/>
      <c r="E992" s="2"/>
      <c r="F992" s="2"/>
      <c r="P992" s="2"/>
      <c r="Q992" s="2"/>
      <c r="R992" s="2"/>
      <c r="S992" s="2"/>
      <c r="T992" s="2"/>
      <c r="U992" s="2"/>
      <c r="V992" s="2"/>
      <c r="W992" s="2"/>
      <c r="X992" s="2"/>
      <c r="Y992" s="2"/>
      <c r="Z992" s="2"/>
    </row>
    <row r="993" spans="1:26" ht="12.75" customHeight="1">
      <c r="A993" s="2"/>
      <c r="B993" s="2"/>
      <c r="C993" s="2"/>
      <c r="D993" s="2"/>
      <c r="E993" s="2"/>
      <c r="F993" s="2"/>
      <c r="P993" s="2"/>
      <c r="Q993" s="2"/>
      <c r="R993" s="2"/>
      <c r="S993" s="2"/>
      <c r="T993" s="2"/>
      <c r="U993" s="2"/>
      <c r="V993" s="2"/>
      <c r="W993" s="2"/>
      <c r="X993" s="2"/>
      <c r="Y993" s="2"/>
      <c r="Z993" s="2"/>
    </row>
    <row r="994" spans="1:26" ht="12.75" customHeight="1">
      <c r="A994" s="2"/>
      <c r="B994" s="2"/>
      <c r="C994" s="2"/>
      <c r="D994" s="2"/>
      <c r="E994" s="2"/>
      <c r="F994" s="2"/>
      <c r="P994" s="2"/>
      <c r="Q994" s="2"/>
      <c r="R994" s="2"/>
      <c r="S994" s="2"/>
      <c r="T994" s="2"/>
      <c r="U994" s="2"/>
      <c r="V994" s="2"/>
      <c r="W994" s="2"/>
      <c r="X994" s="2"/>
      <c r="Y994" s="2"/>
      <c r="Z994" s="2"/>
    </row>
    <row r="995" spans="1:26" ht="12.75" customHeight="1">
      <c r="A995" s="2"/>
      <c r="B995" s="2"/>
      <c r="C995" s="2"/>
      <c r="D995" s="2"/>
      <c r="E995" s="2"/>
      <c r="F995" s="2"/>
      <c r="P995" s="2"/>
      <c r="Q995" s="2"/>
      <c r="R995" s="2"/>
      <c r="S995" s="2"/>
      <c r="T995" s="2"/>
      <c r="U995" s="2"/>
      <c r="V995" s="2"/>
      <c r="W995" s="2"/>
      <c r="X995" s="2"/>
      <c r="Y995" s="2"/>
      <c r="Z995" s="2"/>
    </row>
    <row r="996" spans="1:26" ht="12.75" customHeight="1">
      <c r="A996" s="2"/>
      <c r="B996" s="2"/>
      <c r="C996" s="2"/>
      <c r="D996" s="2"/>
      <c r="E996" s="2"/>
      <c r="F996" s="2"/>
      <c r="P996" s="2"/>
      <c r="Q996" s="2"/>
      <c r="R996" s="2"/>
      <c r="S996" s="2"/>
      <c r="T996" s="2"/>
      <c r="U996" s="2"/>
      <c r="V996" s="2"/>
      <c r="W996" s="2"/>
      <c r="X996" s="2"/>
      <c r="Y996" s="2"/>
      <c r="Z996" s="2"/>
    </row>
    <row r="997" spans="1:26" ht="12.75" customHeight="1">
      <c r="A997" s="2"/>
      <c r="B997" s="2"/>
      <c r="C997" s="2"/>
      <c r="D997" s="2"/>
      <c r="E997" s="2"/>
      <c r="F997" s="2"/>
      <c r="P997" s="2"/>
      <c r="Q997" s="2"/>
      <c r="R997" s="2"/>
      <c r="S997" s="2"/>
      <c r="T997" s="2"/>
      <c r="U997" s="2"/>
      <c r="V997" s="2"/>
      <c r="W997" s="2"/>
      <c r="X997" s="2"/>
      <c r="Y997" s="2"/>
      <c r="Z997" s="2"/>
    </row>
    <row r="998" spans="1:26" ht="12.75" customHeight="1">
      <c r="A998" s="2"/>
      <c r="B998" s="2"/>
      <c r="C998" s="2"/>
      <c r="D998" s="2"/>
      <c r="E998" s="2"/>
      <c r="F998" s="2"/>
      <c r="P998" s="2"/>
      <c r="Q998" s="2"/>
      <c r="R998" s="2"/>
      <c r="S998" s="2"/>
      <c r="T998" s="2"/>
      <c r="U998" s="2"/>
      <c r="V998" s="2"/>
      <c r="W998" s="2"/>
      <c r="X998" s="2"/>
      <c r="Y998" s="2"/>
      <c r="Z998" s="2"/>
    </row>
    <row r="999" spans="1:26" ht="12.75" customHeight="1">
      <c r="A999" s="2"/>
      <c r="B999" s="2"/>
      <c r="C999" s="2"/>
      <c r="D999" s="2"/>
      <c r="E999" s="2"/>
      <c r="F999" s="2"/>
      <c r="P999" s="2"/>
      <c r="Q999" s="2"/>
      <c r="R999" s="2"/>
      <c r="S999" s="2"/>
      <c r="T999" s="2"/>
      <c r="U999" s="2"/>
      <c r="V999" s="2"/>
      <c r="W999" s="2"/>
      <c r="X999" s="2"/>
      <c r="Y999" s="2"/>
      <c r="Z999" s="2"/>
    </row>
    <row r="1000" spans="1:26" ht="12.75" customHeight="1">
      <c r="A1000" s="2"/>
      <c r="B1000" s="2"/>
      <c r="C1000" s="2"/>
      <c r="D1000" s="2"/>
      <c r="E1000" s="2"/>
      <c r="F1000" s="2"/>
      <c r="P1000" s="2"/>
      <c r="Q1000" s="2"/>
      <c r="R1000" s="2"/>
      <c r="S1000" s="2"/>
      <c r="T1000" s="2"/>
      <c r="U1000" s="2"/>
      <c r="V1000" s="2"/>
      <c r="W1000" s="2"/>
      <c r="X1000" s="2"/>
      <c r="Y1000" s="2"/>
      <c r="Z1000" s="2"/>
    </row>
  </sheetData>
  <mergeCells count="6">
    <mergeCell ref="A52:F55"/>
    <mergeCell ref="A62:F64"/>
    <mergeCell ref="A1:F7"/>
    <mergeCell ref="A9:F9"/>
    <mergeCell ref="A14:F15"/>
    <mergeCell ref="A39:F40"/>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7.28515625" defaultRowHeight="15" customHeight="1"/>
  <cols>
    <col min="1" max="11" width="14.42578125" customWidth="1"/>
  </cols>
  <sheetData>
    <row r="1" spans="1:26" ht="15.75" customHeight="1">
      <c r="A1" s="2" t="s">
        <v>619</v>
      </c>
      <c r="B1" s="3"/>
      <c r="C1" s="3"/>
      <c r="D1" s="3"/>
      <c r="E1" s="3"/>
      <c r="F1" s="3"/>
      <c r="G1" s="3"/>
      <c r="H1" s="3"/>
      <c r="I1" s="3"/>
      <c r="J1" s="3"/>
      <c r="K1" s="3"/>
      <c r="L1" s="3"/>
      <c r="M1" s="3"/>
      <c r="N1" s="3"/>
      <c r="O1" s="3"/>
      <c r="P1" s="3"/>
      <c r="Q1" s="3"/>
      <c r="R1" s="3"/>
      <c r="S1" s="3"/>
      <c r="T1" s="3"/>
      <c r="U1" s="3"/>
      <c r="V1" s="3"/>
      <c r="W1" s="3"/>
      <c r="X1" s="3"/>
      <c r="Y1" s="3"/>
      <c r="Z1" s="3"/>
    </row>
    <row r="2" spans="1:26" ht="15.75" customHeight="1">
      <c r="A2" s="1"/>
      <c r="B2" s="3"/>
      <c r="C2" s="3"/>
      <c r="D2" s="3"/>
      <c r="E2" s="3"/>
      <c r="F2" s="3"/>
      <c r="G2" s="3"/>
      <c r="H2" s="3"/>
      <c r="I2" s="3"/>
      <c r="J2" s="3"/>
      <c r="K2" s="3"/>
      <c r="L2" s="3"/>
      <c r="M2" s="3"/>
      <c r="N2" s="3"/>
      <c r="O2" s="3"/>
      <c r="P2" s="3"/>
      <c r="Q2" s="3"/>
      <c r="R2" s="3"/>
      <c r="S2" s="3"/>
      <c r="T2" s="3"/>
      <c r="U2" s="3"/>
      <c r="V2" s="3"/>
      <c r="W2" s="3"/>
      <c r="X2" s="3"/>
      <c r="Y2" s="3"/>
      <c r="Z2" s="3"/>
    </row>
    <row r="3" spans="1:26" ht="15.75" customHeight="1">
      <c r="A3" s="57" t="s">
        <v>620</v>
      </c>
      <c r="B3" s="3"/>
      <c r="C3" s="3"/>
      <c r="D3" s="3"/>
      <c r="E3" s="3"/>
      <c r="F3" s="3"/>
      <c r="G3" s="3"/>
      <c r="H3" s="3"/>
      <c r="I3" s="3"/>
      <c r="J3" s="3"/>
      <c r="K3" s="3"/>
      <c r="L3" s="3"/>
      <c r="M3" s="3"/>
      <c r="N3" s="3"/>
      <c r="O3" s="3"/>
      <c r="P3" s="3"/>
      <c r="Q3" s="3"/>
      <c r="R3" s="3"/>
      <c r="S3" s="3"/>
      <c r="T3" s="3"/>
      <c r="U3" s="3"/>
      <c r="V3" s="3"/>
      <c r="W3" s="3"/>
      <c r="X3" s="3"/>
      <c r="Y3" s="3"/>
      <c r="Z3" s="3"/>
    </row>
    <row r="4" spans="1:26" ht="15.75" customHeight="1">
      <c r="A4" s="1"/>
      <c r="B4" s="3"/>
      <c r="C4" s="3"/>
      <c r="D4" s="3"/>
      <c r="E4" s="3"/>
      <c r="F4" s="3"/>
      <c r="G4" s="3"/>
      <c r="H4" s="3"/>
      <c r="I4" s="3"/>
      <c r="J4" s="3"/>
      <c r="K4" s="3"/>
      <c r="L4" s="3"/>
      <c r="M4" s="3"/>
      <c r="N4" s="3"/>
      <c r="O4" s="3"/>
      <c r="P4" s="3"/>
      <c r="Q4" s="3"/>
      <c r="R4" s="3"/>
      <c r="S4" s="3"/>
      <c r="T4" s="3"/>
      <c r="U4" s="3"/>
      <c r="V4" s="3"/>
      <c r="W4" s="3"/>
      <c r="X4" s="3"/>
      <c r="Y4" s="3"/>
      <c r="Z4" s="3"/>
    </row>
    <row r="5" spans="1:26" ht="15.75" customHeight="1">
      <c r="A5" s="2" t="s">
        <v>621</v>
      </c>
      <c r="B5" s="3"/>
      <c r="C5" s="3"/>
      <c r="D5" s="3"/>
      <c r="E5" s="3"/>
      <c r="F5" s="3"/>
      <c r="G5" s="3"/>
      <c r="H5" s="3"/>
      <c r="I5" s="3"/>
      <c r="J5" s="3"/>
      <c r="K5" s="3"/>
      <c r="L5" s="3"/>
      <c r="M5" s="3"/>
      <c r="N5" s="3"/>
      <c r="O5" s="3"/>
      <c r="P5" s="3"/>
      <c r="Q5" s="3"/>
      <c r="R5" s="3"/>
      <c r="S5" s="3"/>
      <c r="T5" s="3"/>
      <c r="U5" s="3"/>
      <c r="V5" s="3"/>
      <c r="W5" s="3"/>
      <c r="X5" s="3"/>
      <c r="Y5" s="3"/>
      <c r="Z5" s="3"/>
    </row>
    <row r="6" spans="1:26" ht="15.75" customHeight="1">
      <c r="A6" s="1"/>
      <c r="B6" s="3"/>
      <c r="C6" s="3"/>
      <c r="D6" s="3"/>
      <c r="E6" s="3"/>
      <c r="F6" s="3"/>
      <c r="G6" s="3"/>
      <c r="H6" s="3"/>
      <c r="I6" s="3"/>
      <c r="J6" s="3"/>
      <c r="K6" s="3"/>
      <c r="L6" s="3"/>
      <c r="M6" s="3"/>
      <c r="N6" s="3"/>
      <c r="O6" s="3"/>
      <c r="P6" s="3"/>
      <c r="Q6" s="3"/>
      <c r="R6" s="3"/>
      <c r="S6" s="3"/>
      <c r="T6" s="3"/>
      <c r="U6" s="3"/>
      <c r="V6" s="3"/>
      <c r="W6" s="3"/>
      <c r="X6" s="3"/>
      <c r="Y6" s="3"/>
      <c r="Z6" s="3"/>
    </row>
    <row r="7" spans="1:26" ht="15.75" customHeight="1">
      <c r="A7" s="57" t="s">
        <v>622</v>
      </c>
      <c r="B7" s="3"/>
      <c r="C7" s="3"/>
      <c r="D7" s="3"/>
      <c r="E7" s="3"/>
      <c r="F7" s="3"/>
      <c r="G7" s="3"/>
      <c r="H7" s="3"/>
      <c r="I7" s="3"/>
      <c r="J7" s="3"/>
      <c r="K7" s="3"/>
      <c r="L7" s="3"/>
      <c r="M7" s="3"/>
      <c r="N7" s="3"/>
      <c r="O7" s="3"/>
      <c r="P7" s="3"/>
      <c r="Q7" s="3"/>
      <c r="R7" s="3"/>
      <c r="S7" s="3"/>
      <c r="T7" s="3"/>
      <c r="U7" s="3"/>
      <c r="V7" s="3"/>
      <c r="W7" s="3"/>
      <c r="X7" s="3"/>
      <c r="Y7" s="3"/>
      <c r="Z7" s="3"/>
    </row>
    <row r="8" spans="1:26" ht="15.75" customHeight="1">
      <c r="A8" s="1"/>
      <c r="B8" s="3"/>
      <c r="C8" s="3"/>
      <c r="D8" s="3"/>
      <c r="E8" s="3"/>
      <c r="F8" s="3"/>
      <c r="G8" s="3"/>
      <c r="H8" s="3"/>
      <c r="I8" s="3"/>
      <c r="J8" s="3"/>
      <c r="K8" s="3"/>
      <c r="L8" s="3"/>
      <c r="M8" s="3"/>
      <c r="N8" s="3"/>
      <c r="O8" s="3"/>
      <c r="P8" s="3"/>
      <c r="Q8" s="3"/>
      <c r="R8" s="3"/>
      <c r="S8" s="3"/>
      <c r="T8" s="3"/>
      <c r="U8" s="3"/>
      <c r="V8" s="3"/>
      <c r="W8" s="3"/>
      <c r="X8" s="3"/>
      <c r="Y8" s="3"/>
      <c r="Z8" s="3"/>
    </row>
    <row r="9" spans="1:26" ht="15.75" customHeight="1">
      <c r="A9" s="2" t="s">
        <v>623</v>
      </c>
      <c r="B9" s="3"/>
      <c r="C9" s="3"/>
      <c r="D9" s="3"/>
      <c r="E9" s="3"/>
      <c r="F9" s="3"/>
      <c r="G9" s="3"/>
      <c r="H9" s="3"/>
      <c r="I9" s="3"/>
      <c r="J9" s="3"/>
      <c r="K9" s="3"/>
      <c r="L9" s="3"/>
      <c r="M9" s="3"/>
      <c r="N9" s="3"/>
      <c r="O9" s="3"/>
      <c r="P9" s="3"/>
      <c r="Q9" s="3"/>
      <c r="R9" s="3"/>
      <c r="S9" s="3"/>
      <c r="T9" s="3"/>
      <c r="U9" s="3"/>
      <c r="V9" s="3"/>
      <c r="W9" s="3"/>
      <c r="X9" s="3"/>
      <c r="Y9" s="3"/>
      <c r="Z9" s="3"/>
    </row>
    <row r="10" spans="1:26" ht="15.75" customHeight="1">
      <c r="A10" s="1"/>
      <c r="B10" s="3"/>
      <c r="C10" s="3"/>
      <c r="D10" s="3"/>
      <c r="E10" s="3"/>
      <c r="F10" s="3"/>
      <c r="G10" s="3"/>
      <c r="H10" s="3"/>
      <c r="I10" s="3"/>
      <c r="J10" s="3"/>
      <c r="K10" s="3"/>
      <c r="L10" s="3"/>
      <c r="M10" s="3"/>
      <c r="N10" s="3"/>
      <c r="O10" s="3"/>
      <c r="P10" s="3"/>
      <c r="Q10" s="3"/>
      <c r="R10" s="3"/>
      <c r="S10" s="3"/>
      <c r="T10" s="3"/>
      <c r="U10" s="3"/>
      <c r="V10" s="3"/>
      <c r="W10" s="3"/>
      <c r="X10" s="3"/>
      <c r="Y10" s="3"/>
      <c r="Z10" s="3"/>
    </row>
    <row r="11" spans="1:26" ht="15.75" customHeight="1">
      <c r="A11" s="57" t="s">
        <v>624</v>
      </c>
      <c r="B11" s="3"/>
      <c r="C11" s="3"/>
      <c r="D11" s="3"/>
      <c r="E11" s="3"/>
      <c r="F11" s="3"/>
      <c r="G11" s="3"/>
      <c r="H11" s="3"/>
      <c r="I11" s="3"/>
      <c r="J11" s="3"/>
      <c r="K11" s="3"/>
      <c r="L11" s="3"/>
      <c r="M11" s="3"/>
      <c r="N11" s="3"/>
      <c r="O11" s="3"/>
      <c r="P11" s="3"/>
      <c r="Q11" s="3"/>
      <c r="R11" s="3"/>
      <c r="S11" s="3"/>
      <c r="T11" s="3"/>
      <c r="U11" s="3"/>
      <c r="V11" s="3"/>
      <c r="W11" s="3"/>
      <c r="X11" s="3"/>
      <c r="Y11" s="3"/>
      <c r="Z11" s="3"/>
    </row>
    <row r="12" spans="1:26" ht="15.75" customHeight="1">
      <c r="A12" s="1"/>
      <c r="B12" s="3"/>
      <c r="C12" s="3"/>
      <c r="D12" s="3"/>
      <c r="E12" s="3"/>
      <c r="F12" s="3"/>
      <c r="G12" s="3"/>
      <c r="H12" s="3"/>
      <c r="I12" s="3"/>
      <c r="J12" s="3"/>
      <c r="K12" s="3"/>
      <c r="L12" s="3"/>
      <c r="M12" s="3"/>
      <c r="N12" s="3"/>
      <c r="O12" s="3"/>
      <c r="P12" s="3"/>
      <c r="Q12" s="3"/>
      <c r="R12" s="3"/>
      <c r="S12" s="3"/>
      <c r="T12" s="3"/>
      <c r="U12" s="3"/>
      <c r="V12" s="3"/>
      <c r="W12" s="3"/>
      <c r="X12" s="3"/>
      <c r="Y12" s="3"/>
      <c r="Z12" s="3"/>
    </row>
    <row r="13" spans="1:26" ht="15.75" customHeight="1">
      <c r="A13" s="2" t="s">
        <v>625</v>
      </c>
      <c r="B13" s="3"/>
      <c r="C13" s="3"/>
      <c r="D13" s="3"/>
      <c r="E13" s="3"/>
      <c r="F13" s="3"/>
      <c r="G13" s="3"/>
      <c r="H13" s="3"/>
      <c r="I13" s="3"/>
      <c r="J13" s="3"/>
      <c r="K13" s="3"/>
      <c r="L13" s="3"/>
      <c r="M13" s="3"/>
      <c r="N13" s="3"/>
      <c r="O13" s="3"/>
      <c r="P13" s="3"/>
      <c r="Q13" s="3"/>
      <c r="R13" s="3"/>
      <c r="S13" s="3"/>
      <c r="T13" s="3"/>
      <c r="U13" s="3"/>
      <c r="V13" s="3"/>
      <c r="W13" s="3"/>
      <c r="X13" s="3"/>
      <c r="Y13" s="3"/>
      <c r="Z13" s="3"/>
    </row>
    <row r="14" spans="1:26" ht="15.75" customHeight="1">
      <c r="A14" s="1"/>
      <c r="B14" s="3"/>
      <c r="C14" s="3"/>
      <c r="D14" s="3"/>
      <c r="E14" s="3"/>
      <c r="F14" s="3"/>
      <c r="G14" s="3"/>
      <c r="H14" s="3"/>
      <c r="I14" s="3"/>
      <c r="J14" s="3"/>
      <c r="K14" s="3"/>
      <c r="L14" s="3"/>
      <c r="M14" s="3"/>
      <c r="N14" s="3"/>
      <c r="O14" s="3"/>
      <c r="P14" s="3"/>
      <c r="Q14" s="3"/>
      <c r="R14" s="3"/>
      <c r="S14" s="3"/>
      <c r="T14" s="3"/>
      <c r="U14" s="3"/>
      <c r="V14" s="3"/>
      <c r="W14" s="3"/>
      <c r="X14" s="3"/>
      <c r="Y14" s="3"/>
      <c r="Z14" s="3"/>
    </row>
    <row r="15" spans="1:26" ht="15.75" customHeight="1">
      <c r="A15" s="57" t="s">
        <v>626</v>
      </c>
      <c r="B15" s="3"/>
      <c r="C15" s="3"/>
      <c r="D15" s="3"/>
      <c r="E15" s="3"/>
      <c r="F15" s="3"/>
      <c r="G15" s="3"/>
      <c r="H15" s="3"/>
      <c r="I15" s="3"/>
      <c r="J15" s="3"/>
      <c r="K15" s="3"/>
      <c r="L15" s="3"/>
      <c r="M15" s="3"/>
      <c r="N15" s="3"/>
      <c r="O15" s="3"/>
      <c r="P15" s="3"/>
      <c r="Q15" s="3"/>
      <c r="R15" s="3"/>
      <c r="S15" s="3"/>
      <c r="T15" s="3"/>
      <c r="U15" s="3"/>
      <c r="V15" s="3"/>
      <c r="W15" s="3"/>
      <c r="X15" s="3"/>
      <c r="Y15" s="3"/>
      <c r="Z15" s="3"/>
    </row>
    <row r="16" spans="1:26" ht="15.75" customHeight="1">
      <c r="A16" s="1"/>
      <c r="B16" s="3"/>
      <c r="C16" s="3"/>
      <c r="D16" s="3"/>
      <c r="E16" s="3"/>
      <c r="F16" s="3"/>
      <c r="G16" s="3"/>
      <c r="H16" s="3"/>
      <c r="I16" s="3"/>
      <c r="J16" s="3"/>
      <c r="K16" s="3"/>
      <c r="L16" s="3"/>
      <c r="M16" s="3"/>
      <c r="N16" s="3"/>
      <c r="O16" s="3"/>
      <c r="P16" s="3"/>
      <c r="Q16" s="3"/>
      <c r="R16" s="3"/>
      <c r="S16" s="3"/>
      <c r="T16" s="3"/>
      <c r="U16" s="3"/>
      <c r="V16" s="3"/>
      <c r="W16" s="3"/>
      <c r="X16" s="3"/>
      <c r="Y16" s="3"/>
      <c r="Z16" s="3"/>
    </row>
    <row r="17" spans="1:26" ht="15.75" customHeight="1">
      <c r="A17" s="2" t="s">
        <v>627</v>
      </c>
      <c r="B17" s="3"/>
      <c r="C17" s="3"/>
      <c r="D17" s="3"/>
      <c r="E17" s="3"/>
      <c r="F17" s="3"/>
      <c r="G17" s="3"/>
      <c r="H17" s="3"/>
      <c r="I17" s="3"/>
      <c r="J17" s="3"/>
      <c r="K17" s="3"/>
      <c r="L17" s="3"/>
      <c r="M17" s="3"/>
      <c r="N17" s="3"/>
      <c r="O17" s="3"/>
      <c r="P17" s="3"/>
      <c r="Q17" s="3"/>
      <c r="R17" s="3"/>
      <c r="S17" s="3"/>
      <c r="T17" s="3"/>
      <c r="U17" s="3"/>
      <c r="V17" s="3"/>
      <c r="W17" s="3"/>
      <c r="X17" s="3"/>
      <c r="Y17" s="3"/>
      <c r="Z17" s="3"/>
    </row>
    <row r="18" spans="1:26" ht="15.75" customHeight="1">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5.75" customHeight="1">
      <c r="A19" s="1" t="s">
        <v>628</v>
      </c>
      <c r="B19" s="3"/>
      <c r="C19" s="3"/>
      <c r="D19" s="3"/>
      <c r="E19" s="3"/>
      <c r="F19" s="3"/>
      <c r="G19" s="3"/>
      <c r="H19" s="3"/>
      <c r="I19" s="3"/>
      <c r="J19" s="3"/>
      <c r="K19" s="3"/>
      <c r="L19" s="3"/>
      <c r="M19" s="3"/>
      <c r="N19" s="3"/>
      <c r="O19" s="3"/>
      <c r="P19" s="3"/>
      <c r="Q19" s="3"/>
      <c r="R19" s="3"/>
      <c r="S19" s="3"/>
      <c r="T19" s="3"/>
      <c r="U19" s="3"/>
      <c r="V19" s="3"/>
      <c r="W19" s="3"/>
      <c r="X19" s="3"/>
      <c r="Y19" s="3"/>
      <c r="Z19" s="3"/>
    </row>
    <row r="20" spans="1:26" ht="15.75" customHeight="1">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5.7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2.75">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2.75">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2.75">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2.75">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2.75">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2.75">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2.75">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2.75">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2.7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2.75">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2.75">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2.75">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2.75">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2.75">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2.75">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2.75">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2.75">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2.7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2.75">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2.75">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2.7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2.7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2.7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2.7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2.7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2.7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2.7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2.7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2.7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2.7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2.7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2.7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2.7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2.7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2.7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2.7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2.7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2.7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2.7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2.7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2.7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2.7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2.7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2.7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2.7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2.7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2.7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2.7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7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7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7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7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7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7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7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7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7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7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7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7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7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7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7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7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7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7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7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7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7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7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7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7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7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7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7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7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7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7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7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7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7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7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7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7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7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7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7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7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7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7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7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7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2.7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2.7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C17" sqref="C17"/>
    </sheetView>
  </sheetViews>
  <sheetFormatPr defaultRowHeight="12.75"/>
  <sheetData>
    <row r="1" spans="1:5" ht="13.5" thickBot="1">
      <c r="A1" s="62" t="s">
        <v>691</v>
      </c>
    </row>
    <row r="2" spans="1:5">
      <c r="A2" s="64" t="s">
        <v>688</v>
      </c>
      <c r="B2" s="65"/>
      <c r="C2" s="64">
        <v>0.96399999999999997</v>
      </c>
    </row>
    <row r="3" spans="1:5">
      <c r="A3" s="66" t="s">
        <v>689</v>
      </c>
      <c r="B3" s="67"/>
      <c r="C3" s="68">
        <v>0.873</v>
      </c>
    </row>
    <row r="4" spans="1:5">
      <c r="A4" s="66" t="s">
        <v>690</v>
      </c>
      <c r="B4" s="69"/>
      <c r="C4" s="66">
        <v>0.98199999999999998</v>
      </c>
    </row>
    <row r="5" spans="1:5" ht="13.5" thickBot="1">
      <c r="A5" s="70" t="s">
        <v>555</v>
      </c>
      <c r="B5" s="70">
        <v>0.94499999999999995</v>
      </c>
      <c r="C5" s="70"/>
    </row>
    <row r="7" spans="1:5">
      <c r="B7">
        <v>0.96699999999999997</v>
      </c>
      <c r="C7" s="71">
        <v>0.96399999999999997</v>
      </c>
      <c r="D7">
        <f>B7-C7</f>
        <v>3.0000000000000027E-3</v>
      </c>
      <c r="E7" s="72">
        <v>3.0000000000000001E-3</v>
      </c>
    </row>
    <row r="8" spans="1:5">
      <c r="B8">
        <v>0.88300000000000001</v>
      </c>
      <c r="C8" s="71">
        <v>0.873</v>
      </c>
      <c r="D8">
        <f>B8-C8</f>
        <v>1.0000000000000009E-2</v>
      </c>
      <c r="E8" s="73">
        <v>0.01</v>
      </c>
    </row>
    <row r="9" spans="1:5">
      <c r="B9">
        <v>0.98599999999999999</v>
      </c>
      <c r="C9" s="71">
        <v>0.98199999999999998</v>
      </c>
      <c r="D9">
        <f>B9-C9</f>
        <v>4.0000000000000036E-3</v>
      </c>
      <c r="E9" s="72">
        <v>4.0000000000000001E-3</v>
      </c>
    </row>
    <row r="10" spans="1:5">
      <c r="A10" s="62" t="s">
        <v>555</v>
      </c>
      <c r="B10">
        <f>AVERAGE(B7:B9)</f>
        <v>0.94533333333333347</v>
      </c>
      <c r="C10">
        <f>AVERAGE(C7:C9)</f>
        <v>0.93966666666666665</v>
      </c>
      <c r="D10">
        <f>B10-C10</f>
        <v>5.6666666666668197E-3</v>
      </c>
      <c r="E10" s="72">
        <v>5.7000000000000002E-3</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6"/>
  <sheetViews>
    <sheetView topLeftCell="A55" workbookViewId="0">
      <selection activeCell="E68" sqref="E68"/>
    </sheetView>
  </sheetViews>
  <sheetFormatPr defaultColWidth="17.28515625" defaultRowHeight="15" customHeight="1"/>
  <cols>
    <col min="1" max="1" width="34.85546875" customWidth="1"/>
    <col min="2" max="2" width="53.28515625" customWidth="1"/>
    <col min="3" max="3" width="24.5703125" customWidth="1"/>
    <col min="4" max="4" width="49.28515625" customWidth="1"/>
    <col min="5" max="19" width="14.42578125" customWidth="1"/>
  </cols>
  <sheetData>
    <row r="1" spans="1:26" ht="15.75" customHeight="1">
      <c r="A1" s="1" t="s">
        <v>0</v>
      </c>
      <c r="B1" s="2"/>
      <c r="C1" s="2"/>
      <c r="D1" s="2"/>
      <c r="E1" s="3"/>
      <c r="F1" s="3"/>
      <c r="G1" s="3"/>
      <c r="H1" s="3"/>
      <c r="I1" s="3"/>
      <c r="J1" s="3"/>
      <c r="K1" s="3"/>
      <c r="L1" s="3"/>
      <c r="M1" s="3"/>
      <c r="N1" s="3"/>
      <c r="O1" s="3"/>
      <c r="P1" s="3"/>
      <c r="Q1" s="3"/>
      <c r="R1" s="3"/>
      <c r="S1" s="3"/>
      <c r="T1" s="3"/>
      <c r="U1" s="3"/>
      <c r="V1" s="3"/>
      <c r="W1" s="3"/>
      <c r="X1" s="3"/>
      <c r="Y1" s="3"/>
      <c r="Z1" s="3"/>
    </row>
    <row r="2" spans="1:26" ht="15.75" customHeight="1">
      <c r="A2" s="1" t="s">
        <v>255</v>
      </c>
      <c r="B2" s="2"/>
      <c r="C2" s="2"/>
      <c r="D2" s="2"/>
      <c r="E2" s="3"/>
      <c r="F2" s="3"/>
      <c r="G2" s="3"/>
      <c r="H2" s="3"/>
      <c r="I2" s="3"/>
      <c r="J2" s="3"/>
      <c r="K2" s="3"/>
      <c r="L2" s="3"/>
      <c r="M2" s="3"/>
      <c r="N2" s="3"/>
      <c r="O2" s="3"/>
      <c r="P2" s="3"/>
      <c r="Q2" s="3"/>
      <c r="R2" s="3"/>
      <c r="S2" s="3"/>
      <c r="T2" s="3"/>
      <c r="U2" s="3"/>
      <c r="V2" s="3"/>
      <c r="W2" s="3"/>
      <c r="X2" s="3"/>
      <c r="Y2" s="3"/>
      <c r="Z2" s="3"/>
    </row>
    <row r="3" spans="1:26" ht="15.75" customHeight="1">
      <c r="A3" s="1" t="s">
        <v>256</v>
      </c>
      <c r="B3" s="2"/>
      <c r="C3" s="2"/>
      <c r="D3" s="2"/>
      <c r="E3" s="3"/>
      <c r="F3" s="3"/>
      <c r="G3" s="3"/>
      <c r="H3" s="3"/>
      <c r="I3" s="3"/>
      <c r="J3" s="3"/>
      <c r="K3" s="3"/>
      <c r="L3" s="3"/>
      <c r="M3" s="3"/>
      <c r="N3" s="3"/>
      <c r="O3" s="3"/>
      <c r="P3" s="3"/>
      <c r="Q3" s="3"/>
      <c r="R3" s="3"/>
      <c r="S3" s="3"/>
      <c r="T3" s="3"/>
      <c r="U3" s="3"/>
      <c r="V3" s="3"/>
      <c r="W3" s="3"/>
      <c r="X3" s="3"/>
      <c r="Y3" s="3"/>
      <c r="Z3" s="3"/>
    </row>
    <row r="4" spans="1:26" ht="15.75" customHeight="1">
      <c r="A4" s="1" t="s">
        <v>257</v>
      </c>
      <c r="B4" s="2"/>
      <c r="C4" s="2"/>
      <c r="D4" s="2"/>
      <c r="E4" s="3"/>
      <c r="F4" s="3"/>
      <c r="G4" s="3"/>
      <c r="H4" s="3"/>
      <c r="I4" s="3"/>
      <c r="J4" s="3"/>
      <c r="K4" s="3"/>
      <c r="L4" s="3"/>
      <c r="M4" s="3"/>
      <c r="N4" s="3"/>
      <c r="O4" s="3"/>
      <c r="P4" s="3"/>
      <c r="Q4" s="3"/>
      <c r="R4" s="3"/>
      <c r="S4" s="3"/>
      <c r="T4" s="3"/>
      <c r="U4" s="3"/>
      <c r="V4" s="3"/>
      <c r="W4" s="3"/>
      <c r="X4" s="3"/>
      <c r="Y4" s="3"/>
      <c r="Z4" s="3"/>
    </row>
    <row r="5" spans="1:26" ht="15.75" customHeight="1">
      <c r="A5" s="1" t="s">
        <v>258</v>
      </c>
      <c r="B5" s="2"/>
      <c r="C5" s="2"/>
      <c r="D5" s="2"/>
      <c r="E5" s="3"/>
      <c r="F5" s="3"/>
      <c r="G5" s="3"/>
      <c r="H5" s="3"/>
      <c r="I5" s="3"/>
      <c r="J5" s="3"/>
      <c r="K5" s="3"/>
      <c r="L5" s="3"/>
      <c r="M5" s="3"/>
      <c r="N5" s="3"/>
      <c r="O5" s="3"/>
      <c r="P5" s="3"/>
      <c r="Q5" s="3"/>
      <c r="R5" s="3"/>
      <c r="S5" s="3"/>
      <c r="T5" s="3"/>
      <c r="U5" s="3"/>
      <c r="V5" s="3"/>
      <c r="W5" s="3"/>
      <c r="X5" s="3"/>
      <c r="Y5" s="3"/>
      <c r="Z5" s="3"/>
    </row>
    <row r="6" spans="1:26" ht="15.75" customHeight="1">
      <c r="A6" s="1" t="s">
        <v>259</v>
      </c>
      <c r="B6" s="2"/>
      <c r="C6" s="2"/>
      <c r="D6" s="2"/>
      <c r="E6" s="3"/>
      <c r="F6" s="3"/>
      <c r="G6" s="3"/>
      <c r="H6" s="3"/>
      <c r="I6" s="3"/>
      <c r="J6" s="3"/>
      <c r="K6" s="3"/>
      <c r="L6" s="3"/>
      <c r="M6" s="3"/>
      <c r="N6" s="3"/>
      <c r="O6" s="3"/>
      <c r="P6" s="3"/>
      <c r="Q6" s="3"/>
      <c r="R6" s="3"/>
      <c r="S6" s="3"/>
      <c r="T6" s="3"/>
      <c r="U6" s="3"/>
      <c r="V6" s="3"/>
      <c r="W6" s="3"/>
      <c r="X6" s="3"/>
      <c r="Y6" s="3"/>
      <c r="Z6" s="3"/>
    </row>
    <row r="7" spans="1:26" ht="15.75" customHeight="1">
      <c r="A7" s="4" t="s">
        <v>260</v>
      </c>
      <c r="B7" s="4" t="s">
        <v>261</v>
      </c>
      <c r="C7" s="26">
        <v>42403</v>
      </c>
      <c r="D7" s="4" t="s">
        <v>262</v>
      </c>
      <c r="E7" s="3"/>
      <c r="F7" s="3"/>
      <c r="G7" s="3"/>
      <c r="H7" s="3"/>
      <c r="I7" s="3"/>
      <c r="J7" s="3"/>
      <c r="K7" s="3"/>
      <c r="L7" s="3"/>
      <c r="M7" s="3"/>
      <c r="N7" s="3"/>
      <c r="O7" s="3"/>
      <c r="P7" s="3"/>
      <c r="Q7" s="3"/>
      <c r="R7" s="3"/>
      <c r="S7" s="3"/>
      <c r="T7" s="3"/>
      <c r="U7" s="3"/>
      <c r="V7" s="3"/>
      <c r="W7" s="3"/>
      <c r="X7" s="3"/>
      <c r="Y7" s="3"/>
      <c r="Z7" s="3"/>
    </row>
    <row r="8" spans="1:26" ht="15.75" customHeight="1">
      <c r="A8" s="4" t="s">
        <v>261</v>
      </c>
      <c r="B8" s="6" t="s">
        <v>263</v>
      </c>
      <c r="C8" s="6" t="s">
        <v>263</v>
      </c>
      <c r="D8" s="6" t="s">
        <v>264</v>
      </c>
      <c r="E8" s="3"/>
      <c r="F8" s="3"/>
      <c r="G8" s="3"/>
      <c r="H8" s="3"/>
      <c r="I8" s="3"/>
      <c r="J8" s="3"/>
      <c r="K8" s="3"/>
      <c r="L8" s="3"/>
      <c r="M8" s="3"/>
      <c r="N8" s="3"/>
      <c r="O8" s="3"/>
      <c r="P8" s="3"/>
      <c r="Q8" s="3"/>
      <c r="R8" s="3"/>
      <c r="S8" s="3"/>
      <c r="T8" s="3"/>
      <c r="U8" s="3"/>
      <c r="V8" s="3"/>
      <c r="W8" s="3"/>
      <c r="X8" s="3"/>
      <c r="Y8" s="3"/>
      <c r="Z8" s="3"/>
    </row>
    <row r="9" spans="1:26" ht="15.75" customHeight="1">
      <c r="A9" s="26">
        <v>42403</v>
      </c>
      <c r="B9" s="6" t="s">
        <v>263</v>
      </c>
      <c r="C9" s="6" t="s">
        <v>264</v>
      </c>
      <c r="D9" s="6" t="s">
        <v>265</v>
      </c>
      <c r="E9" s="3"/>
      <c r="F9" s="3"/>
      <c r="G9" s="3"/>
      <c r="H9" s="3"/>
      <c r="I9" s="3"/>
      <c r="J9" s="3"/>
      <c r="K9" s="3"/>
      <c r="L9" s="3"/>
      <c r="M9" s="3"/>
      <c r="N9" s="3"/>
      <c r="O9" s="3"/>
      <c r="P9" s="3"/>
      <c r="Q9" s="3"/>
      <c r="R9" s="3"/>
      <c r="S9" s="3"/>
      <c r="T9" s="3"/>
      <c r="U9" s="3"/>
      <c r="V9" s="3"/>
      <c r="W9" s="3"/>
      <c r="X9" s="3"/>
      <c r="Y9" s="3"/>
      <c r="Z9" s="3"/>
    </row>
    <row r="10" spans="1:26" ht="15.75" customHeight="1">
      <c r="A10" s="4" t="s">
        <v>262</v>
      </c>
      <c r="B10" s="6" t="s">
        <v>264</v>
      </c>
      <c r="C10" s="6" t="s">
        <v>265</v>
      </c>
      <c r="D10" s="6" t="s">
        <v>265</v>
      </c>
      <c r="E10" s="3"/>
      <c r="F10" s="3"/>
      <c r="G10" s="3"/>
      <c r="H10" s="3"/>
      <c r="I10" s="3"/>
      <c r="J10" s="3"/>
      <c r="K10" s="3"/>
      <c r="L10" s="3"/>
      <c r="M10" s="3"/>
      <c r="N10" s="3"/>
      <c r="O10" s="3"/>
      <c r="P10" s="3"/>
      <c r="Q10" s="3"/>
      <c r="R10" s="3"/>
      <c r="S10" s="3"/>
      <c r="T10" s="3"/>
      <c r="U10" s="3"/>
      <c r="V10" s="3"/>
      <c r="W10" s="3"/>
      <c r="X10" s="3"/>
      <c r="Y10" s="3"/>
      <c r="Z10" s="3"/>
    </row>
    <row r="11" spans="1:26" ht="15.75" customHeight="1">
      <c r="A11" s="1"/>
      <c r="B11" s="2"/>
      <c r="C11" s="2"/>
      <c r="D11" s="2"/>
      <c r="E11" s="3"/>
      <c r="F11" s="3"/>
      <c r="G11" s="3"/>
      <c r="H11" s="3"/>
      <c r="I11" s="3"/>
      <c r="J11" s="3"/>
      <c r="K11" s="3"/>
      <c r="L11" s="3"/>
      <c r="M11" s="3"/>
      <c r="N11" s="3"/>
      <c r="O11" s="3"/>
      <c r="P11" s="3"/>
      <c r="Q11" s="3"/>
      <c r="R11" s="3"/>
      <c r="S11" s="3"/>
      <c r="T11" s="3"/>
      <c r="U11" s="3"/>
      <c r="V11" s="3"/>
      <c r="W11" s="3"/>
      <c r="X11" s="3"/>
      <c r="Y11" s="3"/>
      <c r="Z11" s="3"/>
    </row>
    <row r="12" spans="1:26" ht="15.75" customHeight="1">
      <c r="A12" s="1" t="s">
        <v>266</v>
      </c>
      <c r="B12" s="2"/>
      <c r="C12" s="2"/>
      <c r="D12" s="2"/>
      <c r="E12" s="3"/>
      <c r="F12" s="3"/>
      <c r="G12" s="3"/>
      <c r="H12" s="3"/>
      <c r="I12" s="3"/>
      <c r="J12" s="3"/>
      <c r="K12" s="3"/>
      <c r="L12" s="3"/>
      <c r="M12" s="3"/>
      <c r="N12" s="3"/>
      <c r="O12" s="3"/>
      <c r="P12" s="3"/>
      <c r="Q12" s="3"/>
      <c r="R12" s="3"/>
      <c r="S12" s="3"/>
      <c r="T12" s="3"/>
      <c r="U12" s="3"/>
      <c r="V12" s="3"/>
      <c r="W12" s="3"/>
      <c r="X12" s="3"/>
      <c r="Y12" s="3"/>
      <c r="Z12" s="3"/>
    </row>
    <row r="13" spans="1:26" ht="15.75" customHeight="1">
      <c r="A13" s="4" t="s">
        <v>267</v>
      </c>
      <c r="B13" s="4" t="s">
        <v>268</v>
      </c>
      <c r="C13" s="2"/>
      <c r="D13" s="2"/>
      <c r="E13" s="3"/>
      <c r="F13" s="3"/>
      <c r="G13" s="3"/>
      <c r="H13" s="3"/>
      <c r="I13" s="3"/>
      <c r="J13" s="3"/>
      <c r="K13" s="3"/>
      <c r="L13" s="3"/>
      <c r="M13" s="3"/>
      <c r="N13" s="3"/>
      <c r="O13" s="3"/>
      <c r="P13" s="3"/>
      <c r="Q13" s="3"/>
      <c r="R13" s="3"/>
      <c r="S13" s="3"/>
      <c r="T13" s="3"/>
      <c r="U13" s="3"/>
      <c r="V13" s="3"/>
      <c r="W13" s="3"/>
      <c r="X13" s="3"/>
      <c r="Y13" s="3"/>
      <c r="Z13" s="3"/>
    </row>
    <row r="14" spans="1:26" ht="15.75" customHeight="1">
      <c r="A14" s="6" t="s">
        <v>263</v>
      </c>
      <c r="B14" s="6">
        <v>1</v>
      </c>
      <c r="C14" s="2"/>
      <c r="D14" s="2"/>
      <c r="E14" s="3"/>
      <c r="F14" s="3"/>
      <c r="G14" s="3"/>
      <c r="H14" s="3"/>
      <c r="I14" s="3"/>
      <c r="J14" s="3"/>
      <c r="K14" s="3"/>
      <c r="L14" s="3"/>
      <c r="M14" s="3"/>
      <c r="N14" s="3"/>
      <c r="O14" s="3"/>
      <c r="P14" s="3"/>
      <c r="Q14" s="3"/>
      <c r="R14" s="3"/>
      <c r="S14" s="3"/>
      <c r="T14" s="3"/>
      <c r="U14" s="3"/>
      <c r="V14" s="3"/>
      <c r="W14" s="3"/>
      <c r="X14" s="3"/>
      <c r="Y14" s="3"/>
      <c r="Z14" s="3"/>
    </row>
    <row r="15" spans="1:26" ht="15.75" customHeight="1">
      <c r="A15" s="6" t="s">
        <v>264</v>
      </c>
      <c r="B15" s="6">
        <v>2</v>
      </c>
      <c r="C15" s="2"/>
      <c r="D15" s="2"/>
      <c r="E15" s="3"/>
      <c r="F15" s="3"/>
      <c r="G15" s="3"/>
      <c r="H15" s="3"/>
      <c r="I15" s="3"/>
      <c r="J15" s="3"/>
      <c r="K15" s="3"/>
      <c r="L15" s="3"/>
      <c r="M15" s="3"/>
      <c r="N15" s="3"/>
      <c r="O15" s="3"/>
      <c r="P15" s="3"/>
      <c r="Q15" s="3"/>
      <c r="R15" s="3"/>
      <c r="S15" s="3"/>
      <c r="T15" s="3"/>
      <c r="U15" s="3"/>
      <c r="V15" s="3"/>
      <c r="W15" s="3"/>
      <c r="X15" s="3"/>
      <c r="Y15" s="3"/>
      <c r="Z15" s="3"/>
    </row>
    <row r="16" spans="1:26" ht="15.75" customHeight="1">
      <c r="A16" s="6" t="s">
        <v>265</v>
      </c>
      <c r="B16" s="6">
        <v>3</v>
      </c>
      <c r="C16" s="2"/>
      <c r="D16" s="2"/>
      <c r="E16" s="3"/>
      <c r="F16" s="3"/>
      <c r="G16" s="3"/>
      <c r="H16" s="3"/>
      <c r="I16" s="3"/>
      <c r="J16" s="3"/>
      <c r="K16" s="3"/>
      <c r="L16" s="3"/>
      <c r="M16" s="3"/>
      <c r="N16" s="3"/>
      <c r="O16" s="3"/>
      <c r="P16" s="3"/>
      <c r="Q16" s="3"/>
      <c r="R16" s="3"/>
      <c r="S16" s="3"/>
      <c r="T16" s="3"/>
      <c r="U16" s="3"/>
      <c r="V16" s="3"/>
      <c r="W16" s="3"/>
      <c r="X16" s="3"/>
      <c r="Y16" s="3"/>
      <c r="Z16" s="3"/>
    </row>
    <row r="17" spans="1:26" ht="15.75" customHeight="1">
      <c r="A17" s="1"/>
      <c r="B17" s="2"/>
      <c r="C17" s="2"/>
      <c r="D17" s="2"/>
      <c r="E17" s="3"/>
      <c r="F17" s="3"/>
      <c r="G17" s="3"/>
      <c r="H17" s="3"/>
      <c r="I17" s="3"/>
      <c r="J17" s="3"/>
      <c r="K17" s="3"/>
      <c r="L17" s="3"/>
      <c r="M17" s="3"/>
      <c r="N17" s="3"/>
      <c r="O17" s="3"/>
      <c r="P17" s="3"/>
      <c r="Q17" s="3"/>
      <c r="R17" s="3"/>
      <c r="S17" s="3"/>
      <c r="T17" s="3"/>
      <c r="U17" s="3"/>
      <c r="V17" s="3"/>
      <c r="W17" s="3"/>
      <c r="X17" s="3"/>
      <c r="Y17" s="3"/>
      <c r="Z17" s="3"/>
    </row>
    <row r="18" spans="1:26" ht="15.75" customHeight="1">
      <c r="A18" s="1" t="s">
        <v>269</v>
      </c>
      <c r="B18" s="2"/>
      <c r="C18" s="2"/>
      <c r="D18" s="2"/>
      <c r="E18" s="3"/>
      <c r="F18" s="3"/>
      <c r="G18" s="3"/>
      <c r="H18" s="3"/>
      <c r="I18" s="3"/>
      <c r="J18" s="3"/>
      <c r="K18" s="3"/>
      <c r="L18" s="3"/>
      <c r="M18" s="3"/>
      <c r="N18" s="3"/>
      <c r="O18" s="3"/>
      <c r="P18" s="3"/>
      <c r="Q18" s="3"/>
      <c r="R18" s="3"/>
      <c r="S18" s="3"/>
      <c r="T18" s="3"/>
      <c r="U18" s="3"/>
      <c r="V18" s="3"/>
      <c r="W18" s="3"/>
      <c r="X18" s="3"/>
      <c r="Y18" s="3"/>
      <c r="Z18" s="3"/>
    </row>
    <row r="19" spans="1:26" ht="15.75" customHeight="1">
      <c r="A19" s="1"/>
      <c r="B19" s="2"/>
      <c r="C19" s="2"/>
      <c r="D19" s="2"/>
      <c r="E19" s="3"/>
      <c r="F19" s="3"/>
      <c r="G19" s="3"/>
      <c r="H19" s="3"/>
      <c r="I19" s="3"/>
      <c r="J19" s="3"/>
      <c r="K19" s="3"/>
      <c r="L19" s="3"/>
      <c r="M19" s="3"/>
      <c r="N19" s="3"/>
      <c r="O19" s="3"/>
      <c r="P19" s="3"/>
      <c r="Q19" s="3"/>
      <c r="R19" s="3"/>
      <c r="S19" s="3"/>
      <c r="T19" s="3"/>
      <c r="U19" s="3"/>
      <c r="V19" s="3"/>
      <c r="W19" s="3"/>
      <c r="X19" s="3"/>
      <c r="Y19" s="3"/>
      <c r="Z19" s="3"/>
    </row>
    <row r="20" spans="1:26" ht="15.75" customHeight="1">
      <c r="A20" s="1"/>
      <c r="B20" s="2"/>
      <c r="C20" s="2"/>
      <c r="D20" s="2"/>
      <c r="E20" s="3"/>
      <c r="F20" s="3"/>
      <c r="G20" s="3"/>
      <c r="H20" s="3"/>
      <c r="I20" s="3"/>
      <c r="J20" s="3"/>
      <c r="K20" s="3"/>
      <c r="L20" s="3"/>
      <c r="M20" s="3"/>
      <c r="N20" s="3"/>
      <c r="O20" s="3"/>
      <c r="P20" s="3"/>
      <c r="Q20" s="3"/>
      <c r="R20" s="3"/>
      <c r="S20" s="3"/>
      <c r="T20" s="3"/>
      <c r="U20" s="3"/>
      <c r="V20" s="3"/>
      <c r="W20" s="3"/>
      <c r="X20" s="3"/>
      <c r="Y20" s="3"/>
      <c r="Z20" s="3"/>
    </row>
    <row r="21" spans="1:26" ht="15.75" customHeight="1">
      <c r="A21" s="1"/>
      <c r="B21" s="2"/>
      <c r="C21" s="2"/>
      <c r="D21" s="2"/>
      <c r="E21" s="3"/>
      <c r="F21" s="3"/>
      <c r="G21" s="3"/>
      <c r="H21" s="3"/>
      <c r="I21" s="3"/>
      <c r="J21" s="3"/>
      <c r="K21" s="3"/>
      <c r="L21" s="3"/>
      <c r="M21" s="3"/>
      <c r="N21" s="3"/>
      <c r="O21" s="3"/>
      <c r="P21" s="3"/>
      <c r="Q21" s="3"/>
      <c r="R21" s="3"/>
      <c r="S21" s="3"/>
      <c r="T21" s="3"/>
      <c r="U21" s="3"/>
      <c r="V21" s="3"/>
      <c r="W21" s="3"/>
      <c r="X21" s="3"/>
      <c r="Y21" s="3"/>
      <c r="Z21" s="3"/>
    </row>
    <row r="22" spans="1:26" ht="15.75" customHeight="1">
      <c r="A22" s="1" t="s">
        <v>270</v>
      </c>
      <c r="B22" s="2"/>
      <c r="C22" s="2"/>
      <c r="D22" s="2"/>
      <c r="E22" s="3"/>
      <c r="F22" s="3"/>
      <c r="G22" s="3"/>
      <c r="H22" s="3"/>
      <c r="I22" s="3"/>
      <c r="J22" s="3"/>
      <c r="K22" s="3"/>
      <c r="L22" s="3"/>
      <c r="M22" s="3"/>
      <c r="N22" s="3"/>
      <c r="O22" s="3"/>
      <c r="P22" s="3"/>
      <c r="Q22" s="3"/>
      <c r="R22" s="3"/>
      <c r="S22" s="3"/>
      <c r="T22" s="3"/>
      <c r="U22" s="3"/>
      <c r="V22" s="3"/>
      <c r="W22" s="3"/>
      <c r="X22" s="3"/>
      <c r="Y22" s="3"/>
      <c r="Z22" s="3"/>
    </row>
    <row r="23" spans="1:26" ht="15.75" customHeight="1">
      <c r="A23" s="4" t="s">
        <v>10</v>
      </c>
      <c r="B23" s="4" t="s">
        <v>11</v>
      </c>
      <c r="C23" s="4" t="s">
        <v>23</v>
      </c>
      <c r="D23" s="2"/>
      <c r="E23" s="3"/>
      <c r="F23" s="3"/>
      <c r="G23" s="3"/>
      <c r="H23" s="3"/>
      <c r="I23" s="3"/>
      <c r="J23" s="3"/>
      <c r="K23" s="3"/>
      <c r="L23" s="3"/>
      <c r="M23" s="3"/>
      <c r="N23" s="3"/>
      <c r="O23" s="3"/>
      <c r="P23" s="3"/>
      <c r="Q23" s="3"/>
      <c r="R23" s="3"/>
      <c r="S23" s="3"/>
      <c r="T23" s="3"/>
      <c r="U23" s="3"/>
      <c r="V23" s="3"/>
      <c r="W23" s="3"/>
      <c r="X23" s="3"/>
      <c r="Y23" s="3"/>
      <c r="Z23" s="3"/>
    </row>
    <row r="24" spans="1:26" ht="14.25" customHeight="1">
      <c r="A24" s="6" t="s">
        <v>13</v>
      </c>
      <c r="B24" s="6" t="s">
        <v>14</v>
      </c>
      <c r="C24" s="8">
        <v>1</v>
      </c>
      <c r="D24" s="2"/>
      <c r="E24" s="3"/>
      <c r="F24" s="3"/>
      <c r="G24" s="3"/>
      <c r="H24" s="3"/>
      <c r="I24" s="3"/>
      <c r="J24" s="3"/>
      <c r="K24" s="3"/>
      <c r="L24" s="3"/>
      <c r="M24" s="3"/>
      <c r="N24" s="3"/>
      <c r="O24" s="3"/>
      <c r="P24" s="3"/>
      <c r="Q24" s="3"/>
      <c r="R24" s="3"/>
      <c r="S24" s="3"/>
      <c r="T24" s="3"/>
      <c r="U24" s="3"/>
      <c r="V24" s="3"/>
      <c r="W24" s="3"/>
      <c r="X24" s="3"/>
      <c r="Y24" s="3"/>
      <c r="Z24" s="3"/>
    </row>
    <row r="25" spans="1:26" ht="14.25" customHeight="1">
      <c r="A25" s="6" t="s">
        <v>15</v>
      </c>
      <c r="B25" s="6" t="s">
        <v>16</v>
      </c>
      <c r="C25" s="8">
        <v>2</v>
      </c>
      <c r="D25" s="2"/>
      <c r="E25" s="3"/>
      <c r="F25" s="3"/>
      <c r="G25" s="3"/>
      <c r="H25" s="3"/>
      <c r="I25" s="3"/>
      <c r="J25" s="3"/>
      <c r="K25" s="3"/>
      <c r="L25" s="3"/>
      <c r="M25" s="3"/>
      <c r="N25" s="3"/>
      <c r="O25" s="3"/>
      <c r="P25" s="3"/>
      <c r="Q25" s="3"/>
      <c r="R25" s="3"/>
      <c r="S25" s="3"/>
      <c r="T25" s="3"/>
      <c r="U25" s="3"/>
      <c r="V25" s="3"/>
      <c r="W25" s="3"/>
      <c r="X25" s="3"/>
      <c r="Y25" s="3"/>
      <c r="Z25" s="3"/>
    </row>
    <row r="26" spans="1:26" ht="14.25" customHeight="1">
      <c r="A26" s="6" t="s">
        <v>17</v>
      </c>
      <c r="B26" s="6" t="s">
        <v>18</v>
      </c>
      <c r="C26" s="8">
        <v>3</v>
      </c>
      <c r="D26" s="2"/>
      <c r="E26" s="3"/>
      <c r="F26" s="3"/>
      <c r="G26" s="3"/>
      <c r="H26" s="3"/>
      <c r="I26" s="3"/>
      <c r="J26" s="3"/>
      <c r="K26" s="3"/>
      <c r="L26" s="3"/>
      <c r="M26" s="3"/>
      <c r="N26" s="3"/>
      <c r="O26" s="3"/>
      <c r="P26" s="3"/>
      <c r="Q26" s="3"/>
      <c r="R26" s="3"/>
      <c r="S26" s="3"/>
      <c r="T26" s="3"/>
      <c r="U26" s="3"/>
      <c r="V26" s="3"/>
      <c r="W26" s="3"/>
      <c r="X26" s="3"/>
      <c r="Y26" s="3"/>
      <c r="Z26" s="3"/>
    </row>
    <row r="27" spans="1:26" ht="12.75" customHeight="1">
      <c r="A27" s="1"/>
      <c r="B27" s="2"/>
      <c r="C27" s="2"/>
      <c r="D27" s="2"/>
      <c r="E27" s="3"/>
      <c r="F27" s="3"/>
      <c r="G27" s="3"/>
      <c r="H27" s="3"/>
      <c r="I27" s="3"/>
      <c r="J27" s="3"/>
      <c r="K27" s="3"/>
      <c r="L27" s="3"/>
      <c r="M27" s="3"/>
      <c r="N27" s="3"/>
      <c r="O27" s="3"/>
      <c r="P27" s="3"/>
      <c r="Q27" s="3"/>
      <c r="R27" s="3"/>
      <c r="S27" s="3"/>
      <c r="T27" s="3"/>
      <c r="U27" s="3"/>
      <c r="V27" s="3"/>
      <c r="W27" s="3"/>
      <c r="X27" s="3"/>
      <c r="Y27" s="3"/>
      <c r="Z27" s="3"/>
    </row>
    <row r="28" spans="1:26" ht="12.75" customHeight="1">
      <c r="A28" s="1" t="s">
        <v>271</v>
      </c>
      <c r="B28" s="2"/>
      <c r="C28" s="2"/>
      <c r="D28" s="2"/>
      <c r="E28" s="3"/>
      <c r="F28" s="3"/>
      <c r="G28" s="3"/>
      <c r="H28" s="3"/>
      <c r="I28" s="3"/>
      <c r="J28" s="3"/>
      <c r="K28" s="3"/>
      <c r="L28" s="3"/>
      <c r="M28" s="3"/>
      <c r="N28" s="3"/>
      <c r="O28" s="3"/>
      <c r="P28" s="3"/>
      <c r="Q28" s="3"/>
      <c r="R28" s="3"/>
      <c r="S28" s="3"/>
      <c r="T28" s="3"/>
      <c r="U28" s="3"/>
      <c r="V28" s="3"/>
      <c r="W28" s="3"/>
      <c r="X28" s="3"/>
      <c r="Y28" s="3"/>
      <c r="Z28" s="3"/>
    </row>
    <row r="29" spans="1:26" ht="16.5" customHeight="1">
      <c r="A29" s="9" t="s">
        <v>20</v>
      </c>
      <c r="B29" s="2"/>
      <c r="C29" s="2"/>
      <c r="D29" s="2"/>
      <c r="E29" s="3"/>
      <c r="F29" s="3"/>
      <c r="G29" s="3"/>
      <c r="H29" s="3"/>
      <c r="I29" s="3"/>
      <c r="J29" s="3"/>
      <c r="K29" s="3"/>
      <c r="L29" s="3"/>
      <c r="M29" s="3"/>
      <c r="N29" s="3"/>
      <c r="O29" s="3"/>
      <c r="P29" s="3"/>
      <c r="Q29" s="3"/>
      <c r="R29" s="3"/>
      <c r="S29" s="3"/>
      <c r="T29" s="3"/>
      <c r="U29" s="3"/>
      <c r="V29" s="3"/>
      <c r="W29" s="3"/>
      <c r="X29" s="3"/>
      <c r="Y29" s="3"/>
      <c r="Z29" s="3"/>
    </row>
    <row r="30" spans="1:26" ht="15.75" customHeight="1">
      <c r="A30" s="10" t="s">
        <v>21</v>
      </c>
      <c r="B30" s="10" t="s">
        <v>22</v>
      </c>
      <c r="C30" s="10" t="s">
        <v>23</v>
      </c>
      <c r="D30" s="2"/>
      <c r="E30" s="3"/>
      <c r="F30" s="3"/>
      <c r="G30" s="3"/>
      <c r="H30" s="3"/>
      <c r="I30" s="3"/>
      <c r="J30" s="3"/>
      <c r="K30" s="3"/>
      <c r="L30" s="3"/>
      <c r="M30" s="3"/>
      <c r="N30" s="3"/>
      <c r="O30" s="3"/>
      <c r="P30" s="3"/>
      <c r="Q30" s="3"/>
      <c r="R30" s="3"/>
      <c r="S30" s="3"/>
      <c r="T30" s="3"/>
      <c r="U30" s="3"/>
      <c r="V30" s="3"/>
      <c r="W30" s="3"/>
      <c r="X30" s="3"/>
      <c r="Y30" s="3"/>
      <c r="Z30" s="3"/>
    </row>
    <row r="31" spans="1:26" ht="14.25" customHeight="1">
      <c r="A31" s="11" t="s">
        <v>24</v>
      </c>
      <c r="B31" s="11" t="s">
        <v>25</v>
      </c>
      <c r="C31" s="12">
        <v>2</v>
      </c>
      <c r="D31" s="2"/>
      <c r="E31" s="3"/>
      <c r="F31" s="3"/>
      <c r="G31" s="3"/>
      <c r="H31" s="3"/>
      <c r="I31" s="3"/>
      <c r="J31" s="3"/>
      <c r="K31" s="3"/>
      <c r="L31" s="3"/>
      <c r="M31" s="3"/>
      <c r="N31" s="3"/>
      <c r="O31" s="3"/>
      <c r="P31" s="3"/>
      <c r="Q31" s="3"/>
      <c r="R31" s="3"/>
      <c r="S31" s="3"/>
      <c r="T31" s="3"/>
      <c r="U31" s="3"/>
      <c r="V31" s="3"/>
      <c r="W31" s="3"/>
      <c r="X31" s="3"/>
      <c r="Y31" s="3"/>
      <c r="Z31" s="3"/>
    </row>
    <row r="32" spans="1:26" ht="14.25" customHeight="1">
      <c r="A32" s="11" t="s">
        <v>27</v>
      </c>
      <c r="B32" s="11" t="s">
        <v>28</v>
      </c>
      <c r="C32" s="12">
        <v>1</v>
      </c>
      <c r="D32" s="2"/>
      <c r="E32" s="3"/>
      <c r="F32" s="3"/>
      <c r="G32" s="3"/>
      <c r="H32" s="3"/>
      <c r="I32" s="3"/>
      <c r="J32" s="3"/>
      <c r="K32" s="3"/>
      <c r="L32" s="3"/>
      <c r="M32" s="3"/>
      <c r="N32" s="3"/>
      <c r="O32" s="3"/>
      <c r="P32" s="3"/>
      <c r="Q32" s="3"/>
      <c r="R32" s="3"/>
      <c r="S32" s="3"/>
      <c r="T32" s="3"/>
      <c r="U32" s="3"/>
      <c r="V32" s="3"/>
      <c r="W32" s="3"/>
      <c r="X32" s="3"/>
      <c r="Y32" s="3"/>
      <c r="Z32" s="3"/>
    </row>
    <row r="33" spans="1:26" ht="14.25" customHeight="1">
      <c r="A33" s="11" t="s">
        <v>30</v>
      </c>
      <c r="B33" s="11" t="s">
        <v>31</v>
      </c>
      <c r="C33" s="12">
        <v>1</v>
      </c>
      <c r="D33" s="2"/>
      <c r="E33" s="3"/>
      <c r="F33" s="3"/>
      <c r="G33" s="3"/>
      <c r="H33" s="3"/>
      <c r="I33" s="3"/>
      <c r="J33" s="3"/>
      <c r="K33" s="3"/>
      <c r="L33" s="3"/>
      <c r="M33" s="3"/>
      <c r="N33" s="3"/>
      <c r="O33" s="3"/>
      <c r="P33" s="3"/>
      <c r="Q33" s="3"/>
      <c r="R33" s="3"/>
      <c r="S33" s="3"/>
      <c r="T33" s="3"/>
      <c r="U33" s="3"/>
      <c r="V33" s="3"/>
      <c r="W33" s="3"/>
      <c r="X33" s="3"/>
      <c r="Y33" s="3"/>
      <c r="Z33" s="3"/>
    </row>
    <row r="34" spans="1:26" ht="14.25" customHeight="1">
      <c r="A34" s="11" t="s">
        <v>34</v>
      </c>
      <c r="B34" s="11" t="s">
        <v>33</v>
      </c>
      <c r="C34" s="12">
        <v>1</v>
      </c>
      <c r="D34" s="2"/>
      <c r="E34" s="3"/>
      <c r="F34" s="3"/>
      <c r="G34" s="3"/>
      <c r="H34" s="3"/>
      <c r="I34" s="3"/>
      <c r="J34" s="3"/>
      <c r="K34" s="3"/>
      <c r="L34" s="3"/>
      <c r="M34" s="3"/>
      <c r="N34" s="3"/>
      <c r="O34" s="3"/>
      <c r="P34" s="3"/>
      <c r="Q34" s="3"/>
      <c r="R34" s="3"/>
      <c r="S34" s="3"/>
      <c r="T34" s="3"/>
      <c r="U34" s="3"/>
      <c r="V34" s="3"/>
      <c r="W34" s="3"/>
      <c r="X34" s="3"/>
      <c r="Y34" s="3"/>
      <c r="Z34" s="3"/>
    </row>
    <row r="35" spans="1:26" ht="14.25" customHeight="1">
      <c r="A35" s="11" t="s">
        <v>37</v>
      </c>
      <c r="B35" s="11" t="s">
        <v>36</v>
      </c>
      <c r="C35" s="12">
        <v>1</v>
      </c>
      <c r="D35" s="2"/>
      <c r="E35" s="3"/>
      <c r="F35" s="3"/>
      <c r="G35" s="3"/>
      <c r="H35" s="3"/>
      <c r="I35" s="3"/>
      <c r="J35" s="3"/>
      <c r="K35" s="3"/>
      <c r="L35" s="3"/>
      <c r="M35" s="3"/>
      <c r="N35" s="3"/>
      <c r="O35" s="3"/>
      <c r="P35" s="3"/>
      <c r="Q35" s="3"/>
      <c r="R35" s="3"/>
      <c r="S35" s="3"/>
      <c r="T35" s="3"/>
      <c r="U35" s="3"/>
      <c r="V35" s="3"/>
      <c r="W35" s="3"/>
      <c r="X35" s="3"/>
      <c r="Y35" s="3"/>
      <c r="Z35" s="3"/>
    </row>
    <row r="36" spans="1:26" ht="14.25" customHeight="1">
      <c r="A36" s="11" t="s">
        <v>39</v>
      </c>
      <c r="B36" s="11" t="s">
        <v>40</v>
      </c>
      <c r="C36" s="12">
        <v>0.5</v>
      </c>
      <c r="D36" s="2"/>
      <c r="E36" s="3"/>
      <c r="F36" s="3"/>
      <c r="G36" s="3"/>
      <c r="H36" s="3"/>
      <c r="I36" s="3"/>
      <c r="J36" s="3"/>
      <c r="K36" s="3"/>
      <c r="L36" s="3"/>
      <c r="M36" s="3"/>
      <c r="N36" s="3"/>
      <c r="O36" s="3"/>
      <c r="P36" s="3"/>
      <c r="Q36" s="3"/>
      <c r="R36" s="3"/>
      <c r="S36" s="3"/>
      <c r="T36" s="3"/>
      <c r="U36" s="3"/>
      <c r="V36" s="3"/>
      <c r="W36" s="3"/>
      <c r="X36" s="3"/>
      <c r="Y36" s="3"/>
      <c r="Z36" s="3"/>
    </row>
    <row r="37" spans="1:26" ht="14.25" customHeight="1">
      <c r="A37" s="11" t="s">
        <v>43</v>
      </c>
      <c r="B37" s="11" t="s">
        <v>44</v>
      </c>
      <c r="C37" s="12">
        <v>0.5</v>
      </c>
      <c r="D37" s="2"/>
      <c r="E37" s="3"/>
      <c r="F37" s="3"/>
      <c r="G37" s="3"/>
      <c r="H37" s="3"/>
      <c r="I37" s="3"/>
      <c r="J37" s="3"/>
      <c r="K37" s="3"/>
      <c r="L37" s="3"/>
      <c r="M37" s="3"/>
      <c r="N37" s="3"/>
      <c r="O37" s="3"/>
      <c r="P37" s="3"/>
      <c r="Q37" s="3"/>
      <c r="R37" s="3"/>
      <c r="S37" s="3"/>
      <c r="T37" s="3"/>
      <c r="U37" s="3"/>
      <c r="V37" s="3"/>
      <c r="W37" s="3"/>
      <c r="X37" s="3"/>
      <c r="Y37" s="3"/>
      <c r="Z37" s="3"/>
    </row>
    <row r="38" spans="1:26" ht="14.25" customHeight="1">
      <c r="A38" s="11" t="s">
        <v>46</v>
      </c>
      <c r="B38" s="11" t="s">
        <v>47</v>
      </c>
      <c r="C38" s="12">
        <v>2</v>
      </c>
      <c r="D38" s="2"/>
      <c r="E38" s="3"/>
      <c r="F38" s="3"/>
      <c r="G38" s="3"/>
      <c r="H38" s="3"/>
      <c r="I38" s="3"/>
      <c r="J38" s="3"/>
      <c r="K38" s="3"/>
      <c r="L38" s="3"/>
      <c r="M38" s="3"/>
      <c r="N38" s="3"/>
      <c r="O38" s="3"/>
      <c r="P38" s="3"/>
      <c r="Q38" s="3"/>
      <c r="R38" s="3"/>
      <c r="S38" s="3"/>
      <c r="T38" s="3"/>
      <c r="U38" s="3"/>
      <c r="V38" s="3"/>
      <c r="W38" s="3"/>
      <c r="X38" s="3"/>
      <c r="Y38" s="3"/>
      <c r="Z38" s="3"/>
    </row>
    <row r="39" spans="1:26" ht="14.25" customHeight="1">
      <c r="A39" s="11" t="s">
        <v>49</v>
      </c>
      <c r="B39" s="11" t="s">
        <v>50</v>
      </c>
      <c r="C39" s="12">
        <v>1</v>
      </c>
      <c r="D39" s="2"/>
      <c r="E39" s="3"/>
      <c r="F39" s="3"/>
      <c r="G39" s="3"/>
      <c r="H39" s="3"/>
      <c r="I39" s="3"/>
      <c r="J39" s="3"/>
      <c r="K39" s="3"/>
      <c r="L39" s="3"/>
      <c r="M39" s="3"/>
      <c r="N39" s="3"/>
      <c r="O39" s="3"/>
      <c r="P39" s="3"/>
      <c r="Q39" s="3"/>
      <c r="R39" s="3"/>
      <c r="S39" s="3"/>
      <c r="T39" s="3"/>
      <c r="U39" s="3"/>
      <c r="V39" s="3"/>
      <c r="W39" s="3"/>
      <c r="X39" s="3"/>
      <c r="Y39" s="3"/>
      <c r="Z39" s="3"/>
    </row>
    <row r="40" spans="1:26" ht="14.25" customHeight="1">
      <c r="A40" s="11" t="s">
        <v>53</v>
      </c>
      <c r="B40" s="11" t="s">
        <v>54</v>
      </c>
      <c r="C40" s="12">
        <v>1</v>
      </c>
      <c r="D40" s="2"/>
      <c r="E40" s="3"/>
      <c r="F40" s="3"/>
      <c r="G40" s="3"/>
      <c r="H40" s="3"/>
      <c r="I40" s="3"/>
      <c r="J40" s="3"/>
      <c r="K40" s="3"/>
      <c r="L40" s="3"/>
      <c r="M40" s="3"/>
      <c r="N40" s="3"/>
      <c r="O40" s="3"/>
      <c r="P40" s="3"/>
      <c r="Q40" s="3"/>
      <c r="R40" s="3"/>
      <c r="S40" s="3"/>
      <c r="T40" s="3"/>
      <c r="U40" s="3"/>
      <c r="V40" s="3"/>
      <c r="W40" s="3"/>
      <c r="X40" s="3"/>
      <c r="Y40" s="3"/>
      <c r="Z40" s="3"/>
    </row>
    <row r="41" spans="1:26" ht="14.25" customHeight="1">
      <c r="A41" s="11" t="s">
        <v>57</v>
      </c>
      <c r="B41" s="11" t="s">
        <v>58</v>
      </c>
      <c r="C41" s="12">
        <v>1</v>
      </c>
      <c r="D41" s="2"/>
      <c r="E41" s="3"/>
      <c r="F41" s="3"/>
      <c r="G41" s="3"/>
      <c r="H41" s="3"/>
      <c r="I41" s="3"/>
      <c r="J41" s="3"/>
      <c r="K41" s="3"/>
      <c r="L41" s="3"/>
      <c r="M41" s="3"/>
      <c r="N41" s="3"/>
      <c r="O41" s="3"/>
      <c r="P41" s="3"/>
      <c r="Q41" s="3"/>
      <c r="R41" s="3"/>
      <c r="S41" s="3"/>
      <c r="T41" s="3"/>
      <c r="U41" s="3"/>
      <c r="V41" s="3"/>
      <c r="W41" s="3"/>
      <c r="X41" s="3"/>
      <c r="Y41" s="3"/>
      <c r="Z41" s="3"/>
    </row>
    <row r="42" spans="1:26" ht="14.25" customHeight="1">
      <c r="A42" s="11" t="s">
        <v>61</v>
      </c>
      <c r="B42" s="11" t="s">
        <v>62</v>
      </c>
      <c r="C42" s="12">
        <v>1</v>
      </c>
      <c r="D42" s="2"/>
      <c r="E42" s="3"/>
      <c r="F42" s="3"/>
      <c r="G42" s="3"/>
      <c r="H42" s="3"/>
      <c r="I42" s="3"/>
      <c r="J42" s="3"/>
      <c r="K42" s="3"/>
      <c r="L42" s="3"/>
      <c r="M42" s="3"/>
      <c r="N42" s="3"/>
      <c r="O42" s="3"/>
      <c r="P42" s="3"/>
      <c r="Q42" s="3"/>
      <c r="R42" s="3"/>
      <c r="S42" s="3"/>
      <c r="T42" s="3"/>
      <c r="U42" s="3"/>
      <c r="V42" s="3"/>
      <c r="W42" s="3"/>
      <c r="X42" s="3"/>
      <c r="Y42" s="3"/>
      <c r="Z42" s="3"/>
    </row>
    <row r="43" spans="1:26" ht="14.25" customHeight="1">
      <c r="A43" s="11" t="s">
        <v>65</v>
      </c>
      <c r="B43" s="11" t="s">
        <v>66</v>
      </c>
      <c r="C43" s="12">
        <v>1</v>
      </c>
      <c r="D43" s="2"/>
      <c r="E43" s="3"/>
      <c r="F43" s="3"/>
      <c r="G43" s="3"/>
      <c r="H43" s="3"/>
      <c r="I43" s="3"/>
      <c r="J43" s="3"/>
      <c r="K43" s="3"/>
      <c r="L43" s="3"/>
      <c r="M43" s="3"/>
      <c r="N43" s="3"/>
      <c r="O43" s="3"/>
      <c r="P43" s="3"/>
      <c r="Q43" s="3"/>
      <c r="R43" s="3"/>
      <c r="S43" s="3"/>
      <c r="T43" s="3"/>
      <c r="U43" s="3"/>
      <c r="V43" s="3"/>
      <c r="W43" s="3"/>
      <c r="X43" s="3"/>
      <c r="Y43" s="3"/>
      <c r="Z43" s="3"/>
    </row>
    <row r="44" spans="1:26" ht="12.75" customHeight="1">
      <c r="A44" s="1"/>
      <c r="B44" s="2"/>
      <c r="C44" s="2"/>
      <c r="D44" s="2"/>
      <c r="E44" s="3"/>
      <c r="F44" s="3"/>
      <c r="G44" s="3"/>
      <c r="H44" s="3"/>
      <c r="I44" s="3"/>
      <c r="J44" s="3"/>
      <c r="K44" s="3"/>
      <c r="L44" s="3"/>
      <c r="M44" s="3"/>
      <c r="N44" s="3"/>
      <c r="O44" s="3"/>
      <c r="P44" s="3"/>
      <c r="Q44" s="3"/>
      <c r="R44" s="3"/>
      <c r="S44" s="3"/>
      <c r="T44" s="3"/>
      <c r="U44" s="3"/>
      <c r="V44" s="3"/>
      <c r="W44" s="3"/>
      <c r="X44" s="3"/>
      <c r="Y44" s="3"/>
      <c r="Z44" s="3"/>
    </row>
    <row r="45" spans="1:26" ht="12.75" customHeight="1">
      <c r="A45" s="1" t="s">
        <v>272</v>
      </c>
      <c r="B45" s="2"/>
      <c r="C45" s="2"/>
      <c r="D45" s="2"/>
      <c r="E45" s="3"/>
      <c r="F45" s="3"/>
      <c r="G45" s="3"/>
      <c r="H45" s="3"/>
      <c r="I45" s="3"/>
      <c r="J45" s="3"/>
      <c r="K45" s="3"/>
      <c r="L45" s="3"/>
      <c r="M45" s="3"/>
      <c r="N45" s="3"/>
      <c r="O45" s="3"/>
      <c r="P45" s="3"/>
      <c r="Q45" s="3"/>
      <c r="R45" s="3"/>
      <c r="S45" s="3"/>
      <c r="T45" s="3"/>
      <c r="U45" s="3"/>
      <c r="V45" s="3"/>
      <c r="W45" s="3"/>
      <c r="X45" s="3"/>
      <c r="Y45" s="3"/>
      <c r="Z45" s="3"/>
    </row>
    <row r="46" spans="1:26" ht="14.25" customHeight="1">
      <c r="A46" s="17" t="s">
        <v>72</v>
      </c>
      <c r="B46" s="2"/>
      <c r="C46" s="2"/>
      <c r="D46" s="2"/>
      <c r="E46" s="3"/>
      <c r="F46" s="3"/>
      <c r="G46" s="3"/>
      <c r="H46" s="3"/>
      <c r="I46" s="3"/>
      <c r="J46" s="3"/>
      <c r="K46" s="3"/>
      <c r="L46" s="3"/>
      <c r="M46" s="3"/>
      <c r="N46" s="3"/>
      <c r="O46" s="3"/>
      <c r="P46" s="3"/>
      <c r="Q46" s="3"/>
      <c r="R46" s="3"/>
      <c r="S46" s="3"/>
      <c r="T46" s="3"/>
      <c r="U46" s="3"/>
      <c r="V46" s="3"/>
      <c r="W46" s="3"/>
      <c r="X46" s="3"/>
      <c r="Y46" s="3"/>
      <c r="Z46" s="3"/>
    </row>
    <row r="47" spans="1:26" ht="15.75" customHeight="1">
      <c r="A47" s="10" t="s">
        <v>21</v>
      </c>
      <c r="B47" s="10" t="s">
        <v>22</v>
      </c>
      <c r="C47" s="10" t="s">
        <v>23</v>
      </c>
      <c r="D47" s="2"/>
      <c r="E47" s="3"/>
      <c r="F47" s="3"/>
      <c r="G47" s="3"/>
      <c r="H47" s="3"/>
      <c r="I47" s="3"/>
      <c r="J47" s="3"/>
      <c r="K47" s="3"/>
      <c r="L47" s="3"/>
      <c r="M47" s="3"/>
      <c r="N47" s="3"/>
      <c r="O47" s="3"/>
      <c r="P47" s="3"/>
      <c r="Q47" s="3"/>
      <c r="R47" s="3"/>
      <c r="S47" s="3"/>
      <c r="T47" s="3"/>
      <c r="U47" s="3"/>
      <c r="V47" s="3"/>
      <c r="W47" s="3"/>
      <c r="X47" s="3"/>
      <c r="Y47" s="3"/>
      <c r="Z47" s="3"/>
    </row>
    <row r="48" spans="1:26" ht="14.25" customHeight="1">
      <c r="A48" s="11" t="s">
        <v>75</v>
      </c>
      <c r="B48" s="11" t="s">
        <v>76</v>
      </c>
      <c r="C48" s="12">
        <v>1.5</v>
      </c>
      <c r="D48" s="2"/>
      <c r="E48" s="3"/>
      <c r="F48" s="3"/>
      <c r="G48" s="3"/>
      <c r="H48" s="3"/>
      <c r="I48" s="3"/>
      <c r="J48" s="3"/>
      <c r="K48" s="3"/>
      <c r="L48" s="3"/>
      <c r="M48" s="3"/>
      <c r="N48" s="3"/>
      <c r="O48" s="3"/>
      <c r="P48" s="3"/>
      <c r="Q48" s="3"/>
      <c r="R48" s="3"/>
      <c r="S48" s="3"/>
      <c r="T48" s="3"/>
      <c r="U48" s="3"/>
      <c r="V48" s="3"/>
      <c r="W48" s="3"/>
      <c r="X48" s="3"/>
      <c r="Y48" s="3"/>
      <c r="Z48" s="3"/>
    </row>
    <row r="49" spans="1:26" ht="14.25" customHeight="1">
      <c r="A49" s="11" t="s">
        <v>78</v>
      </c>
      <c r="B49" s="11" t="s">
        <v>64</v>
      </c>
      <c r="C49" s="12">
        <v>0.5</v>
      </c>
      <c r="D49" s="2"/>
      <c r="E49" s="3"/>
      <c r="F49" s="3"/>
      <c r="G49" s="3"/>
      <c r="H49" s="3"/>
      <c r="I49" s="3"/>
      <c r="J49" s="3"/>
      <c r="K49" s="3"/>
      <c r="L49" s="3"/>
      <c r="M49" s="3"/>
      <c r="N49" s="3"/>
      <c r="O49" s="3"/>
      <c r="P49" s="3"/>
      <c r="Q49" s="3"/>
      <c r="R49" s="3"/>
      <c r="S49" s="3"/>
      <c r="T49" s="3"/>
      <c r="U49" s="3"/>
      <c r="V49" s="3"/>
      <c r="W49" s="3"/>
      <c r="X49" s="3"/>
      <c r="Y49" s="3"/>
      <c r="Z49" s="3"/>
    </row>
    <row r="50" spans="1:26" ht="14.25" customHeight="1">
      <c r="A50" s="11" t="s">
        <v>80</v>
      </c>
      <c r="B50" s="11" t="s">
        <v>56</v>
      </c>
      <c r="C50" s="12">
        <v>1</v>
      </c>
      <c r="D50" s="2"/>
      <c r="E50" s="3"/>
      <c r="F50" s="3"/>
      <c r="G50" s="3"/>
      <c r="H50" s="3"/>
      <c r="I50" s="3"/>
      <c r="J50" s="3"/>
      <c r="K50" s="3"/>
      <c r="L50" s="3"/>
      <c r="M50" s="3"/>
      <c r="N50" s="3"/>
      <c r="O50" s="3"/>
      <c r="P50" s="3"/>
      <c r="Q50" s="3"/>
      <c r="R50" s="3"/>
      <c r="S50" s="3"/>
      <c r="T50" s="3"/>
      <c r="U50" s="3"/>
      <c r="V50" s="3"/>
      <c r="W50" s="3"/>
      <c r="X50" s="3"/>
      <c r="Y50" s="3"/>
      <c r="Z50" s="3"/>
    </row>
    <row r="51" spans="1:26" ht="14.25" customHeight="1">
      <c r="A51" s="11" t="s">
        <v>83</v>
      </c>
      <c r="B51" s="11" t="s">
        <v>52</v>
      </c>
      <c r="C51" s="12">
        <v>0.5</v>
      </c>
      <c r="D51" s="2"/>
      <c r="E51" s="3"/>
      <c r="F51" s="3"/>
      <c r="G51" s="3"/>
      <c r="H51" s="3"/>
      <c r="I51" s="3"/>
      <c r="J51" s="3"/>
      <c r="K51" s="3"/>
      <c r="L51" s="3"/>
      <c r="M51" s="3"/>
      <c r="N51" s="3"/>
      <c r="O51" s="3"/>
      <c r="P51" s="3"/>
      <c r="Q51" s="3"/>
      <c r="R51" s="3"/>
      <c r="S51" s="3"/>
      <c r="T51" s="3"/>
      <c r="U51" s="3"/>
      <c r="V51" s="3"/>
      <c r="W51" s="3"/>
      <c r="X51" s="3"/>
      <c r="Y51" s="3"/>
      <c r="Z51" s="3"/>
    </row>
    <row r="52" spans="1:26" ht="14.25" customHeight="1">
      <c r="A52" s="11" t="s">
        <v>86</v>
      </c>
      <c r="B52" s="11" t="s">
        <v>85</v>
      </c>
      <c r="C52" s="12">
        <v>1</v>
      </c>
      <c r="D52" s="2"/>
      <c r="E52" s="3"/>
      <c r="F52" s="3"/>
      <c r="G52" s="3"/>
      <c r="H52" s="3"/>
      <c r="I52" s="3"/>
      <c r="J52" s="3"/>
      <c r="K52" s="3"/>
      <c r="L52" s="3"/>
      <c r="M52" s="3"/>
      <c r="N52" s="3"/>
      <c r="O52" s="3"/>
      <c r="P52" s="3"/>
      <c r="Q52" s="3"/>
      <c r="R52" s="3"/>
      <c r="S52" s="3"/>
      <c r="T52" s="3"/>
      <c r="U52" s="3"/>
      <c r="V52" s="3"/>
      <c r="W52" s="3"/>
      <c r="X52" s="3"/>
      <c r="Y52" s="3"/>
      <c r="Z52" s="3"/>
    </row>
    <row r="53" spans="1:26" ht="14.25" customHeight="1">
      <c r="A53" s="11" t="s">
        <v>88</v>
      </c>
      <c r="B53" s="11" t="s">
        <v>89</v>
      </c>
      <c r="C53" s="12">
        <v>2</v>
      </c>
      <c r="D53" s="2"/>
      <c r="E53" s="3"/>
      <c r="F53" s="3"/>
      <c r="G53" s="3"/>
      <c r="H53" s="3"/>
      <c r="I53" s="3"/>
      <c r="J53" s="3"/>
      <c r="K53" s="3"/>
      <c r="L53" s="3"/>
      <c r="M53" s="3"/>
      <c r="N53" s="3"/>
      <c r="O53" s="3"/>
      <c r="P53" s="3"/>
      <c r="Q53" s="3"/>
      <c r="R53" s="3"/>
      <c r="S53" s="3"/>
      <c r="T53" s="3"/>
      <c r="U53" s="3"/>
      <c r="V53" s="3"/>
      <c r="W53" s="3"/>
      <c r="X53" s="3"/>
      <c r="Y53" s="3"/>
      <c r="Z53" s="3"/>
    </row>
    <row r="54" spans="1:26" ht="14.25" customHeight="1">
      <c r="A54" s="11" t="s">
        <v>90</v>
      </c>
      <c r="B54" s="11" t="s">
        <v>60</v>
      </c>
      <c r="C54" s="12">
        <v>-1</v>
      </c>
      <c r="D54" s="2"/>
      <c r="E54" s="3"/>
      <c r="F54" s="3"/>
      <c r="G54" s="3"/>
      <c r="H54" s="3"/>
      <c r="I54" s="3"/>
      <c r="J54" s="3"/>
      <c r="K54" s="3"/>
      <c r="L54" s="3"/>
      <c r="M54" s="3"/>
      <c r="N54" s="3"/>
      <c r="O54" s="3"/>
      <c r="P54" s="3"/>
      <c r="Q54" s="3"/>
      <c r="R54" s="3"/>
      <c r="S54" s="3"/>
      <c r="T54" s="3"/>
      <c r="U54" s="3"/>
      <c r="V54" s="3"/>
      <c r="W54" s="3"/>
      <c r="X54" s="3"/>
      <c r="Y54" s="3"/>
      <c r="Z54" s="3"/>
    </row>
    <row r="55" spans="1:26" ht="14.25" customHeight="1">
      <c r="A55" s="11" t="s">
        <v>91</v>
      </c>
      <c r="B55" s="11" t="s">
        <v>92</v>
      </c>
      <c r="C55" s="12">
        <v>-1</v>
      </c>
      <c r="D55" s="2"/>
      <c r="E55" s="3"/>
      <c r="F55" s="3"/>
      <c r="G55" s="3"/>
      <c r="H55" s="3"/>
      <c r="I55" s="3"/>
      <c r="J55" s="3"/>
      <c r="K55" s="3"/>
      <c r="L55" s="3"/>
      <c r="M55" s="3"/>
      <c r="N55" s="3"/>
      <c r="O55" s="3"/>
      <c r="P55" s="3"/>
      <c r="Q55" s="3"/>
      <c r="R55" s="3"/>
      <c r="S55" s="3"/>
      <c r="T55" s="3"/>
      <c r="U55" s="3"/>
      <c r="V55" s="3"/>
      <c r="W55" s="3"/>
      <c r="X55" s="3"/>
      <c r="Y55" s="3"/>
      <c r="Z55" s="3"/>
    </row>
    <row r="56" spans="1:26" ht="12.75" customHeight="1">
      <c r="A56" s="1"/>
      <c r="B56" s="2"/>
      <c r="C56" s="2"/>
      <c r="D56" s="2"/>
      <c r="E56" s="3"/>
      <c r="F56" s="3"/>
      <c r="G56" s="3"/>
      <c r="H56" s="3"/>
      <c r="I56" s="3"/>
      <c r="J56" s="3"/>
      <c r="K56" s="3"/>
      <c r="L56" s="3"/>
      <c r="M56" s="3"/>
      <c r="N56" s="3"/>
      <c r="O56" s="3"/>
      <c r="P56" s="3"/>
      <c r="Q56" s="3"/>
      <c r="R56" s="3"/>
      <c r="S56" s="3"/>
      <c r="T56" s="3"/>
      <c r="U56" s="3"/>
      <c r="V56" s="3"/>
      <c r="W56" s="3"/>
      <c r="X56" s="3"/>
      <c r="Y56" s="3"/>
      <c r="Z56" s="3"/>
    </row>
    <row r="57" spans="1:26" ht="12.75" customHeight="1">
      <c r="A57" s="1" t="s">
        <v>273</v>
      </c>
      <c r="B57" s="2"/>
      <c r="C57" s="2"/>
      <c r="D57" s="2"/>
      <c r="E57" s="3"/>
      <c r="F57" s="3"/>
      <c r="G57" s="3"/>
      <c r="H57" s="3"/>
      <c r="I57" s="3"/>
      <c r="J57" s="3"/>
      <c r="K57" s="3"/>
      <c r="L57" s="3"/>
      <c r="M57" s="3"/>
      <c r="N57" s="3"/>
      <c r="O57" s="3"/>
      <c r="P57" s="3"/>
      <c r="Q57" s="3"/>
      <c r="R57" s="3"/>
      <c r="S57" s="3"/>
      <c r="T57" s="3"/>
      <c r="U57" s="3"/>
      <c r="V57" s="3"/>
      <c r="W57" s="3"/>
      <c r="X57" s="3"/>
      <c r="Y57" s="3"/>
      <c r="Z57" s="3"/>
    </row>
    <row r="58" spans="1:26" ht="12.75" customHeight="1">
      <c r="A58" s="1" t="s">
        <v>274</v>
      </c>
      <c r="B58" s="2"/>
      <c r="C58" s="2"/>
      <c r="D58" s="2"/>
      <c r="E58" s="3"/>
      <c r="F58" s="3"/>
      <c r="G58" s="3"/>
      <c r="H58" s="3"/>
      <c r="I58" s="3"/>
      <c r="J58" s="3"/>
      <c r="K58" s="3"/>
      <c r="L58" s="3"/>
      <c r="M58" s="3"/>
      <c r="N58" s="3"/>
      <c r="O58" s="3"/>
      <c r="P58" s="3"/>
      <c r="Q58" s="3"/>
      <c r="R58" s="3"/>
      <c r="S58" s="3"/>
      <c r="T58" s="3"/>
      <c r="U58" s="3"/>
      <c r="V58" s="3"/>
      <c r="W58" s="3"/>
      <c r="X58" s="3"/>
      <c r="Y58" s="3"/>
      <c r="Z58" s="3"/>
    </row>
    <row r="59" spans="1:26" ht="12.75" customHeight="1">
      <c r="A59" s="1"/>
      <c r="B59" s="1"/>
      <c r="C59" s="1"/>
      <c r="D59" s="1"/>
      <c r="E59" s="1"/>
      <c r="F59" s="1"/>
      <c r="G59" s="1"/>
      <c r="H59" s="1"/>
      <c r="I59" s="1"/>
      <c r="J59" s="3"/>
      <c r="K59" s="3"/>
      <c r="L59" s="3"/>
      <c r="M59" s="3"/>
      <c r="N59" s="3"/>
      <c r="O59" s="3"/>
      <c r="P59" s="3"/>
      <c r="Q59" s="3"/>
      <c r="R59" s="3"/>
      <c r="S59" s="3"/>
      <c r="T59" s="3"/>
      <c r="U59" s="3"/>
      <c r="V59" s="3"/>
      <c r="W59" s="3"/>
      <c r="X59" s="3"/>
      <c r="Y59" s="3"/>
      <c r="Z59" s="3"/>
    </row>
    <row r="60" spans="1:26" ht="12.75" customHeight="1">
      <c r="A60" s="1" t="s">
        <v>95</v>
      </c>
      <c r="B60" s="1" t="s">
        <v>96</v>
      </c>
      <c r="C60" s="1" t="s">
        <v>275</v>
      </c>
      <c r="D60" s="1" t="s">
        <v>276</v>
      </c>
      <c r="E60" s="1" t="s">
        <v>99</v>
      </c>
      <c r="F60" s="1" t="s">
        <v>277</v>
      </c>
      <c r="G60" s="1" t="s">
        <v>101</v>
      </c>
      <c r="H60" s="1" t="s">
        <v>102</v>
      </c>
      <c r="I60" s="1" t="s">
        <v>278</v>
      </c>
      <c r="J60" s="3"/>
      <c r="K60" s="3"/>
      <c r="L60" s="3"/>
      <c r="M60" s="3"/>
      <c r="N60" s="3"/>
      <c r="O60" s="3"/>
      <c r="P60" s="3"/>
      <c r="Q60" s="3"/>
      <c r="R60" s="3"/>
      <c r="S60" s="3"/>
      <c r="T60" s="3"/>
      <c r="U60" s="3"/>
      <c r="V60" s="3"/>
      <c r="W60" s="3"/>
      <c r="X60" s="3"/>
      <c r="Y60" s="3"/>
      <c r="Z60" s="3"/>
    </row>
    <row r="61" spans="1:26" ht="15.75" customHeight="1">
      <c r="A61" s="1" t="s">
        <v>104</v>
      </c>
      <c r="B61" s="27" t="s">
        <v>279</v>
      </c>
      <c r="C61" s="18">
        <v>4</v>
      </c>
      <c r="D61" s="18">
        <v>4</v>
      </c>
      <c r="E61" s="1" t="s">
        <v>106</v>
      </c>
      <c r="F61" s="1">
        <v>3</v>
      </c>
      <c r="G61" s="1">
        <v>1.1399999999999999</v>
      </c>
      <c r="H61" s="1">
        <v>1.21</v>
      </c>
      <c r="I61" s="2">
        <f>(D76+F67)*G61*H61</f>
        <v>104.83439999999997</v>
      </c>
      <c r="J61" s="3"/>
      <c r="K61" s="3"/>
      <c r="L61" s="3"/>
      <c r="M61" s="3"/>
      <c r="N61" s="3"/>
      <c r="O61" s="3"/>
      <c r="P61" s="3"/>
      <c r="Q61" s="3"/>
      <c r="R61" s="3"/>
      <c r="S61" s="3"/>
      <c r="T61" s="3"/>
      <c r="U61" s="3"/>
      <c r="V61" s="3"/>
      <c r="W61" s="3"/>
      <c r="X61" s="3"/>
      <c r="Y61" s="3"/>
      <c r="Z61" s="3"/>
    </row>
    <row r="62" spans="1:26" ht="15.75" customHeight="1">
      <c r="A62" s="2"/>
      <c r="B62" s="27" t="s">
        <v>280</v>
      </c>
      <c r="C62" s="18">
        <v>8</v>
      </c>
      <c r="D62" s="18">
        <v>8</v>
      </c>
      <c r="E62" s="1" t="s">
        <v>108</v>
      </c>
      <c r="F62" s="1">
        <v>3</v>
      </c>
      <c r="G62" s="1"/>
      <c r="H62" s="3"/>
      <c r="I62" s="3"/>
      <c r="J62" s="3"/>
      <c r="K62" s="3"/>
      <c r="L62" s="3"/>
      <c r="M62" s="3"/>
      <c r="N62" s="3"/>
      <c r="O62" s="3"/>
      <c r="P62" s="3"/>
      <c r="Q62" s="3"/>
      <c r="R62" s="3"/>
      <c r="S62" s="3"/>
      <c r="T62" s="3"/>
      <c r="U62" s="3"/>
      <c r="V62" s="3"/>
      <c r="W62" s="3"/>
      <c r="X62" s="3"/>
      <c r="Y62" s="3"/>
      <c r="Z62" s="3"/>
    </row>
    <row r="63" spans="1:26" ht="15.75" customHeight="1">
      <c r="A63" s="2"/>
      <c r="B63" s="27" t="s">
        <v>281</v>
      </c>
      <c r="C63" s="18">
        <v>0</v>
      </c>
      <c r="D63" s="18">
        <v>0</v>
      </c>
      <c r="E63" s="1" t="s">
        <v>110</v>
      </c>
      <c r="F63" s="1">
        <v>3</v>
      </c>
      <c r="G63" s="1"/>
      <c r="H63" s="3"/>
      <c r="I63" s="3"/>
      <c r="J63" s="3"/>
      <c r="K63" s="3"/>
      <c r="L63" s="3"/>
      <c r="M63" s="3"/>
      <c r="N63" s="3"/>
      <c r="O63" s="3"/>
      <c r="P63" s="3"/>
      <c r="Q63" s="3"/>
      <c r="R63" s="3"/>
      <c r="S63" s="3"/>
      <c r="T63" s="3"/>
      <c r="U63" s="3"/>
      <c r="V63" s="3"/>
      <c r="W63" s="3"/>
      <c r="X63" s="3"/>
      <c r="Y63" s="3"/>
      <c r="Z63" s="3"/>
    </row>
    <row r="64" spans="1:26" ht="15.75" customHeight="1">
      <c r="A64" s="2"/>
      <c r="B64" s="27" t="s">
        <v>282</v>
      </c>
      <c r="C64" s="18">
        <v>0</v>
      </c>
      <c r="D64" s="18">
        <v>0</v>
      </c>
      <c r="E64" s="1" t="s">
        <v>112</v>
      </c>
      <c r="F64" s="1">
        <v>3</v>
      </c>
      <c r="G64" s="1"/>
      <c r="H64" s="3"/>
      <c r="I64" s="3"/>
      <c r="J64" s="3"/>
      <c r="K64" s="3"/>
      <c r="L64" s="3"/>
      <c r="M64" s="3"/>
      <c r="N64" s="3"/>
      <c r="O64" s="3"/>
      <c r="P64" s="3"/>
      <c r="Q64" s="3"/>
      <c r="R64" s="3"/>
      <c r="S64" s="3"/>
      <c r="T64" s="3"/>
      <c r="U64" s="3"/>
      <c r="V64" s="3"/>
      <c r="W64" s="3"/>
      <c r="X64" s="3"/>
      <c r="Y64" s="3"/>
      <c r="Z64" s="3"/>
    </row>
    <row r="65" spans="1:26" ht="15.75" customHeight="1">
      <c r="A65" s="2"/>
      <c r="B65" s="27" t="s">
        <v>283</v>
      </c>
      <c r="C65" s="18">
        <v>0</v>
      </c>
      <c r="D65" s="18">
        <v>0</v>
      </c>
      <c r="E65" s="1" t="s">
        <v>114</v>
      </c>
      <c r="F65" s="1">
        <v>2</v>
      </c>
      <c r="G65" s="1"/>
      <c r="H65" s="3"/>
      <c r="I65" s="3"/>
      <c r="J65" s="3"/>
      <c r="K65" s="3"/>
      <c r="L65" s="3"/>
      <c r="M65" s="3"/>
      <c r="N65" s="3"/>
      <c r="O65" s="3"/>
      <c r="P65" s="3"/>
      <c r="Q65" s="3"/>
      <c r="R65" s="3"/>
      <c r="S65" s="3"/>
      <c r="T65" s="3"/>
      <c r="U65" s="3"/>
      <c r="V65" s="3"/>
      <c r="W65" s="3"/>
      <c r="X65" s="3"/>
      <c r="Y65" s="3"/>
      <c r="Z65" s="3"/>
    </row>
    <row r="66" spans="1:26" ht="15.75" customHeight="1">
      <c r="A66" s="2"/>
      <c r="B66" s="27" t="s">
        <v>284</v>
      </c>
      <c r="C66" s="18">
        <v>6</v>
      </c>
      <c r="D66" s="18">
        <v>6</v>
      </c>
      <c r="E66" s="3"/>
      <c r="F66" s="3"/>
      <c r="G66" s="1"/>
      <c r="H66" s="3"/>
      <c r="I66" s="3"/>
      <c r="J66" s="3"/>
      <c r="K66" s="3"/>
      <c r="L66" s="3"/>
      <c r="M66" s="3"/>
      <c r="N66" s="3"/>
      <c r="O66" s="3"/>
      <c r="P66" s="3"/>
      <c r="Q66" s="3"/>
      <c r="R66" s="3"/>
      <c r="S66" s="3"/>
      <c r="T66" s="3"/>
      <c r="U66" s="3"/>
      <c r="V66" s="3"/>
      <c r="W66" s="3"/>
      <c r="X66" s="3"/>
      <c r="Y66" s="3"/>
      <c r="Z66" s="3"/>
    </row>
    <row r="67" spans="1:26" ht="15.75" customHeight="1">
      <c r="A67" s="2"/>
      <c r="B67" s="27" t="s">
        <v>109</v>
      </c>
      <c r="C67" s="18">
        <v>8</v>
      </c>
      <c r="D67" s="18">
        <v>8</v>
      </c>
      <c r="E67" s="1" t="s">
        <v>119</v>
      </c>
      <c r="F67" s="1">
        <f>SUM(F61:F65)</f>
        <v>14</v>
      </c>
      <c r="G67" s="1"/>
      <c r="H67" s="3"/>
      <c r="I67" s="3"/>
      <c r="J67" s="3"/>
      <c r="K67" s="3"/>
      <c r="L67" s="3"/>
      <c r="M67" s="3"/>
      <c r="N67" s="3"/>
      <c r="O67" s="3"/>
      <c r="P67" s="3"/>
      <c r="Q67" s="3"/>
      <c r="R67" s="3"/>
      <c r="S67" s="3"/>
      <c r="T67" s="3"/>
      <c r="U67" s="3"/>
      <c r="V67" s="3"/>
      <c r="W67" s="3"/>
      <c r="X67" s="3"/>
      <c r="Y67" s="3"/>
      <c r="Z67" s="3"/>
    </row>
    <row r="68" spans="1:26" ht="15.75" customHeight="1">
      <c r="A68" s="2"/>
      <c r="B68" s="27" t="s">
        <v>285</v>
      </c>
      <c r="C68" s="18">
        <v>2</v>
      </c>
      <c r="D68" s="18">
        <v>2</v>
      </c>
      <c r="E68" s="1"/>
      <c r="F68" s="1"/>
      <c r="G68" s="1"/>
      <c r="H68" s="3"/>
      <c r="I68" s="3"/>
      <c r="J68" s="3"/>
      <c r="K68" s="3"/>
      <c r="L68" s="3"/>
      <c r="M68" s="3"/>
      <c r="N68" s="3"/>
      <c r="O68" s="3"/>
      <c r="P68" s="3"/>
      <c r="Q68" s="3"/>
      <c r="R68" s="3"/>
      <c r="S68" s="3"/>
      <c r="T68" s="3"/>
      <c r="U68" s="3"/>
      <c r="V68" s="3"/>
      <c r="W68" s="3"/>
      <c r="X68" s="3"/>
      <c r="Y68" s="3"/>
      <c r="Z68" s="3"/>
    </row>
    <row r="69" spans="1:26" ht="15.75" customHeight="1">
      <c r="A69" s="2"/>
      <c r="B69" s="27" t="s">
        <v>286</v>
      </c>
      <c r="C69" s="18">
        <v>3</v>
      </c>
      <c r="D69" s="18">
        <v>3</v>
      </c>
      <c r="E69" s="1"/>
      <c r="F69" s="1"/>
      <c r="G69" s="1"/>
      <c r="H69" s="3"/>
      <c r="I69" s="3"/>
      <c r="J69" s="3"/>
      <c r="K69" s="3"/>
      <c r="L69" s="3"/>
      <c r="M69" s="3"/>
      <c r="N69" s="3"/>
      <c r="O69" s="3"/>
      <c r="P69" s="3"/>
      <c r="Q69" s="3"/>
      <c r="R69" s="3"/>
      <c r="S69" s="3"/>
      <c r="T69" s="3"/>
      <c r="U69" s="3"/>
      <c r="V69" s="3"/>
      <c r="W69" s="3"/>
      <c r="X69" s="3"/>
      <c r="Y69" s="3"/>
      <c r="Z69" s="3"/>
    </row>
    <row r="70" spans="1:26" ht="15.75" customHeight="1">
      <c r="A70" s="2"/>
      <c r="B70" s="27" t="s">
        <v>287</v>
      </c>
      <c r="C70" s="18">
        <v>7</v>
      </c>
      <c r="D70" s="18">
        <v>7</v>
      </c>
      <c r="E70" s="1"/>
      <c r="F70" s="1"/>
      <c r="G70" s="1"/>
      <c r="H70" s="3"/>
      <c r="I70" s="3"/>
      <c r="J70" s="3"/>
      <c r="K70" s="3"/>
      <c r="L70" s="3"/>
      <c r="M70" s="3"/>
      <c r="N70" s="3"/>
      <c r="O70" s="3"/>
      <c r="P70" s="3"/>
      <c r="Q70" s="3"/>
      <c r="R70" s="3"/>
      <c r="S70" s="3"/>
      <c r="T70" s="3"/>
      <c r="U70" s="3"/>
      <c r="V70" s="3"/>
      <c r="W70" s="3"/>
      <c r="X70" s="3"/>
      <c r="Y70" s="3"/>
      <c r="Z70" s="3"/>
    </row>
    <row r="71" spans="1:26" ht="15.75" customHeight="1">
      <c r="A71" s="2"/>
      <c r="B71" s="27" t="s">
        <v>117</v>
      </c>
      <c r="C71" s="18">
        <v>3</v>
      </c>
      <c r="D71" s="18">
        <v>3</v>
      </c>
      <c r="E71" s="1"/>
      <c r="F71" s="1"/>
      <c r="G71" s="1"/>
      <c r="H71" s="3"/>
      <c r="I71" s="3"/>
      <c r="J71" s="3"/>
      <c r="K71" s="3"/>
      <c r="L71" s="3"/>
      <c r="M71" s="3"/>
      <c r="N71" s="3"/>
      <c r="O71" s="3"/>
      <c r="P71" s="3"/>
      <c r="Q71" s="3"/>
      <c r="R71" s="3"/>
      <c r="S71" s="3"/>
      <c r="T71" s="3"/>
      <c r="U71" s="3"/>
      <c r="V71" s="3"/>
      <c r="W71" s="3"/>
      <c r="X71" s="3"/>
      <c r="Y71" s="3"/>
      <c r="Z71" s="3"/>
    </row>
    <row r="72" spans="1:26" ht="15.75" customHeight="1">
      <c r="A72" s="2"/>
      <c r="B72" s="27" t="s">
        <v>115</v>
      </c>
      <c r="C72" s="18">
        <v>5</v>
      </c>
      <c r="D72" s="18">
        <v>5</v>
      </c>
      <c r="E72" s="3"/>
      <c r="F72" s="3"/>
      <c r="G72" s="3"/>
      <c r="H72" s="3"/>
      <c r="I72" s="3"/>
      <c r="J72" s="3"/>
      <c r="K72" s="3"/>
      <c r="L72" s="3"/>
      <c r="M72" s="3"/>
      <c r="N72" s="3"/>
      <c r="O72" s="3"/>
      <c r="P72" s="3"/>
      <c r="Q72" s="3"/>
      <c r="R72" s="3"/>
      <c r="S72" s="3"/>
      <c r="T72" s="3"/>
      <c r="U72" s="3"/>
      <c r="V72" s="3"/>
      <c r="W72" s="3"/>
      <c r="X72" s="3"/>
      <c r="Y72" s="3"/>
      <c r="Z72" s="3"/>
    </row>
    <row r="73" spans="1:26" ht="15.75" customHeight="1">
      <c r="A73" s="2"/>
      <c r="B73" s="27" t="s">
        <v>288</v>
      </c>
      <c r="C73" s="18">
        <v>7</v>
      </c>
      <c r="D73" s="18">
        <v>7</v>
      </c>
      <c r="E73" s="3"/>
      <c r="F73" s="3"/>
      <c r="G73" s="3"/>
      <c r="H73" s="3"/>
      <c r="I73" s="3"/>
      <c r="J73" s="3"/>
      <c r="K73" s="3"/>
      <c r="L73" s="3"/>
      <c r="M73" s="3"/>
      <c r="N73" s="3"/>
      <c r="O73" s="3"/>
      <c r="P73" s="3"/>
      <c r="Q73" s="3"/>
      <c r="R73" s="3"/>
      <c r="S73" s="3"/>
      <c r="T73" s="3"/>
      <c r="U73" s="3"/>
      <c r="V73" s="3"/>
      <c r="W73" s="3"/>
      <c r="X73" s="3"/>
      <c r="Y73" s="3"/>
      <c r="Z73" s="3"/>
    </row>
    <row r="74" spans="1:26" ht="15.75" customHeight="1">
      <c r="A74" s="2"/>
      <c r="B74" s="27" t="s">
        <v>289</v>
      </c>
      <c r="C74" s="18">
        <v>5</v>
      </c>
      <c r="D74" s="18">
        <v>5</v>
      </c>
      <c r="E74" s="3"/>
      <c r="F74" s="3"/>
      <c r="G74" s="3"/>
      <c r="H74" s="3"/>
      <c r="I74" s="3"/>
      <c r="J74" s="3"/>
      <c r="K74" s="3"/>
      <c r="L74" s="3"/>
      <c r="M74" s="3"/>
      <c r="N74" s="3"/>
      <c r="O74" s="3"/>
      <c r="P74" s="3"/>
      <c r="Q74" s="3"/>
      <c r="R74" s="3"/>
      <c r="S74" s="3"/>
      <c r="T74" s="3"/>
      <c r="U74" s="3"/>
      <c r="V74" s="3"/>
      <c r="W74" s="3"/>
      <c r="X74" s="3"/>
      <c r="Y74" s="3"/>
      <c r="Z74" s="3"/>
    </row>
    <row r="75" spans="1:26" ht="15.75" customHeight="1">
      <c r="A75" s="2"/>
      <c r="B75" s="27" t="s">
        <v>290</v>
      </c>
      <c r="C75" s="18">
        <v>4</v>
      </c>
      <c r="D75" s="18">
        <v>4</v>
      </c>
      <c r="E75" s="3"/>
      <c r="F75" s="3"/>
      <c r="G75" s="3"/>
      <c r="H75" s="3"/>
      <c r="I75" s="3"/>
      <c r="J75" s="3"/>
      <c r="K75" s="3"/>
      <c r="L75" s="3"/>
      <c r="M75" s="3"/>
      <c r="N75" s="3"/>
      <c r="O75" s="3"/>
      <c r="P75" s="3"/>
      <c r="Q75" s="3"/>
      <c r="R75" s="3"/>
      <c r="S75" s="3"/>
      <c r="T75" s="3"/>
      <c r="U75" s="3"/>
      <c r="V75" s="3"/>
      <c r="W75" s="3"/>
      <c r="X75" s="3"/>
      <c r="Y75" s="3"/>
      <c r="Z75" s="3"/>
    </row>
    <row r="76" spans="1:26" ht="12.75" customHeight="1">
      <c r="A76" s="2"/>
      <c r="B76" s="2"/>
      <c r="C76" s="1" t="s">
        <v>291</v>
      </c>
      <c r="D76" s="2">
        <f>SUM(D61:D75)</f>
        <v>62</v>
      </c>
      <c r="E76" s="3"/>
      <c r="F76" s="3"/>
      <c r="G76" s="3"/>
      <c r="H76" s="3"/>
      <c r="I76" s="3"/>
      <c r="J76" s="3"/>
      <c r="K76" s="3"/>
      <c r="L76" s="3"/>
      <c r="M76" s="3"/>
      <c r="N76" s="3"/>
      <c r="O76" s="3"/>
      <c r="P76" s="3"/>
      <c r="Q76" s="3"/>
      <c r="R76" s="3"/>
      <c r="S76" s="3"/>
      <c r="T76" s="3"/>
      <c r="U76" s="3"/>
      <c r="V76" s="3"/>
      <c r="W76" s="3"/>
      <c r="X76" s="3"/>
      <c r="Y76" s="3"/>
      <c r="Z76" s="3"/>
    </row>
    <row r="77" spans="1:26" ht="12.75" customHeight="1">
      <c r="A77" s="1"/>
      <c r="B77" s="1"/>
      <c r="C77" s="1"/>
      <c r="D77" s="1"/>
      <c r="E77" s="1"/>
      <c r="F77" s="1"/>
      <c r="G77" s="1"/>
      <c r="H77" s="1"/>
      <c r="I77" s="1"/>
      <c r="J77" s="3"/>
      <c r="K77" s="3"/>
      <c r="L77" s="3"/>
      <c r="M77" s="3"/>
      <c r="N77" s="3"/>
      <c r="O77" s="3"/>
      <c r="P77" s="3"/>
      <c r="Q77" s="3"/>
      <c r="R77" s="3"/>
      <c r="S77" s="3"/>
      <c r="T77" s="3"/>
      <c r="U77" s="3"/>
      <c r="V77" s="3"/>
      <c r="W77" s="3"/>
      <c r="X77" s="3"/>
      <c r="Y77" s="3"/>
      <c r="Z77" s="3"/>
    </row>
    <row r="78" spans="1:26" ht="12.75" customHeight="1">
      <c r="A78" s="1" t="s">
        <v>95</v>
      </c>
      <c r="B78" s="1" t="s">
        <v>96</v>
      </c>
      <c r="C78" s="1" t="s">
        <v>275</v>
      </c>
      <c r="D78" s="1" t="s">
        <v>276</v>
      </c>
      <c r="E78" s="1" t="s">
        <v>99</v>
      </c>
      <c r="F78" s="1" t="s">
        <v>277</v>
      </c>
      <c r="G78" s="1" t="s">
        <v>101</v>
      </c>
      <c r="H78" s="1" t="s">
        <v>102</v>
      </c>
      <c r="I78" s="1" t="s">
        <v>278</v>
      </c>
      <c r="J78" s="3"/>
      <c r="K78" s="3"/>
      <c r="L78" s="3"/>
      <c r="M78" s="3"/>
      <c r="N78" s="3"/>
      <c r="O78" s="3"/>
      <c r="P78" s="3"/>
      <c r="Q78" s="3"/>
      <c r="R78" s="3"/>
      <c r="S78" s="3"/>
      <c r="T78" s="3"/>
      <c r="U78" s="3"/>
      <c r="V78" s="3"/>
      <c r="W78" s="3"/>
      <c r="X78" s="3"/>
      <c r="Y78" s="3"/>
      <c r="Z78" s="3"/>
    </row>
    <row r="79" spans="1:26" ht="15.75" customHeight="1">
      <c r="A79" s="1" t="s">
        <v>132</v>
      </c>
      <c r="B79" s="27" t="s">
        <v>292</v>
      </c>
      <c r="C79" s="27">
        <v>3</v>
      </c>
      <c r="D79" s="27">
        <v>4</v>
      </c>
      <c r="E79" s="1" t="s">
        <v>134</v>
      </c>
      <c r="F79" s="1">
        <v>3</v>
      </c>
      <c r="G79" s="1">
        <v>1.06</v>
      </c>
      <c r="H79" s="1">
        <v>1.03</v>
      </c>
      <c r="I79" s="2">
        <f>(D108+F83)*G79*H79</f>
        <v>152.852</v>
      </c>
      <c r="K79" s="3"/>
      <c r="L79" s="3"/>
      <c r="M79" s="3"/>
      <c r="N79" s="3"/>
      <c r="O79" s="3"/>
      <c r="P79" s="3"/>
      <c r="Q79" s="3"/>
      <c r="R79" s="3"/>
      <c r="S79" s="3"/>
      <c r="T79" s="3"/>
      <c r="U79" s="3"/>
      <c r="V79" s="3"/>
      <c r="W79" s="3"/>
      <c r="X79" s="3"/>
      <c r="Y79" s="3"/>
      <c r="Z79" s="3"/>
    </row>
    <row r="80" spans="1:26" ht="15.75" customHeight="1">
      <c r="A80" s="2"/>
      <c r="B80" s="27" t="s">
        <v>293</v>
      </c>
      <c r="C80" s="27">
        <v>4</v>
      </c>
      <c r="D80" s="27">
        <v>4</v>
      </c>
      <c r="E80" s="1" t="s">
        <v>136</v>
      </c>
      <c r="F80" s="1">
        <v>3</v>
      </c>
      <c r="G80" s="3"/>
      <c r="H80" s="3"/>
      <c r="I80" s="3"/>
      <c r="K80" s="3"/>
      <c r="L80" s="3"/>
      <c r="M80" s="3"/>
      <c r="N80" s="3"/>
      <c r="O80" s="3"/>
      <c r="P80" s="3"/>
      <c r="Q80" s="3"/>
      <c r="R80" s="3"/>
      <c r="S80" s="3"/>
      <c r="T80" s="3"/>
      <c r="U80" s="3"/>
      <c r="V80" s="3"/>
      <c r="W80" s="3"/>
      <c r="X80" s="3"/>
      <c r="Y80" s="3"/>
      <c r="Z80" s="3"/>
    </row>
    <row r="81" spans="1:26" ht="15.75" customHeight="1">
      <c r="A81" s="2"/>
      <c r="B81" s="27" t="s">
        <v>294</v>
      </c>
      <c r="C81" s="27">
        <v>4</v>
      </c>
      <c r="D81" s="27">
        <v>4</v>
      </c>
      <c r="E81" s="1" t="s">
        <v>138</v>
      </c>
      <c r="F81" s="1">
        <v>2</v>
      </c>
      <c r="G81" s="3"/>
      <c r="H81" s="3"/>
      <c r="I81" s="3"/>
      <c r="K81" s="3"/>
      <c r="L81" s="3"/>
      <c r="M81" s="3"/>
      <c r="N81" s="3"/>
      <c r="O81" s="3"/>
      <c r="P81" s="3"/>
      <c r="Q81" s="3"/>
      <c r="R81" s="3"/>
      <c r="S81" s="3"/>
      <c r="T81" s="3"/>
      <c r="U81" s="3"/>
      <c r="V81" s="3"/>
      <c r="W81" s="3"/>
      <c r="X81" s="3"/>
      <c r="Y81" s="3"/>
      <c r="Z81" s="3"/>
    </row>
    <row r="82" spans="1:26" ht="15.75" customHeight="1">
      <c r="A82" s="2"/>
      <c r="B82" s="27" t="s">
        <v>295</v>
      </c>
      <c r="C82" s="27">
        <v>3</v>
      </c>
      <c r="D82" s="27">
        <v>3</v>
      </c>
      <c r="E82" s="3"/>
      <c r="F82" s="3"/>
      <c r="G82" s="3"/>
      <c r="H82" s="3"/>
      <c r="I82" s="3"/>
      <c r="K82" s="3"/>
      <c r="L82" s="3"/>
      <c r="M82" s="3"/>
      <c r="N82" s="3"/>
      <c r="O82" s="3"/>
      <c r="P82" s="3"/>
      <c r="Q82" s="3"/>
      <c r="R82" s="3"/>
      <c r="S82" s="3"/>
      <c r="T82" s="3"/>
      <c r="U82" s="3"/>
      <c r="V82" s="3"/>
      <c r="W82" s="3"/>
      <c r="X82" s="3"/>
      <c r="Y82" s="3"/>
      <c r="Z82" s="3"/>
    </row>
    <row r="83" spans="1:26" ht="15.75" customHeight="1">
      <c r="A83" s="2"/>
      <c r="B83" s="27" t="s">
        <v>200</v>
      </c>
      <c r="C83" s="27">
        <v>5</v>
      </c>
      <c r="D83" s="27">
        <v>9</v>
      </c>
      <c r="E83" s="1" t="s">
        <v>119</v>
      </c>
      <c r="F83" s="2">
        <f>SUM(F79:F81)</f>
        <v>8</v>
      </c>
      <c r="G83" s="3"/>
      <c r="H83" s="3"/>
      <c r="I83" s="3"/>
      <c r="K83" s="3"/>
      <c r="L83" s="3"/>
      <c r="M83" s="3"/>
      <c r="N83" s="3"/>
      <c r="O83" s="3"/>
      <c r="P83" s="3"/>
      <c r="Q83" s="3"/>
      <c r="R83" s="3"/>
      <c r="S83" s="3"/>
      <c r="T83" s="3"/>
      <c r="U83" s="3"/>
      <c r="V83" s="3"/>
      <c r="W83" s="3"/>
      <c r="X83" s="3"/>
      <c r="Y83" s="3"/>
      <c r="Z83" s="3"/>
    </row>
    <row r="84" spans="1:26" ht="15.75" customHeight="1">
      <c r="A84" s="2"/>
      <c r="B84" s="27" t="s">
        <v>296</v>
      </c>
      <c r="C84" s="27">
        <v>3</v>
      </c>
      <c r="D84" s="27">
        <v>3</v>
      </c>
      <c r="E84" s="3"/>
      <c r="F84" s="3"/>
      <c r="G84" s="3"/>
      <c r="H84" s="3"/>
      <c r="I84" s="3"/>
      <c r="K84" s="3"/>
      <c r="L84" s="3"/>
      <c r="M84" s="3"/>
      <c r="N84" s="3"/>
      <c r="O84" s="3"/>
      <c r="P84" s="3"/>
      <c r="Q84" s="3"/>
      <c r="R84" s="3"/>
      <c r="S84" s="3"/>
      <c r="T84" s="3"/>
      <c r="U84" s="3"/>
      <c r="V84" s="3"/>
      <c r="W84" s="3"/>
      <c r="X84" s="3"/>
      <c r="Y84" s="3"/>
      <c r="Z84" s="3"/>
    </row>
    <row r="85" spans="1:26" ht="15.75" customHeight="1">
      <c r="A85" s="2"/>
      <c r="B85" s="27" t="s">
        <v>297</v>
      </c>
      <c r="C85" s="27">
        <v>3</v>
      </c>
      <c r="D85" s="27">
        <v>3</v>
      </c>
      <c r="E85" s="3"/>
      <c r="F85" s="3"/>
      <c r="G85" s="3"/>
      <c r="H85" s="3"/>
      <c r="I85" s="3"/>
      <c r="K85" s="3"/>
      <c r="L85" s="3"/>
      <c r="M85" s="3"/>
      <c r="N85" s="3"/>
      <c r="O85" s="3"/>
      <c r="P85" s="3"/>
      <c r="Q85" s="3"/>
      <c r="R85" s="3"/>
      <c r="S85" s="3"/>
      <c r="T85" s="3"/>
      <c r="U85" s="3"/>
      <c r="V85" s="3"/>
      <c r="W85" s="3"/>
      <c r="X85" s="3"/>
      <c r="Y85" s="3"/>
      <c r="Z85" s="3"/>
    </row>
    <row r="86" spans="1:26" ht="15.75" customHeight="1">
      <c r="A86" s="2"/>
      <c r="B86" s="27" t="s">
        <v>298</v>
      </c>
      <c r="C86" s="27">
        <v>3</v>
      </c>
      <c r="D86" s="27">
        <v>3</v>
      </c>
      <c r="E86" s="3"/>
      <c r="F86" s="3"/>
      <c r="G86" s="3"/>
      <c r="H86" s="3"/>
      <c r="I86" s="3"/>
      <c r="K86" s="3"/>
      <c r="L86" s="3"/>
      <c r="M86" s="3"/>
      <c r="N86" s="3"/>
      <c r="O86" s="3"/>
      <c r="P86" s="3"/>
      <c r="Q86" s="3"/>
      <c r="R86" s="3"/>
      <c r="S86" s="3"/>
      <c r="T86" s="3"/>
      <c r="U86" s="3"/>
      <c r="V86" s="3"/>
      <c r="W86" s="3"/>
      <c r="X86" s="3"/>
      <c r="Y86" s="3"/>
      <c r="Z86" s="3"/>
    </row>
    <row r="87" spans="1:26" ht="15.75" customHeight="1">
      <c r="A87" s="2"/>
      <c r="B87" s="27" t="s">
        <v>299</v>
      </c>
      <c r="C87" s="27">
        <v>5</v>
      </c>
      <c r="D87" s="27">
        <v>5</v>
      </c>
      <c r="E87" s="3"/>
      <c r="F87" s="3"/>
      <c r="G87" s="3"/>
      <c r="H87" s="3"/>
      <c r="I87" s="3"/>
      <c r="K87" s="3"/>
      <c r="L87" s="3"/>
      <c r="M87" s="3"/>
      <c r="N87" s="3"/>
      <c r="O87" s="3"/>
      <c r="P87" s="3"/>
      <c r="Q87" s="3"/>
      <c r="R87" s="3"/>
      <c r="S87" s="3"/>
      <c r="T87" s="3"/>
      <c r="U87" s="3"/>
      <c r="V87" s="3"/>
      <c r="W87" s="3"/>
      <c r="X87" s="3"/>
      <c r="Y87" s="3"/>
      <c r="Z87" s="3"/>
    </row>
    <row r="88" spans="1:26" ht="15.75" customHeight="1">
      <c r="A88" s="2"/>
      <c r="B88" s="27" t="s">
        <v>300</v>
      </c>
      <c r="C88" s="27">
        <v>5</v>
      </c>
      <c r="D88" s="27">
        <v>5</v>
      </c>
      <c r="E88" s="3"/>
      <c r="F88" s="3"/>
      <c r="G88" s="3"/>
      <c r="H88" s="3"/>
      <c r="I88" s="3"/>
      <c r="K88" s="3"/>
      <c r="L88" s="3"/>
      <c r="M88" s="3"/>
      <c r="N88" s="3"/>
      <c r="O88" s="3"/>
      <c r="P88" s="3"/>
      <c r="Q88" s="3"/>
      <c r="R88" s="3"/>
      <c r="S88" s="3"/>
      <c r="T88" s="3"/>
      <c r="U88" s="3"/>
      <c r="V88" s="3"/>
      <c r="W88" s="3"/>
      <c r="X88" s="3"/>
      <c r="Y88" s="3"/>
      <c r="Z88" s="3"/>
    </row>
    <row r="89" spans="1:26" ht="15.75" customHeight="1">
      <c r="A89" s="2"/>
      <c r="B89" s="27" t="s">
        <v>301</v>
      </c>
      <c r="C89" s="27">
        <v>3</v>
      </c>
      <c r="D89" s="27">
        <v>3</v>
      </c>
      <c r="E89" s="3"/>
      <c r="F89" s="3"/>
      <c r="G89" s="3"/>
      <c r="H89" s="3"/>
      <c r="I89" s="3"/>
      <c r="K89" s="3"/>
      <c r="L89" s="3"/>
      <c r="M89" s="3"/>
      <c r="N89" s="3"/>
      <c r="O89" s="3"/>
      <c r="P89" s="3"/>
      <c r="Q89" s="3"/>
      <c r="R89" s="3"/>
      <c r="S89" s="3"/>
      <c r="T89" s="3"/>
      <c r="U89" s="3"/>
      <c r="V89" s="3"/>
      <c r="W89" s="3"/>
      <c r="X89" s="3"/>
      <c r="Y89" s="3"/>
      <c r="Z89" s="3"/>
    </row>
    <row r="90" spans="1:26" ht="15.75" customHeight="1">
      <c r="A90" s="2"/>
      <c r="B90" s="27" t="s">
        <v>302</v>
      </c>
      <c r="C90" s="27">
        <v>4</v>
      </c>
      <c r="D90" s="27">
        <v>4</v>
      </c>
      <c r="E90" s="3"/>
      <c r="F90" s="3"/>
      <c r="G90" s="3"/>
      <c r="H90" s="3"/>
      <c r="I90" s="3"/>
      <c r="K90" s="3"/>
      <c r="L90" s="3"/>
      <c r="M90" s="3"/>
      <c r="N90" s="3"/>
      <c r="O90" s="3"/>
      <c r="P90" s="3"/>
      <c r="Q90" s="3"/>
      <c r="R90" s="3"/>
      <c r="S90" s="3"/>
      <c r="T90" s="3"/>
      <c r="U90" s="3"/>
      <c r="V90" s="3"/>
      <c r="W90" s="3"/>
      <c r="X90" s="3"/>
      <c r="Y90" s="3"/>
      <c r="Z90" s="3"/>
    </row>
    <row r="91" spans="1:26" ht="15.75" customHeight="1">
      <c r="A91" s="2"/>
      <c r="B91" s="27" t="s">
        <v>303</v>
      </c>
      <c r="C91" s="27">
        <v>2</v>
      </c>
      <c r="D91" s="27">
        <v>2</v>
      </c>
      <c r="E91" s="3"/>
      <c r="F91" s="3"/>
      <c r="G91" s="3"/>
      <c r="H91" s="3"/>
      <c r="I91" s="3"/>
      <c r="K91" s="3"/>
      <c r="L91" s="3"/>
      <c r="M91" s="3"/>
      <c r="N91" s="3"/>
      <c r="O91" s="3"/>
      <c r="P91" s="3"/>
      <c r="Q91" s="3"/>
      <c r="R91" s="3"/>
      <c r="S91" s="3"/>
      <c r="T91" s="3"/>
      <c r="U91" s="3"/>
      <c r="V91" s="3"/>
      <c r="W91" s="3"/>
      <c r="X91" s="3"/>
      <c r="Y91" s="3"/>
      <c r="Z91" s="3"/>
    </row>
    <row r="92" spans="1:26" ht="15.75" customHeight="1">
      <c r="A92" s="2"/>
      <c r="B92" s="27" t="s">
        <v>304</v>
      </c>
      <c r="C92" s="27">
        <v>5</v>
      </c>
      <c r="D92" s="27">
        <v>5</v>
      </c>
      <c r="E92" s="3"/>
      <c r="F92" s="3"/>
      <c r="G92" s="3"/>
      <c r="H92" s="3"/>
      <c r="I92" s="3"/>
      <c r="K92" s="3"/>
      <c r="L92" s="3"/>
      <c r="M92" s="3"/>
      <c r="N92" s="3"/>
      <c r="O92" s="3"/>
      <c r="P92" s="3"/>
      <c r="Q92" s="3"/>
      <c r="R92" s="3"/>
      <c r="S92" s="3"/>
      <c r="T92" s="3"/>
      <c r="U92" s="3"/>
      <c r="V92" s="3"/>
      <c r="W92" s="3"/>
      <c r="X92" s="3"/>
      <c r="Y92" s="3"/>
      <c r="Z92" s="3"/>
    </row>
    <row r="93" spans="1:26" ht="15.75" customHeight="1">
      <c r="A93" s="2"/>
      <c r="B93" s="27" t="s">
        <v>305</v>
      </c>
      <c r="C93" s="27">
        <v>4</v>
      </c>
      <c r="D93" s="27">
        <v>5</v>
      </c>
      <c r="E93" s="3"/>
      <c r="F93" s="3"/>
      <c r="G93" s="3"/>
      <c r="H93" s="3"/>
      <c r="I93" s="3"/>
      <c r="K93" s="3"/>
      <c r="L93" s="3"/>
      <c r="M93" s="3"/>
      <c r="N93" s="3"/>
      <c r="O93" s="3"/>
      <c r="P93" s="3"/>
      <c r="Q93" s="3"/>
      <c r="R93" s="3"/>
      <c r="S93" s="3"/>
      <c r="T93" s="3"/>
      <c r="U93" s="3"/>
      <c r="V93" s="3"/>
      <c r="W93" s="3"/>
      <c r="X93" s="3"/>
      <c r="Y93" s="3"/>
      <c r="Z93" s="3"/>
    </row>
    <row r="94" spans="1:26" ht="15.75" customHeight="1">
      <c r="A94" s="2"/>
      <c r="B94" s="27" t="s">
        <v>306</v>
      </c>
      <c r="C94" s="27">
        <v>6</v>
      </c>
      <c r="D94" s="27">
        <v>6</v>
      </c>
      <c r="E94" s="3"/>
      <c r="F94" s="3"/>
      <c r="G94" s="3"/>
      <c r="H94" s="3"/>
      <c r="I94" s="3"/>
      <c r="K94" s="3"/>
      <c r="L94" s="3"/>
      <c r="M94" s="3"/>
      <c r="N94" s="3"/>
      <c r="O94" s="3"/>
      <c r="P94" s="3"/>
      <c r="Q94" s="3"/>
      <c r="R94" s="3"/>
      <c r="S94" s="3"/>
      <c r="T94" s="3"/>
      <c r="U94" s="3"/>
      <c r="V94" s="3"/>
      <c r="W94" s="3"/>
      <c r="X94" s="3"/>
      <c r="Y94" s="3"/>
      <c r="Z94" s="3"/>
    </row>
    <row r="95" spans="1:26" ht="15.75" customHeight="1">
      <c r="A95" s="2"/>
      <c r="B95" s="27" t="s">
        <v>307</v>
      </c>
      <c r="C95" s="27">
        <v>4</v>
      </c>
      <c r="D95" s="27">
        <v>6</v>
      </c>
      <c r="E95" s="3"/>
      <c r="F95" s="3"/>
      <c r="G95" s="3"/>
      <c r="H95" s="3"/>
      <c r="I95" s="3"/>
      <c r="K95" s="3"/>
      <c r="L95" s="3"/>
      <c r="M95" s="3"/>
      <c r="N95" s="3"/>
      <c r="O95" s="3"/>
      <c r="P95" s="3"/>
      <c r="Q95" s="3"/>
      <c r="R95" s="3"/>
      <c r="S95" s="3"/>
      <c r="T95" s="3"/>
      <c r="U95" s="3"/>
      <c r="V95" s="3"/>
      <c r="W95" s="3"/>
      <c r="X95" s="3"/>
      <c r="Y95" s="3"/>
      <c r="Z95" s="3"/>
    </row>
    <row r="96" spans="1:26" ht="15.75" customHeight="1">
      <c r="A96" s="2"/>
      <c r="B96" s="27" t="s">
        <v>308</v>
      </c>
      <c r="C96" s="27">
        <v>4</v>
      </c>
      <c r="D96" s="27">
        <v>4</v>
      </c>
      <c r="E96" s="3"/>
      <c r="F96" s="3"/>
      <c r="G96" s="3"/>
      <c r="H96" s="3"/>
      <c r="I96" s="3"/>
      <c r="K96" s="3"/>
      <c r="L96" s="3"/>
      <c r="M96" s="3"/>
      <c r="N96" s="3"/>
      <c r="O96" s="3"/>
      <c r="P96" s="3"/>
      <c r="Q96" s="3"/>
      <c r="R96" s="3"/>
      <c r="S96" s="3"/>
      <c r="T96" s="3"/>
      <c r="U96" s="3"/>
      <c r="V96" s="3"/>
      <c r="W96" s="3"/>
      <c r="X96" s="3"/>
      <c r="Y96" s="3"/>
      <c r="Z96" s="3"/>
    </row>
    <row r="97" spans="1:26" ht="15.75" customHeight="1">
      <c r="A97" s="2"/>
      <c r="B97" s="27" t="s">
        <v>139</v>
      </c>
      <c r="C97" s="27">
        <v>1</v>
      </c>
      <c r="D97" s="27">
        <v>1</v>
      </c>
      <c r="E97" s="3"/>
      <c r="F97" s="3"/>
      <c r="G97" s="3"/>
      <c r="H97" s="3"/>
      <c r="I97" s="3"/>
      <c r="K97" s="3"/>
      <c r="L97" s="3"/>
      <c r="M97" s="3"/>
      <c r="N97" s="3"/>
      <c r="O97" s="3"/>
      <c r="P97" s="3"/>
      <c r="Q97" s="3"/>
      <c r="R97" s="3"/>
      <c r="S97" s="3"/>
      <c r="T97" s="3"/>
      <c r="U97" s="3"/>
      <c r="V97" s="3"/>
      <c r="W97" s="3"/>
      <c r="X97" s="3"/>
      <c r="Y97" s="3"/>
      <c r="Z97" s="3"/>
    </row>
    <row r="98" spans="1:26" ht="15.75" customHeight="1">
      <c r="A98" s="2"/>
      <c r="B98" s="27" t="s">
        <v>146</v>
      </c>
      <c r="C98" s="27">
        <v>5</v>
      </c>
      <c r="D98" s="27">
        <v>5</v>
      </c>
      <c r="E98" s="3"/>
      <c r="F98" s="3"/>
      <c r="G98" s="3"/>
      <c r="H98" s="3"/>
      <c r="I98" s="3"/>
      <c r="K98" s="3"/>
      <c r="L98" s="3"/>
      <c r="M98" s="3"/>
      <c r="N98" s="3"/>
      <c r="O98" s="3"/>
      <c r="P98" s="3"/>
      <c r="Q98" s="3"/>
      <c r="R98" s="3"/>
      <c r="S98" s="3"/>
      <c r="T98" s="3"/>
      <c r="U98" s="3"/>
      <c r="V98" s="3"/>
      <c r="W98" s="3"/>
      <c r="X98" s="3"/>
      <c r="Y98" s="3"/>
      <c r="Z98" s="3"/>
    </row>
    <row r="99" spans="1:26" ht="15.75" customHeight="1">
      <c r="A99" s="2"/>
      <c r="B99" s="27" t="s">
        <v>309</v>
      </c>
      <c r="C99" s="27">
        <v>4</v>
      </c>
      <c r="D99" s="27">
        <v>4</v>
      </c>
      <c r="E99" s="3"/>
      <c r="F99" s="3"/>
      <c r="G99" s="3"/>
      <c r="H99" s="3"/>
      <c r="I99" s="3"/>
      <c r="K99" s="3"/>
      <c r="L99" s="3"/>
      <c r="M99" s="3"/>
      <c r="N99" s="3"/>
      <c r="O99" s="3"/>
      <c r="P99" s="3"/>
      <c r="Q99" s="3"/>
      <c r="R99" s="3"/>
      <c r="S99" s="3"/>
      <c r="T99" s="3"/>
      <c r="U99" s="3"/>
      <c r="V99" s="3"/>
      <c r="W99" s="3"/>
      <c r="X99" s="3"/>
      <c r="Y99" s="3"/>
      <c r="Z99" s="3"/>
    </row>
    <row r="100" spans="1:26" ht="15.75" customHeight="1">
      <c r="A100" s="2"/>
      <c r="B100" s="27" t="s">
        <v>310</v>
      </c>
      <c r="C100" s="27">
        <v>3</v>
      </c>
      <c r="D100" s="27">
        <v>5</v>
      </c>
      <c r="E100" s="3"/>
      <c r="F100" s="3"/>
      <c r="G100" s="3"/>
      <c r="H100" s="3"/>
      <c r="I100" s="3"/>
      <c r="K100" s="3"/>
      <c r="L100" s="3"/>
      <c r="M100" s="3"/>
      <c r="N100" s="3"/>
      <c r="O100" s="3"/>
      <c r="P100" s="3"/>
      <c r="Q100" s="3"/>
      <c r="R100" s="3"/>
      <c r="S100" s="3"/>
      <c r="T100" s="3"/>
      <c r="U100" s="3"/>
      <c r="V100" s="3"/>
      <c r="W100" s="3"/>
      <c r="X100" s="3"/>
      <c r="Y100" s="3"/>
      <c r="Z100" s="3"/>
    </row>
    <row r="101" spans="1:26" ht="15.75" customHeight="1">
      <c r="A101" s="2"/>
      <c r="B101" s="27" t="s">
        <v>311</v>
      </c>
      <c r="C101" s="27">
        <v>6</v>
      </c>
      <c r="D101" s="27">
        <v>6</v>
      </c>
      <c r="E101" s="3"/>
      <c r="F101" s="3"/>
      <c r="G101" s="3"/>
      <c r="H101" s="3"/>
      <c r="I101" s="3"/>
      <c r="K101" s="3"/>
      <c r="L101" s="3"/>
      <c r="M101" s="3"/>
      <c r="N101" s="3"/>
      <c r="O101" s="3"/>
      <c r="P101" s="3"/>
      <c r="Q101" s="3"/>
      <c r="R101" s="3"/>
      <c r="S101" s="3"/>
      <c r="T101" s="3"/>
      <c r="U101" s="3"/>
      <c r="V101" s="3"/>
      <c r="W101" s="3"/>
      <c r="X101" s="3"/>
      <c r="Y101" s="3"/>
      <c r="Z101" s="3"/>
    </row>
    <row r="102" spans="1:26" ht="15.75" customHeight="1">
      <c r="A102" s="2"/>
      <c r="B102" s="27" t="s">
        <v>147</v>
      </c>
      <c r="C102" s="27">
        <v>4</v>
      </c>
      <c r="D102" s="27">
        <v>6</v>
      </c>
      <c r="E102" s="3"/>
      <c r="F102" s="3"/>
      <c r="G102" s="3"/>
      <c r="H102" s="3"/>
      <c r="I102" s="3"/>
      <c r="K102" s="3"/>
      <c r="L102" s="3"/>
      <c r="M102" s="3"/>
      <c r="N102" s="3"/>
      <c r="O102" s="3"/>
      <c r="P102" s="3"/>
      <c r="Q102" s="3"/>
      <c r="R102" s="3"/>
      <c r="S102" s="3"/>
      <c r="T102" s="3"/>
      <c r="U102" s="3"/>
      <c r="V102" s="3"/>
      <c r="W102" s="3"/>
      <c r="X102" s="3"/>
      <c r="Y102" s="3"/>
      <c r="Z102" s="3"/>
    </row>
    <row r="103" spans="1:26" ht="12.75" customHeight="1">
      <c r="A103" s="2"/>
      <c r="B103" s="61" t="s">
        <v>744</v>
      </c>
      <c r="C103" s="1">
        <v>3</v>
      </c>
      <c r="D103" s="80">
        <v>5</v>
      </c>
      <c r="E103" s="3"/>
      <c r="F103" s="3"/>
      <c r="G103" s="3"/>
      <c r="H103" s="3"/>
      <c r="I103" s="3"/>
      <c r="K103" s="3"/>
      <c r="L103" s="3"/>
      <c r="M103" s="3"/>
      <c r="N103" s="3"/>
      <c r="O103" s="3"/>
      <c r="P103" s="3"/>
      <c r="Q103" s="3"/>
      <c r="R103" s="3"/>
      <c r="S103" s="3"/>
      <c r="T103" s="3"/>
      <c r="U103" s="3"/>
      <c r="V103" s="3"/>
      <c r="W103" s="3"/>
      <c r="X103" s="3"/>
      <c r="Y103" s="3"/>
      <c r="Z103" s="3"/>
    </row>
    <row r="104" spans="1:26" s="78" customFormat="1" ht="12.75" customHeight="1">
      <c r="A104" s="3"/>
      <c r="B104" s="61" t="s">
        <v>745</v>
      </c>
      <c r="C104" s="1">
        <v>4</v>
      </c>
      <c r="D104" s="80">
        <v>7</v>
      </c>
      <c r="E104" s="3"/>
      <c r="F104" s="3"/>
      <c r="G104" s="3"/>
      <c r="H104" s="3"/>
      <c r="I104" s="3"/>
      <c r="K104" s="3"/>
      <c r="L104" s="3"/>
      <c r="M104" s="3"/>
      <c r="N104" s="3"/>
      <c r="O104" s="3"/>
      <c r="P104" s="3"/>
      <c r="Q104" s="3"/>
      <c r="R104" s="3"/>
      <c r="S104" s="3"/>
      <c r="T104" s="3"/>
      <c r="U104" s="3"/>
      <c r="V104" s="3"/>
      <c r="W104" s="3"/>
      <c r="X104" s="3"/>
      <c r="Y104" s="3"/>
      <c r="Z104" s="3"/>
    </row>
    <row r="105" spans="1:26" s="78" customFormat="1" ht="12.75" customHeight="1">
      <c r="A105" s="3"/>
      <c r="B105" s="61" t="s">
        <v>746</v>
      </c>
      <c r="C105" s="1">
        <v>3</v>
      </c>
      <c r="D105" s="80">
        <v>3</v>
      </c>
      <c r="E105" s="3"/>
      <c r="F105" s="3"/>
      <c r="G105" s="3"/>
      <c r="H105" s="3"/>
      <c r="I105" s="3"/>
      <c r="K105" s="3"/>
      <c r="L105" s="3"/>
      <c r="M105" s="3"/>
      <c r="N105" s="3"/>
      <c r="O105" s="3"/>
      <c r="P105" s="3"/>
      <c r="Q105" s="3"/>
      <c r="R105" s="3"/>
      <c r="S105" s="3"/>
      <c r="T105" s="3"/>
      <c r="U105" s="3"/>
      <c r="V105" s="3"/>
      <c r="W105" s="3"/>
      <c r="X105" s="3"/>
      <c r="Y105" s="3"/>
      <c r="Z105" s="3"/>
    </row>
    <row r="106" spans="1:26" s="78" customFormat="1" ht="12.75" customHeight="1">
      <c r="A106" s="3"/>
      <c r="B106" s="61" t="s">
        <v>148</v>
      </c>
      <c r="C106" s="1">
        <v>5</v>
      </c>
      <c r="D106" s="80">
        <v>5</v>
      </c>
      <c r="E106" s="3"/>
      <c r="F106" s="3"/>
      <c r="G106" s="3"/>
      <c r="H106" s="3"/>
      <c r="I106" s="3"/>
      <c r="K106" s="3"/>
      <c r="L106" s="3"/>
      <c r="M106" s="3"/>
      <c r="N106" s="3"/>
      <c r="O106" s="3"/>
      <c r="P106" s="3"/>
      <c r="Q106" s="3"/>
      <c r="R106" s="3"/>
      <c r="S106" s="3"/>
      <c r="T106" s="3"/>
      <c r="U106" s="3"/>
      <c r="V106" s="3"/>
      <c r="W106" s="3"/>
      <c r="X106" s="3"/>
      <c r="Y106" s="3"/>
      <c r="Z106" s="3"/>
    </row>
    <row r="107" spans="1:26" s="78" customFormat="1" ht="12.75" customHeight="1">
      <c r="A107" s="3"/>
      <c r="B107" s="61" t="s">
        <v>151</v>
      </c>
      <c r="C107" s="1">
        <v>4</v>
      </c>
      <c r="D107" s="80">
        <v>7</v>
      </c>
      <c r="E107" s="3"/>
      <c r="F107" s="3"/>
      <c r="G107" s="3"/>
      <c r="H107" s="3"/>
      <c r="I107" s="3"/>
      <c r="K107" s="3"/>
      <c r="L107" s="3"/>
      <c r="M107" s="3"/>
      <c r="N107" s="3"/>
      <c r="O107" s="3"/>
      <c r="P107" s="3"/>
      <c r="Q107" s="3"/>
      <c r="R107" s="3"/>
      <c r="S107" s="3"/>
      <c r="T107" s="3"/>
      <c r="U107" s="3"/>
      <c r="V107" s="3"/>
      <c r="W107" s="3"/>
      <c r="X107" s="3"/>
      <c r="Y107" s="3"/>
      <c r="Z107" s="3"/>
    </row>
    <row r="108" spans="1:26" ht="12.75" customHeight="1">
      <c r="A108" s="2"/>
      <c r="B108" s="2"/>
      <c r="C108" s="1" t="s">
        <v>291</v>
      </c>
      <c r="D108" s="2">
        <f>SUM(D79:D107)</f>
        <v>132</v>
      </c>
      <c r="E108" s="3"/>
      <c r="F108" s="3"/>
      <c r="G108" s="3"/>
      <c r="H108" s="3"/>
      <c r="I108" s="3"/>
      <c r="K108" s="3"/>
      <c r="L108" s="3"/>
      <c r="M108" s="3"/>
      <c r="N108" s="3"/>
      <c r="O108" s="3"/>
      <c r="P108" s="3"/>
      <c r="Q108" s="3"/>
      <c r="R108" s="3"/>
      <c r="S108" s="3"/>
      <c r="T108" s="3"/>
      <c r="U108" s="3"/>
      <c r="V108" s="3"/>
      <c r="W108" s="3"/>
      <c r="X108" s="3"/>
      <c r="Y108" s="3"/>
      <c r="Z108" s="3"/>
    </row>
    <row r="109" spans="1:26" ht="12.75" customHeight="1">
      <c r="A109" s="1"/>
      <c r="B109" s="1"/>
      <c r="C109" s="1"/>
      <c r="D109" s="1"/>
      <c r="E109" s="1"/>
      <c r="F109" s="1"/>
      <c r="G109" s="1"/>
      <c r="H109" s="1"/>
      <c r="I109" s="1"/>
      <c r="K109" s="3"/>
      <c r="L109" s="3"/>
      <c r="M109" s="3"/>
      <c r="N109" s="3"/>
      <c r="O109" s="3"/>
      <c r="P109" s="3"/>
      <c r="Q109" s="3"/>
      <c r="R109" s="3"/>
      <c r="S109" s="3"/>
      <c r="T109" s="3"/>
      <c r="U109" s="3"/>
      <c r="V109" s="3"/>
      <c r="W109" s="3"/>
      <c r="X109" s="3"/>
      <c r="Y109" s="3"/>
      <c r="Z109" s="3"/>
    </row>
    <row r="110" spans="1:26" ht="12.75" customHeight="1">
      <c r="A110" s="1" t="s">
        <v>95</v>
      </c>
      <c r="B110" s="1" t="s">
        <v>96</v>
      </c>
      <c r="C110" s="1" t="s">
        <v>275</v>
      </c>
      <c r="D110" s="1" t="s">
        <v>276</v>
      </c>
      <c r="E110" s="1" t="s">
        <v>99</v>
      </c>
      <c r="F110" s="1" t="s">
        <v>277</v>
      </c>
      <c r="G110" s="1" t="s">
        <v>101</v>
      </c>
      <c r="H110" s="1" t="s">
        <v>102</v>
      </c>
      <c r="I110" s="1" t="s">
        <v>278</v>
      </c>
      <c r="J110" s="3"/>
      <c r="K110" s="3"/>
      <c r="L110" s="3"/>
      <c r="M110" s="3"/>
      <c r="N110" s="3"/>
      <c r="O110" s="3"/>
      <c r="P110" s="3"/>
      <c r="Q110" s="3"/>
      <c r="R110" s="3"/>
      <c r="S110" s="3"/>
      <c r="T110" s="3"/>
      <c r="U110" s="3"/>
      <c r="V110" s="3"/>
      <c r="W110" s="3"/>
      <c r="X110" s="3"/>
      <c r="Y110" s="3"/>
      <c r="Z110" s="3"/>
    </row>
    <row r="111" spans="1:26" ht="12.75" customHeight="1">
      <c r="A111" s="1" t="s">
        <v>164</v>
      </c>
      <c r="B111" s="1" t="s">
        <v>180</v>
      </c>
      <c r="C111" s="18">
        <v>4</v>
      </c>
      <c r="D111" s="18">
        <v>7</v>
      </c>
      <c r="E111" s="1" t="s">
        <v>166</v>
      </c>
      <c r="F111" s="1">
        <v>3</v>
      </c>
      <c r="G111" s="1">
        <v>1.1200000000000001</v>
      </c>
      <c r="H111" s="1">
        <v>1.32</v>
      </c>
      <c r="I111" s="2">
        <f>(D159+F117)*G111*H111</f>
        <v>416.90880000000004</v>
      </c>
      <c r="J111" s="3"/>
      <c r="K111" s="3"/>
      <c r="L111" s="3"/>
      <c r="M111" s="3"/>
      <c r="N111" s="3"/>
      <c r="O111" s="3"/>
      <c r="P111" s="3"/>
      <c r="Q111" s="3"/>
      <c r="R111" s="3"/>
      <c r="S111" s="3"/>
      <c r="T111" s="3"/>
      <c r="U111" s="3"/>
      <c r="V111" s="3"/>
      <c r="W111" s="3"/>
      <c r="X111" s="3"/>
      <c r="Y111" s="3"/>
      <c r="Z111" s="3"/>
    </row>
    <row r="112" spans="1:26" ht="12.75" customHeight="1">
      <c r="A112" s="2"/>
      <c r="B112" s="1" t="s">
        <v>312</v>
      </c>
      <c r="C112" s="18">
        <v>4</v>
      </c>
      <c r="D112" s="18">
        <v>7</v>
      </c>
      <c r="E112" s="1" t="s">
        <v>168</v>
      </c>
      <c r="F112" s="1">
        <v>3</v>
      </c>
      <c r="G112" s="3"/>
      <c r="H112" s="3"/>
      <c r="I112" s="3"/>
      <c r="J112" s="3"/>
      <c r="K112" s="3"/>
      <c r="L112" s="3"/>
      <c r="M112" s="3"/>
      <c r="N112" s="3"/>
      <c r="O112" s="3"/>
      <c r="P112" s="3"/>
      <c r="Q112" s="3"/>
      <c r="R112" s="3"/>
      <c r="S112" s="3"/>
      <c r="T112" s="3"/>
      <c r="U112" s="3"/>
      <c r="V112" s="3"/>
      <c r="W112" s="3"/>
      <c r="X112" s="3"/>
      <c r="Y112" s="3"/>
      <c r="Z112" s="3"/>
    </row>
    <row r="113" spans="1:26" ht="12.75" customHeight="1">
      <c r="A113" s="2"/>
      <c r="B113" s="1" t="s">
        <v>178</v>
      </c>
      <c r="C113" s="18">
        <v>7</v>
      </c>
      <c r="D113" s="18">
        <v>8</v>
      </c>
      <c r="E113" s="1" t="s">
        <v>136</v>
      </c>
      <c r="F113" s="1">
        <v>3</v>
      </c>
      <c r="G113" s="3"/>
      <c r="H113" s="3"/>
      <c r="I113" s="3"/>
      <c r="J113" s="3"/>
      <c r="K113" s="3"/>
      <c r="L113" s="3"/>
      <c r="M113" s="3"/>
      <c r="N113" s="3"/>
      <c r="O113" s="3"/>
      <c r="P113" s="3"/>
      <c r="Q113" s="3"/>
      <c r="R113" s="3"/>
      <c r="S113" s="3"/>
      <c r="T113" s="3"/>
      <c r="U113" s="3"/>
      <c r="V113" s="3"/>
      <c r="W113" s="3"/>
      <c r="X113" s="3"/>
      <c r="Y113" s="3"/>
      <c r="Z113" s="3"/>
    </row>
    <row r="114" spans="1:26" ht="12.75" customHeight="1">
      <c r="A114" s="2"/>
      <c r="B114" s="1" t="s">
        <v>169</v>
      </c>
      <c r="C114" s="18">
        <v>5</v>
      </c>
      <c r="D114" s="18">
        <v>8</v>
      </c>
      <c r="E114" s="1" t="s">
        <v>171</v>
      </c>
      <c r="F114" s="1">
        <v>2</v>
      </c>
      <c r="G114" s="3"/>
      <c r="H114" s="3"/>
      <c r="I114" s="3"/>
      <c r="J114" s="3"/>
      <c r="K114" s="3"/>
      <c r="L114" s="3"/>
      <c r="M114" s="3"/>
      <c r="N114" s="3"/>
      <c r="O114" s="3"/>
      <c r="P114" s="3"/>
      <c r="Q114" s="3"/>
      <c r="R114" s="3"/>
      <c r="S114" s="3"/>
      <c r="T114" s="3"/>
      <c r="U114" s="3"/>
      <c r="V114" s="3"/>
      <c r="W114" s="3"/>
      <c r="X114" s="3"/>
      <c r="Y114" s="3"/>
      <c r="Z114" s="3"/>
    </row>
    <row r="115" spans="1:26" ht="12.75" customHeight="1">
      <c r="A115" s="2"/>
      <c r="B115" s="1" t="s">
        <v>313</v>
      </c>
      <c r="C115" s="18">
        <v>4</v>
      </c>
      <c r="D115" s="18">
        <v>6</v>
      </c>
      <c r="E115" s="1" t="s">
        <v>173</v>
      </c>
      <c r="F115" s="1">
        <v>1</v>
      </c>
      <c r="G115" s="3"/>
      <c r="H115" s="3"/>
      <c r="I115" s="3"/>
      <c r="J115" s="3"/>
      <c r="K115" s="3"/>
      <c r="L115" s="3"/>
      <c r="M115" s="3"/>
      <c r="N115" s="3"/>
      <c r="O115" s="3"/>
      <c r="P115" s="3"/>
      <c r="Q115" s="3"/>
      <c r="R115" s="3"/>
      <c r="S115" s="3"/>
      <c r="T115" s="3"/>
      <c r="U115" s="3"/>
      <c r="V115" s="3"/>
      <c r="W115" s="3"/>
      <c r="X115" s="3"/>
      <c r="Y115" s="3"/>
      <c r="Z115" s="3"/>
    </row>
    <row r="116" spans="1:26" ht="12.75" customHeight="1">
      <c r="A116" s="2"/>
      <c r="B116" s="1" t="s">
        <v>181</v>
      </c>
      <c r="C116" s="18">
        <v>7</v>
      </c>
      <c r="D116" s="18">
        <v>9</v>
      </c>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c r="A117" s="2"/>
      <c r="B117" s="1" t="s">
        <v>314</v>
      </c>
      <c r="C117" s="18">
        <v>9</v>
      </c>
      <c r="D117" s="18">
        <v>11</v>
      </c>
      <c r="E117" s="1" t="s">
        <v>119</v>
      </c>
      <c r="F117" s="2">
        <f>SUM(F111:F115)</f>
        <v>12</v>
      </c>
      <c r="G117" s="3"/>
      <c r="H117" s="3"/>
      <c r="I117" s="3"/>
      <c r="J117" s="3"/>
      <c r="K117" s="3"/>
      <c r="L117" s="3"/>
      <c r="M117" s="3"/>
      <c r="N117" s="3"/>
      <c r="O117" s="3"/>
      <c r="P117" s="3"/>
      <c r="Q117" s="3"/>
      <c r="R117" s="3"/>
      <c r="S117" s="3"/>
      <c r="T117" s="3"/>
      <c r="U117" s="3"/>
      <c r="V117" s="3"/>
      <c r="W117" s="3"/>
      <c r="X117" s="3"/>
      <c r="Y117" s="3"/>
      <c r="Z117" s="3"/>
    </row>
    <row r="118" spans="1:26" ht="12.75" customHeight="1">
      <c r="A118" s="2"/>
      <c r="B118" s="1" t="s">
        <v>315</v>
      </c>
      <c r="C118" s="18">
        <v>5</v>
      </c>
      <c r="D118" s="18">
        <v>7</v>
      </c>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c r="A119" s="2"/>
      <c r="B119" s="1" t="s">
        <v>316</v>
      </c>
      <c r="C119" s="18">
        <v>7</v>
      </c>
      <c r="D119" s="18">
        <v>9</v>
      </c>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c r="A120" s="2"/>
      <c r="B120" s="1" t="s">
        <v>179</v>
      </c>
      <c r="C120" s="18">
        <v>6</v>
      </c>
      <c r="D120" s="18">
        <v>7</v>
      </c>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c r="A121" s="2"/>
      <c r="B121" s="1" t="s">
        <v>317</v>
      </c>
      <c r="C121" s="18">
        <v>5</v>
      </c>
      <c r="D121" s="18">
        <v>7</v>
      </c>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c r="A122" s="2"/>
      <c r="B122" s="1" t="s">
        <v>191</v>
      </c>
      <c r="C122" s="18">
        <v>5</v>
      </c>
      <c r="D122" s="18">
        <v>5</v>
      </c>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c r="A123" s="2"/>
      <c r="B123" s="1" t="s">
        <v>318</v>
      </c>
      <c r="C123" s="18">
        <v>4</v>
      </c>
      <c r="D123" s="18">
        <v>4</v>
      </c>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c r="A124" s="2"/>
      <c r="B124" s="1" t="s">
        <v>187</v>
      </c>
      <c r="C124" s="18">
        <v>3</v>
      </c>
      <c r="D124" s="18">
        <v>7</v>
      </c>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c r="A125" s="2"/>
      <c r="B125" s="1" t="s">
        <v>190</v>
      </c>
      <c r="C125" s="18">
        <v>5</v>
      </c>
      <c r="D125" s="18">
        <v>5</v>
      </c>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c r="A126" s="2"/>
      <c r="B126" s="1" t="s">
        <v>188</v>
      </c>
      <c r="C126" s="18">
        <v>5</v>
      </c>
      <c r="D126" s="18">
        <v>5</v>
      </c>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c r="A127" s="2"/>
      <c r="B127" s="1" t="s">
        <v>189</v>
      </c>
      <c r="C127" s="18">
        <v>4</v>
      </c>
      <c r="D127" s="18">
        <v>6</v>
      </c>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c r="A128" s="2"/>
      <c r="B128" s="1" t="s">
        <v>199</v>
      </c>
      <c r="C128" s="18">
        <v>6</v>
      </c>
      <c r="D128" s="18">
        <v>7</v>
      </c>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c r="A129" s="2"/>
      <c r="B129" s="1" t="s">
        <v>204</v>
      </c>
      <c r="C129" s="18">
        <v>5</v>
      </c>
      <c r="D129" s="18">
        <v>7</v>
      </c>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c r="A130" s="2"/>
      <c r="B130" s="1" t="s">
        <v>319</v>
      </c>
      <c r="C130" s="18">
        <v>2</v>
      </c>
      <c r="D130" s="18">
        <v>3</v>
      </c>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c r="A131" s="2"/>
      <c r="B131" s="1" t="s">
        <v>200</v>
      </c>
      <c r="C131" s="18">
        <v>7</v>
      </c>
      <c r="D131" s="18">
        <v>9</v>
      </c>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c r="A132" s="2"/>
      <c r="B132" s="1" t="s">
        <v>194</v>
      </c>
      <c r="C132" s="18">
        <v>9</v>
      </c>
      <c r="D132" s="18">
        <v>12</v>
      </c>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c r="A133" s="2"/>
      <c r="B133" s="1" t="s">
        <v>195</v>
      </c>
      <c r="C133" s="18">
        <v>6</v>
      </c>
      <c r="D133" s="18">
        <v>8</v>
      </c>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c r="A134" s="2"/>
      <c r="B134" s="1" t="s">
        <v>196</v>
      </c>
      <c r="C134" s="18">
        <v>3</v>
      </c>
      <c r="D134" s="18">
        <v>3</v>
      </c>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c r="A135" s="2"/>
      <c r="B135" s="1" t="s">
        <v>320</v>
      </c>
      <c r="C135" s="18">
        <v>6</v>
      </c>
      <c r="D135" s="18">
        <v>6</v>
      </c>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c r="A136" s="2"/>
      <c r="B136" s="1" t="s">
        <v>197</v>
      </c>
      <c r="C136" s="18">
        <v>3</v>
      </c>
      <c r="D136" s="18">
        <v>3</v>
      </c>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c r="A137" s="2"/>
      <c r="B137" s="1" t="s">
        <v>321</v>
      </c>
      <c r="C137" s="18">
        <v>6</v>
      </c>
      <c r="D137" s="18">
        <v>6</v>
      </c>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c r="A138" s="2"/>
      <c r="B138" s="1" t="s">
        <v>202</v>
      </c>
      <c r="C138" s="18">
        <v>4</v>
      </c>
      <c r="D138" s="18">
        <v>4</v>
      </c>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c r="A139" s="2"/>
      <c r="B139" s="1" t="s">
        <v>203</v>
      </c>
      <c r="C139" s="18">
        <v>3</v>
      </c>
      <c r="D139" s="18">
        <v>3</v>
      </c>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c r="A140" s="2"/>
      <c r="B140" s="1" t="s">
        <v>198</v>
      </c>
      <c r="C140" s="18">
        <v>4</v>
      </c>
      <c r="D140" s="18">
        <v>4</v>
      </c>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c r="A141" s="2"/>
      <c r="B141" s="1" t="s">
        <v>322</v>
      </c>
      <c r="C141" s="18">
        <v>5</v>
      </c>
      <c r="D141" s="18">
        <v>5</v>
      </c>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c r="A142" s="2"/>
      <c r="B142" s="1" t="s">
        <v>323</v>
      </c>
      <c r="C142" s="18">
        <v>4</v>
      </c>
      <c r="D142" s="18">
        <v>5</v>
      </c>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c r="A143" s="2"/>
      <c r="B143" s="1" t="s">
        <v>324</v>
      </c>
      <c r="C143" s="18">
        <v>8</v>
      </c>
      <c r="D143" s="18">
        <v>8</v>
      </c>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c r="A144" s="2"/>
      <c r="B144" s="1" t="s">
        <v>325</v>
      </c>
      <c r="C144" s="18">
        <v>5</v>
      </c>
      <c r="D144" s="18">
        <v>5</v>
      </c>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c r="A145" s="2"/>
      <c r="B145" s="1" t="s">
        <v>326</v>
      </c>
      <c r="C145" s="18">
        <v>5</v>
      </c>
      <c r="D145" s="18">
        <v>5</v>
      </c>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c r="A146" s="2"/>
      <c r="B146" s="1" t="s">
        <v>327</v>
      </c>
      <c r="C146" s="18">
        <v>6</v>
      </c>
      <c r="D146" s="18">
        <v>6</v>
      </c>
      <c r="E146" s="3"/>
      <c r="F146" s="3"/>
      <c r="G146" s="3"/>
      <c r="H146" s="3"/>
      <c r="I146" s="3"/>
      <c r="J146" s="3"/>
      <c r="K146" s="3"/>
      <c r="L146" s="3"/>
      <c r="M146" s="3"/>
      <c r="N146" s="3"/>
      <c r="O146" s="3"/>
      <c r="P146" s="3"/>
      <c r="Q146" s="3"/>
      <c r="R146" s="3"/>
      <c r="S146" s="3"/>
      <c r="T146" s="3"/>
      <c r="U146" s="3"/>
      <c r="V146" s="3"/>
      <c r="W146" s="3"/>
      <c r="X146" s="3"/>
      <c r="Y146" s="3"/>
      <c r="Z146" s="3"/>
    </row>
    <row r="147" spans="1:26" s="78" customFormat="1" ht="12.75" customHeight="1">
      <c r="A147" s="3"/>
      <c r="B147" s="83" t="s">
        <v>216</v>
      </c>
      <c r="C147" s="18">
        <v>3</v>
      </c>
      <c r="D147" s="18">
        <v>5</v>
      </c>
      <c r="E147" s="3"/>
      <c r="F147" s="3"/>
      <c r="G147" s="3"/>
      <c r="H147" s="3"/>
      <c r="I147" s="3"/>
      <c r="J147" s="3"/>
      <c r="K147" s="3"/>
      <c r="L147" s="3"/>
      <c r="M147" s="3"/>
      <c r="N147" s="3"/>
      <c r="O147" s="3"/>
      <c r="P147" s="3"/>
      <c r="Q147" s="3"/>
      <c r="R147" s="3"/>
      <c r="S147" s="3"/>
      <c r="T147" s="3"/>
      <c r="U147" s="3"/>
      <c r="V147" s="3"/>
      <c r="W147" s="3"/>
      <c r="X147" s="3"/>
      <c r="Y147" s="3"/>
      <c r="Z147" s="3"/>
    </row>
    <row r="148" spans="1:26" s="78" customFormat="1" ht="12.75" customHeight="1">
      <c r="A148" s="3"/>
      <c r="B148" s="83" t="s">
        <v>185</v>
      </c>
      <c r="C148" s="18">
        <v>4</v>
      </c>
      <c r="D148" s="18">
        <v>4</v>
      </c>
      <c r="E148" s="3"/>
      <c r="F148" s="3"/>
      <c r="G148" s="3"/>
      <c r="H148" s="3"/>
      <c r="I148" s="3"/>
      <c r="J148" s="3"/>
      <c r="K148" s="3"/>
      <c r="L148" s="3"/>
      <c r="M148" s="3"/>
      <c r="N148" s="3"/>
      <c r="O148" s="3"/>
      <c r="P148" s="3"/>
      <c r="Q148" s="3"/>
      <c r="R148" s="3"/>
      <c r="S148" s="3"/>
      <c r="T148" s="3"/>
      <c r="U148" s="3"/>
      <c r="V148" s="3"/>
      <c r="W148" s="3"/>
      <c r="X148" s="3"/>
      <c r="Y148" s="3"/>
      <c r="Z148" s="3"/>
    </row>
    <row r="149" spans="1:26" s="78" customFormat="1" ht="12.75" customHeight="1">
      <c r="A149" s="3"/>
      <c r="B149" s="83" t="s">
        <v>205</v>
      </c>
      <c r="C149" s="18">
        <v>3</v>
      </c>
      <c r="D149" s="18">
        <v>4</v>
      </c>
      <c r="E149" s="3"/>
      <c r="F149" s="3"/>
      <c r="G149" s="3"/>
      <c r="H149" s="3"/>
      <c r="I149" s="3"/>
      <c r="J149" s="3"/>
      <c r="K149" s="3"/>
      <c r="L149" s="3"/>
      <c r="M149" s="3"/>
      <c r="N149" s="3"/>
      <c r="O149" s="3"/>
      <c r="P149" s="3"/>
      <c r="Q149" s="3"/>
      <c r="R149" s="3"/>
      <c r="S149" s="3"/>
      <c r="T149" s="3"/>
      <c r="U149" s="3"/>
      <c r="V149" s="3"/>
      <c r="W149" s="3"/>
      <c r="X149" s="3"/>
      <c r="Y149" s="3"/>
      <c r="Z149" s="3"/>
    </row>
    <row r="150" spans="1:26" s="78" customFormat="1" ht="12.75" customHeight="1">
      <c r="A150" s="3"/>
      <c r="B150" s="83" t="s">
        <v>209</v>
      </c>
      <c r="C150" s="18">
        <v>3</v>
      </c>
      <c r="D150" s="18">
        <v>3</v>
      </c>
      <c r="E150" s="3"/>
      <c r="F150" s="3"/>
      <c r="G150" s="3"/>
      <c r="H150" s="3"/>
      <c r="I150" s="3"/>
      <c r="J150" s="3"/>
      <c r="K150" s="3"/>
      <c r="L150" s="3"/>
      <c r="M150" s="3"/>
      <c r="N150" s="3"/>
      <c r="O150" s="3"/>
      <c r="P150" s="3"/>
      <c r="Q150" s="3"/>
      <c r="R150" s="3"/>
      <c r="S150" s="3"/>
      <c r="T150" s="3"/>
      <c r="U150" s="3"/>
      <c r="V150" s="3"/>
      <c r="W150" s="3"/>
      <c r="X150" s="3"/>
      <c r="Y150" s="3"/>
      <c r="Z150" s="3"/>
    </row>
    <row r="151" spans="1:26" s="78" customFormat="1" ht="12.75" customHeight="1">
      <c r="A151" s="3"/>
      <c r="B151" s="83" t="s">
        <v>172</v>
      </c>
      <c r="C151" s="18">
        <v>2</v>
      </c>
      <c r="D151" s="18">
        <v>3</v>
      </c>
      <c r="E151" s="3"/>
      <c r="F151" s="3"/>
      <c r="G151" s="3"/>
      <c r="H151" s="3"/>
      <c r="I151" s="3"/>
      <c r="J151" s="3"/>
      <c r="K151" s="3"/>
      <c r="L151" s="3"/>
      <c r="M151" s="3"/>
      <c r="N151" s="3"/>
      <c r="O151" s="3"/>
      <c r="P151" s="3"/>
      <c r="Q151" s="3"/>
      <c r="R151" s="3"/>
      <c r="S151" s="3"/>
      <c r="T151" s="3"/>
      <c r="U151" s="3"/>
      <c r="V151" s="3"/>
      <c r="W151" s="3"/>
      <c r="X151" s="3"/>
      <c r="Y151" s="3"/>
      <c r="Z151" s="3"/>
    </row>
    <row r="152" spans="1:26" s="78" customFormat="1" ht="12.75" customHeight="1">
      <c r="A152" s="3"/>
      <c r="B152" s="83" t="s">
        <v>167</v>
      </c>
      <c r="C152" s="18">
        <v>3</v>
      </c>
      <c r="D152" s="18">
        <v>2</v>
      </c>
      <c r="E152" s="3"/>
      <c r="F152" s="3"/>
      <c r="G152" s="3"/>
      <c r="H152" s="3"/>
      <c r="I152" s="3"/>
      <c r="J152" s="3"/>
      <c r="K152" s="3"/>
      <c r="L152" s="3"/>
      <c r="M152" s="3"/>
      <c r="N152" s="3"/>
      <c r="O152" s="3"/>
      <c r="P152" s="3"/>
      <c r="Q152" s="3"/>
      <c r="R152" s="3"/>
      <c r="S152" s="3"/>
      <c r="T152" s="3"/>
      <c r="U152" s="3"/>
      <c r="V152" s="3"/>
      <c r="W152" s="3"/>
      <c r="X152" s="3"/>
      <c r="Y152" s="3"/>
      <c r="Z152" s="3"/>
    </row>
    <row r="153" spans="1:26" s="78" customFormat="1" ht="12.75" customHeight="1">
      <c r="A153" s="3"/>
      <c r="B153" s="83" t="s">
        <v>210</v>
      </c>
      <c r="C153" s="18">
        <v>3</v>
      </c>
      <c r="D153" s="18">
        <v>4</v>
      </c>
      <c r="E153" s="3"/>
      <c r="F153" s="3"/>
      <c r="G153" s="3"/>
      <c r="H153" s="3"/>
      <c r="I153" s="3"/>
      <c r="J153" s="3"/>
      <c r="K153" s="3"/>
      <c r="L153" s="3"/>
      <c r="M153" s="3"/>
      <c r="N153" s="3"/>
      <c r="O153" s="3"/>
      <c r="P153" s="3"/>
      <c r="Q153" s="3"/>
      <c r="R153" s="3"/>
      <c r="S153" s="3"/>
      <c r="T153" s="3"/>
      <c r="U153" s="3"/>
      <c r="V153" s="3"/>
      <c r="W153" s="3"/>
      <c r="X153" s="3"/>
      <c r="Y153" s="3"/>
      <c r="Z153" s="3"/>
    </row>
    <row r="154" spans="1:26" s="78" customFormat="1" ht="12.75" customHeight="1">
      <c r="A154" s="3"/>
      <c r="B154" s="83" t="s">
        <v>208</v>
      </c>
      <c r="C154" s="18">
        <v>7</v>
      </c>
      <c r="D154" s="18">
        <v>9</v>
      </c>
      <c r="E154" s="3"/>
      <c r="F154" s="3"/>
      <c r="G154" s="3"/>
      <c r="H154" s="3"/>
      <c r="I154" s="3"/>
      <c r="J154" s="3"/>
      <c r="K154" s="3"/>
      <c r="L154" s="3"/>
      <c r="M154" s="3"/>
      <c r="N154" s="3"/>
      <c r="O154" s="3"/>
      <c r="P154" s="3"/>
      <c r="Q154" s="3"/>
      <c r="R154" s="3"/>
      <c r="S154" s="3"/>
      <c r="T154" s="3"/>
      <c r="U154" s="3"/>
      <c r="V154" s="3"/>
      <c r="W154" s="3"/>
      <c r="X154" s="3"/>
      <c r="Y154" s="3"/>
      <c r="Z154" s="3"/>
    </row>
    <row r="155" spans="1:26" s="78" customFormat="1" ht="12.75" customHeight="1">
      <c r="A155" s="3"/>
      <c r="B155" s="83" t="s">
        <v>184</v>
      </c>
      <c r="C155" s="18">
        <v>2</v>
      </c>
      <c r="D155" s="18">
        <v>2</v>
      </c>
      <c r="E155" s="3"/>
      <c r="F155" s="3"/>
      <c r="G155" s="3"/>
      <c r="H155" s="3"/>
      <c r="I155" s="3"/>
      <c r="J155" s="3"/>
      <c r="K155" s="3"/>
      <c r="L155" s="3"/>
      <c r="M155" s="3"/>
      <c r="N155" s="3"/>
      <c r="O155" s="3"/>
      <c r="P155" s="3"/>
      <c r="Q155" s="3"/>
      <c r="R155" s="3"/>
      <c r="S155" s="3"/>
      <c r="T155" s="3"/>
      <c r="U155" s="3"/>
      <c r="V155" s="3"/>
      <c r="W155" s="3"/>
      <c r="X155" s="3"/>
      <c r="Y155" s="3"/>
      <c r="Z155" s="3"/>
    </row>
    <row r="156" spans="1:26" s="78" customFormat="1" ht="12.75" customHeight="1">
      <c r="A156" s="3"/>
      <c r="B156" s="83" t="s">
        <v>211</v>
      </c>
      <c r="C156" s="18">
        <v>2</v>
      </c>
      <c r="D156" s="18">
        <v>2</v>
      </c>
      <c r="E156" s="3"/>
      <c r="F156" s="3"/>
      <c r="G156" s="3"/>
      <c r="H156" s="3"/>
      <c r="I156" s="3"/>
      <c r="J156" s="3"/>
      <c r="K156" s="3"/>
      <c r="L156" s="3"/>
      <c r="M156" s="3"/>
      <c r="N156" s="3"/>
      <c r="O156" s="3"/>
      <c r="P156" s="3"/>
      <c r="Q156" s="3"/>
      <c r="R156" s="3"/>
      <c r="S156" s="3"/>
      <c r="T156" s="3"/>
      <c r="U156" s="3"/>
      <c r="V156" s="3"/>
      <c r="W156" s="3"/>
      <c r="X156" s="3"/>
      <c r="Y156" s="3"/>
      <c r="Z156" s="3"/>
    </row>
    <row r="157" spans="1:26" s="78" customFormat="1" ht="12.75" customHeight="1">
      <c r="A157" s="3"/>
      <c r="B157" s="83" t="s">
        <v>215</v>
      </c>
      <c r="C157" s="18">
        <v>3</v>
      </c>
      <c r="D157" s="18">
        <v>5</v>
      </c>
      <c r="E157" s="3"/>
      <c r="F157" s="3"/>
      <c r="G157" s="3"/>
      <c r="H157" s="3"/>
      <c r="I157" s="3"/>
      <c r="J157" s="3"/>
      <c r="K157" s="3"/>
      <c r="L157" s="3"/>
      <c r="M157" s="3"/>
      <c r="N157" s="3"/>
      <c r="O157" s="3"/>
      <c r="P157" s="3"/>
      <c r="Q157" s="3"/>
      <c r="R157" s="3"/>
      <c r="S157" s="3"/>
      <c r="T157" s="3"/>
      <c r="U157" s="3"/>
      <c r="V157" s="3"/>
      <c r="W157" s="3"/>
      <c r="X157" s="3"/>
      <c r="Y157" s="3"/>
      <c r="Z157" s="3"/>
    </row>
    <row r="158" spans="1:26" s="78" customFormat="1" ht="12.75" customHeight="1">
      <c r="A158" s="3"/>
      <c r="B158" s="1"/>
      <c r="C158" s="18"/>
      <c r="D158" s="18"/>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c r="A159" s="2"/>
      <c r="B159" s="2"/>
      <c r="C159" s="1" t="s">
        <v>291</v>
      </c>
      <c r="D159" s="2">
        <f>SUM(D111:D157)</f>
        <v>270</v>
      </c>
      <c r="E159" s="3"/>
      <c r="F159" s="3"/>
      <c r="G159" s="3"/>
      <c r="H159" s="3"/>
      <c r="I159" s="3"/>
      <c r="J159" s="3"/>
      <c r="K159" s="3"/>
      <c r="L159" s="3"/>
      <c r="M159" s="3"/>
      <c r="N159" s="3"/>
      <c r="O159" s="3"/>
      <c r="P159" s="3"/>
      <c r="Q159" s="3"/>
      <c r="R159" s="3"/>
      <c r="S159" s="3"/>
      <c r="T159" s="3"/>
      <c r="U159" s="3"/>
      <c r="V159" s="3"/>
      <c r="W159" s="3"/>
      <c r="X159" s="3"/>
      <c r="Y159" s="3"/>
      <c r="Z159" s="3"/>
    </row>
    <row r="160" spans="1:26" ht="15.75" customHeight="1">
      <c r="A160" s="2"/>
      <c r="B160" s="2"/>
      <c r="C160" s="2"/>
      <c r="D160" s="2"/>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c r="A161" s="1" t="s">
        <v>95</v>
      </c>
      <c r="B161" s="18" t="s">
        <v>278</v>
      </c>
      <c r="C161" s="18" t="s">
        <v>328</v>
      </c>
      <c r="D161" s="2"/>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c r="A162" s="22" t="s">
        <v>246</v>
      </c>
      <c r="B162" s="28">
        <f>I61</f>
        <v>104.83439999999997</v>
      </c>
      <c r="C162" s="28">
        <f>16*15*5</f>
        <v>1200</v>
      </c>
      <c r="D162" s="2"/>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c r="A163" s="1" t="s">
        <v>132</v>
      </c>
      <c r="B163" s="1">
        <f>I79</f>
        <v>152.852</v>
      </c>
      <c r="C163" s="1">
        <f>24*12*7</f>
        <v>2016</v>
      </c>
      <c r="D163" s="2"/>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c r="A164" s="1" t="s">
        <v>220</v>
      </c>
      <c r="B164" s="1">
        <f>I111</f>
        <v>416.90880000000004</v>
      </c>
      <c r="C164" s="2">
        <f>49*4*8+24*4*10+12*12*8</f>
        <v>3680</v>
      </c>
      <c r="D164" s="2"/>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c r="A165" s="24" t="s">
        <v>221</v>
      </c>
      <c r="B165" s="1">
        <v>0</v>
      </c>
      <c r="C165" s="1">
        <v>0</v>
      </c>
      <c r="D165" s="2"/>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c r="A166" s="1"/>
      <c r="B166" s="1"/>
      <c r="C166" s="2"/>
      <c r="D166" s="2"/>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c r="A167" s="1" t="s">
        <v>222</v>
      </c>
      <c r="B167" s="1">
        <f>COUNT(B163:B165)</f>
        <v>3</v>
      </c>
      <c r="C167" s="2"/>
      <c r="D167" s="2"/>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c r="A168" s="1" t="s">
        <v>223</v>
      </c>
      <c r="B168" s="1">
        <f>CORREL(B163:B165,C163:C165)</f>
        <v>0.97845232626859902</v>
      </c>
      <c r="C168" s="2"/>
      <c r="D168" s="2"/>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c r="A169" s="1" t="s">
        <v>224</v>
      </c>
      <c r="B169" s="1">
        <f>STDEV(B163:B165)</f>
        <v>210.91178054962543</v>
      </c>
      <c r="C169" s="2"/>
      <c r="D169" s="2"/>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c r="A170" s="1" t="s">
        <v>225</v>
      </c>
      <c r="B170" s="1">
        <f>STDEV(C163:C165)</f>
        <v>1842.8036610917977</v>
      </c>
      <c r="C170" s="2"/>
      <c r="D170" s="2"/>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c r="A171" s="1" t="s">
        <v>226</v>
      </c>
      <c r="B171" s="1">
        <f>B168*B170/B169</f>
        <v>8.549050813343781</v>
      </c>
      <c r="C171" s="2"/>
      <c r="D171" s="2"/>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c r="A172" s="1" t="s">
        <v>227</v>
      </c>
      <c r="B172" s="1">
        <f>AVERAGE(C163:C165)-AVERAGE(B163:B165)*B171</f>
        <v>275.02865644953226</v>
      </c>
      <c r="C172" s="2"/>
      <c r="D172" s="2"/>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c r="A173" s="1" t="s">
        <v>228</v>
      </c>
      <c r="B173" s="1">
        <f>B170*SQRT((1-B168^2)*(B167-2)/(B167-1))</f>
        <v>269.04632170651087</v>
      </c>
      <c r="C173" s="2"/>
      <c r="D173" s="2"/>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c r="A174" s="1" t="s">
        <v>229</v>
      </c>
      <c r="B174" s="1">
        <f>B173/(B169*SQRT(B167-1))</f>
        <v>0.90200973144413144</v>
      </c>
      <c r="C174" s="2"/>
      <c r="D174" s="2"/>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c r="A175" s="1" t="s">
        <v>230</v>
      </c>
      <c r="B175" s="1">
        <f>B171/B174</f>
        <v>9.4777811317585439</v>
      </c>
      <c r="C175" s="2"/>
      <c r="D175" s="2"/>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c r="A176" s="1" t="s">
        <v>231</v>
      </c>
      <c r="B176" s="1">
        <f>B167-2</f>
        <v>1</v>
      </c>
      <c r="C176" s="2"/>
      <c r="D176" s="2"/>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c r="A177" s="22" t="s">
        <v>232</v>
      </c>
      <c r="B177" s="22">
        <f>TDIST(B175,B176,2)</f>
        <v>6.6922105644959609E-2</v>
      </c>
      <c r="C177" s="2"/>
      <c r="D177" s="2"/>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c r="A178" s="1" t="s">
        <v>233</v>
      </c>
      <c r="B178" s="1">
        <v>0.05</v>
      </c>
      <c r="C178" s="2"/>
      <c r="D178" s="2"/>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c r="A179" s="1" t="s">
        <v>234</v>
      </c>
      <c r="B179" s="1">
        <f>TINV(B178,B176)</f>
        <v>12.706204736174707</v>
      </c>
      <c r="C179" s="2"/>
      <c r="D179" s="2"/>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c r="A180" s="1" t="s">
        <v>235</v>
      </c>
      <c r="B180" s="18" t="str">
        <f>IF(B175&gt;B179,"yes", "no")</f>
        <v>no</v>
      </c>
      <c r="C180" s="2"/>
      <c r="D180" s="2"/>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c r="A181" s="1"/>
      <c r="B181" s="1"/>
      <c r="C181" s="2"/>
      <c r="D181" s="2"/>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c r="A182" s="1"/>
      <c r="B182" s="1"/>
      <c r="C182" s="2"/>
      <c r="D182" s="2"/>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c r="A183" s="1" t="s">
        <v>236</v>
      </c>
      <c r="B183" s="2"/>
      <c r="C183" s="2"/>
      <c r="D183" s="2"/>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c r="A184" s="1" t="s">
        <v>237</v>
      </c>
      <c r="B184" s="2"/>
      <c r="C184" s="2"/>
      <c r="D184" s="2"/>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c r="A185" s="1" t="s">
        <v>238</v>
      </c>
      <c r="B185" s="23">
        <f t="shared" ref="B185:B186" si="0">B171</f>
        <v>8.549050813343781</v>
      </c>
      <c r="C185" s="2"/>
      <c r="D185" s="2"/>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c r="A186" s="1" t="s">
        <v>239</v>
      </c>
      <c r="B186" s="23">
        <f t="shared" si="0"/>
        <v>275.02865644953226</v>
      </c>
      <c r="C186" s="2"/>
      <c r="D186" s="1"/>
      <c r="E186" s="1"/>
      <c r="F186" s="1"/>
      <c r="G186" s="1"/>
      <c r="H186" s="3"/>
      <c r="I186" s="3"/>
      <c r="J186" s="3"/>
      <c r="K186" s="3"/>
      <c r="L186" s="3"/>
      <c r="M186" s="3"/>
      <c r="N186" s="3"/>
      <c r="O186" s="3"/>
      <c r="P186" s="3"/>
      <c r="Q186" s="3"/>
      <c r="R186" s="3"/>
      <c r="S186" s="3"/>
      <c r="T186" s="3"/>
      <c r="U186" s="3"/>
      <c r="V186" s="3"/>
      <c r="W186" s="3"/>
      <c r="X186" s="3"/>
      <c r="Y186" s="3"/>
      <c r="Z186" s="3"/>
    </row>
    <row r="187" spans="1:26" ht="12.75" customHeight="1">
      <c r="A187" s="1" t="s">
        <v>329</v>
      </c>
      <c r="B187" s="2"/>
      <c r="C187" s="2"/>
      <c r="D187" s="1"/>
      <c r="E187" s="1"/>
      <c r="F187" s="3"/>
      <c r="G187" s="3"/>
      <c r="H187" s="3"/>
      <c r="I187" s="3"/>
      <c r="J187" s="3"/>
      <c r="K187" s="3"/>
      <c r="L187" s="3"/>
      <c r="M187" s="3"/>
      <c r="N187" s="3"/>
      <c r="O187" s="3"/>
      <c r="P187" s="3"/>
      <c r="Q187" s="3"/>
      <c r="R187" s="3"/>
      <c r="S187" s="3"/>
      <c r="T187" s="3"/>
      <c r="U187" s="3"/>
      <c r="V187" s="3"/>
      <c r="W187" s="3"/>
      <c r="X187" s="3"/>
      <c r="Y187" s="3"/>
      <c r="Z187" s="3"/>
    </row>
    <row r="188" spans="1:26" ht="12.75" customHeight="1">
      <c r="A188" s="1" t="s">
        <v>330</v>
      </c>
      <c r="B188" s="2"/>
      <c r="C188" s="2"/>
      <c r="D188" s="1"/>
      <c r="E188" s="1"/>
      <c r="F188" s="3"/>
      <c r="G188" s="3"/>
      <c r="H188" s="3"/>
      <c r="I188" s="3"/>
      <c r="J188" s="3"/>
      <c r="K188" s="3"/>
      <c r="L188" s="3"/>
      <c r="M188" s="3"/>
      <c r="N188" s="3"/>
      <c r="O188" s="3"/>
      <c r="P188" s="3"/>
      <c r="Q188" s="3"/>
      <c r="R188" s="3"/>
      <c r="S188" s="3"/>
      <c r="T188" s="3"/>
      <c r="U188" s="3"/>
      <c r="V188" s="3"/>
      <c r="W188" s="3"/>
      <c r="X188" s="3"/>
      <c r="Y188" s="3"/>
      <c r="Z188" s="3"/>
    </row>
    <row r="189" spans="1:26" ht="12.75" customHeight="1">
      <c r="A189" s="1" t="s">
        <v>242</v>
      </c>
      <c r="B189" s="2">
        <f>(B168)^2</f>
        <v>0.95736895478043293</v>
      </c>
      <c r="C189" s="2"/>
      <c r="D189" s="1"/>
      <c r="E189" s="1"/>
      <c r="F189" s="3"/>
      <c r="G189" s="3"/>
      <c r="H189" s="3"/>
      <c r="I189" s="3"/>
      <c r="J189" s="3"/>
      <c r="K189" s="3"/>
      <c r="L189" s="3"/>
      <c r="M189" s="3"/>
      <c r="N189" s="3"/>
      <c r="O189" s="3"/>
      <c r="P189" s="3"/>
      <c r="Q189" s="3"/>
      <c r="R189" s="3"/>
      <c r="S189" s="3"/>
      <c r="T189" s="3"/>
      <c r="U189" s="3"/>
      <c r="V189" s="3"/>
      <c r="W189" s="3"/>
      <c r="X189" s="3"/>
      <c r="Y189" s="3"/>
      <c r="Z189" s="3"/>
    </row>
    <row r="190" spans="1:26" ht="12.75" customHeight="1">
      <c r="A190" s="1" t="s">
        <v>243</v>
      </c>
      <c r="B190" s="1">
        <f>B177</f>
        <v>6.6922105644959609E-2</v>
      </c>
      <c r="C190" s="2"/>
      <c r="D190" s="1"/>
      <c r="E190" s="1"/>
      <c r="F190" s="3"/>
      <c r="G190" s="1"/>
      <c r="H190" s="3"/>
      <c r="I190" s="3"/>
      <c r="J190" s="3"/>
      <c r="K190" s="3"/>
      <c r="L190" s="3"/>
      <c r="M190" s="3"/>
      <c r="N190" s="3"/>
      <c r="O190" s="3"/>
      <c r="P190" s="3"/>
      <c r="Q190" s="3"/>
      <c r="R190" s="3"/>
      <c r="S190" s="3"/>
      <c r="T190" s="3"/>
      <c r="U190" s="3"/>
      <c r="V190" s="3"/>
      <c r="W190" s="3"/>
      <c r="X190" s="3"/>
      <c r="Y190" s="3"/>
      <c r="Z190" s="3"/>
    </row>
    <row r="191" spans="1:26" ht="12.75" customHeight="1">
      <c r="A191" s="2"/>
      <c r="B191" s="2"/>
      <c r="C191" s="2"/>
      <c r="D191" s="1"/>
      <c r="E191" s="1"/>
      <c r="F191" s="1"/>
      <c r="G191" s="3"/>
      <c r="H191" s="3"/>
      <c r="I191" s="3"/>
      <c r="J191" s="3"/>
      <c r="K191" s="3"/>
      <c r="L191" s="3"/>
      <c r="M191" s="3"/>
      <c r="N191" s="3"/>
      <c r="O191" s="3"/>
      <c r="P191" s="3"/>
      <c r="Q191" s="3"/>
      <c r="R191" s="3"/>
      <c r="S191" s="3"/>
      <c r="T191" s="3"/>
      <c r="U191" s="3"/>
      <c r="V191" s="3"/>
      <c r="W191" s="3"/>
      <c r="X191" s="3"/>
      <c r="Y191" s="3"/>
      <c r="Z191" s="3"/>
    </row>
    <row r="192" spans="1:26" ht="12.75" customHeight="1">
      <c r="A192" s="2"/>
      <c r="B192" s="2"/>
      <c r="C192" s="2"/>
      <c r="D192" s="1"/>
      <c r="E192" s="1"/>
      <c r="F192" s="3"/>
      <c r="G192" s="3"/>
      <c r="H192" s="3"/>
      <c r="I192" s="3"/>
      <c r="J192" s="3"/>
      <c r="K192" s="3"/>
      <c r="L192" s="3"/>
      <c r="M192" s="3"/>
      <c r="N192" s="3"/>
      <c r="O192" s="3"/>
      <c r="P192" s="3"/>
      <c r="Q192" s="3"/>
      <c r="R192" s="3"/>
      <c r="S192" s="3"/>
      <c r="T192" s="3"/>
      <c r="U192" s="3"/>
      <c r="V192" s="3"/>
      <c r="W192" s="3"/>
      <c r="X192" s="3"/>
      <c r="Y192" s="3"/>
      <c r="Z192" s="3"/>
    </row>
    <row r="193" spans="1:26" ht="12.75" customHeight="1">
      <c r="A193" s="1" t="s">
        <v>95</v>
      </c>
      <c r="B193" s="1" t="s">
        <v>278</v>
      </c>
      <c r="C193" s="1" t="s">
        <v>219</v>
      </c>
      <c r="D193" s="1" t="s">
        <v>244</v>
      </c>
      <c r="E193" s="1" t="s">
        <v>245</v>
      </c>
      <c r="F193" s="3"/>
      <c r="G193" s="3"/>
      <c r="H193" s="3"/>
      <c r="I193" s="3"/>
      <c r="J193" s="3"/>
      <c r="K193" s="3"/>
      <c r="L193" s="3"/>
      <c r="M193" s="3"/>
      <c r="N193" s="3"/>
      <c r="O193" s="3"/>
      <c r="P193" s="3"/>
      <c r="Q193" s="3"/>
      <c r="R193" s="3"/>
      <c r="S193" s="3"/>
      <c r="T193" s="3"/>
      <c r="U193" s="3"/>
      <c r="V193" s="3"/>
      <c r="W193" s="3"/>
      <c r="X193" s="3"/>
      <c r="Y193" s="3"/>
      <c r="Z193" s="3"/>
    </row>
    <row r="194" spans="1:26" ht="12.75" customHeight="1">
      <c r="A194" s="22" t="s">
        <v>246</v>
      </c>
      <c r="B194" s="1">
        <v>104.83439999999997</v>
      </c>
      <c r="C194" s="1">
        <f>C162</f>
        <v>1200</v>
      </c>
      <c r="D194" s="2">
        <f t="shared" ref="D194:D196" si="1">B194*$B$185+$B$186</f>
        <v>1171.2632690359392</v>
      </c>
      <c r="E194" s="2"/>
      <c r="F194" s="3"/>
      <c r="G194" s="3"/>
      <c r="H194" s="3"/>
      <c r="I194" s="3"/>
      <c r="J194" s="3"/>
      <c r="K194" s="3"/>
      <c r="L194" s="3"/>
      <c r="M194" s="3"/>
      <c r="N194" s="3"/>
      <c r="O194" s="3"/>
      <c r="P194" s="3"/>
      <c r="Q194" s="3"/>
      <c r="R194" s="3"/>
      <c r="S194" s="3"/>
      <c r="T194" s="3"/>
      <c r="U194" s="3"/>
      <c r="V194" s="3"/>
      <c r="W194" s="3"/>
      <c r="X194" s="3"/>
      <c r="Y194" s="3"/>
      <c r="Z194" s="3"/>
    </row>
    <row r="195" spans="1:26" ht="12.75" customHeight="1">
      <c r="A195" s="1" t="s">
        <v>132</v>
      </c>
      <c r="B195" s="1">
        <v>123.3734</v>
      </c>
      <c r="C195" s="1">
        <f>24*12*7</f>
        <v>2016</v>
      </c>
      <c r="D195" s="2">
        <f t="shared" si="1"/>
        <v>1329.7541220645198</v>
      </c>
      <c r="E195" s="2">
        <f>ABS(D195-C195)/C195</f>
        <v>0.34039974103942466</v>
      </c>
      <c r="F195" s="3"/>
      <c r="G195" s="3"/>
      <c r="H195" s="3"/>
      <c r="I195" s="3"/>
      <c r="J195" s="3"/>
      <c r="K195" s="3"/>
      <c r="L195" s="3"/>
      <c r="M195" s="3"/>
      <c r="N195" s="3"/>
      <c r="O195" s="3"/>
      <c r="P195" s="3"/>
      <c r="Q195" s="3"/>
      <c r="R195" s="3"/>
      <c r="S195" s="3"/>
      <c r="T195" s="3"/>
      <c r="U195" s="3"/>
      <c r="V195" s="3"/>
      <c r="W195" s="3"/>
      <c r="X195" s="3"/>
      <c r="Y195" s="3"/>
      <c r="Z195" s="3"/>
    </row>
    <row r="196" spans="1:26" ht="12.75" customHeight="1">
      <c r="A196" s="1" t="s">
        <v>220</v>
      </c>
      <c r="B196" s="1">
        <v>515.96160000000009</v>
      </c>
      <c r="C196" s="2">
        <f>49*4*8+24*4*10+12*12*8</f>
        <v>3680</v>
      </c>
      <c r="D196" s="2">
        <f t="shared" si="1"/>
        <v>4686.0105925836924</v>
      </c>
      <c r="E196" s="2">
        <f t="shared" ref="E196" si="2">ABS(D196-C196)/C196</f>
        <v>0.27337244363687296</v>
      </c>
      <c r="F196" s="3"/>
      <c r="G196" s="3"/>
      <c r="H196" s="3"/>
      <c r="I196" s="3"/>
      <c r="J196" s="3"/>
      <c r="K196" s="3"/>
      <c r="L196" s="3"/>
      <c r="M196" s="3"/>
      <c r="N196" s="3"/>
      <c r="O196" s="3"/>
      <c r="P196" s="3"/>
      <c r="Q196" s="3"/>
      <c r="R196" s="3"/>
      <c r="S196" s="3"/>
      <c r="T196" s="3"/>
      <c r="U196" s="3"/>
      <c r="V196" s="3"/>
      <c r="W196" s="3"/>
      <c r="X196" s="3"/>
      <c r="Y196" s="3"/>
      <c r="Z196" s="3"/>
    </row>
    <row r="197" spans="1:26" ht="12.75" customHeight="1">
      <c r="A197" s="24" t="s">
        <v>221</v>
      </c>
      <c r="B197" s="1">
        <v>0</v>
      </c>
      <c r="C197" s="1">
        <v>0</v>
      </c>
      <c r="D197" s="2"/>
      <c r="E197" s="1"/>
      <c r="F197" s="3"/>
      <c r="G197" s="3"/>
      <c r="H197" s="3"/>
      <c r="I197" s="3"/>
      <c r="J197" s="3"/>
      <c r="K197" s="3"/>
      <c r="L197" s="3"/>
      <c r="M197" s="3"/>
      <c r="N197" s="3"/>
      <c r="O197" s="3"/>
      <c r="P197" s="3"/>
      <c r="Q197" s="3"/>
      <c r="R197" s="3"/>
      <c r="S197" s="3"/>
      <c r="T197" s="3"/>
      <c r="U197" s="3"/>
      <c r="V197" s="3"/>
      <c r="W197" s="3"/>
      <c r="X197" s="3"/>
      <c r="Y197" s="3"/>
      <c r="Z197" s="3"/>
    </row>
    <row r="198" spans="1:26" ht="12.75" customHeight="1">
      <c r="A198" s="2"/>
      <c r="B198" s="1"/>
      <c r="C198" s="1"/>
      <c r="D198" s="1" t="s">
        <v>247</v>
      </c>
      <c r="E198" s="2">
        <f>AVERAGE(E195:E196)</f>
        <v>0.30688609233814879</v>
      </c>
      <c r="F198" s="3"/>
      <c r="G198" s="3"/>
      <c r="H198" s="3"/>
      <c r="I198" s="3"/>
      <c r="J198" s="3"/>
      <c r="K198" s="3"/>
      <c r="L198" s="3"/>
      <c r="M198" s="3"/>
      <c r="N198" s="3"/>
      <c r="O198" s="3"/>
      <c r="P198" s="3"/>
      <c r="Q198" s="3"/>
      <c r="R198" s="3"/>
      <c r="S198" s="3"/>
      <c r="T198" s="3"/>
      <c r="U198" s="3"/>
      <c r="V198" s="3"/>
      <c r="W198" s="3"/>
      <c r="X198" s="3"/>
      <c r="Y198" s="3"/>
      <c r="Z198" s="3"/>
    </row>
    <row r="199" spans="1:26" ht="12.75" customHeight="1">
      <c r="A199" s="1"/>
      <c r="B199" s="2"/>
      <c r="C199" s="2"/>
      <c r="D199" s="2"/>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c r="A200" s="22" t="s">
        <v>248</v>
      </c>
      <c r="B200" s="1"/>
      <c r="C200" s="1"/>
      <c r="D200" s="2"/>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c r="A201" s="22" t="s">
        <v>249</v>
      </c>
      <c r="B201" s="2"/>
      <c r="C201" s="1"/>
      <c r="D201" s="2"/>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c r="A202" s="1"/>
      <c r="B202" s="2"/>
      <c r="C202" s="2"/>
      <c r="D202" s="2"/>
      <c r="E202" s="3"/>
      <c r="F202" s="3"/>
      <c r="G202" s="3"/>
      <c r="H202" s="3"/>
      <c r="I202" s="3"/>
      <c r="J202" s="3"/>
      <c r="K202" s="3"/>
      <c r="L202" s="3"/>
      <c r="M202" s="3"/>
      <c r="N202" s="3"/>
      <c r="O202" s="3"/>
      <c r="P202" s="3"/>
      <c r="Q202" s="3"/>
      <c r="R202" s="3"/>
      <c r="S202" s="3"/>
      <c r="T202" s="3"/>
      <c r="U202" s="3"/>
      <c r="V202" s="3"/>
      <c r="W202" s="3"/>
      <c r="X202" s="3"/>
      <c r="Y202" s="3"/>
      <c r="Z202" s="3"/>
    </row>
    <row r="203" spans="1:26" ht="15.75" customHeight="1">
      <c r="A203" s="2"/>
      <c r="B203" s="2"/>
      <c r="C203" s="2"/>
      <c r="D203" s="2"/>
      <c r="E203" s="3"/>
      <c r="F203" s="3"/>
      <c r="G203" s="3"/>
      <c r="H203" s="3"/>
      <c r="I203" s="3"/>
      <c r="J203" s="3"/>
      <c r="K203" s="3"/>
      <c r="L203" s="3"/>
      <c r="M203" s="3"/>
      <c r="N203" s="3"/>
      <c r="O203" s="3"/>
      <c r="P203" s="3"/>
      <c r="Q203" s="3"/>
      <c r="R203" s="3"/>
      <c r="S203" s="3"/>
      <c r="T203" s="3"/>
      <c r="U203" s="3"/>
      <c r="V203" s="3"/>
      <c r="W203" s="3"/>
      <c r="X203" s="3"/>
      <c r="Y203" s="3"/>
      <c r="Z203" s="3"/>
    </row>
    <row r="204" spans="1:26" ht="12.7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7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7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7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7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7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7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7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7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7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7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2.7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2.7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2.75">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2.75">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ht="12.75">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spans="1:26" ht="12.75">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spans="1:26" ht="12.75">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spans="1:26" ht="12.75">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spans="1:26" ht="12.75">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spans="1:26" ht="12.75">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spans="1:26" ht="12.75">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spans="1:26" ht="12.75">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spans="1:26" ht="12.75">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spans="1:26" ht="12.75">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spans="1:26" ht="12.75">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row r="1014" spans="1:26" ht="12.75">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row>
    <row r="1015" spans="1:26" ht="12.75">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row>
    <row r="1016" spans="1:26" ht="12.75">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topLeftCell="A10" workbookViewId="0">
      <selection activeCell="E19" sqref="E19"/>
    </sheetView>
  </sheetViews>
  <sheetFormatPr defaultColWidth="17.28515625" defaultRowHeight="15" customHeight="1"/>
  <cols>
    <col min="1" max="1" width="31.42578125" customWidth="1"/>
    <col min="2" max="2" width="41.28515625" customWidth="1"/>
    <col min="3" max="4" width="14.42578125" customWidth="1"/>
    <col min="5" max="5" width="17.28515625" customWidth="1"/>
    <col min="6" max="22" width="14.42578125" customWidth="1"/>
  </cols>
  <sheetData>
    <row r="1" spans="1:26" ht="15.75" customHeight="1">
      <c r="A1" s="1" t="s">
        <v>0</v>
      </c>
      <c r="B1" s="2"/>
      <c r="C1" s="2"/>
      <c r="D1" s="2"/>
      <c r="E1" s="2"/>
      <c r="F1" s="3"/>
      <c r="G1" s="3"/>
      <c r="H1" s="1"/>
      <c r="I1" s="1"/>
      <c r="J1" s="1"/>
      <c r="K1" s="1"/>
      <c r="L1" s="1"/>
      <c r="M1" s="3"/>
      <c r="N1" s="3"/>
      <c r="O1" s="3"/>
      <c r="P1" s="3"/>
      <c r="Q1" s="3"/>
      <c r="R1" s="3"/>
      <c r="S1" s="3"/>
      <c r="T1" s="3"/>
      <c r="U1" s="3"/>
      <c r="V1" s="3"/>
      <c r="W1" s="3"/>
      <c r="X1" s="3"/>
      <c r="Y1" s="3"/>
      <c r="Z1" s="3"/>
    </row>
    <row r="2" spans="1:26" ht="15.75" customHeight="1">
      <c r="A2" s="1" t="s">
        <v>331</v>
      </c>
      <c r="B2" s="2"/>
      <c r="C2" s="2"/>
      <c r="D2" s="2"/>
      <c r="E2" s="2"/>
      <c r="F2" s="3"/>
      <c r="G2" s="3"/>
      <c r="H2" s="1"/>
      <c r="I2" s="1"/>
      <c r="J2" s="1"/>
      <c r="K2" s="1"/>
      <c r="L2" s="1"/>
      <c r="M2" s="3"/>
      <c r="N2" s="3"/>
      <c r="O2" s="3"/>
      <c r="P2" s="3"/>
      <c r="Q2" s="3"/>
      <c r="R2" s="3"/>
      <c r="S2" s="3"/>
      <c r="T2" s="3"/>
      <c r="U2" s="3"/>
      <c r="V2" s="3"/>
      <c r="W2" s="3"/>
      <c r="X2" s="3"/>
      <c r="Y2" s="3"/>
      <c r="Z2" s="3"/>
    </row>
    <row r="3" spans="1:26" ht="15.75" customHeight="1">
      <c r="A3" s="1" t="s">
        <v>332</v>
      </c>
      <c r="B3" s="2"/>
      <c r="C3" s="2"/>
      <c r="D3" s="2"/>
      <c r="E3" s="2"/>
      <c r="F3" s="3"/>
      <c r="G3" s="3"/>
      <c r="H3" s="1"/>
      <c r="I3" s="1"/>
      <c r="J3" s="1"/>
      <c r="K3" s="1"/>
      <c r="L3" s="1"/>
      <c r="M3" s="3"/>
      <c r="N3" s="3"/>
      <c r="O3" s="3"/>
      <c r="P3" s="3"/>
      <c r="Q3" s="3"/>
      <c r="R3" s="3"/>
      <c r="S3" s="3"/>
      <c r="T3" s="3"/>
      <c r="U3" s="3"/>
      <c r="V3" s="3"/>
      <c r="W3" s="3"/>
      <c r="X3" s="3"/>
      <c r="Y3" s="3"/>
      <c r="Z3" s="3"/>
    </row>
    <row r="4" spans="1:26" ht="15.75" customHeight="1">
      <c r="A4" s="1" t="s">
        <v>333</v>
      </c>
      <c r="B4" s="2"/>
      <c r="C4" s="2"/>
      <c r="D4" s="2"/>
      <c r="E4" s="2"/>
      <c r="F4" s="3"/>
      <c r="G4" s="3"/>
      <c r="H4" s="1"/>
      <c r="I4" s="1"/>
      <c r="J4" s="1"/>
      <c r="K4" s="1"/>
      <c r="L4" s="1"/>
      <c r="M4" s="3"/>
      <c r="N4" s="3"/>
      <c r="O4" s="3"/>
      <c r="P4" s="3"/>
      <c r="Q4" s="3"/>
      <c r="R4" s="3"/>
      <c r="S4" s="3"/>
      <c r="T4" s="3"/>
      <c r="U4" s="3"/>
      <c r="V4" s="3"/>
      <c r="W4" s="3"/>
      <c r="X4" s="3"/>
      <c r="Y4" s="3"/>
      <c r="Z4" s="3"/>
    </row>
    <row r="5" spans="1:26" ht="15.75" customHeight="1">
      <c r="A5" s="1" t="s">
        <v>334</v>
      </c>
      <c r="B5" s="2"/>
      <c r="C5" s="2"/>
      <c r="D5" s="2"/>
      <c r="E5" s="2"/>
      <c r="F5" s="3"/>
      <c r="G5" s="3"/>
      <c r="H5" s="1"/>
      <c r="I5" s="1"/>
      <c r="J5" s="1"/>
      <c r="K5" s="1"/>
      <c r="L5" s="1"/>
      <c r="M5" s="3"/>
      <c r="N5" s="3"/>
      <c r="O5" s="3"/>
      <c r="P5" s="3"/>
      <c r="Q5" s="3"/>
      <c r="R5" s="3"/>
      <c r="S5" s="3"/>
      <c r="T5" s="3"/>
      <c r="U5" s="3"/>
      <c r="V5" s="3"/>
      <c r="W5" s="3"/>
      <c r="X5" s="3"/>
      <c r="Y5" s="3"/>
      <c r="Z5" s="3"/>
    </row>
    <row r="6" spans="1:26" ht="15.75" customHeight="1">
      <c r="A6" s="1" t="s">
        <v>335</v>
      </c>
      <c r="B6" s="2"/>
      <c r="C6" s="2"/>
      <c r="D6" s="2"/>
      <c r="E6" s="2"/>
      <c r="F6" s="3"/>
      <c r="G6" s="3"/>
      <c r="H6" s="1"/>
      <c r="I6" s="1"/>
      <c r="J6" s="1"/>
      <c r="K6" s="1"/>
      <c r="L6" s="1"/>
      <c r="M6" s="3"/>
      <c r="N6" s="3"/>
      <c r="O6" s="3"/>
      <c r="P6" s="3"/>
      <c r="Q6" s="3"/>
      <c r="R6" s="3"/>
      <c r="S6" s="3"/>
      <c r="T6" s="3"/>
      <c r="U6" s="3"/>
      <c r="V6" s="3"/>
      <c r="W6" s="3"/>
      <c r="X6" s="3"/>
      <c r="Y6" s="3"/>
      <c r="Z6" s="3"/>
    </row>
    <row r="7" spans="1:26" ht="15.75" customHeight="1">
      <c r="A7" s="1" t="s">
        <v>336</v>
      </c>
      <c r="B7" s="2"/>
      <c r="C7" s="2"/>
      <c r="D7" s="2"/>
      <c r="E7" s="2"/>
      <c r="F7" s="3"/>
      <c r="G7" s="3"/>
      <c r="H7" s="1"/>
      <c r="I7" s="1"/>
      <c r="J7" s="1"/>
      <c r="K7" s="1"/>
      <c r="L7" s="1"/>
      <c r="M7" s="3"/>
      <c r="N7" s="3"/>
      <c r="O7" s="3"/>
      <c r="P7" s="3"/>
      <c r="Q7" s="3"/>
      <c r="R7" s="3"/>
      <c r="S7" s="3"/>
      <c r="T7" s="3"/>
      <c r="U7" s="3"/>
      <c r="V7" s="3"/>
      <c r="W7" s="3"/>
      <c r="X7" s="3"/>
      <c r="Y7" s="3"/>
      <c r="Z7" s="3"/>
    </row>
    <row r="8" spans="1:26" ht="15.75" customHeight="1">
      <c r="A8" s="1" t="s">
        <v>337</v>
      </c>
      <c r="B8" s="2"/>
      <c r="C8" s="2"/>
      <c r="D8" s="2"/>
      <c r="E8" s="2"/>
      <c r="F8" s="3"/>
      <c r="G8" s="3"/>
      <c r="H8" s="1"/>
      <c r="I8" s="1"/>
      <c r="J8" s="1"/>
      <c r="K8" s="1"/>
      <c r="L8" s="1"/>
      <c r="M8" s="3"/>
      <c r="N8" s="3"/>
      <c r="O8" s="3"/>
      <c r="P8" s="3"/>
      <c r="Q8" s="3"/>
      <c r="R8" s="3"/>
      <c r="S8" s="3"/>
      <c r="T8" s="3"/>
      <c r="U8" s="3"/>
      <c r="V8" s="3"/>
      <c r="W8" s="3"/>
      <c r="X8" s="3"/>
      <c r="Y8" s="3"/>
      <c r="Z8" s="3"/>
    </row>
    <row r="9" spans="1:26" ht="15.75" customHeight="1">
      <c r="A9" s="1" t="s">
        <v>338</v>
      </c>
      <c r="B9" s="2"/>
      <c r="C9" s="2"/>
      <c r="D9" s="2"/>
      <c r="E9" s="2"/>
      <c r="F9" s="3"/>
      <c r="G9" s="3"/>
      <c r="H9" s="1"/>
      <c r="I9" s="1"/>
      <c r="J9" s="1"/>
      <c r="K9" s="1"/>
      <c r="L9" s="1"/>
      <c r="M9" s="3"/>
      <c r="N9" s="3"/>
      <c r="O9" s="3"/>
      <c r="P9" s="3"/>
      <c r="Q9" s="3"/>
      <c r="R9" s="3"/>
      <c r="S9" s="3"/>
      <c r="T9" s="3"/>
      <c r="U9" s="3"/>
      <c r="V9" s="3"/>
      <c r="W9" s="3"/>
      <c r="X9" s="3"/>
      <c r="Y9" s="3"/>
      <c r="Z9" s="3"/>
    </row>
    <row r="10" spans="1:26" ht="15.75" customHeight="1">
      <c r="A10" s="1" t="s">
        <v>339</v>
      </c>
      <c r="B10" s="2"/>
      <c r="C10" s="2"/>
      <c r="D10" s="2"/>
      <c r="E10" s="2"/>
      <c r="F10" s="3"/>
      <c r="G10" s="3"/>
      <c r="H10" s="1"/>
      <c r="I10" s="1"/>
      <c r="J10" s="1"/>
      <c r="K10" s="1"/>
      <c r="L10" s="1"/>
      <c r="M10" s="3"/>
      <c r="N10" s="3"/>
      <c r="O10" s="3"/>
      <c r="P10" s="3"/>
      <c r="Q10" s="3"/>
      <c r="R10" s="3"/>
      <c r="S10" s="3"/>
      <c r="T10" s="3"/>
      <c r="U10" s="3"/>
      <c r="V10" s="3"/>
      <c r="W10" s="3"/>
      <c r="X10" s="3"/>
      <c r="Y10" s="3"/>
      <c r="Z10" s="3"/>
    </row>
    <row r="11" spans="1:26" ht="15.75" customHeight="1">
      <c r="A11" s="1" t="s">
        <v>340</v>
      </c>
      <c r="B11" s="2"/>
      <c r="C11" s="2"/>
      <c r="D11" s="2"/>
      <c r="E11" s="2"/>
      <c r="F11" s="3"/>
      <c r="G11" s="3"/>
      <c r="H11" s="1"/>
      <c r="I11" s="1"/>
      <c r="J11" s="1"/>
      <c r="K11" s="1"/>
      <c r="L11" s="1"/>
      <c r="M11" s="3"/>
      <c r="N11" s="3"/>
      <c r="O11" s="3"/>
      <c r="P11" s="3"/>
      <c r="Q11" s="3"/>
      <c r="R11" s="3"/>
      <c r="S11" s="3"/>
      <c r="T11" s="3"/>
      <c r="U11" s="3"/>
      <c r="V11" s="3"/>
      <c r="W11" s="3"/>
      <c r="X11" s="3"/>
      <c r="Y11" s="3"/>
      <c r="Z11" s="3"/>
    </row>
    <row r="12" spans="1:26" ht="15.75" customHeight="1">
      <c r="A12" s="1" t="s">
        <v>341</v>
      </c>
      <c r="B12" s="2"/>
      <c r="C12" s="2"/>
      <c r="D12" s="2"/>
      <c r="E12" s="2"/>
      <c r="F12" s="3"/>
      <c r="G12" s="3"/>
      <c r="H12" s="1"/>
      <c r="I12" s="1"/>
      <c r="J12" s="1"/>
      <c r="K12" s="1"/>
      <c r="L12" s="1"/>
      <c r="M12" s="3"/>
      <c r="N12" s="3"/>
      <c r="O12" s="3"/>
      <c r="P12" s="3"/>
      <c r="Q12" s="3"/>
      <c r="R12" s="3"/>
      <c r="S12" s="3"/>
      <c r="T12" s="3"/>
      <c r="U12" s="3"/>
      <c r="V12" s="3"/>
      <c r="W12" s="3"/>
      <c r="X12" s="3"/>
      <c r="Y12" s="3"/>
      <c r="Z12" s="3"/>
    </row>
    <row r="13" spans="1:26" ht="15.75" customHeight="1">
      <c r="A13" s="1" t="s">
        <v>342</v>
      </c>
      <c r="B13" s="2"/>
      <c r="C13" s="2"/>
      <c r="D13" s="2"/>
      <c r="E13" s="2"/>
      <c r="F13" s="3"/>
      <c r="G13" s="3"/>
      <c r="H13" s="1"/>
      <c r="I13" s="1"/>
      <c r="J13" s="1"/>
      <c r="K13" s="1"/>
      <c r="L13" s="1"/>
      <c r="M13" s="3"/>
      <c r="N13" s="3"/>
      <c r="O13" s="3"/>
      <c r="P13" s="3"/>
      <c r="Q13" s="3"/>
      <c r="R13" s="3"/>
      <c r="S13" s="3"/>
      <c r="T13" s="3"/>
      <c r="U13" s="3"/>
      <c r="V13" s="3"/>
      <c r="W13" s="3"/>
      <c r="X13" s="3"/>
      <c r="Y13" s="3"/>
      <c r="Z13" s="3"/>
    </row>
    <row r="14" spans="1:26" ht="15.75" customHeight="1">
      <c r="A14" s="1" t="s">
        <v>343</v>
      </c>
      <c r="B14" s="2"/>
      <c r="C14" s="2"/>
      <c r="D14" s="2"/>
      <c r="E14" s="2"/>
      <c r="F14" s="3"/>
      <c r="G14" s="3"/>
      <c r="H14" s="1"/>
      <c r="I14" s="1"/>
      <c r="J14" s="1"/>
      <c r="K14" s="1"/>
      <c r="L14" s="1"/>
      <c r="M14" s="3"/>
      <c r="N14" s="3"/>
      <c r="O14" s="3"/>
      <c r="P14" s="3"/>
      <c r="Q14" s="3"/>
      <c r="R14" s="3"/>
      <c r="S14" s="3"/>
      <c r="T14" s="3"/>
      <c r="U14" s="3"/>
      <c r="V14" s="3"/>
      <c r="W14" s="3"/>
      <c r="X14" s="3"/>
      <c r="Y14" s="3"/>
      <c r="Z14" s="3"/>
    </row>
    <row r="15" spans="1:26" ht="15.75" customHeight="1">
      <c r="A15" s="4" t="s">
        <v>344</v>
      </c>
      <c r="B15" s="4" t="s">
        <v>22</v>
      </c>
      <c r="C15" s="20"/>
      <c r="D15" s="2"/>
      <c r="E15" s="2"/>
      <c r="F15" s="3"/>
      <c r="G15" s="3"/>
      <c r="H15" s="1"/>
      <c r="I15" s="1"/>
      <c r="J15" s="1"/>
      <c r="K15" s="1"/>
      <c r="L15" s="1"/>
      <c r="M15" s="3"/>
      <c r="N15" s="3"/>
      <c r="O15" s="3"/>
      <c r="P15" s="3"/>
      <c r="Q15" s="3"/>
      <c r="R15" s="3"/>
      <c r="S15" s="3"/>
      <c r="T15" s="3"/>
      <c r="U15" s="3"/>
      <c r="V15" s="3"/>
      <c r="W15" s="3"/>
      <c r="X15" s="3"/>
      <c r="Y15" s="3"/>
      <c r="Z15" s="3"/>
    </row>
    <row r="16" spans="1:26" ht="15.75" customHeight="1">
      <c r="A16" s="5" t="s">
        <v>345</v>
      </c>
      <c r="B16" s="6" t="s">
        <v>346</v>
      </c>
      <c r="C16" s="1"/>
      <c r="D16" s="2"/>
      <c r="E16" s="2"/>
      <c r="F16" s="3"/>
      <c r="G16" s="3"/>
      <c r="H16" s="1"/>
      <c r="I16" s="1"/>
      <c r="J16" s="1"/>
      <c r="K16" s="1"/>
      <c r="L16" s="1"/>
      <c r="M16" s="3"/>
      <c r="N16" s="3"/>
      <c r="O16" s="3"/>
      <c r="P16" s="3"/>
      <c r="Q16" s="3"/>
      <c r="R16" s="3"/>
      <c r="S16" s="3"/>
      <c r="T16" s="3"/>
      <c r="U16" s="3"/>
      <c r="V16" s="3"/>
      <c r="W16" s="3"/>
      <c r="X16" s="3"/>
      <c r="Y16" s="3"/>
      <c r="Z16" s="3"/>
    </row>
    <row r="17" spans="1:26" ht="15.75" customHeight="1">
      <c r="A17" s="5" t="s">
        <v>347</v>
      </c>
      <c r="B17" s="6" t="s">
        <v>348</v>
      </c>
      <c r="C17" s="1"/>
      <c r="D17" s="2"/>
      <c r="E17" s="2"/>
      <c r="F17" s="3"/>
      <c r="G17" s="3"/>
      <c r="H17" s="1"/>
      <c r="I17" s="1"/>
      <c r="J17" s="1"/>
      <c r="K17" s="1"/>
      <c r="L17" s="1"/>
      <c r="M17" s="3"/>
      <c r="N17" s="3"/>
      <c r="O17" s="3"/>
      <c r="P17" s="3"/>
      <c r="Q17" s="3"/>
      <c r="R17" s="3"/>
      <c r="S17" s="3"/>
      <c r="T17" s="3"/>
      <c r="U17" s="3"/>
      <c r="V17" s="3"/>
      <c r="W17" s="3"/>
      <c r="X17" s="3"/>
      <c r="Y17" s="3"/>
      <c r="Z17" s="3"/>
    </row>
    <row r="18" spans="1:26" ht="15.75" customHeight="1">
      <c r="A18" s="29" t="s">
        <v>349</v>
      </c>
      <c r="B18" s="6" t="s">
        <v>350</v>
      </c>
      <c r="C18" s="1"/>
      <c r="D18" s="2"/>
      <c r="E18" s="2"/>
      <c r="F18" s="3"/>
      <c r="G18" s="3"/>
      <c r="H18" s="1"/>
      <c r="I18" s="1"/>
      <c r="J18" s="1"/>
      <c r="K18" s="1"/>
      <c r="L18" s="1"/>
      <c r="M18" s="3"/>
      <c r="N18" s="3"/>
      <c r="O18" s="3"/>
      <c r="P18" s="3"/>
      <c r="Q18" s="3"/>
      <c r="R18" s="3"/>
      <c r="S18" s="3"/>
      <c r="T18" s="3"/>
      <c r="U18" s="3"/>
      <c r="V18" s="3"/>
      <c r="W18" s="3"/>
      <c r="X18" s="3"/>
      <c r="Y18" s="3"/>
      <c r="Z18" s="3"/>
    </row>
    <row r="19" spans="1:26" ht="15.75" customHeight="1">
      <c r="A19" s="5" t="s">
        <v>351</v>
      </c>
      <c r="B19" s="6" t="s">
        <v>352</v>
      </c>
      <c r="C19" s="1"/>
      <c r="D19" s="2"/>
      <c r="E19" s="2"/>
      <c r="F19" s="3"/>
      <c r="G19" s="3"/>
      <c r="H19" s="1"/>
      <c r="I19" s="1"/>
      <c r="J19" s="1"/>
      <c r="K19" s="1"/>
      <c r="L19" s="1"/>
      <c r="M19" s="3"/>
      <c r="N19" s="3"/>
      <c r="O19" s="3"/>
      <c r="P19" s="3"/>
      <c r="Q19" s="3"/>
      <c r="R19" s="3"/>
      <c r="S19" s="3"/>
      <c r="T19" s="3"/>
      <c r="U19" s="3"/>
      <c r="V19" s="3"/>
      <c r="W19" s="3"/>
      <c r="X19" s="3"/>
      <c r="Y19" s="3"/>
      <c r="Z19" s="3"/>
    </row>
    <row r="20" spans="1:26" ht="15.75" customHeight="1">
      <c r="A20" s="29" t="s">
        <v>353</v>
      </c>
      <c r="B20" s="6" t="s">
        <v>354</v>
      </c>
      <c r="C20" s="1"/>
      <c r="D20" s="2"/>
      <c r="E20" s="2"/>
      <c r="F20" s="3"/>
      <c r="G20" s="3"/>
      <c r="H20" s="1"/>
      <c r="I20" s="1"/>
      <c r="J20" s="1"/>
      <c r="K20" s="1"/>
      <c r="L20" s="1"/>
      <c r="M20" s="3"/>
      <c r="N20" s="3"/>
      <c r="O20" s="3"/>
      <c r="P20" s="3"/>
      <c r="Q20" s="3"/>
      <c r="R20" s="3"/>
      <c r="S20" s="3"/>
      <c r="T20" s="3"/>
      <c r="U20" s="3"/>
      <c r="V20" s="3"/>
      <c r="W20" s="3"/>
      <c r="X20" s="3"/>
      <c r="Y20" s="3"/>
      <c r="Z20" s="3"/>
    </row>
    <row r="21" spans="1:26" ht="15.75" customHeight="1">
      <c r="A21" s="1"/>
      <c r="B21" s="2"/>
      <c r="C21" s="2"/>
      <c r="D21" s="2"/>
      <c r="E21" s="2"/>
      <c r="F21" s="3"/>
      <c r="G21" s="3"/>
      <c r="H21" s="1"/>
      <c r="I21" s="1"/>
      <c r="J21" s="1"/>
      <c r="K21" s="1"/>
      <c r="L21" s="1"/>
      <c r="M21" s="3"/>
      <c r="N21" s="3"/>
      <c r="O21" s="3"/>
      <c r="P21" s="3"/>
      <c r="Q21" s="3"/>
      <c r="R21" s="3"/>
      <c r="S21" s="3"/>
      <c r="T21" s="3"/>
      <c r="U21" s="3"/>
      <c r="V21" s="3"/>
      <c r="W21" s="3"/>
      <c r="X21" s="3"/>
      <c r="Y21" s="3"/>
      <c r="Z21" s="3"/>
    </row>
    <row r="22" spans="1:26" ht="15.75" customHeight="1">
      <c r="A22" s="1" t="s">
        <v>355</v>
      </c>
      <c r="B22" s="2"/>
      <c r="C22" s="2"/>
      <c r="D22" s="2"/>
      <c r="E22" s="2"/>
      <c r="F22" s="3"/>
      <c r="G22" s="3"/>
      <c r="H22" s="1"/>
      <c r="I22" s="1"/>
      <c r="J22" s="1"/>
      <c r="K22" s="1"/>
      <c r="L22" s="1"/>
      <c r="M22" s="3"/>
      <c r="N22" s="3"/>
      <c r="O22" s="3"/>
      <c r="P22" s="3"/>
      <c r="Q22" s="3"/>
      <c r="R22" s="3"/>
      <c r="S22" s="3"/>
      <c r="T22" s="3"/>
      <c r="U22" s="3"/>
      <c r="V22" s="3"/>
      <c r="W22" s="3"/>
      <c r="X22" s="3"/>
      <c r="Y22" s="3"/>
      <c r="Z22" s="3"/>
    </row>
    <row r="23" spans="1:26" ht="15.75" customHeight="1">
      <c r="A23" s="4" t="s">
        <v>344</v>
      </c>
      <c r="B23" s="4" t="s">
        <v>356</v>
      </c>
      <c r="C23" s="2"/>
      <c r="D23" s="2"/>
      <c r="E23" s="2"/>
      <c r="F23" s="3"/>
      <c r="G23" s="3"/>
      <c r="H23" s="1"/>
      <c r="I23" s="1"/>
      <c r="J23" s="1"/>
      <c r="K23" s="1"/>
      <c r="L23" s="1"/>
      <c r="M23" s="3"/>
      <c r="N23" s="3"/>
      <c r="O23" s="3"/>
      <c r="P23" s="3"/>
      <c r="Q23" s="3"/>
      <c r="R23" s="3"/>
      <c r="S23" s="3"/>
      <c r="T23" s="3"/>
      <c r="U23" s="3"/>
      <c r="V23" s="3"/>
      <c r="W23" s="3"/>
      <c r="X23" s="3"/>
      <c r="Y23" s="3"/>
      <c r="Z23" s="3"/>
    </row>
    <row r="24" spans="1:26" ht="14.25" customHeight="1">
      <c r="A24" s="5" t="s">
        <v>345</v>
      </c>
      <c r="B24" s="6" t="s">
        <v>357</v>
      </c>
      <c r="C24" s="2"/>
      <c r="D24" s="2"/>
      <c r="E24" s="2"/>
      <c r="F24" s="3"/>
      <c r="G24" s="3"/>
      <c r="H24" s="1"/>
      <c r="I24" s="1"/>
      <c r="J24" s="1"/>
      <c r="K24" s="1"/>
      <c r="L24" s="1"/>
      <c r="M24" s="3"/>
      <c r="N24" s="3"/>
      <c r="O24" s="3"/>
      <c r="P24" s="3"/>
      <c r="Q24" s="3"/>
      <c r="R24" s="3"/>
      <c r="S24" s="3"/>
      <c r="T24" s="3"/>
      <c r="U24" s="3"/>
      <c r="V24" s="3"/>
      <c r="W24" s="3"/>
      <c r="X24" s="3"/>
      <c r="Y24" s="3"/>
      <c r="Z24" s="3"/>
    </row>
    <row r="25" spans="1:26" ht="14.25" customHeight="1">
      <c r="A25" s="5" t="s">
        <v>347</v>
      </c>
      <c r="B25" s="6" t="s">
        <v>358</v>
      </c>
      <c r="C25" s="2"/>
      <c r="D25" s="2"/>
      <c r="E25" s="2"/>
      <c r="F25" s="3"/>
      <c r="G25" s="3"/>
      <c r="H25" s="1"/>
      <c r="I25" s="1"/>
      <c r="J25" s="1"/>
      <c r="K25" s="1"/>
      <c r="L25" s="1"/>
      <c r="M25" s="3"/>
      <c r="N25" s="3"/>
      <c r="O25" s="3"/>
      <c r="P25" s="3"/>
      <c r="Q25" s="3"/>
      <c r="R25" s="3"/>
      <c r="S25" s="3"/>
      <c r="T25" s="3"/>
      <c r="U25" s="3"/>
      <c r="V25" s="3"/>
      <c r="W25" s="3"/>
      <c r="X25" s="3"/>
      <c r="Y25" s="3"/>
      <c r="Z25" s="3"/>
    </row>
    <row r="26" spans="1:26" ht="14.25" customHeight="1">
      <c r="A26" s="29" t="s">
        <v>349</v>
      </c>
      <c r="B26" s="6" t="s">
        <v>358</v>
      </c>
      <c r="C26" s="2"/>
      <c r="D26" s="2"/>
      <c r="E26" s="2"/>
      <c r="F26" s="3"/>
      <c r="G26" s="3"/>
      <c r="H26" s="1"/>
      <c r="I26" s="1"/>
      <c r="J26" s="1"/>
      <c r="K26" s="1"/>
      <c r="L26" s="1"/>
      <c r="M26" s="3"/>
      <c r="N26" s="3"/>
      <c r="O26" s="3"/>
      <c r="P26" s="3"/>
      <c r="Q26" s="3"/>
      <c r="R26" s="3"/>
      <c r="S26" s="3"/>
      <c r="T26" s="3"/>
      <c r="U26" s="3"/>
      <c r="V26" s="3"/>
      <c r="W26" s="3"/>
      <c r="X26" s="3"/>
      <c r="Y26" s="3"/>
      <c r="Z26" s="3"/>
    </row>
    <row r="27" spans="1:26" ht="14.25" customHeight="1">
      <c r="A27" s="5" t="s">
        <v>351</v>
      </c>
      <c r="B27" s="6" t="s">
        <v>359</v>
      </c>
      <c r="C27" s="2"/>
      <c r="D27" s="2"/>
      <c r="E27" s="2"/>
      <c r="F27" s="3"/>
      <c r="G27" s="3"/>
      <c r="H27" s="1"/>
      <c r="I27" s="1"/>
      <c r="J27" s="1"/>
      <c r="K27" s="1"/>
      <c r="L27" s="1"/>
      <c r="M27" s="3"/>
      <c r="N27" s="3"/>
      <c r="O27" s="3"/>
      <c r="P27" s="3"/>
      <c r="Q27" s="3"/>
      <c r="R27" s="3"/>
      <c r="S27" s="3"/>
      <c r="T27" s="3"/>
      <c r="U27" s="3"/>
      <c r="V27" s="3"/>
      <c r="W27" s="3"/>
      <c r="X27" s="3"/>
      <c r="Y27" s="3"/>
      <c r="Z27" s="3"/>
    </row>
    <row r="28" spans="1:26" ht="14.25" customHeight="1">
      <c r="A28" s="29" t="s">
        <v>353</v>
      </c>
      <c r="B28" s="6" t="s">
        <v>360</v>
      </c>
      <c r="C28" s="2"/>
      <c r="D28" s="2"/>
      <c r="E28" s="2"/>
      <c r="F28" s="3"/>
      <c r="G28" s="3"/>
      <c r="H28" s="1"/>
      <c r="I28" s="1"/>
      <c r="J28" s="1"/>
      <c r="K28" s="1"/>
      <c r="L28" s="1"/>
      <c r="M28" s="3"/>
      <c r="N28" s="3"/>
      <c r="O28" s="3"/>
      <c r="P28" s="3"/>
      <c r="Q28" s="3"/>
      <c r="R28" s="3"/>
      <c r="S28" s="3"/>
      <c r="T28" s="3"/>
      <c r="U28" s="3"/>
      <c r="V28" s="3"/>
      <c r="W28" s="3"/>
      <c r="X28" s="3"/>
      <c r="Y28" s="3"/>
      <c r="Z28" s="3"/>
    </row>
    <row r="29" spans="1:26" ht="12.75" customHeight="1">
      <c r="A29" s="1"/>
      <c r="B29" s="2"/>
      <c r="C29" s="2"/>
      <c r="D29" s="2"/>
      <c r="E29" s="2"/>
      <c r="F29" s="3"/>
      <c r="G29" s="3"/>
      <c r="H29" s="1"/>
      <c r="I29" s="1"/>
      <c r="J29" s="1"/>
      <c r="K29" s="1"/>
      <c r="L29" s="1"/>
      <c r="M29" s="3"/>
      <c r="N29" s="3"/>
      <c r="O29" s="3"/>
      <c r="P29" s="3"/>
      <c r="Q29" s="3"/>
      <c r="R29" s="3"/>
      <c r="S29" s="3"/>
      <c r="T29" s="3"/>
      <c r="U29" s="3"/>
      <c r="V29" s="3"/>
      <c r="W29" s="3"/>
      <c r="X29" s="3"/>
      <c r="Y29" s="3"/>
      <c r="Z29" s="3"/>
    </row>
    <row r="30" spans="1:26" ht="12.75" customHeight="1">
      <c r="A30" s="1" t="s">
        <v>361</v>
      </c>
      <c r="B30" s="2"/>
      <c r="C30" s="2"/>
      <c r="D30" s="2"/>
      <c r="E30" s="2"/>
      <c r="F30" s="3"/>
      <c r="G30" s="3"/>
      <c r="H30" s="1"/>
      <c r="I30" s="1"/>
      <c r="J30" s="1"/>
      <c r="K30" s="1"/>
      <c r="L30" s="1"/>
      <c r="M30" s="3"/>
      <c r="N30" s="3"/>
      <c r="O30" s="3"/>
      <c r="P30" s="3"/>
      <c r="Q30" s="3"/>
      <c r="R30" s="3"/>
      <c r="S30" s="3"/>
      <c r="T30" s="3"/>
      <c r="U30" s="3"/>
      <c r="V30" s="3"/>
      <c r="W30" s="3"/>
      <c r="X30" s="3"/>
      <c r="Y30" s="3"/>
      <c r="Z30" s="3"/>
    </row>
    <row r="31" spans="1:26" ht="15.75" customHeight="1">
      <c r="A31" s="4" t="s">
        <v>344</v>
      </c>
      <c r="B31" s="4" t="s">
        <v>362</v>
      </c>
      <c r="C31" s="2"/>
      <c r="D31" s="1" t="s">
        <v>363</v>
      </c>
      <c r="E31" s="2"/>
      <c r="F31" s="3"/>
      <c r="G31" s="3"/>
      <c r="H31" s="1"/>
      <c r="I31" s="1"/>
      <c r="J31" s="1"/>
      <c r="K31" s="1"/>
      <c r="L31" s="1"/>
      <c r="M31" s="3"/>
      <c r="N31" s="3"/>
      <c r="O31" s="3"/>
      <c r="P31" s="3"/>
      <c r="Q31" s="3"/>
      <c r="R31" s="3"/>
      <c r="S31" s="3"/>
      <c r="T31" s="3"/>
      <c r="U31" s="3"/>
      <c r="V31" s="3"/>
      <c r="W31" s="3"/>
      <c r="X31" s="3"/>
      <c r="Y31" s="3"/>
      <c r="Z31" s="3"/>
    </row>
    <row r="32" spans="1:26" ht="14.25" customHeight="1">
      <c r="A32" s="5" t="s">
        <v>345</v>
      </c>
      <c r="B32" s="6" t="s">
        <v>364</v>
      </c>
      <c r="C32" s="2"/>
      <c r="D32" s="2"/>
      <c r="E32" s="2"/>
      <c r="F32" s="3"/>
      <c r="G32" s="3"/>
      <c r="H32" s="1"/>
      <c r="I32" s="1"/>
      <c r="J32" s="1"/>
      <c r="K32" s="1"/>
      <c r="L32" s="1"/>
      <c r="M32" s="3"/>
      <c r="N32" s="3"/>
      <c r="O32" s="3"/>
      <c r="P32" s="3"/>
      <c r="Q32" s="3"/>
      <c r="R32" s="3"/>
      <c r="S32" s="3"/>
      <c r="T32" s="3"/>
      <c r="U32" s="3"/>
      <c r="V32" s="3"/>
      <c r="W32" s="3"/>
      <c r="X32" s="3"/>
      <c r="Y32" s="3"/>
      <c r="Z32" s="3"/>
    </row>
    <row r="33" spans="1:26" ht="14.25" customHeight="1">
      <c r="A33" s="5" t="s">
        <v>347</v>
      </c>
      <c r="B33" s="6" t="s">
        <v>364</v>
      </c>
      <c r="C33" s="2"/>
      <c r="D33" s="2"/>
      <c r="E33" s="2"/>
      <c r="F33" s="3"/>
      <c r="G33" s="3"/>
      <c r="H33" s="1"/>
      <c r="I33" s="1"/>
      <c r="J33" s="1"/>
      <c r="K33" s="1"/>
      <c r="L33" s="1"/>
      <c r="M33" s="3"/>
      <c r="N33" s="3"/>
      <c r="O33" s="3"/>
      <c r="P33" s="3"/>
      <c r="Q33" s="3"/>
      <c r="R33" s="3"/>
      <c r="S33" s="3"/>
      <c r="T33" s="3"/>
      <c r="U33" s="3"/>
      <c r="V33" s="3"/>
      <c r="W33" s="3"/>
      <c r="X33" s="3"/>
      <c r="Y33" s="3"/>
      <c r="Z33" s="3"/>
    </row>
    <row r="34" spans="1:26" ht="14.25" customHeight="1">
      <c r="A34" s="29" t="s">
        <v>349</v>
      </c>
      <c r="B34" s="6" t="s">
        <v>365</v>
      </c>
      <c r="C34" s="2"/>
      <c r="D34" s="2"/>
      <c r="E34" s="2"/>
      <c r="F34" s="3"/>
      <c r="G34" s="3"/>
      <c r="H34" s="1"/>
      <c r="I34" s="1"/>
      <c r="J34" s="1"/>
      <c r="K34" s="1"/>
      <c r="L34" s="1"/>
      <c r="M34" s="3"/>
      <c r="N34" s="3"/>
      <c r="O34" s="3"/>
      <c r="P34" s="3"/>
      <c r="Q34" s="3"/>
      <c r="R34" s="3"/>
      <c r="S34" s="3"/>
      <c r="T34" s="3"/>
      <c r="U34" s="3"/>
      <c r="V34" s="3"/>
      <c r="W34" s="3"/>
      <c r="X34" s="3"/>
      <c r="Y34" s="3"/>
      <c r="Z34" s="3"/>
    </row>
    <row r="35" spans="1:26" ht="14.25" customHeight="1">
      <c r="A35" s="5" t="s">
        <v>351</v>
      </c>
      <c r="B35" s="6" t="s">
        <v>365</v>
      </c>
      <c r="C35" s="2"/>
      <c r="D35" s="2"/>
      <c r="E35" s="2"/>
      <c r="F35" s="3"/>
      <c r="G35" s="3"/>
      <c r="H35" s="1"/>
      <c r="I35" s="1"/>
      <c r="J35" s="1"/>
      <c r="K35" s="1"/>
      <c r="L35" s="1"/>
      <c r="M35" s="3"/>
      <c r="N35" s="3"/>
      <c r="O35" s="3"/>
      <c r="P35" s="3"/>
      <c r="Q35" s="3"/>
      <c r="R35" s="3"/>
      <c r="S35" s="3"/>
      <c r="T35" s="3"/>
      <c r="U35" s="3"/>
      <c r="V35" s="3"/>
      <c r="W35" s="3"/>
      <c r="X35" s="3"/>
      <c r="Y35" s="3"/>
      <c r="Z35" s="3"/>
    </row>
    <row r="36" spans="1:26" ht="14.25" customHeight="1">
      <c r="A36" s="29" t="s">
        <v>353</v>
      </c>
      <c r="B36" s="6" t="s">
        <v>366</v>
      </c>
      <c r="C36" s="2"/>
      <c r="D36" s="2"/>
      <c r="E36" s="2"/>
      <c r="F36" s="3"/>
      <c r="G36" s="3"/>
      <c r="H36" s="1"/>
      <c r="I36" s="1"/>
      <c r="J36" s="1"/>
      <c r="K36" s="1"/>
      <c r="L36" s="1"/>
      <c r="M36" s="3"/>
      <c r="N36" s="3"/>
      <c r="O36" s="3"/>
      <c r="P36" s="3"/>
      <c r="Q36" s="3"/>
      <c r="R36" s="3"/>
      <c r="S36" s="3"/>
      <c r="T36" s="3"/>
      <c r="U36" s="3"/>
      <c r="V36" s="3"/>
      <c r="W36" s="3"/>
      <c r="X36" s="3"/>
      <c r="Y36" s="3"/>
      <c r="Z36" s="3"/>
    </row>
    <row r="37" spans="1:26" ht="12.75" customHeight="1">
      <c r="A37" s="1"/>
      <c r="B37" s="2"/>
      <c r="C37" s="2"/>
      <c r="D37" s="2"/>
      <c r="E37" s="2"/>
      <c r="F37" s="3"/>
      <c r="G37" s="3"/>
      <c r="H37" s="1"/>
      <c r="I37" s="1"/>
      <c r="J37" s="1"/>
      <c r="K37" s="1"/>
      <c r="L37" s="1"/>
      <c r="M37" s="3"/>
      <c r="N37" s="3"/>
      <c r="O37" s="3"/>
      <c r="P37" s="3"/>
      <c r="Q37" s="3"/>
      <c r="R37" s="3"/>
      <c r="S37" s="3"/>
      <c r="T37" s="3"/>
      <c r="U37" s="3"/>
      <c r="V37" s="3"/>
      <c r="W37" s="3"/>
      <c r="X37" s="3"/>
      <c r="Y37" s="3"/>
      <c r="Z37" s="3"/>
    </row>
    <row r="38" spans="1:26" ht="12.75" customHeight="1">
      <c r="A38" s="1" t="s">
        <v>367</v>
      </c>
      <c r="B38" s="2"/>
      <c r="C38" s="2"/>
      <c r="D38" s="2"/>
      <c r="E38" s="2"/>
      <c r="F38" s="3"/>
      <c r="G38" s="3"/>
      <c r="H38" s="1"/>
      <c r="I38" s="1"/>
      <c r="J38" s="1"/>
      <c r="K38" s="1"/>
      <c r="L38" s="1"/>
      <c r="M38" s="3"/>
      <c r="N38" s="3"/>
      <c r="O38" s="3"/>
      <c r="P38" s="3"/>
      <c r="Q38" s="3"/>
      <c r="R38" s="3"/>
      <c r="S38" s="3"/>
      <c r="T38" s="3"/>
      <c r="U38" s="3"/>
      <c r="V38" s="3"/>
      <c r="W38" s="3"/>
      <c r="X38" s="3"/>
      <c r="Y38" s="3"/>
      <c r="Z38" s="3"/>
    </row>
    <row r="39" spans="1:26" ht="12.75" customHeight="1">
      <c r="A39" s="1"/>
      <c r="B39" s="2"/>
      <c r="C39" s="2"/>
      <c r="D39" s="2"/>
      <c r="E39" s="2"/>
      <c r="F39" s="3"/>
      <c r="G39" s="3"/>
      <c r="H39" s="1"/>
      <c r="I39" s="1"/>
      <c r="J39" s="1"/>
      <c r="K39" s="1"/>
      <c r="L39" s="1"/>
      <c r="M39" s="3"/>
      <c r="N39" s="3"/>
      <c r="O39" s="3"/>
      <c r="P39" s="3"/>
      <c r="Q39" s="3"/>
      <c r="R39" s="3"/>
      <c r="S39" s="3"/>
      <c r="T39" s="3"/>
      <c r="U39" s="3"/>
      <c r="V39" s="3"/>
      <c r="W39" s="3"/>
      <c r="X39" s="3"/>
      <c r="Y39" s="3"/>
      <c r="Z39" s="3"/>
    </row>
    <row r="40" spans="1:26" ht="14.25" customHeight="1">
      <c r="A40" s="30" t="s">
        <v>368</v>
      </c>
      <c r="B40" s="30" t="s">
        <v>369</v>
      </c>
      <c r="C40" s="2"/>
      <c r="D40" s="2"/>
      <c r="E40" s="2"/>
      <c r="F40" s="3"/>
      <c r="J40" s="13" t="s">
        <v>26</v>
      </c>
      <c r="K40" s="1"/>
      <c r="L40" s="1"/>
      <c r="M40" s="3"/>
      <c r="N40" s="3"/>
      <c r="O40" s="3"/>
      <c r="P40" s="3"/>
      <c r="Q40" s="3"/>
      <c r="R40" s="3"/>
      <c r="S40" s="3"/>
      <c r="T40" s="3"/>
      <c r="U40" s="3"/>
      <c r="V40" s="3"/>
      <c r="W40" s="3"/>
      <c r="X40" s="3"/>
      <c r="Y40" s="3"/>
      <c r="Z40" s="3"/>
    </row>
    <row r="41" spans="1:26" ht="14.25" customHeight="1">
      <c r="A41" s="31" t="s">
        <v>370</v>
      </c>
      <c r="B41" s="31" t="s">
        <v>371</v>
      </c>
      <c r="C41" s="2"/>
      <c r="D41" s="2"/>
      <c r="E41" s="2"/>
      <c r="F41" s="3"/>
      <c r="J41" s="13" t="s">
        <v>29</v>
      </c>
      <c r="K41" s="1"/>
      <c r="L41" s="1"/>
      <c r="M41" s="3"/>
      <c r="N41" s="3"/>
      <c r="O41" s="3"/>
      <c r="P41" s="3"/>
      <c r="Q41" s="3"/>
      <c r="R41" s="3"/>
      <c r="S41" s="3"/>
      <c r="T41" s="3"/>
      <c r="U41" s="3"/>
      <c r="V41" s="3"/>
      <c r="W41" s="3"/>
      <c r="X41" s="3"/>
      <c r="Y41" s="3"/>
      <c r="Z41" s="3"/>
    </row>
    <row r="42" spans="1:26" ht="14.25" customHeight="1">
      <c r="A42" s="31" t="s">
        <v>372</v>
      </c>
      <c r="B42" s="31" t="s">
        <v>373</v>
      </c>
      <c r="C42" s="2"/>
      <c r="D42" s="2"/>
      <c r="E42" s="2"/>
      <c r="F42" s="3"/>
      <c r="J42" s="14" t="s">
        <v>32</v>
      </c>
      <c r="K42" s="32" t="s">
        <v>374</v>
      </c>
      <c r="L42" s="1"/>
      <c r="M42" s="3"/>
      <c r="N42" s="3"/>
      <c r="O42" s="3"/>
      <c r="P42" s="3"/>
      <c r="Q42" s="3"/>
      <c r="R42" s="3"/>
      <c r="S42" s="3"/>
      <c r="T42" s="3"/>
      <c r="U42" s="3"/>
      <c r="V42" s="3"/>
      <c r="W42" s="3"/>
      <c r="X42" s="3"/>
      <c r="Y42" s="3"/>
      <c r="Z42" s="3"/>
    </row>
    <row r="43" spans="1:26" ht="14.25" customHeight="1">
      <c r="A43" s="31" t="s">
        <v>375</v>
      </c>
      <c r="B43" s="31" t="s">
        <v>376</v>
      </c>
      <c r="C43" s="2"/>
      <c r="D43" s="2"/>
      <c r="E43" s="2"/>
      <c r="F43" s="3"/>
      <c r="J43" s="14" t="s">
        <v>35</v>
      </c>
      <c r="K43" s="32" t="s">
        <v>377</v>
      </c>
      <c r="L43" s="1"/>
      <c r="M43" s="3"/>
      <c r="N43" s="3"/>
      <c r="O43" s="3"/>
      <c r="P43" s="3"/>
      <c r="Q43" s="3"/>
      <c r="R43" s="3"/>
      <c r="S43" s="3"/>
      <c r="T43" s="3"/>
      <c r="U43" s="3"/>
      <c r="V43" s="3"/>
      <c r="W43" s="3"/>
      <c r="X43" s="3"/>
      <c r="Y43" s="3"/>
      <c r="Z43" s="3"/>
    </row>
    <row r="44" spans="1:26" ht="14.25" customHeight="1">
      <c r="A44" s="31" t="s">
        <v>378</v>
      </c>
      <c r="B44" s="31" t="s">
        <v>379</v>
      </c>
      <c r="C44" s="2"/>
      <c r="D44" s="2"/>
      <c r="E44" s="2"/>
      <c r="F44" s="3"/>
      <c r="J44" s="13" t="s">
        <v>38</v>
      </c>
      <c r="K44" s="1"/>
      <c r="L44" s="1"/>
      <c r="M44" s="3"/>
      <c r="N44" s="3"/>
      <c r="O44" s="3"/>
      <c r="P44" s="3"/>
      <c r="Q44" s="3"/>
      <c r="R44" s="3"/>
      <c r="S44" s="3"/>
      <c r="T44" s="3"/>
      <c r="U44" s="3"/>
      <c r="V44" s="3"/>
      <c r="W44" s="3"/>
      <c r="X44" s="3"/>
      <c r="Y44" s="3"/>
      <c r="Z44" s="3"/>
    </row>
    <row r="45" spans="1:26" ht="14.25" customHeight="1">
      <c r="A45" s="31" t="s">
        <v>380</v>
      </c>
      <c r="B45" s="31" t="s">
        <v>381</v>
      </c>
      <c r="C45" s="2"/>
      <c r="D45" s="2"/>
      <c r="E45" s="2"/>
      <c r="F45" s="3"/>
      <c r="J45" s="14" t="s">
        <v>41</v>
      </c>
      <c r="K45" s="32" t="s">
        <v>375</v>
      </c>
      <c r="L45" s="1"/>
      <c r="M45" s="3"/>
      <c r="N45" s="3"/>
      <c r="O45" s="3"/>
      <c r="P45" s="3"/>
      <c r="Q45" s="3"/>
      <c r="R45" s="3"/>
      <c r="S45" s="3"/>
      <c r="T45" s="3"/>
      <c r="U45" s="3"/>
      <c r="V45" s="3"/>
      <c r="W45" s="3"/>
      <c r="X45" s="3"/>
      <c r="Y45" s="3"/>
      <c r="Z45" s="3"/>
    </row>
    <row r="46" spans="1:26" ht="14.25" customHeight="1">
      <c r="A46" s="31" t="s">
        <v>382</v>
      </c>
      <c r="B46" s="31" t="s">
        <v>383</v>
      </c>
      <c r="C46" s="2"/>
      <c r="D46" s="2"/>
      <c r="E46" s="2"/>
      <c r="F46" s="3"/>
      <c r="J46" s="13" t="s">
        <v>45</v>
      </c>
      <c r="K46" s="1"/>
      <c r="L46" s="1"/>
      <c r="M46" s="3"/>
      <c r="N46" s="3"/>
      <c r="O46" s="3"/>
      <c r="P46" s="3"/>
      <c r="Q46" s="3"/>
      <c r="R46" s="3"/>
      <c r="S46" s="3"/>
      <c r="T46" s="3"/>
      <c r="U46" s="3"/>
      <c r="V46" s="3"/>
      <c r="W46" s="3"/>
      <c r="X46" s="3"/>
      <c r="Y46" s="3"/>
      <c r="Z46" s="3"/>
    </row>
    <row r="47" spans="1:26" ht="14.25" customHeight="1">
      <c r="A47" s="31" t="s">
        <v>384</v>
      </c>
      <c r="B47" s="31" t="s">
        <v>385</v>
      </c>
      <c r="C47" s="2"/>
      <c r="D47" s="2"/>
      <c r="E47" s="2"/>
      <c r="F47" s="3"/>
      <c r="J47" s="13" t="s">
        <v>48</v>
      </c>
      <c r="K47" s="1"/>
      <c r="L47" s="1"/>
      <c r="M47" s="3"/>
      <c r="N47" s="3"/>
      <c r="O47" s="3"/>
      <c r="P47" s="3"/>
      <c r="Q47" s="3"/>
      <c r="R47" s="3"/>
      <c r="S47" s="3"/>
      <c r="T47" s="3"/>
      <c r="U47" s="3"/>
      <c r="V47" s="3"/>
      <c r="W47" s="3"/>
      <c r="X47" s="3"/>
      <c r="Y47" s="3"/>
      <c r="Z47" s="3"/>
    </row>
    <row r="48" spans="1:26" ht="14.25" customHeight="1">
      <c r="A48" s="31" t="s">
        <v>386</v>
      </c>
      <c r="B48" s="31" t="s">
        <v>387</v>
      </c>
      <c r="C48" s="2"/>
      <c r="D48" s="2"/>
      <c r="E48" s="2"/>
      <c r="F48" s="3"/>
      <c r="J48" s="33" t="s">
        <v>51</v>
      </c>
      <c r="K48" s="1"/>
      <c r="L48" s="1"/>
      <c r="M48" s="3"/>
      <c r="N48" s="3"/>
      <c r="O48" s="3"/>
      <c r="P48" s="3"/>
      <c r="Q48" s="3"/>
      <c r="R48" s="3"/>
      <c r="S48" s="3"/>
      <c r="T48" s="3"/>
      <c r="U48" s="3"/>
      <c r="V48" s="3"/>
      <c r="W48" s="3"/>
      <c r="X48" s="3"/>
      <c r="Y48" s="3"/>
      <c r="Z48" s="3"/>
    </row>
    <row r="49" spans="1:26" ht="14.25" customHeight="1">
      <c r="A49" s="31" t="s">
        <v>374</v>
      </c>
      <c r="B49" s="31" t="s">
        <v>388</v>
      </c>
      <c r="C49" s="2"/>
      <c r="D49" s="2"/>
      <c r="E49" s="2"/>
      <c r="F49" s="3"/>
      <c r="J49" s="33" t="s">
        <v>55</v>
      </c>
      <c r="K49" s="1"/>
      <c r="L49" s="1"/>
      <c r="M49" s="3"/>
      <c r="N49" s="3"/>
      <c r="O49" s="3"/>
      <c r="P49" s="3"/>
      <c r="Q49" s="3"/>
      <c r="R49" s="3"/>
      <c r="S49" s="3"/>
      <c r="T49" s="3"/>
      <c r="U49" s="3"/>
      <c r="V49" s="3"/>
      <c r="W49" s="3"/>
      <c r="X49" s="3"/>
      <c r="Y49" s="3"/>
      <c r="Z49" s="3"/>
    </row>
    <row r="50" spans="1:26" ht="14.25" customHeight="1">
      <c r="A50" s="31" t="s">
        <v>377</v>
      </c>
      <c r="B50" s="31" t="s">
        <v>389</v>
      </c>
      <c r="C50" s="2"/>
      <c r="D50" s="2"/>
      <c r="E50" s="2"/>
      <c r="F50" s="3"/>
      <c r="J50" s="33" t="s">
        <v>59</v>
      </c>
      <c r="K50" s="1"/>
      <c r="L50" s="1"/>
      <c r="M50" s="3"/>
      <c r="N50" s="3"/>
      <c r="O50" s="3"/>
      <c r="P50" s="3"/>
      <c r="Q50" s="3"/>
      <c r="R50" s="3"/>
      <c r="S50" s="3"/>
      <c r="T50" s="3"/>
      <c r="U50" s="3"/>
      <c r="V50" s="3"/>
      <c r="W50" s="3"/>
      <c r="X50" s="3"/>
      <c r="Y50" s="3"/>
      <c r="Z50" s="3"/>
    </row>
    <row r="51" spans="1:26" ht="14.25" customHeight="1">
      <c r="A51" s="31" t="s">
        <v>390</v>
      </c>
      <c r="B51" s="31" t="s">
        <v>391</v>
      </c>
      <c r="C51" s="2"/>
      <c r="D51" s="2"/>
      <c r="E51" s="2"/>
      <c r="F51" s="3"/>
      <c r="J51" s="34" t="s">
        <v>63</v>
      </c>
      <c r="K51" s="1"/>
      <c r="L51" s="1"/>
      <c r="M51" s="3"/>
      <c r="N51" s="3"/>
      <c r="O51" s="3"/>
      <c r="P51" s="3"/>
      <c r="Q51" s="3"/>
      <c r="R51" s="3"/>
      <c r="S51" s="3"/>
      <c r="T51" s="3"/>
      <c r="U51" s="3"/>
      <c r="V51" s="3"/>
      <c r="W51" s="3"/>
      <c r="X51" s="3"/>
      <c r="Y51" s="3"/>
      <c r="Z51" s="3"/>
    </row>
    <row r="52" spans="1:26" ht="14.25" customHeight="1">
      <c r="A52" s="31" t="s">
        <v>392</v>
      </c>
      <c r="B52" s="31" t="s">
        <v>393</v>
      </c>
      <c r="C52" s="2"/>
      <c r="D52" s="2"/>
      <c r="E52" s="2"/>
      <c r="F52" s="3"/>
      <c r="J52" s="13" t="s">
        <v>67</v>
      </c>
      <c r="K52" s="1"/>
      <c r="L52" s="1"/>
      <c r="M52" s="3"/>
      <c r="N52" s="3"/>
      <c r="O52" s="3"/>
      <c r="P52" s="3"/>
      <c r="Q52" s="3"/>
      <c r="R52" s="3"/>
      <c r="S52" s="3"/>
      <c r="T52" s="3"/>
      <c r="U52" s="3"/>
      <c r="V52" s="3"/>
      <c r="W52" s="3"/>
      <c r="X52" s="3"/>
      <c r="Y52" s="3"/>
      <c r="Z52" s="3"/>
    </row>
    <row r="53" spans="1:26" ht="14.25" customHeight="1">
      <c r="A53" s="31" t="s">
        <v>394</v>
      </c>
      <c r="B53" s="31" t="s">
        <v>395</v>
      </c>
      <c r="C53" s="2"/>
      <c r="D53" s="2"/>
      <c r="E53" s="2"/>
      <c r="F53" s="3"/>
      <c r="J53" s="33" t="s">
        <v>68</v>
      </c>
      <c r="K53" s="1"/>
      <c r="L53" s="1"/>
      <c r="M53" s="3"/>
      <c r="N53" s="3"/>
      <c r="O53" s="3"/>
      <c r="P53" s="3"/>
      <c r="Q53" s="3"/>
      <c r="R53" s="3"/>
      <c r="S53" s="3"/>
      <c r="T53" s="3"/>
      <c r="U53" s="3"/>
      <c r="V53" s="3"/>
      <c r="W53" s="3"/>
      <c r="X53" s="3"/>
      <c r="Y53" s="3"/>
      <c r="Z53" s="3"/>
    </row>
    <row r="54" spans="1:26" ht="14.25" customHeight="1">
      <c r="A54" s="31" t="s">
        <v>396</v>
      </c>
      <c r="B54" s="31" t="s">
        <v>397</v>
      </c>
      <c r="C54" s="2"/>
      <c r="D54" s="2"/>
      <c r="E54" s="2"/>
      <c r="F54" s="3"/>
      <c r="J54" s="13" t="s">
        <v>71</v>
      </c>
      <c r="K54" s="1"/>
      <c r="L54" s="1"/>
      <c r="M54" s="3"/>
      <c r="N54" s="3"/>
      <c r="O54" s="3"/>
      <c r="P54" s="3"/>
      <c r="Q54" s="3"/>
      <c r="R54" s="3"/>
      <c r="S54" s="3"/>
      <c r="T54" s="3"/>
      <c r="U54" s="3"/>
      <c r="V54" s="3"/>
      <c r="W54" s="3"/>
      <c r="X54" s="3"/>
      <c r="Y54" s="3"/>
      <c r="Z54" s="3"/>
    </row>
    <row r="55" spans="1:26" ht="12.75" customHeight="1">
      <c r="A55" s="1"/>
      <c r="B55" s="2"/>
      <c r="C55" s="2"/>
      <c r="D55" s="2"/>
      <c r="E55" s="2"/>
      <c r="F55" s="3"/>
      <c r="J55" s="13" t="s">
        <v>73</v>
      </c>
      <c r="K55" s="1"/>
      <c r="L55" s="1"/>
      <c r="M55" s="3"/>
      <c r="N55" s="3"/>
      <c r="O55" s="3"/>
      <c r="P55" s="3"/>
      <c r="Q55" s="3"/>
      <c r="R55" s="3"/>
      <c r="S55" s="3"/>
      <c r="T55" s="3"/>
      <c r="U55" s="3"/>
      <c r="V55" s="3"/>
      <c r="W55" s="3"/>
      <c r="X55" s="3"/>
      <c r="Y55" s="3"/>
      <c r="Z55" s="3"/>
    </row>
    <row r="56" spans="1:26" ht="14.25" customHeight="1">
      <c r="A56" s="35" t="s">
        <v>398</v>
      </c>
      <c r="B56" s="35" t="s">
        <v>399</v>
      </c>
      <c r="C56" s="2"/>
      <c r="D56" s="2"/>
      <c r="E56" s="2"/>
      <c r="F56" s="3"/>
      <c r="J56" s="13" t="s">
        <v>74</v>
      </c>
      <c r="K56" s="1"/>
      <c r="L56" s="1"/>
      <c r="M56" s="3"/>
      <c r="N56" s="3"/>
      <c r="O56" s="3"/>
      <c r="P56" s="3"/>
      <c r="Q56" s="3"/>
      <c r="R56" s="3"/>
      <c r="S56" s="3"/>
      <c r="T56" s="3"/>
      <c r="U56" s="3"/>
      <c r="V56" s="3"/>
      <c r="W56" s="3"/>
      <c r="X56" s="3"/>
      <c r="Y56" s="3"/>
      <c r="Z56" s="3"/>
    </row>
    <row r="57" spans="1:26" ht="14.25" customHeight="1">
      <c r="A57" s="36">
        <v>0</v>
      </c>
      <c r="B57" s="36" t="s">
        <v>400</v>
      </c>
      <c r="C57" s="2"/>
      <c r="D57" s="2"/>
      <c r="E57" s="2"/>
      <c r="F57" s="3"/>
      <c r="J57" s="33" t="s">
        <v>77</v>
      </c>
      <c r="K57" s="1"/>
      <c r="L57" s="1"/>
      <c r="M57" s="3"/>
      <c r="N57" s="3"/>
      <c r="O57" s="3"/>
      <c r="P57" s="3"/>
      <c r="Q57" s="3"/>
      <c r="R57" s="3"/>
      <c r="S57" s="3"/>
      <c r="T57" s="3"/>
      <c r="U57" s="3"/>
      <c r="V57" s="3"/>
      <c r="W57" s="3"/>
      <c r="X57" s="3"/>
      <c r="Y57" s="3"/>
      <c r="Z57" s="3"/>
    </row>
    <row r="58" spans="1:26" ht="14.25" customHeight="1">
      <c r="A58" s="36">
        <v>1</v>
      </c>
      <c r="B58" s="36" t="s">
        <v>401</v>
      </c>
      <c r="C58" s="2"/>
      <c r="D58" s="2"/>
      <c r="E58" s="2"/>
      <c r="F58" s="3"/>
      <c r="J58" s="33" t="s">
        <v>79</v>
      </c>
      <c r="K58" s="1"/>
      <c r="L58" s="1"/>
      <c r="M58" s="3"/>
      <c r="N58" s="3"/>
      <c r="O58" s="3"/>
      <c r="P58" s="3"/>
      <c r="Q58" s="3"/>
      <c r="R58" s="3"/>
      <c r="S58" s="3"/>
      <c r="T58" s="3"/>
      <c r="U58" s="3"/>
      <c r="V58" s="3"/>
      <c r="W58" s="3"/>
      <c r="X58" s="3"/>
      <c r="Y58" s="3"/>
      <c r="Z58" s="3"/>
    </row>
    <row r="59" spans="1:26" ht="14.25" customHeight="1">
      <c r="A59" s="36">
        <v>2</v>
      </c>
      <c r="B59" s="36" t="s">
        <v>402</v>
      </c>
      <c r="C59" s="2"/>
      <c r="D59" s="2"/>
      <c r="E59" s="2"/>
      <c r="F59" s="3"/>
      <c r="J59" s="33" t="s">
        <v>81</v>
      </c>
      <c r="K59" s="1"/>
      <c r="L59" s="1"/>
      <c r="M59" s="3"/>
      <c r="N59" s="3"/>
      <c r="O59" s="3"/>
      <c r="P59" s="3"/>
      <c r="Q59" s="3"/>
      <c r="R59" s="3"/>
      <c r="S59" s="3"/>
      <c r="T59" s="3"/>
      <c r="U59" s="3"/>
      <c r="V59" s="3"/>
      <c r="W59" s="3"/>
      <c r="X59" s="3"/>
      <c r="Y59" s="3"/>
      <c r="Z59" s="3"/>
    </row>
    <row r="60" spans="1:26" ht="14.25" customHeight="1">
      <c r="A60" s="36">
        <v>3</v>
      </c>
      <c r="B60" s="36" t="s">
        <v>403</v>
      </c>
      <c r="C60" s="2"/>
      <c r="D60" s="2"/>
      <c r="E60" s="2"/>
      <c r="F60" s="3"/>
      <c r="J60" s="33" t="s">
        <v>84</v>
      </c>
      <c r="K60" s="1"/>
      <c r="L60" s="1"/>
      <c r="M60" s="3"/>
      <c r="N60" s="3"/>
      <c r="O60" s="3"/>
      <c r="P60" s="3"/>
      <c r="Q60" s="3"/>
      <c r="R60" s="3"/>
      <c r="S60" s="3"/>
      <c r="T60" s="3"/>
      <c r="U60" s="3"/>
      <c r="V60" s="3"/>
      <c r="W60" s="3"/>
      <c r="X60" s="3"/>
      <c r="Y60" s="3"/>
      <c r="Z60" s="3"/>
    </row>
    <row r="61" spans="1:26" ht="14.25" customHeight="1">
      <c r="A61" s="36">
        <v>4</v>
      </c>
      <c r="B61" s="36" t="s">
        <v>404</v>
      </c>
      <c r="C61" s="2"/>
      <c r="D61" s="2"/>
      <c r="E61" s="2"/>
      <c r="F61" s="3"/>
      <c r="J61" s="13" t="s">
        <v>87</v>
      </c>
      <c r="K61" s="1"/>
      <c r="L61" s="1"/>
      <c r="M61" s="3"/>
      <c r="N61" s="3"/>
      <c r="O61" s="3"/>
      <c r="P61" s="3"/>
      <c r="Q61" s="3"/>
      <c r="R61" s="3"/>
      <c r="S61" s="3"/>
      <c r="T61" s="3"/>
      <c r="U61" s="3"/>
      <c r="V61" s="3"/>
      <c r="W61" s="3"/>
      <c r="X61" s="3"/>
      <c r="Y61" s="3"/>
      <c r="Z61" s="3"/>
    </row>
    <row r="62" spans="1:26" ht="14.25" customHeight="1">
      <c r="A62" s="36">
        <v>5</v>
      </c>
      <c r="B62" s="36" t="s">
        <v>405</v>
      </c>
      <c r="C62" s="2"/>
      <c r="D62" s="2"/>
      <c r="E62" s="2"/>
      <c r="F62" s="3"/>
      <c r="G62" s="3"/>
      <c r="H62" s="1"/>
      <c r="I62" s="1"/>
      <c r="J62" s="1"/>
      <c r="K62" s="1"/>
      <c r="L62" s="1"/>
      <c r="M62" s="3"/>
      <c r="N62" s="3"/>
      <c r="O62" s="3"/>
      <c r="P62" s="3"/>
      <c r="Q62" s="3"/>
      <c r="R62" s="3"/>
      <c r="S62" s="3"/>
      <c r="T62" s="3"/>
      <c r="U62" s="3"/>
      <c r="V62" s="3"/>
      <c r="W62" s="3"/>
      <c r="X62" s="3"/>
      <c r="Y62" s="3"/>
      <c r="Z62" s="3"/>
    </row>
    <row r="63" spans="1:26" ht="12.75" customHeight="1">
      <c r="A63" s="1"/>
      <c r="B63" s="2"/>
      <c r="C63" s="2"/>
      <c r="D63" s="2"/>
      <c r="E63" s="2"/>
      <c r="F63" s="3"/>
      <c r="G63" s="3"/>
      <c r="H63" s="1"/>
      <c r="I63" s="1"/>
      <c r="J63" s="1"/>
      <c r="K63" s="1"/>
      <c r="L63" s="1"/>
      <c r="M63" s="3"/>
      <c r="N63" s="3"/>
      <c r="O63" s="3"/>
      <c r="P63" s="3"/>
      <c r="Q63" s="3"/>
      <c r="R63" s="3"/>
      <c r="S63" s="3"/>
      <c r="T63" s="3"/>
      <c r="U63" s="3"/>
      <c r="V63" s="3"/>
      <c r="W63" s="3"/>
      <c r="X63" s="3"/>
      <c r="Y63" s="3"/>
      <c r="Z63" s="3"/>
    </row>
    <row r="64" spans="1:26" ht="12.75" customHeight="1">
      <c r="A64" s="1" t="s">
        <v>406</v>
      </c>
      <c r="B64" s="2"/>
      <c r="C64" s="2"/>
      <c r="D64" s="2"/>
      <c r="E64" s="2"/>
      <c r="F64" s="3"/>
      <c r="G64" s="3"/>
      <c r="H64" s="1"/>
      <c r="I64" s="1"/>
      <c r="J64" s="1"/>
      <c r="K64" s="1"/>
      <c r="L64" s="1"/>
      <c r="M64" s="3"/>
      <c r="N64" s="3"/>
      <c r="O64" s="3"/>
      <c r="P64" s="3"/>
      <c r="Q64" s="3"/>
      <c r="R64" s="3"/>
      <c r="S64" s="3"/>
      <c r="T64" s="3"/>
      <c r="U64" s="3"/>
      <c r="V64" s="3"/>
      <c r="W64" s="3"/>
      <c r="X64" s="3"/>
      <c r="Y64" s="3"/>
      <c r="Z64" s="3"/>
    </row>
    <row r="65" spans="1:26" ht="12.75" customHeight="1">
      <c r="A65" s="1" t="s">
        <v>407</v>
      </c>
      <c r="B65" s="2"/>
      <c r="C65" s="2"/>
      <c r="D65" s="2"/>
      <c r="E65" s="2"/>
      <c r="F65" s="3"/>
      <c r="G65" s="3"/>
      <c r="H65" s="1"/>
      <c r="I65" s="1"/>
      <c r="J65" s="1"/>
      <c r="K65" s="1"/>
      <c r="L65" s="1"/>
      <c r="M65" s="3"/>
      <c r="N65" s="3"/>
      <c r="O65" s="3"/>
      <c r="P65" s="3"/>
      <c r="Q65" s="3"/>
      <c r="R65" s="3"/>
      <c r="S65" s="3"/>
      <c r="T65" s="3"/>
      <c r="U65" s="3"/>
      <c r="V65" s="3"/>
      <c r="W65" s="3"/>
      <c r="X65" s="3"/>
      <c r="Y65" s="3"/>
      <c r="Z65" s="3"/>
    </row>
    <row r="66" spans="1:26" ht="12.75" customHeight="1">
      <c r="A66" s="1" t="s">
        <v>408</v>
      </c>
      <c r="B66" s="2"/>
      <c r="C66" s="2"/>
      <c r="D66" s="2"/>
      <c r="E66" s="2"/>
      <c r="F66" s="3"/>
      <c r="G66" s="3"/>
      <c r="H66" s="1"/>
      <c r="I66" s="1"/>
      <c r="J66" s="1"/>
      <c r="K66" s="1"/>
      <c r="L66" s="1"/>
      <c r="M66" s="3"/>
      <c r="N66" s="3"/>
      <c r="O66" s="3"/>
      <c r="P66" s="3"/>
      <c r="Q66" s="3"/>
      <c r="R66" s="3"/>
      <c r="S66" s="3"/>
      <c r="T66" s="3"/>
      <c r="U66" s="3"/>
      <c r="V66" s="3"/>
      <c r="W66" s="3"/>
      <c r="X66" s="3"/>
      <c r="Y66" s="3"/>
      <c r="Z66" s="3"/>
    </row>
    <row r="67" spans="1:26" ht="12.75" customHeight="1">
      <c r="A67" s="1"/>
      <c r="B67" s="2"/>
      <c r="C67" s="2"/>
      <c r="D67" s="2"/>
      <c r="E67" s="2"/>
      <c r="F67" s="3"/>
      <c r="G67" s="3"/>
      <c r="H67" s="1"/>
      <c r="I67" s="1"/>
      <c r="J67" s="1"/>
      <c r="K67" s="1"/>
      <c r="L67" s="1"/>
      <c r="M67" s="3"/>
      <c r="N67" s="3"/>
      <c r="O67" s="3"/>
      <c r="P67" s="3"/>
      <c r="Q67" s="3"/>
      <c r="R67" s="3"/>
      <c r="S67" s="3"/>
      <c r="T67" s="3"/>
      <c r="U67" s="3"/>
      <c r="V67" s="3"/>
      <c r="W67" s="3"/>
      <c r="X67" s="3"/>
      <c r="Y67" s="3"/>
      <c r="Z67" s="3"/>
    </row>
    <row r="68" spans="1:26" ht="12.75" customHeight="1">
      <c r="A68" s="1" t="s">
        <v>409</v>
      </c>
      <c r="B68" s="2"/>
      <c r="C68" s="2"/>
      <c r="D68" s="2"/>
      <c r="E68" s="2"/>
      <c r="F68" s="3"/>
      <c r="G68" s="3"/>
      <c r="H68" s="1"/>
      <c r="I68" s="1"/>
      <c r="J68" s="1"/>
      <c r="K68" s="1"/>
      <c r="L68" s="1"/>
      <c r="M68" s="3"/>
      <c r="N68" s="3"/>
      <c r="O68" s="3"/>
      <c r="P68" s="3"/>
      <c r="Q68" s="3"/>
      <c r="R68" s="3"/>
      <c r="S68" s="3"/>
      <c r="T68" s="3"/>
      <c r="U68" s="3"/>
      <c r="V68" s="3"/>
      <c r="W68" s="3"/>
      <c r="X68" s="3"/>
      <c r="Y68" s="3"/>
      <c r="Z68" s="3"/>
    </row>
    <row r="69" spans="1:26" ht="12.75" customHeight="1">
      <c r="A69" s="1" t="s">
        <v>410</v>
      </c>
      <c r="B69" s="2"/>
      <c r="C69" s="2"/>
      <c r="D69" s="2"/>
      <c r="E69" s="2"/>
      <c r="F69" s="3"/>
      <c r="G69" s="3"/>
      <c r="H69" s="1"/>
      <c r="I69" s="1"/>
      <c r="J69" s="1"/>
      <c r="K69" s="1"/>
      <c r="L69" s="1"/>
      <c r="M69" s="3"/>
      <c r="N69" s="3"/>
      <c r="O69" s="3"/>
      <c r="P69" s="3"/>
      <c r="Q69" s="3"/>
      <c r="R69" s="3"/>
      <c r="S69" s="3"/>
      <c r="T69" s="3"/>
      <c r="U69" s="3"/>
      <c r="V69" s="3"/>
      <c r="W69" s="3"/>
      <c r="X69" s="3"/>
      <c r="Y69" s="3"/>
      <c r="Z69" s="3"/>
    </row>
    <row r="70" spans="1:26" ht="12.75" customHeight="1">
      <c r="A70" s="1" t="s">
        <v>411</v>
      </c>
      <c r="B70" s="2"/>
      <c r="C70" s="2"/>
      <c r="D70" s="2"/>
      <c r="E70" s="2"/>
      <c r="F70" s="3"/>
      <c r="G70" s="3"/>
      <c r="H70" s="1"/>
      <c r="I70" s="1"/>
      <c r="J70" s="1"/>
      <c r="K70" s="1"/>
      <c r="L70" s="1"/>
      <c r="M70" s="3"/>
      <c r="N70" s="3"/>
      <c r="O70" s="3"/>
      <c r="P70" s="3"/>
      <c r="Q70" s="3"/>
      <c r="R70" s="3"/>
      <c r="S70" s="3"/>
      <c r="T70" s="3"/>
      <c r="U70" s="3"/>
      <c r="V70" s="3"/>
      <c r="W70" s="3"/>
      <c r="X70" s="3"/>
      <c r="Y70" s="3"/>
      <c r="Z70" s="3"/>
    </row>
    <row r="71" spans="1:26" ht="12.75" customHeight="1">
      <c r="A71" s="1" t="s">
        <v>412</v>
      </c>
      <c r="B71" s="2"/>
      <c r="C71" s="2"/>
      <c r="D71" s="2"/>
      <c r="E71" s="2"/>
      <c r="F71" s="3"/>
      <c r="G71" s="3"/>
      <c r="H71" s="1"/>
      <c r="I71" s="1"/>
      <c r="J71" s="1"/>
      <c r="K71" s="1"/>
      <c r="L71" s="1"/>
      <c r="M71" s="3"/>
      <c r="N71" s="3"/>
      <c r="O71" s="3"/>
      <c r="P71" s="3"/>
      <c r="Q71" s="3"/>
      <c r="R71" s="3"/>
      <c r="S71" s="3"/>
      <c r="T71" s="3"/>
      <c r="U71" s="3"/>
      <c r="V71" s="3"/>
      <c r="W71" s="3"/>
      <c r="X71" s="3"/>
      <c r="Y71" s="3"/>
      <c r="Z71" s="3"/>
    </row>
    <row r="72" spans="1:26" ht="12.75" customHeight="1">
      <c r="A72" s="1"/>
      <c r="B72" s="1"/>
      <c r="C72" s="1"/>
      <c r="D72" s="1"/>
      <c r="E72" s="1"/>
      <c r="F72" s="1"/>
      <c r="G72" s="1"/>
      <c r="H72" s="1"/>
      <c r="I72" s="1"/>
      <c r="J72" s="1"/>
      <c r="K72" s="1"/>
      <c r="L72" s="1"/>
      <c r="M72" s="3"/>
      <c r="N72" s="3"/>
      <c r="O72" s="3"/>
      <c r="P72" s="3"/>
      <c r="Q72" s="3"/>
      <c r="R72" s="3"/>
      <c r="S72" s="3"/>
      <c r="T72" s="3"/>
      <c r="U72" s="3"/>
      <c r="V72" s="3"/>
      <c r="W72" s="3"/>
      <c r="X72" s="3"/>
      <c r="Y72" s="3"/>
      <c r="Z72" s="3"/>
    </row>
    <row r="73" spans="1:26" ht="12.75" customHeight="1">
      <c r="A73" s="1"/>
      <c r="B73" s="1"/>
      <c r="C73" s="1"/>
      <c r="D73" s="1"/>
      <c r="E73" s="1"/>
      <c r="F73" s="1"/>
      <c r="G73" s="1"/>
      <c r="H73" s="1"/>
      <c r="I73" s="1"/>
      <c r="J73" s="1"/>
      <c r="K73" s="1"/>
      <c r="L73" s="1"/>
      <c r="M73" s="3"/>
      <c r="N73" s="3"/>
      <c r="O73" s="3"/>
      <c r="P73" s="3"/>
      <c r="Q73" s="3"/>
      <c r="R73" s="3"/>
      <c r="S73" s="3"/>
      <c r="T73" s="3"/>
      <c r="U73" s="3"/>
      <c r="V73" s="3"/>
      <c r="W73" s="3"/>
      <c r="X73" s="3"/>
      <c r="Y73" s="3"/>
      <c r="Z73" s="3"/>
    </row>
    <row r="74" spans="1:26" ht="12.75" customHeight="1">
      <c r="A74" s="1" t="s">
        <v>95</v>
      </c>
      <c r="B74" s="1" t="s">
        <v>96</v>
      </c>
      <c r="C74" s="1" t="s">
        <v>413</v>
      </c>
      <c r="D74" s="1" t="s">
        <v>414</v>
      </c>
      <c r="E74" s="1" t="s">
        <v>357</v>
      </c>
      <c r="F74" s="1" t="s">
        <v>415</v>
      </c>
      <c r="G74" s="1" t="s">
        <v>360</v>
      </c>
      <c r="H74" s="1" t="s">
        <v>416</v>
      </c>
      <c r="I74" s="1" t="s">
        <v>417</v>
      </c>
      <c r="J74" s="1" t="s">
        <v>418</v>
      </c>
      <c r="K74" s="1" t="s">
        <v>419</v>
      </c>
      <c r="L74" s="3" t="s">
        <v>420</v>
      </c>
      <c r="M74" s="3"/>
      <c r="N74" s="3"/>
      <c r="O74" s="3"/>
      <c r="P74" s="3"/>
      <c r="Q74" s="3"/>
      <c r="R74" s="3"/>
      <c r="S74" s="3"/>
      <c r="T74" s="3"/>
      <c r="U74" s="3"/>
      <c r="V74" s="3"/>
      <c r="W74" s="3"/>
      <c r="X74" s="3"/>
      <c r="Y74" s="3"/>
      <c r="Z74" s="3"/>
    </row>
    <row r="75" spans="1:26" ht="15.75" customHeight="1">
      <c r="A75" s="1" t="s">
        <v>104</v>
      </c>
      <c r="B75" s="27" t="s">
        <v>279</v>
      </c>
      <c r="C75" s="18">
        <v>4</v>
      </c>
      <c r="D75" s="18">
        <v>4</v>
      </c>
      <c r="E75" s="18">
        <v>4</v>
      </c>
      <c r="F75" s="18">
        <v>0</v>
      </c>
      <c r="G75" s="18">
        <v>5</v>
      </c>
      <c r="H75" s="18">
        <f>SUM(C75:G75)</f>
        <v>17</v>
      </c>
      <c r="I75" s="1">
        <v>0</v>
      </c>
      <c r="J75" s="2">
        <f t="shared" ref="J75:J89" si="0">H75+I75</f>
        <v>17</v>
      </c>
      <c r="K75" s="1">
        <v>1.1599999999999999</v>
      </c>
      <c r="L75" s="3">
        <f>SUM(J75:J89)*K75</f>
        <v>467.47999999999996</v>
      </c>
      <c r="M75" s="3"/>
      <c r="N75" s="3"/>
      <c r="O75" s="3"/>
      <c r="P75" s="3"/>
      <c r="Q75" s="3"/>
      <c r="R75" s="3"/>
      <c r="S75" s="3"/>
      <c r="T75" s="3"/>
      <c r="U75" s="3"/>
      <c r="V75" s="3"/>
      <c r="W75" s="3"/>
      <c r="X75" s="3"/>
      <c r="Y75" s="3"/>
      <c r="Z75" s="3"/>
    </row>
    <row r="76" spans="1:26" ht="15.75" customHeight="1">
      <c r="A76" s="2"/>
      <c r="B76" s="27" t="s">
        <v>280</v>
      </c>
      <c r="C76" s="18">
        <v>2</v>
      </c>
      <c r="D76" s="18">
        <v>9</v>
      </c>
      <c r="E76" s="18">
        <v>10</v>
      </c>
      <c r="F76" s="18">
        <v>2</v>
      </c>
      <c r="G76" s="18">
        <v>0</v>
      </c>
      <c r="H76" s="18">
        <f t="shared" ref="H76:H89" si="1">SUM(C76:G76)</f>
        <v>23</v>
      </c>
      <c r="I76" s="1">
        <v>0</v>
      </c>
      <c r="J76" s="2">
        <f t="shared" si="0"/>
        <v>23</v>
      </c>
      <c r="K76" s="3"/>
      <c r="L76" s="3"/>
      <c r="M76" s="3"/>
      <c r="N76" s="3"/>
      <c r="O76" s="3"/>
      <c r="P76" s="3"/>
      <c r="Q76" s="3"/>
      <c r="R76" s="3"/>
      <c r="S76" s="3"/>
      <c r="T76" s="3"/>
      <c r="U76" s="3"/>
      <c r="V76" s="3"/>
      <c r="W76" s="3"/>
      <c r="X76" s="3"/>
      <c r="Y76" s="3"/>
      <c r="Z76" s="3"/>
    </row>
    <row r="77" spans="1:26" ht="15.75" customHeight="1">
      <c r="A77" s="2"/>
      <c r="B77" s="27" t="s">
        <v>281</v>
      </c>
      <c r="C77" s="18">
        <v>3</v>
      </c>
      <c r="D77" s="18">
        <v>5</v>
      </c>
      <c r="E77" s="18">
        <v>8</v>
      </c>
      <c r="F77" s="18">
        <v>13</v>
      </c>
      <c r="G77" s="18">
        <v>5</v>
      </c>
      <c r="H77" s="18">
        <f>SUM(C77:G77)</f>
        <v>34</v>
      </c>
      <c r="I77" s="1">
        <v>0</v>
      </c>
      <c r="J77" s="2">
        <f t="shared" si="0"/>
        <v>34</v>
      </c>
      <c r="K77" s="3"/>
      <c r="L77" s="3"/>
      <c r="M77" s="3"/>
      <c r="N77" s="3"/>
      <c r="O77" s="3"/>
      <c r="P77" s="3"/>
      <c r="Q77" s="3"/>
      <c r="R77" s="3"/>
      <c r="S77" s="3"/>
      <c r="T77" s="3"/>
      <c r="U77" s="3"/>
      <c r="V77" s="3"/>
      <c r="W77" s="3"/>
      <c r="X77" s="3"/>
      <c r="Y77" s="3"/>
      <c r="Z77" s="3"/>
    </row>
    <row r="78" spans="1:26" ht="15.75" customHeight="1">
      <c r="A78" s="2"/>
      <c r="B78" s="27" t="s">
        <v>282</v>
      </c>
      <c r="C78" s="18">
        <v>4</v>
      </c>
      <c r="D78" s="18">
        <v>5</v>
      </c>
      <c r="E78" s="18">
        <v>8</v>
      </c>
      <c r="F78" s="18">
        <v>3</v>
      </c>
      <c r="G78" s="18">
        <v>0</v>
      </c>
      <c r="H78" s="18">
        <f t="shared" si="1"/>
        <v>20</v>
      </c>
      <c r="I78" s="1">
        <v>0</v>
      </c>
      <c r="J78" s="2">
        <f t="shared" si="0"/>
        <v>20</v>
      </c>
      <c r="K78" s="3"/>
      <c r="L78" s="3"/>
      <c r="M78" s="3"/>
      <c r="N78" s="3"/>
      <c r="O78" s="3"/>
      <c r="P78" s="3"/>
      <c r="Q78" s="3"/>
      <c r="R78" s="3"/>
      <c r="S78" s="3"/>
      <c r="T78" s="3"/>
      <c r="U78" s="3"/>
      <c r="V78" s="3"/>
      <c r="W78" s="3"/>
      <c r="X78" s="3"/>
      <c r="Y78" s="3"/>
      <c r="Z78" s="3"/>
    </row>
    <row r="79" spans="1:26" ht="15.75" customHeight="1">
      <c r="A79" s="2"/>
      <c r="B79" s="27" t="s">
        <v>283</v>
      </c>
      <c r="C79" s="18">
        <v>7</v>
      </c>
      <c r="D79" s="18">
        <v>3</v>
      </c>
      <c r="E79" s="18">
        <v>9</v>
      </c>
      <c r="F79" s="18">
        <v>2</v>
      </c>
      <c r="G79" s="18">
        <v>1</v>
      </c>
      <c r="H79" s="18">
        <f t="shared" si="1"/>
        <v>22</v>
      </c>
      <c r="I79" s="1">
        <v>0</v>
      </c>
      <c r="J79" s="2">
        <f t="shared" si="0"/>
        <v>22</v>
      </c>
      <c r="K79" s="3"/>
      <c r="L79" s="3"/>
      <c r="M79" s="3"/>
      <c r="N79" s="3"/>
      <c r="O79" s="3"/>
      <c r="P79" s="3"/>
      <c r="Q79" s="3"/>
      <c r="R79" s="3"/>
      <c r="S79" s="3"/>
      <c r="T79" s="3"/>
      <c r="U79" s="3"/>
      <c r="V79" s="3"/>
      <c r="W79" s="3"/>
      <c r="X79" s="3"/>
      <c r="Y79" s="3"/>
      <c r="Z79" s="3"/>
    </row>
    <row r="80" spans="1:26" ht="15.75" customHeight="1">
      <c r="A80" s="2"/>
      <c r="B80" s="27" t="s">
        <v>284</v>
      </c>
      <c r="C80" s="18">
        <v>6</v>
      </c>
      <c r="D80" s="18">
        <v>3</v>
      </c>
      <c r="E80" s="18">
        <v>24</v>
      </c>
      <c r="F80" s="18">
        <v>5</v>
      </c>
      <c r="G80" s="18">
        <v>1</v>
      </c>
      <c r="H80" s="18">
        <f t="shared" si="1"/>
        <v>39</v>
      </c>
      <c r="I80" s="1">
        <v>0</v>
      </c>
      <c r="J80" s="2">
        <f t="shared" si="0"/>
        <v>39</v>
      </c>
      <c r="K80" s="3"/>
      <c r="L80" s="3"/>
      <c r="M80" s="3"/>
      <c r="N80" s="3"/>
      <c r="O80" s="3"/>
      <c r="P80" s="3"/>
      <c r="Q80" s="3"/>
      <c r="R80" s="3"/>
      <c r="S80" s="3"/>
      <c r="T80" s="3"/>
      <c r="U80" s="3"/>
      <c r="V80" s="3"/>
      <c r="W80" s="3"/>
      <c r="X80" s="3"/>
      <c r="Y80" s="3"/>
      <c r="Z80" s="3"/>
    </row>
    <row r="81" spans="1:26" ht="15.75" customHeight="1">
      <c r="A81" s="2"/>
      <c r="B81" s="27" t="s">
        <v>109</v>
      </c>
      <c r="C81" s="18">
        <v>0</v>
      </c>
      <c r="D81" s="18">
        <v>19</v>
      </c>
      <c r="E81" s="18">
        <v>8</v>
      </c>
      <c r="F81" s="18">
        <v>5</v>
      </c>
      <c r="G81" s="18">
        <v>4</v>
      </c>
      <c r="H81" s="18">
        <f t="shared" si="1"/>
        <v>36</v>
      </c>
      <c r="I81" s="1">
        <v>0</v>
      </c>
      <c r="J81" s="2">
        <f t="shared" si="0"/>
        <v>36</v>
      </c>
      <c r="K81" s="3"/>
      <c r="L81" s="3"/>
      <c r="M81" s="3"/>
      <c r="N81" s="3"/>
      <c r="O81" s="3"/>
      <c r="P81" s="3"/>
      <c r="Q81" s="3"/>
      <c r="R81" s="3"/>
      <c r="S81" s="3"/>
      <c r="T81" s="3"/>
      <c r="U81" s="3"/>
      <c r="V81" s="3"/>
      <c r="W81" s="3"/>
      <c r="X81" s="3"/>
      <c r="Y81" s="3"/>
      <c r="Z81" s="3"/>
    </row>
    <row r="82" spans="1:26" ht="15.75" customHeight="1">
      <c r="A82" s="2"/>
      <c r="B82" s="27" t="s">
        <v>285</v>
      </c>
      <c r="C82" s="18">
        <v>2</v>
      </c>
      <c r="D82" s="18">
        <v>18</v>
      </c>
      <c r="E82" s="18">
        <v>8</v>
      </c>
      <c r="F82" s="18">
        <v>0</v>
      </c>
      <c r="G82" s="18">
        <v>2</v>
      </c>
      <c r="H82" s="18">
        <f t="shared" si="1"/>
        <v>30</v>
      </c>
      <c r="I82" s="1">
        <v>0</v>
      </c>
      <c r="J82" s="2">
        <f t="shared" si="0"/>
        <v>30</v>
      </c>
      <c r="K82" s="3"/>
      <c r="L82" s="3"/>
      <c r="M82" s="3"/>
      <c r="N82" s="3"/>
      <c r="O82" s="3"/>
      <c r="P82" s="3"/>
      <c r="Q82" s="3"/>
      <c r="R82" s="3"/>
      <c r="S82" s="3"/>
      <c r="T82" s="3"/>
      <c r="U82" s="3"/>
      <c r="V82" s="3"/>
      <c r="W82" s="3"/>
      <c r="X82" s="3"/>
      <c r="Y82" s="3"/>
      <c r="Z82" s="3"/>
    </row>
    <row r="83" spans="1:26" ht="15.75" customHeight="1">
      <c r="A83" s="2"/>
      <c r="B83" s="27" t="s">
        <v>286</v>
      </c>
      <c r="C83" s="18">
        <v>3</v>
      </c>
      <c r="D83" s="18">
        <v>8</v>
      </c>
      <c r="E83" s="18">
        <v>7</v>
      </c>
      <c r="F83" s="18">
        <v>2</v>
      </c>
      <c r="G83" s="18">
        <v>3</v>
      </c>
      <c r="H83" s="18">
        <f t="shared" si="1"/>
        <v>23</v>
      </c>
      <c r="I83" s="18">
        <v>0</v>
      </c>
      <c r="J83" s="2">
        <f t="shared" si="0"/>
        <v>23</v>
      </c>
      <c r="K83" s="3"/>
      <c r="L83" s="3"/>
      <c r="M83" s="3"/>
      <c r="N83" s="3"/>
      <c r="O83" s="3"/>
      <c r="P83" s="3"/>
      <c r="Q83" s="3"/>
      <c r="R83" s="3"/>
      <c r="S83" s="3"/>
      <c r="T83" s="3"/>
      <c r="U83" s="3"/>
      <c r="V83" s="3"/>
      <c r="W83" s="3"/>
      <c r="X83" s="3"/>
      <c r="Y83" s="3"/>
      <c r="Z83" s="3"/>
    </row>
    <row r="84" spans="1:26" ht="15.75" customHeight="1">
      <c r="A84" s="2"/>
      <c r="B84" s="27" t="s">
        <v>287</v>
      </c>
      <c r="C84" s="18">
        <v>4</v>
      </c>
      <c r="D84" s="18">
        <v>1</v>
      </c>
      <c r="E84" s="18">
        <v>2</v>
      </c>
      <c r="F84" s="18">
        <v>1</v>
      </c>
      <c r="G84" s="18">
        <v>4</v>
      </c>
      <c r="H84" s="18">
        <f t="shared" si="1"/>
        <v>12</v>
      </c>
      <c r="I84" s="18">
        <v>0</v>
      </c>
      <c r="J84" s="18">
        <f t="shared" si="0"/>
        <v>12</v>
      </c>
      <c r="K84" s="3"/>
      <c r="L84" s="3"/>
      <c r="M84" s="3"/>
      <c r="N84" s="3"/>
      <c r="O84" s="3"/>
      <c r="P84" s="3"/>
      <c r="Q84" s="3"/>
      <c r="R84" s="3"/>
      <c r="S84" s="3"/>
      <c r="T84" s="3"/>
      <c r="U84" s="3"/>
      <c r="V84" s="3"/>
      <c r="W84" s="3"/>
      <c r="X84" s="3"/>
      <c r="Y84" s="3"/>
      <c r="Z84" s="3"/>
    </row>
    <row r="85" spans="1:26" ht="15.75" customHeight="1">
      <c r="A85" s="2"/>
      <c r="B85" s="27" t="s">
        <v>117</v>
      </c>
      <c r="C85" s="18">
        <v>6</v>
      </c>
      <c r="D85" s="18">
        <v>20</v>
      </c>
      <c r="E85" s="18">
        <v>8</v>
      </c>
      <c r="F85" s="18">
        <v>0</v>
      </c>
      <c r="G85" s="18">
        <v>6</v>
      </c>
      <c r="H85" s="18">
        <f t="shared" si="1"/>
        <v>40</v>
      </c>
      <c r="I85" s="18">
        <v>0</v>
      </c>
      <c r="J85" s="18">
        <f t="shared" si="0"/>
        <v>40</v>
      </c>
      <c r="K85" s="3"/>
      <c r="L85" s="3"/>
      <c r="M85" s="3"/>
      <c r="N85" s="3"/>
      <c r="O85" s="3"/>
      <c r="P85" s="3"/>
      <c r="Q85" s="3"/>
      <c r="R85" s="3"/>
      <c r="S85" s="3"/>
      <c r="T85" s="3"/>
      <c r="U85" s="3"/>
      <c r="V85" s="3"/>
      <c r="W85" s="3"/>
      <c r="X85" s="3"/>
      <c r="Y85" s="3"/>
      <c r="Z85" s="3"/>
    </row>
    <row r="86" spans="1:26" ht="15.75" customHeight="1">
      <c r="A86" s="2"/>
      <c r="B86" s="27" t="s">
        <v>115</v>
      </c>
      <c r="C86" s="18">
        <v>2</v>
      </c>
      <c r="D86" s="18">
        <v>8</v>
      </c>
      <c r="E86" s="18">
        <v>4</v>
      </c>
      <c r="F86" s="18">
        <v>0</v>
      </c>
      <c r="G86" s="18">
        <v>4</v>
      </c>
      <c r="H86" s="18">
        <f t="shared" si="1"/>
        <v>18</v>
      </c>
      <c r="I86" s="18">
        <v>0</v>
      </c>
      <c r="J86" s="18">
        <f t="shared" si="0"/>
        <v>18</v>
      </c>
      <c r="K86" s="3"/>
      <c r="L86" s="3"/>
      <c r="M86" s="3"/>
      <c r="N86" s="3"/>
      <c r="O86" s="3"/>
      <c r="P86" s="3"/>
      <c r="Q86" s="3"/>
      <c r="R86" s="3"/>
      <c r="S86" s="3"/>
      <c r="T86" s="3"/>
      <c r="U86" s="3"/>
      <c r="V86" s="3"/>
      <c r="W86" s="3"/>
      <c r="X86" s="3"/>
      <c r="Y86" s="3"/>
      <c r="Z86" s="3"/>
    </row>
    <row r="87" spans="1:26" ht="15.75" customHeight="1">
      <c r="A87" s="2"/>
      <c r="B87" s="27" t="s">
        <v>288</v>
      </c>
      <c r="C87" s="18">
        <v>3</v>
      </c>
      <c r="D87" s="18">
        <v>18</v>
      </c>
      <c r="E87" s="18">
        <v>2</v>
      </c>
      <c r="F87" s="18">
        <v>7</v>
      </c>
      <c r="G87" s="18">
        <v>0</v>
      </c>
      <c r="H87" s="18">
        <f t="shared" si="1"/>
        <v>30</v>
      </c>
      <c r="I87" s="18">
        <v>0</v>
      </c>
      <c r="J87" s="18">
        <f t="shared" si="0"/>
        <v>30</v>
      </c>
      <c r="K87" s="3"/>
      <c r="L87" s="3"/>
      <c r="M87" s="3"/>
      <c r="N87" s="3"/>
      <c r="O87" s="3"/>
      <c r="P87" s="3"/>
      <c r="Q87" s="3"/>
      <c r="R87" s="3"/>
      <c r="S87" s="3"/>
      <c r="T87" s="3"/>
      <c r="U87" s="3"/>
      <c r="V87" s="3"/>
      <c r="W87" s="3"/>
      <c r="X87" s="3"/>
      <c r="Y87" s="3"/>
      <c r="Z87" s="3"/>
    </row>
    <row r="88" spans="1:26" ht="15.75" customHeight="1">
      <c r="A88" s="2"/>
      <c r="B88" s="27" t="s">
        <v>289</v>
      </c>
      <c r="C88" s="18">
        <v>0</v>
      </c>
      <c r="D88" s="18">
        <v>5</v>
      </c>
      <c r="E88" s="18">
        <v>6</v>
      </c>
      <c r="F88" s="18">
        <v>20</v>
      </c>
      <c r="G88" s="18">
        <v>7</v>
      </c>
      <c r="H88" s="18">
        <f t="shared" si="1"/>
        <v>38</v>
      </c>
      <c r="I88" s="18">
        <v>0</v>
      </c>
      <c r="J88" s="18">
        <f t="shared" si="0"/>
        <v>38</v>
      </c>
      <c r="K88" s="3"/>
      <c r="L88" s="3"/>
      <c r="M88" s="3"/>
      <c r="N88" s="3"/>
      <c r="O88" s="3"/>
      <c r="P88" s="3"/>
      <c r="Q88" s="3"/>
      <c r="R88" s="3"/>
      <c r="S88" s="3"/>
      <c r="T88" s="3"/>
      <c r="U88" s="3"/>
      <c r="V88" s="3"/>
      <c r="W88" s="3"/>
      <c r="X88" s="3"/>
      <c r="Y88" s="3"/>
      <c r="Z88" s="3"/>
    </row>
    <row r="89" spans="1:26" ht="15.75" customHeight="1">
      <c r="A89" s="2"/>
      <c r="B89" s="27" t="s">
        <v>290</v>
      </c>
      <c r="C89" s="18">
        <v>4</v>
      </c>
      <c r="D89" s="18">
        <v>4</v>
      </c>
      <c r="E89" s="18">
        <v>7</v>
      </c>
      <c r="F89" s="18">
        <v>4</v>
      </c>
      <c r="G89" s="18">
        <v>2</v>
      </c>
      <c r="H89" s="18">
        <f t="shared" si="1"/>
        <v>21</v>
      </c>
      <c r="I89" s="18">
        <v>0</v>
      </c>
      <c r="J89" s="18">
        <f t="shared" si="0"/>
        <v>21</v>
      </c>
      <c r="K89" s="3"/>
      <c r="L89" s="3"/>
      <c r="M89" s="3"/>
      <c r="N89" s="3"/>
      <c r="O89" s="3"/>
      <c r="P89" s="3"/>
      <c r="Q89" s="3"/>
      <c r="R89" s="3"/>
      <c r="S89" s="3"/>
      <c r="T89" s="3"/>
      <c r="U89" s="3"/>
      <c r="V89" s="3"/>
      <c r="W89" s="3"/>
      <c r="X89" s="3"/>
      <c r="Y89" s="3"/>
      <c r="Z89" s="3"/>
    </row>
    <row r="90" spans="1:26" ht="12.75" customHeight="1">
      <c r="A90" s="1"/>
      <c r="B90" s="1"/>
      <c r="C90" s="1"/>
      <c r="D90" s="1"/>
      <c r="E90" s="1"/>
      <c r="F90" s="1"/>
      <c r="G90" s="1"/>
      <c r="H90" s="1"/>
      <c r="I90" s="1" t="s">
        <v>421</v>
      </c>
      <c r="J90" s="1">
        <f>SUM(I75:J89)</f>
        <v>403</v>
      </c>
      <c r="K90" s="3"/>
      <c r="L90" s="3"/>
      <c r="M90" s="3"/>
      <c r="N90" s="3"/>
      <c r="O90" s="3"/>
      <c r="P90" s="3"/>
      <c r="Q90" s="3"/>
      <c r="R90" s="3"/>
      <c r="S90" s="3"/>
      <c r="T90" s="3"/>
      <c r="U90" s="3"/>
      <c r="V90" s="3"/>
      <c r="W90" s="3"/>
      <c r="X90" s="3"/>
      <c r="Y90" s="3"/>
      <c r="Z90" s="3"/>
    </row>
    <row r="91" spans="1:26" ht="12.75" customHeight="1">
      <c r="A91" s="1"/>
      <c r="B91" s="1"/>
      <c r="C91" s="1"/>
      <c r="D91" s="1"/>
      <c r="E91" s="1"/>
      <c r="F91" s="1"/>
      <c r="G91" s="1"/>
      <c r="H91" s="1"/>
      <c r="I91" s="1"/>
      <c r="J91" s="1"/>
      <c r="K91" s="1"/>
      <c r="L91" s="20"/>
      <c r="M91" s="3"/>
      <c r="N91" s="3"/>
      <c r="O91" s="3"/>
      <c r="P91" s="3"/>
      <c r="Q91" s="3"/>
      <c r="R91" s="3"/>
      <c r="S91" s="3"/>
      <c r="T91" s="3"/>
      <c r="U91" s="3"/>
      <c r="V91" s="3"/>
      <c r="W91" s="3"/>
      <c r="X91" s="3"/>
      <c r="Y91" s="3"/>
      <c r="Z91" s="3"/>
    </row>
    <row r="92" spans="1:26" ht="12.75" customHeight="1">
      <c r="A92" s="1"/>
      <c r="B92" s="1"/>
      <c r="C92" s="1"/>
      <c r="D92" s="1"/>
      <c r="E92" s="1"/>
      <c r="F92" s="1"/>
      <c r="G92" s="1"/>
      <c r="H92" s="1"/>
      <c r="I92" s="1"/>
      <c r="J92" s="1"/>
      <c r="K92" s="1"/>
      <c r="L92" s="20"/>
      <c r="M92" s="3"/>
      <c r="N92" s="3"/>
      <c r="O92" s="3"/>
      <c r="P92" s="3"/>
      <c r="Q92" s="3"/>
      <c r="R92" s="3"/>
      <c r="S92" s="3"/>
      <c r="T92" s="3"/>
      <c r="U92" s="3"/>
      <c r="V92" s="3"/>
      <c r="W92" s="3"/>
      <c r="X92" s="3"/>
      <c r="Y92" s="3"/>
      <c r="Z92" s="3"/>
    </row>
    <row r="93" spans="1:26" ht="12.75" customHeight="1">
      <c r="A93" s="1" t="s">
        <v>95</v>
      </c>
      <c r="B93" s="1" t="s">
        <v>96</v>
      </c>
      <c r="C93" s="1" t="s">
        <v>413</v>
      </c>
      <c r="D93" s="1" t="s">
        <v>414</v>
      </c>
      <c r="E93" s="1" t="s">
        <v>357</v>
      </c>
      <c r="F93" s="1" t="s">
        <v>415</v>
      </c>
      <c r="G93" s="1" t="s">
        <v>360</v>
      </c>
      <c r="H93" s="1" t="s">
        <v>416</v>
      </c>
      <c r="I93" s="1" t="s">
        <v>417</v>
      </c>
      <c r="J93" s="1" t="s">
        <v>418</v>
      </c>
      <c r="K93" s="1" t="s">
        <v>419</v>
      </c>
      <c r="L93" s="20" t="s">
        <v>420</v>
      </c>
      <c r="M93" s="3"/>
      <c r="N93" s="3"/>
      <c r="O93" s="3"/>
      <c r="P93" s="3"/>
      <c r="Q93" s="3"/>
      <c r="R93" s="3"/>
      <c r="S93" s="3"/>
      <c r="T93" s="3"/>
      <c r="U93" s="3"/>
      <c r="V93" s="3"/>
      <c r="W93" s="3"/>
      <c r="X93" s="3"/>
      <c r="Y93" s="3"/>
      <c r="Z93" s="3"/>
    </row>
    <row r="94" spans="1:26" ht="12.75" customHeight="1">
      <c r="A94" s="1" t="s">
        <v>132</v>
      </c>
      <c r="B94" s="1" t="s">
        <v>133</v>
      </c>
      <c r="C94" s="1">
        <v>2</v>
      </c>
      <c r="D94" s="1">
        <v>4</v>
      </c>
      <c r="E94" s="1">
        <v>4</v>
      </c>
      <c r="F94" s="1">
        <v>0</v>
      </c>
      <c r="G94" s="1">
        <v>0</v>
      </c>
      <c r="H94" s="2">
        <f t="shared" ref="H94:H121" si="2">SUM(C94:G94)</f>
        <v>10</v>
      </c>
      <c r="I94" s="1">
        <v>0</v>
      </c>
      <c r="J94" s="2">
        <f t="shared" ref="J94:J121" si="3">H94+I94</f>
        <v>10</v>
      </c>
      <c r="K94" s="1">
        <v>1.1399999999999999</v>
      </c>
      <c r="L94" s="2">
        <f>SUM(J94:J121)*K94</f>
        <v>813.95999999999992</v>
      </c>
      <c r="M94" s="3"/>
      <c r="N94" s="3"/>
      <c r="O94" s="3"/>
      <c r="P94" s="3"/>
      <c r="Q94" s="3"/>
      <c r="R94" s="3"/>
      <c r="S94" s="3"/>
      <c r="T94" s="3"/>
      <c r="U94" s="3"/>
      <c r="V94" s="3"/>
      <c r="W94" s="3"/>
      <c r="X94" s="3"/>
      <c r="Y94" s="3"/>
      <c r="Z94" s="3"/>
    </row>
    <row r="95" spans="1:26" ht="12.75" customHeight="1">
      <c r="A95" s="2"/>
      <c r="B95" s="1" t="s">
        <v>135</v>
      </c>
      <c r="C95" s="1">
        <v>4</v>
      </c>
      <c r="D95" s="1">
        <v>2</v>
      </c>
      <c r="E95" s="1">
        <v>2</v>
      </c>
      <c r="F95" s="1">
        <v>5</v>
      </c>
      <c r="G95" s="1">
        <v>1</v>
      </c>
      <c r="H95" s="2">
        <f t="shared" si="2"/>
        <v>14</v>
      </c>
      <c r="I95" s="1">
        <v>0</v>
      </c>
      <c r="J95" s="2">
        <f t="shared" si="3"/>
        <v>14</v>
      </c>
      <c r="K95" s="3"/>
      <c r="L95" s="3"/>
      <c r="M95" s="3"/>
      <c r="N95" s="3"/>
      <c r="O95" s="3"/>
      <c r="P95" s="3"/>
      <c r="Q95" s="3"/>
      <c r="R95" s="3"/>
      <c r="S95" s="3"/>
      <c r="T95" s="3"/>
      <c r="U95" s="3"/>
      <c r="V95" s="3"/>
      <c r="W95" s="3"/>
      <c r="X95" s="3"/>
      <c r="Y95" s="3"/>
      <c r="Z95" s="3"/>
    </row>
    <row r="96" spans="1:26" ht="12.75" customHeight="1">
      <c r="A96" s="2"/>
      <c r="B96" s="1" t="s">
        <v>137</v>
      </c>
      <c r="C96" s="1">
        <v>3</v>
      </c>
      <c r="D96" s="1">
        <v>2</v>
      </c>
      <c r="E96" s="1">
        <v>2</v>
      </c>
      <c r="F96" s="1">
        <v>5</v>
      </c>
      <c r="G96" s="1">
        <v>1</v>
      </c>
      <c r="H96" s="2">
        <f t="shared" si="2"/>
        <v>13</v>
      </c>
      <c r="I96" s="1">
        <v>0</v>
      </c>
      <c r="J96" s="2">
        <f t="shared" si="3"/>
        <v>13</v>
      </c>
      <c r="K96" s="3"/>
      <c r="L96" s="3"/>
      <c r="M96" s="3"/>
      <c r="N96" s="3"/>
      <c r="O96" s="3"/>
      <c r="P96" s="3"/>
      <c r="Q96" s="3"/>
      <c r="R96" s="3"/>
      <c r="S96" s="3"/>
      <c r="T96" s="3"/>
      <c r="U96" s="3"/>
      <c r="V96" s="3"/>
      <c r="W96" s="3"/>
      <c r="X96" s="3"/>
      <c r="Y96" s="3"/>
      <c r="Z96" s="3"/>
    </row>
    <row r="97" spans="1:26" ht="12.75" customHeight="1">
      <c r="A97" s="2"/>
      <c r="B97" s="1" t="s">
        <v>139</v>
      </c>
      <c r="C97" s="1">
        <v>2</v>
      </c>
      <c r="D97" s="1">
        <v>2</v>
      </c>
      <c r="E97" s="1">
        <v>1</v>
      </c>
      <c r="F97" s="1">
        <v>2</v>
      </c>
      <c r="G97" s="1">
        <v>0</v>
      </c>
      <c r="H97" s="2">
        <f t="shared" si="2"/>
        <v>7</v>
      </c>
      <c r="I97" s="1">
        <v>0</v>
      </c>
      <c r="J97" s="2">
        <f t="shared" si="3"/>
        <v>7</v>
      </c>
      <c r="K97" s="3"/>
      <c r="L97" s="3"/>
      <c r="M97" s="3"/>
      <c r="N97" s="3"/>
      <c r="O97" s="3"/>
      <c r="P97" s="3"/>
      <c r="Q97" s="3"/>
      <c r="R97" s="3"/>
      <c r="S97" s="3"/>
      <c r="T97" s="3"/>
      <c r="U97" s="3"/>
      <c r="V97" s="3"/>
      <c r="W97" s="3"/>
      <c r="X97" s="3"/>
      <c r="Y97" s="3"/>
      <c r="Z97" s="3"/>
    </row>
    <row r="98" spans="1:26" ht="12.75" customHeight="1">
      <c r="A98" s="2"/>
      <c r="B98" s="1" t="s">
        <v>422</v>
      </c>
      <c r="C98" s="1">
        <v>1</v>
      </c>
      <c r="D98" s="1">
        <v>9</v>
      </c>
      <c r="E98" s="1">
        <v>3</v>
      </c>
      <c r="F98" s="1">
        <v>4</v>
      </c>
      <c r="G98" s="1">
        <v>0</v>
      </c>
      <c r="H98" s="2">
        <f t="shared" si="2"/>
        <v>17</v>
      </c>
      <c r="I98" s="1">
        <v>0</v>
      </c>
      <c r="J98" s="2">
        <f t="shared" si="3"/>
        <v>17</v>
      </c>
      <c r="K98" s="3"/>
      <c r="L98" s="3"/>
      <c r="M98" s="3"/>
      <c r="N98" s="3"/>
      <c r="O98" s="3"/>
      <c r="P98" s="3"/>
      <c r="Q98" s="3"/>
      <c r="R98" s="3"/>
      <c r="S98" s="3"/>
      <c r="T98" s="3"/>
      <c r="U98" s="3"/>
      <c r="V98" s="3"/>
      <c r="W98" s="3"/>
      <c r="X98" s="3"/>
      <c r="Y98" s="3"/>
      <c r="Z98" s="3"/>
    </row>
    <row r="99" spans="1:26" ht="12.75" customHeight="1">
      <c r="A99" s="2"/>
      <c r="B99" s="1" t="s">
        <v>141</v>
      </c>
      <c r="C99" s="1">
        <v>1</v>
      </c>
      <c r="D99" s="1">
        <v>10</v>
      </c>
      <c r="E99" s="1">
        <v>0</v>
      </c>
      <c r="F99" s="1">
        <v>9</v>
      </c>
      <c r="G99" s="1">
        <v>0</v>
      </c>
      <c r="H99" s="2">
        <f t="shared" si="2"/>
        <v>20</v>
      </c>
      <c r="I99" s="1">
        <v>0</v>
      </c>
      <c r="J99" s="2">
        <f t="shared" si="3"/>
        <v>20</v>
      </c>
      <c r="K99" s="3"/>
      <c r="L99" s="3"/>
      <c r="M99" s="3"/>
      <c r="N99" s="3"/>
      <c r="O99" s="3"/>
      <c r="P99" s="3"/>
      <c r="Q99" s="3"/>
      <c r="R99" s="3"/>
      <c r="S99" s="3"/>
      <c r="T99" s="3"/>
      <c r="U99" s="3"/>
      <c r="V99" s="3"/>
      <c r="W99" s="3"/>
      <c r="X99" s="3"/>
      <c r="Y99" s="3"/>
      <c r="Z99" s="3"/>
    </row>
    <row r="100" spans="1:26" ht="12.75" customHeight="1">
      <c r="A100" s="2"/>
      <c r="B100" s="1" t="s">
        <v>142</v>
      </c>
      <c r="C100" s="1">
        <v>7</v>
      </c>
      <c r="D100" s="1">
        <v>7</v>
      </c>
      <c r="E100" s="1">
        <v>9</v>
      </c>
      <c r="F100" s="1">
        <v>10</v>
      </c>
      <c r="G100" s="1">
        <v>9</v>
      </c>
      <c r="H100" s="2">
        <f t="shared" si="2"/>
        <v>42</v>
      </c>
      <c r="I100" s="1">
        <v>0</v>
      </c>
      <c r="J100" s="2">
        <f t="shared" si="3"/>
        <v>42</v>
      </c>
      <c r="K100" s="3"/>
      <c r="L100" s="3"/>
      <c r="M100" s="3"/>
      <c r="N100" s="3"/>
      <c r="O100" s="3"/>
      <c r="P100" s="3"/>
      <c r="Q100" s="3"/>
      <c r="R100" s="3"/>
      <c r="S100" s="3"/>
      <c r="T100" s="3"/>
      <c r="U100" s="3"/>
      <c r="V100" s="3"/>
      <c r="W100" s="3"/>
      <c r="X100" s="3"/>
      <c r="Y100" s="3"/>
      <c r="Z100" s="3"/>
    </row>
    <row r="101" spans="1:26" ht="12.75" customHeight="1">
      <c r="A101" s="2"/>
      <c r="B101" s="1" t="s">
        <v>143</v>
      </c>
      <c r="C101" s="1">
        <v>10</v>
      </c>
      <c r="D101" s="1">
        <v>17</v>
      </c>
      <c r="E101" s="1">
        <v>3</v>
      </c>
      <c r="F101" s="1">
        <v>18</v>
      </c>
      <c r="G101" s="1">
        <v>24</v>
      </c>
      <c r="H101" s="2">
        <f t="shared" si="2"/>
        <v>72</v>
      </c>
      <c r="I101" s="1">
        <v>0</v>
      </c>
      <c r="J101" s="2">
        <f t="shared" si="3"/>
        <v>72</v>
      </c>
      <c r="K101" s="3"/>
      <c r="L101" s="3"/>
      <c r="M101" s="3"/>
      <c r="N101" s="3"/>
      <c r="O101" s="3"/>
      <c r="P101" s="3"/>
      <c r="Q101" s="3"/>
      <c r="R101" s="3"/>
      <c r="S101" s="3"/>
      <c r="T101" s="3"/>
      <c r="U101" s="3"/>
      <c r="V101" s="3"/>
      <c r="W101" s="3"/>
      <c r="X101" s="3"/>
      <c r="Y101" s="3"/>
      <c r="Z101" s="3"/>
    </row>
    <row r="102" spans="1:26" ht="12.75" customHeight="1">
      <c r="A102" s="2"/>
      <c r="B102" s="1" t="s">
        <v>144</v>
      </c>
      <c r="C102" s="1">
        <v>2</v>
      </c>
      <c r="D102" s="1">
        <v>9</v>
      </c>
      <c r="E102" s="1">
        <v>7</v>
      </c>
      <c r="F102" s="1">
        <v>8</v>
      </c>
      <c r="G102" s="1">
        <v>9</v>
      </c>
      <c r="H102" s="2">
        <f t="shared" si="2"/>
        <v>35</v>
      </c>
      <c r="I102" s="1">
        <v>0</v>
      </c>
      <c r="J102" s="2">
        <f t="shared" si="3"/>
        <v>35</v>
      </c>
      <c r="K102" s="3"/>
      <c r="L102" s="3"/>
      <c r="M102" s="3"/>
      <c r="N102" s="3"/>
      <c r="O102" s="3"/>
      <c r="P102" s="3"/>
      <c r="Q102" s="3"/>
      <c r="R102" s="3"/>
      <c r="S102" s="3"/>
      <c r="T102" s="3"/>
      <c r="U102" s="3"/>
      <c r="V102" s="3"/>
      <c r="W102" s="3"/>
      <c r="X102" s="3"/>
      <c r="Y102" s="3"/>
      <c r="Z102" s="3"/>
    </row>
    <row r="103" spans="1:26" ht="12.75" customHeight="1">
      <c r="A103" s="2"/>
      <c r="B103" s="1" t="s">
        <v>145</v>
      </c>
      <c r="C103" s="1">
        <v>9</v>
      </c>
      <c r="D103" s="1">
        <v>12</v>
      </c>
      <c r="E103" s="1">
        <v>13</v>
      </c>
      <c r="F103" s="1">
        <v>3</v>
      </c>
      <c r="G103" s="1">
        <v>5</v>
      </c>
      <c r="H103" s="2">
        <f t="shared" si="2"/>
        <v>42</v>
      </c>
      <c r="I103" s="1">
        <v>0</v>
      </c>
      <c r="J103" s="2">
        <f t="shared" si="3"/>
        <v>42</v>
      </c>
      <c r="K103" s="3"/>
      <c r="L103" s="3"/>
      <c r="M103" s="3"/>
      <c r="N103" s="3"/>
      <c r="O103" s="3"/>
      <c r="P103" s="3"/>
      <c r="Q103" s="3"/>
      <c r="R103" s="3"/>
      <c r="S103" s="3"/>
      <c r="T103" s="3"/>
      <c r="U103" s="3"/>
      <c r="V103" s="3"/>
      <c r="W103" s="3"/>
      <c r="X103" s="3"/>
      <c r="Y103" s="3"/>
      <c r="Z103" s="3"/>
    </row>
    <row r="104" spans="1:26" ht="12.75" customHeight="1">
      <c r="A104" s="2"/>
      <c r="B104" s="1" t="s">
        <v>146</v>
      </c>
      <c r="C104" s="1">
        <v>7</v>
      </c>
      <c r="D104" s="1">
        <v>16</v>
      </c>
      <c r="E104" s="1">
        <v>15</v>
      </c>
      <c r="F104" s="1">
        <v>9</v>
      </c>
      <c r="G104" s="1">
        <v>7</v>
      </c>
      <c r="H104" s="2">
        <f t="shared" si="2"/>
        <v>54</v>
      </c>
      <c r="I104" s="1">
        <v>0</v>
      </c>
      <c r="J104" s="2">
        <f t="shared" si="3"/>
        <v>54</v>
      </c>
      <c r="K104" s="3"/>
      <c r="L104" s="3"/>
      <c r="M104" s="3"/>
      <c r="N104" s="3"/>
      <c r="O104" s="3"/>
      <c r="P104" s="3"/>
      <c r="Q104" s="3"/>
      <c r="R104" s="3"/>
      <c r="S104" s="3"/>
      <c r="T104" s="3"/>
      <c r="U104" s="3"/>
      <c r="V104" s="3"/>
      <c r="W104" s="3"/>
      <c r="X104" s="3"/>
      <c r="Y104" s="3"/>
      <c r="Z104" s="3"/>
    </row>
    <row r="105" spans="1:26" ht="12.75" customHeight="1">
      <c r="A105" s="2"/>
      <c r="B105" s="1" t="s">
        <v>147</v>
      </c>
      <c r="C105" s="18">
        <v>7</v>
      </c>
      <c r="D105" s="1">
        <v>18</v>
      </c>
      <c r="E105" s="1">
        <v>8</v>
      </c>
      <c r="F105" s="18">
        <v>16</v>
      </c>
      <c r="G105" s="18">
        <v>3</v>
      </c>
      <c r="H105" s="2">
        <f t="shared" si="2"/>
        <v>52</v>
      </c>
      <c r="I105" s="1">
        <v>0</v>
      </c>
      <c r="J105" s="2">
        <f t="shared" si="3"/>
        <v>52</v>
      </c>
      <c r="K105" s="3"/>
      <c r="L105" s="3"/>
      <c r="M105" s="3"/>
      <c r="N105" s="3"/>
      <c r="O105" s="3"/>
      <c r="P105" s="3"/>
      <c r="Q105" s="3"/>
      <c r="R105" s="3"/>
      <c r="S105" s="3"/>
      <c r="T105" s="3"/>
      <c r="U105" s="3"/>
      <c r="V105" s="3"/>
      <c r="W105" s="3"/>
      <c r="X105" s="3"/>
      <c r="Y105" s="3"/>
      <c r="Z105" s="3"/>
    </row>
    <row r="106" spans="1:26" ht="12.75" customHeight="1">
      <c r="A106" s="2"/>
      <c r="B106" s="1" t="s">
        <v>148</v>
      </c>
      <c r="C106" s="18">
        <v>10</v>
      </c>
      <c r="D106" s="1">
        <v>9</v>
      </c>
      <c r="E106" s="1">
        <v>8</v>
      </c>
      <c r="F106" s="18">
        <v>9</v>
      </c>
      <c r="G106" s="18">
        <v>12</v>
      </c>
      <c r="H106" s="2">
        <f t="shared" si="2"/>
        <v>48</v>
      </c>
      <c r="I106" s="1">
        <v>0</v>
      </c>
      <c r="J106" s="2">
        <f t="shared" si="3"/>
        <v>48</v>
      </c>
      <c r="K106" s="3"/>
      <c r="L106" s="3"/>
      <c r="M106" s="3"/>
      <c r="N106" s="3"/>
      <c r="O106" s="3"/>
      <c r="P106" s="3"/>
      <c r="Q106" s="3"/>
      <c r="R106" s="3"/>
      <c r="S106" s="3"/>
      <c r="T106" s="3"/>
      <c r="U106" s="3"/>
      <c r="V106" s="3"/>
      <c r="W106" s="3"/>
      <c r="X106" s="3"/>
      <c r="Y106" s="3"/>
      <c r="Z106" s="3"/>
    </row>
    <row r="107" spans="1:26" ht="12.75" customHeight="1">
      <c r="A107" s="2"/>
      <c r="B107" s="1" t="s">
        <v>149</v>
      </c>
      <c r="C107" s="18">
        <v>3</v>
      </c>
      <c r="D107" s="18">
        <v>3</v>
      </c>
      <c r="E107" s="18">
        <v>10</v>
      </c>
      <c r="F107" s="18">
        <v>0</v>
      </c>
      <c r="G107" s="18">
        <v>11</v>
      </c>
      <c r="H107" s="2">
        <f t="shared" si="2"/>
        <v>27</v>
      </c>
      <c r="I107" s="1">
        <v>0</v>
      </c>
      <c r="J107" s="2">
        <f t="shared" si="3"/>
        <v>27</v>
      </c>
      <c r="K107" s="3"/>
      <c r="L107" s="3"/>
      <c r="M107" s="3"/>
      <c r="N107" s="3"/>
      <c r="O107" s="3"/>
      <c r="P107" s="3"/>
      <c r="Q107" s="3"/>
      <c r="R107" s="3"/>
      <c r="S107" s="3"/>
      <c r="T107" s="3"/>
      <c r="U107" s="3"/>
      <c r="V107" s="3"/>
      <c r="W107" s="3"/>
      <c r="X107" s="3"/>
      <c r="Y107" s="3"/>
      <c r="Z107" s="3"/>
    </row>
    <row r="108" spans="1:26" ht="12.75" customHeight="1">
      <c r="A108" s="2"/>
      <c r="B108" s="1" t="s">
        <v>150</v>
      </c>
      <c r="C108" s="18">
        <v>3</v>
      </c>
      <c r="D108" s="18">
        <v>9</v>
      </c>
      <c r="E108" s="18">
        <v>8</v>
      </c>
      <c r="F108" s="18">
        <v>0</v>
      </c>
      <c r="G108" s="18">
        <v>0</v>
      </c>
      <c r="H108" s="2">
        <f t="shared" si="2"/>
        <v>20</v>
      </c>
      <c r="I108" s="1">
        <v>0</v>
      </c>
      <c r="J108" s="2">
        <f t="shared" si="3"/>
        <v>20</v>
      </c>
      <c r="K108" s="3"/>
      <c r="L108" s="3"/>
      <c r="M108" s="3"/>
      <c r="N108" s="3"/>
      <c r="O108" s="3"/>
      <c r="P108" s="3"/>
      <c r="Q108" s="3"/>
      <c r="R108" s="3"/>
      <c r="S108" s="3"/>
      <c r="T108" s="3"/>
      <c r="U108" s="3"/>
      <c r="V108" s="3"/>
      <c r="W108" s="3"/>
      <c r="X108" s="3"/>
      <c r="Y108" s="3"/>
      <c r="Z108" s="3"/>
    </row>
    <row r="109" spans="1:26" ht="12.75" customHeight="1">
      <c r="A109" s="2"/>
      <c r="B109" s="1" t="s">
        <v>151</v>
      </c>
      <c r="C109" s="18">
        <v>3</v>
      </c>
      <c r="D109" s="18">
        <v>3</v>
      </c>
      <c r="E109" s="18">
        <v>12</v>
      </c>
      <c r="F109" s="18">
        <v>0</v>
      </c>
      <c r="G109" s="18">
        <v>0</v>
      </c>
      <c r="H109" s="2">
        <f t="shared" si="2"/>
        <v>18</v>
      </c>
      <c r="I109" s="1">
        <v>0</v>
      </c>
      <c r="J109" s="2">
        <f t="shared" si="3"/>
        <v>18</v>
      </c>
      <c r="K109" s="3"/>
      <c r="L109" s="3"/>
      <c r="M109" s="3"/>
      <c r="N109" s="3"/>
      <c r="O109" s="3"/>
      <c r="P109" s="3"/>
      <c r="Q109" s="3"/>
      <c r="R109" s="3"/>
      <c r="S109" s="3"/>
      <c r="T109" s="3"/>
      <c r="U109" s="3"/>
      <c r="V109" s="3"/>
      <c r="W109" s="3"/>
      <c r="X109" s="3"/>
      <c r="Y109" s="3"/>
      <c r="Z109" s="3"/>
    </row>
    <row r="110" spans="1:26" ht="12.75" customHeight="1">
      <c r="A110" s="2"/>
      <c r="B110" s="1" t="s">
        <v>152</v>
      </c>
      <c r="C110" s="18">
        <v>3</v>
      </c>
      <c r="D110" s="18">
        <v>10</v>
      </c>
      <c r="E110" s="18" t="s">
        <v>718</v>
      </c>
      <c r="F110" s="18">
        <v>0</v>
      </c>
      <c r="G110" s="18">
        <v>5</v>
      </c>
      <c r="H110" s="2">
        <f t="shared" si="2"/>
        <v>18</v>
      </c>
      <c r="I110" s="1">
        <v>0</v>
      </c>
      <c r="J110" s="2">
        <f t="shared" si="3"/>
        <v>18</v>
      </c>
      <c r="K110" s="3"/>
      <c r="L110" s="3"/>
      <c r="M110" s="3"/>
      <c r="N110" s="3"/>
      <c r="O110" s="3"/>
      <c r="P110" s="3"/>
      <c r="Q110" s="3"/>
      <c r="R110" s="3"/>
      <c r="S110" s="3"/>
      <c r="T110" s="3"/>
      <c r="U110" s="3"/>
      <c r="V110" s="3"/>
      <c r="W110" s="3"/>
      <c r="X110" s="3"/>
      <c r="Y110" s="3"/>
      <c r="Z110" s="3"/>
    </row>
    <row r="111" spans="1:26" ht="12.75" customHeight="1">
      <c r="A111" s="2"/>
      <c r="B111" s="1" t="s">
        <v>153</v>
      </c>
      <c r="C111" s="1">
        <v>7</v>
      </c>
      <c r="D111" s="1">
        <v>6</v>
      </c>
      <c r="E111" s="1">
        <v>2</v>
      </c>
      <c r="F111" s="18">
        <v>4</v>
      </c>
      <c r="G111" s="18">
        <v>5</v>
      </c>
      <c r="H111" s="2">
        <f t="shared" si="2"/>
        <v>24</v>
      </c>
      <c r="I111" s="1">
        <v>0</v>
      </c>
      <c r="J111" s="2">
        <f t="shared" si="3"/>
        <v>24</v>
      </c>
      <c r="K111" s="3"/>
      <c r="L111" s="3"/>
      <c r="M111" s="3"/>
      <c r="N111" s="3"/>
      <c r="O111" s="3"/>
      <c r="P111" s="3"/>
      <c r="Q111" s="3"/>
      <c r="R111" s="3"/>
      <c r="S111" s="3"/>
      <c r="T111" s="3"/>
      <c r="U111" s="3"/>
      <c r="V111" s="3"/>
      <c r="W111" s="3"/>
      <c r="X111" s="3"/>
      <c r="Y111" s="3"/>
      <c r="Z111" s="3"/>
    </row>
    <row r="112" spans="1:26" ht="12.75" customHeight="1">
      <c r="A112" s="2"/>
      <c r="B112" s="1" t="s">
        <v>154</v>
      </c>
      <c r="C112" s="1">
        <v>9</v>
      </c>
      <c r="D112" s="1">
        <v>6</v>
      </c>
      <c r="E112" s="1">
        <v>2</v>
      </c>
      <c r="F112" s="18">
        <v>6</v>
      </c>
      <c r="G112" s="18">
        <v>0</v>
      </c>
      <c r="H112" s="2">
        <f t="shared" si="2"/>
        <v>23</v>
      </c>
      <c r="I112" s="1">
        <v>0</v>
      </c>
      <c r="J112" s="2">
        <f t="shared" si="3"/>
        <v>23</v>
      </c>
      <c r="K112" s="3"/>
      <c r="L112" s="3"/>
      <c r="M112" s="3"/>
      <c r="N112" s="3"/>
      <c r="O112" s="3"/>
      <c r="P112" s="3"/>
      <c r="Q112" s="3"/>
      <c r="R112" s="3"/>
      <c r="S112" s="3"/>
      <c r="T112" s="3"/>
      <c r="U112" s="3"/>
      <c r="V112" s="3"/>
      <c r="W112" s="3"/>
      <c r="X112" s="3"/>
      <c r="Y112" s="3"/>
      <c r="Z112" s="3"/>
    </row>
    <row r="113" spans="1:26" ht="12.75" customHeight="1">
      <c r="A113" s="2"/>
      <c r="B113" s="1" t="s">
        <v>155</v>
      </c>
      <c r="C113" s="1">
        <v>1</v>
      </c>
      <c r="D113" s="1">
        <v>8</v>
      </c>
      <c r="E113" s="18">
        <v>9</v>
      </c>
      <c r="F113" s="18">
        <v>8</v>
      </c>
      <c r="G113" s="18">
        <v>0</v>
      </c>
      <c r="H113" s="2">
        <f t="shared" si="2"/>
        <v>26</v>
      </c>
      <c r="I113" s="1">
        <v>0</v>
      </c>
      <c r="J113" s="2">
        <f t="shared" si="3"/>
        <v>26</v>
      </c>
      <c r="K113" s="3"/>
      <c r="L113" s="3"/>
      <c r="M113" s="3"/>
      <c r="N113" s="3"/>
      <c r="O113" s="3"/>
      <c r="P113" s="3"/>
      <c r="Q113" s="3"/>
      <c r="R113" s="3"/>
      <c r="S113" s="3"/>
      <c r="T113" s="3"/>
      <c r="U113" s="3"/>
      <c r="V113" s="3"/>
      <c r="W113" s="3"/>
      <c r="X113" s="3"/>
      <c r="Y113" s="3"/>
      <c r="Z113" s="3"/>
    </row>
    <row r="114" spans="1:26" ht="12.75" customHeight="1">
      <c r="A114" s="2"/>
      <c r="B114" s="1" t="s">
        <v>156</v>
      </c>
      <c r="C114" s="1">
        <v>3</v>
      </c>
      <c r="D114" s="1">
        <v>3</v>
      </c>
      <c r="E114" s="18">
        <v>10</v>
      </c>
      <c r="F114" s="1">
        <v>0</v>
      </c>
      <c r="G114" s="18">
        <v>2</v>
      </c>
      <c r="H114" s="2">
        <f t="shared" si="2"/>
        <v>18</v>
      </c>
      <c r="I114" s="1">
        <v>0</v>
      </c>
      <c r="J114" s="2">
        <f t="shared" si="3"/>
        <v>18</v>
      </c>
      <c r="K114" s="3"/>
      <c r="L114" s="3"/>
      <c r="M114" s="3"/>
      <c r="N114" s="3"/>
      <c r="O114" s="3"/>
      <c r="P114" s="3"/>
      <c r="Q114" s="3"/>
      <c r="R114" s="3"/>
      <c r="S114" s="3"/>
      <c r="T114" s="3"/>
      <c r="U114" s="3"/>
      <c r="V114" s="3"/>
      <c r="W114" s="3"/>
      <c r="X114" s="3"/>
      <c r="Y114" s="3"/>
      <c r="Z114" s="3"/>
    </row>
    <row r="115" spans="1:26" ht="12.75" customHeight="1">
      <c r="A115" s="2"/>
      <c r="B115" s="1" t="s">
        <v>157</v>
      </c>
      <c r="C115" s="18">
        <v>1</v>
      </c>
      <c r="D115" s="18">
        <v>4</v>
      </c>
      <c r="E115" s="18">
        <v>7</v>
      </c>
      <c r="F115" s="1">
        <v>2</v>
      </c>
      <c r="G115" s="1">
        <v>0</v>
      </c>
      <c r="H115" s="2">
        <f t="shared" si="2"/>
        <v>14</v>
      </c>
      <c r="I115" s="1">
        <v>0</v>
      </c>
      <c r="J115" s="2">
        <f t="shared" si="3"/>
        <v>14</v>
      </c>
      <c r="K115" s="3"/>
      <c r="L115" s="3"/>
      <c r="M115" s="3"/>
      <c r="N115" s="3"/>
      <c r="O115" s="3"/>
      <c r="P115" s="3"/>
      <c r="Q115" s="3"/>
      <c r="R115" s="3"/>
      <c r="S115" s="3"/>
      <c r="T115" s="3"/>
      <c r="U115" s="3"/>
      <c r="V115" s="3"/>
      <c r="W115" s="3"/>
      <c r="X115" s="3"/>
      <c r="Y115" s="3"/>
      <c r="Z115" s="3"/>
    </row>
    <row r="116" spans="1:26" ht="12.75" customHeight="1">
      <c r="A116" s="2"/>
      <c r="B116" s="1" t="s">
        <v>158</v>
      </c>
      <c r="C116" s="18">
        <v>1</v>
      </c>
      <c r="D116" s="18">
        <v>2</v>
      </c>
      <c r="E116" s="18">
        <v>6</v>
      </c>
      <c r="F116" s="1">
        <v>0</v>
      </c>
      <c r="G116" s="1">
        <v>0</v>
      </c>
      <c r="H116" s="2">
        <f t="shared" si="2"/>
        <v>9</v>
      </c>
      <c r="I116" s="1">
        <v>0</v>
      </c>
      <c r="J116" s="2">
        <f t="shared" si="3"/>
        <v>9</v>
      </c>
      <c r="K116" s="3"/>
      <c r="L116" s="3"/>
      <c r="M116" s="3"/>
      <c r="N116" s="3"/>
      <c r="O116" s="3"/>
      <c r="P116" s="3"/>
      <c r="Q116" s="3"/>
      <c r="R116" s="3"/>
      <c r="S116" s="3"/>
      <c r="T116" s="3"/>
      <c r="U116" s="3"/>
      <c r="V116" s="3"/>
      <c r="W116" s="3"/>
      <c r="X116" s="3"/>
      <c r="Y116" s="3"/>
      <c r="Z116" s="3"/>
    </row>
    <row r="117" spans="1:26" ht="12.75" customHeight="1">
      <c r="A117" s="2"/>
      <c r="B117" s="1" t="s">
        <v>159</v>
      </c>
      <c r="C117" s="18">
        <v>3</v>
      </c>
      <c r="D117" s="18">
        <v>5</v>
      </c>
      <c r="E117" s="18">
        <v>5</v>
      </c>
      <c r="F117" s="1">
        <v>2</v>
      </c>
      <c r="G117" s="1">
        <v>0</v>
      </c>
      <c r="H117" s="2">
        <f t="shared" si="2"/>
        <v>15</v>
      </c>
      <c r="I117" s="1">
        <v>0</v>
      </c>
      <c r="J117" s="2">
        <f t="shared" si="3"/>
        <v>15</v>
      </c>
      <c r="K117" s="3"/>
      <c r="L117" s="3"/>
      <c r="M117" s="3"/>
      <c r="N117" s="3"/>
      <c r="O117" s="3"/>
      <c r="P117" s="3"/>
      <c r="Q117" s="3"/>
      <c r="R117" s="3"/>
      <c r="S117" s="3"/>
      <c r="T117" s="3"/>
      <c r="U117" s="3"/>
      <c r="V117" s="3"/>
      <c r="W117" s="3"/>
      <c r="X117" s="3"/>
      <c r="Y117" s="3"/>
      <c r="Z117" s="3"/>
    </row>
    <row r="118" spans="1:26" ht="12.75" customHeight="1">
      <c r="A118" s="2"/>
      <c r="B118" s="1" t="s">
        <v>160</v>
      </c>
      <c r="C118" s="18">
        <v>5</v>
      </c>
      <c r="D118" s="18">
        <v>5</v>
      </c>
      <c r="E118" s="18">
        <v>7</v>
      </c>
      <c r="F118" s="1">
        <v>4</v>
      </c>
      <c r="G118" s="1">
        <v>2</v>
      </c>
      <c r="H118" s="2">
        <f t="shared" si="2"/>
        <v>23</v>
      </c>
      <c r="I118" s="1">
        <v>0</v>
      </c>
      <c r="J118" s="2">
        <f t="shared" si="3"/>
        <v>23</v>
      </c>
      <c r="K118" s="3"/>
      <c r="L118" s="3"/>
      <c r="M118" s="3"/>
      <c r="N118" s="3"/>
      <c r="O118" s="3"/>
      <c r="P118" s="3"/>
      <c r="Q118" s="3"/>
      <c r="R118" s="3"/>
      <c r="S118" s="3"/>
      <c r="T118" s="3"/>
      <c r="U118" s="3"/>
      <c r="V118" s="3"/>
      <c r="W118" s="3"/>
      <c r="X118" s="3"/>
      <c r="Y118" s="3"/>
      <c r="Z118" s="3"/>
    </row>
    <row r="119" spans="1:26" ht="12.75" customHeight="1">
      <c r="A119" s="2"/>
      <c r="B119" s="1" t="s">
        <v>161</v>
      </c>
      <c r="C119" s="1">
        <v>2</v>
      </c>
      <c r="D119" s="1">
        <v>8</v>
      </c>
      <c r="E119" s="18">
        <v>8</v>
      </c>
      <c r="F119" s="1">
        <v>2</v>
      </c>
      <c r="G119" s="1">
        <v>0</v>
      </c>
      <c r="H119" s="2">
        <f>SUM(C119:G119)</f>
        <v>20</v>
      </c>
      <c r="I119" s="1">
        <v>0</v>
      </c>
      <c r="J119" s="2">
        <f t="shared" si="3"/>
        <v>20</v>
      </c>
      <c r="K119" s="3"/>
      <c r="L119" s="3"/>
      <c r="M119" s="3"/>
      <c r="N119" s="3"/>
      <c r="O119" s="3"/>
      <c r="P119" s="3"/>
      <c r="Q119" s="3"/>
      <c r="R119" s="3"/>
      <c r="S119" s="3"/>
      <c r="T119" s="3"/>
      <c r="U119" s="3"/>
      <c r="V119" s="3"/>
      <c r="W119" s="3"/>
      <c r="X119" s="3"/>
      <c r="Y119" s="3"/>
      <c r="Z119" s="3"/>
    </row>
    <row r="120" spans="1:26" ht="12.75" customHeight="1">
      <c r="A120" s="2"/>
      <c r="B120" s="1" t="s">
        <v>162</v>
      </c>
      <c r="C120" s="1">
        <v>5</v>
      </c>
      <c r="D120" s="1">
        <v>5</v>
      </c>
      <c r="E120" s="18">
        <v>7</v>
      </c>
      <c r="F120" s="1">
        <v>4</v>
      </c>
      <c r="G120" s="1">
        <v>2</v>
      </c>
      <c r="H120" s="2">
        <f t="shared" si="2"/>
        <v>23</v>
      </c>
      <c r="I120" s="1">
        <v>0</v>
      </c>
      <c r="J120" s="2">
        <f t="shared" si="3"/>
        <v>23</v>
      </c>
      <c r="K120" s="3"/>
      <c r="L120" s="3"/>
      <c r="M120" s="3"/>
      <c r="N120" s="3"/>
      <c r="O120" s="3"/>
      <c r="P120" s="3"/>
      <c r="Q120" s="3"/>
      <c r="R120" s="3"/>
      <c r="S120" s="3"/>
      <c r="T120" s="3"/>
      <c r="U120" s="3"/>
      <c r="V120" s="3"/>
      <c r="W120" s="3"/>
      <c r="X120" s="3"/>
      <c r="Y120" s="3"/>
      <c r="Z120" s="3"/>
    </row>
    <row r="121" spans="1:26" ht="12.75" customHeight="1">
      <c r="A121" s="2"/>
      <c r="B121" s="1" t="s">
        <v>163</v>
      </c>
      <c r="C121" s="1">
        <v>0</v>
      </c>
      <c r="D121" s="1">
        <v>4</v>
      </c>
      <c r="E121" s="18">
        <v>6</v>
      </c>
      <c r="F121" s="1">
        <v>0</v>
      </c>
      <c r="G121" s="1">
        <v>0</v>
      </c>
      <c r="H121" s="2">
        <f t="shared" si="2"/>
        <v>10</v>
      </c>
      <c r="I121" s="1">
        <v>0</v>
      </c>
      <c r="J121" s="2">
        <f t="shared" si="3"/>
        <v>10</v>
      </c>
      <c r="K121" s="3"/>
      <c r="L121" s="3"/>
      <c r="M121" s="3"/>
      <c r="N121" s="3"/>
      <c r="O121" s="3"/>
      <c r="P121" s="3"/>
      <c r="Q121" s="3"/>
      <c r="R121" s="3"/>
      <c r="S121" s="3"/>
      <c r="T121" s="3"/>
      <c r="U121" s="3"/>
      <c r="V121" s="3"/>
      <c r="W121" s="3"/>
      <c r="X121" s="3"/>
      <c r="Y121" s="3"/>
      <c r="Z121" s="3"/>
    </row>
    <row r="122" spans="1:26" ht="12.75" customHeight="1">
      <c r="A122" s="1"/>
      <c r="B122" s="1"/>
      <c r="C122" s="18"/>
      <c r="D122" s="18"/>
      <c r="E122" s="18"/>
      <c r="F122" s="1"/>
      <c r="G122" s="1"/>
      <c r="H122" s="3"/>
      <c r="I122" s="1" t="s">
        <v>421</v>
      </c>
      <c r="J122" s="3">
        <f>SUM(I94:J121)</f>
        <v>714</v>
      </c>
      <c r="K122" s="3"/>
      <c r="L122" s="3"/>
      <c r="M122" s="3"/>
      <c r="N122" s="3"/>
      <c r="O122" s="3"/>
      <c r="P122" s="3"/>
      <c r="Q122" s="3"/>
      <c r="R122" s="3"/>
      <c r="S122" s="3"/>
      <c r="T122" s="3"/>
      <c r="U122" s="3"/>
      <c r="V122" s="3"/>
      <c r="W122" s="3"/>
      <c r="X122" s="3"/>
      <c r="Y122" s="3"/>
      <c r="Z122" s="3"/>
    </row>
    <row r="123" spans="1:26" ht="12.75" customHeight="1">
      <c r="A123" s="1"/>
      <c r="B123" s="1"/>
      <c r="C123" s="1"/>
      <c r="D123" s="1"/>
      <c r="E123" s="1"/>
      <c r="F123" s="1"/>
      <c r="G123" s="1"/>
      <c r="H123" s="1"/>
      <c r="I123" s="1"/>
      <c r="J123" s="1"/>
      <c r="K123" s="1"/>
      <c r="L123" s="20"/>
      <c r="M123" s="3"/>
      <c r="N123" s="3"/>
      <c r="O123" s="3"/>
      <c r="P123" s="3"/>
      <c r="Q123" s="3"/>
      <c r="R123" s="3"/>
      <c r="S123" s="3"/>
      <c r="T123" s="3"/>
      <c r="U123" s="3"/>
      <c r="V123" s="3"/>
      <c r="W123" s="3"/>
      <c r="X123" s="3"/>
      <c r="Y123" s="3"/>
      <c r="Z123" s="3"/>
    </row>
    <row r="124" spans="1:26" ht="12.75" customHeight="1">
      <c r="A124" s="1"/>
      <c r="B124" s="1"/>
      <c r="C124" s="1"/>
      <c r="D124" s="1"/>
      <c r="E124" s="1"/>
      <c r="F124" s="1"/>
      <c r="G124" s="1"/>
      <c r="H124" s="1"/>
      <c r="I124" s="1"/>
      <c r="J124" s="1"/>
      <c r="K124" s="1"/>
      <c r="L124" s="20"/>
      <c r="M124" s="3"/>
      <c r="N124" s="3"/>
      <c r="O124" s="3"/>
      <c r="P124" s="3"/>
      <c r="Q124" s="3"/>
      <c r="R124" s="3"/>
      <c r="S124" s="3"/>
      <c r="T124" s="3"/>
      <c r="U124" s="3"/>
      <c r="V124" s="3"/>
      <c r="W124" s="3"/>
      <c r="X124" s="3"/>
      <c r="Y124" s="3"/>
      <c r="Z124" s="3"/>
    </row>
    <row r="125" spans="1:26" ht="12.75" customHeight="1">
      <c r="A125" s="1" t="s">
        <v>95</v>
      </c>
      <c r="B125" s="1" t="s">
        <v>96</v>
      </c>
      <c r="C125" s="1" t="s">
        <v>413</v>
      </c>
      <c r="D125" s="1" t="s">
        <v>414</v>
      </c>
      <c r="E125" s="1" t="s">
        <v>357</v>
      </c>
      <c r="F125" s="1" t="s">
        <v>415</v>
      </c>
      <c r="G125" s="1" t="s">
        <v>360</v>
      </c>
      <c r="H125" s="1" t="s">
        <v>416</v>
      </c>
      <c r="I125" s="1" t="s">
        <v>417</v>
      </c>
      <c r="J125" s="1" t="s">
        <v>418</v>
      </c>
      <c r="K125" s="1" t="s">
        <v>419</v>
      </c>
      <c r="L125" s="20" t="s">
        <v>420</v>
      </c>
      <c r="M125" s="3"/>
      <c r="N125" s="3"/>
      <c r="O125" s="3"/>
      <c r="P125" s="3"/>
      <c r="Q125" s="3"/>
      <c r="R125" s="3"/>
      <c r="S125" s="3"/>
      <c r="T125" s="3"/>
      <c r="U125" s="3"/>
      <c r="V125" s="3"/>
      <c r="W125" s="3"/>
      <c r="X125" s="3"/>
      <c r="Y125" s="3"/>
      <c r="Z125" s="3"/>
    </row>
    <row r="126" spans="1:26" ht="12.75" customHeight="1">
      <c r="A126" s="1" t="s">
        <v>164</v>
      </c>
      <c r="B126" s="1" t="s">
        <v>423</v>
      </c>
      <c r="C126" s="18">
        <v>3</v>
      </c>
      <c r="D126" s="18">
        <v>2</v>
      </c>
      <c r="E126" s="18">
        <v>4</v>
      </c>
      <c r="F126" s="18">
        <v>2</v>
      </c>
      <c r="G126" s="18">
        <v>4</v>
      </c>
      <c r="H126" s="2">
        <f t="shared" ref="H126:H174" si="4">SUM(C126:G126)</f>
        <v>15</v>
      </c>
      <c r="I126" s="1">
        <v>0</v>
      </c>
      <c r="J126" s="2">
        <f t="shared" ref="J126:J174" si="5">H126+I126</f>
        <v>15</v>
      </c>
      <c r="K126" s="1">
        <v>1.19</v>
      </c>
      <c r="L126" s="2">
        <f>SUM(J126:J174)*K126</f>
        <v>1254.26</v>
      </c>
      <c r="M126" s="3"/>
      <c r="N126" s="3"/>
      <c r="O126" s="3"/>
      <c r="P126" s="3"/>
      <c r="Q126" s="3"/>
      <c r="R126" s="3"/>
      <c r="S126" s="3"/>
      <c r="T126" s="3"/>
      <c r="U126" s="3"/>
      <c r="V126" s="3"/>
      <c r="W126" s="3"/>
      <c r="X126" s="3"/>
      <c r="Y126" s="3"/>
      <c r="Z126" s="3"/>
    </row>
    <row r="127" spans="1:26" ht="12.75" customHeight="1">
      <c r="A127" s="2"/>
      <c r="B127" s="1" t="s">
        <v>424</v>
      </c>
      <c r="C127" s="18">
        <v>6</v>
      </c>
      <c r="D127" s="18">
        <v>4</v>
      </c>
      <c r="E127" s="18">
        <v>0</v>
      </c>
      <c r="F127" s="18">
        <v>0</v>
      </c>
      <c r="G127" s="18">
        <v>6</v>
      </c>
      <c r="H127" s="2">
        <f t="shared" si="4"/>
        <v>16</v>
      </c>
      <c r="I127" s="1">
        <v>0</v>
      </c>
      <c r="J127" s="2">
        <f t="shared" si="5"/>
        <v>16</v>
      </c>
      <c r="K127" s="3"/>
      <c r="L127" s="3"/>
      <c r="M127" s="3"/>
      <c r="N127" s="3"/>
      <c r="O127" s="3"/>
      <c r="P127" s="3"/>
      <c r="Q127" s="3"/>
      <c r="R127" s="3"/>
      <c r="S127" s="3"/>
      <c r="T127" s="3"/>
      <c r="U127" s="3"/>
      <c r="V127" s="3"/>
      <c r="W127" s="3"/>
      <c r="X127" s="3"/>
      <c r="Y127" s="3"/>
      <c r="Z127" s="3"/>
    </row>
    <row r="128" spans="1:26" ht="12.75" customHeight="1">
      <c r="A128" s="2"/>
      <c r="B128" s="1" t="s">
        <v>208</v>
      </c>
      <c r="C128" s="18">
        <v>12</v>
      </c>
      <c r="D128" s="18">
        <v>7</v>
      </c>
      <c r="E128" s="18">
        <v>7</v>
      </c>
      <c r="F128" s="18">
        <v>0</v>
      </c>
      <c r="G128" s="18">
        <v>4</v>
      </c>
      <c r="H128" s="2">
        <f t="shared" si="4"/>
        <v>30</v>
      </c>
      <c r="I128" s="1">
        <v>0</v>
      </c>
      <c r="J128" s="2">
        <f t="shared" si="5"/>
        <v>30</v>
      </c>
      <c r="K128" s="3"/>
      <c r="L128" s="3"/>
      <c r="M128" s="3"/>
      <c r="N128" s="3"/>
      <c r="O128" s="3"/>
      <c r="P128" s="3"/>
      <c r="Q128" s="3"/>
      <c r="R128" s="3"/>
      <c r="S128" s="3"/>
      <c r="T128" s="3"/>
      <c r="U128" s="3"/>
      <c r="V128" s="3"/>
      <c r="W128" s="3"/>
      <c r="X128" s="3"/>
      <c r="Y128" s="3"/>
      <c r="Z128" s="3"/>
    </row>
    <row r="129" spans="1:26" ht="12.75" customHeight="1">
      <c r="A129" s="2"/>
      <c r="B129" s="1" t="s">
        <v>425</v>
      </c>
      <c r="C129" s="18">
        <v>2</v>
      </c>
      <c r="D129" s="18">
        <v>1</v>
      </c>
      <c r="E129" s="18">
        <v>6</v>
      </c>
      <c r="F129" s="18">
        <v>4</v>
      </c>
      <c r="G129" s="18">
        <v>0</v>
      </c>
      <c r="H129" s="2">
        <f t="shared" si="4"/>
        <v>13</v>
      </c>
      <c r="I129" s="1">
        <v>0</v>
      </c>
      <c r="J129" s="2">
        <f t="shared" si="5"/>
        <v>13</v>
      </c>
      <c r="K129" s="3"/>
      <c r="L129" s="3"/>
      <c r="M129" s="3"/>
      <c r="N129" s="3"/>
      <c r="O129" s="3"/>
      <c r="P129" s="3"/>
      <c r="Q129" s="3"/>
      <c r="R129" s="3"/>
      <c r="S129" s="3"/>
      <c r="T129" s="3"/>
      <c r="U129" s="3"/>
      <c r="V129" s="3"/>
      <c r="W129" s="3"/>
      <c r="X129" s="3"/>
      <c r="Y129" s="3"/>
      <c r="Z129" s="3"/>
    </row>
    <row r="130" spans="1:26" ht="12.75" customHeight="1">
      <c r="A130" s="2"/>
      <c r="B130" s="1" t="s">
        <v>426</v>
      </c>
      <c r="C130" s="18">
        <v>4</v>
      </c>
      <c r="D130" s="18">
        <v>10</v>
      </c>
      <c r="E130" s="18">
        <v>0</v>
      </c>
      <c r="F130" s="18">
        <v>0</v>
      </c>
      <c r="G130" s="18">
        <v>10</v>
      </c>
      <c r="H130" s="2">
        <f t="shared" si="4"/>
        <v>24</v>
      </c>
      <c r="I130" s="1">
        <v>0</v>
      </c>
      <c r="J130" s="2">
        <f t="shared" si="5"/>
        <v>24</v>
      </c>
      <c r="K130" s="3"/>
      <c r="L130" s="3"/>
      <c r="M130" s="3"/>
      <c r="N130" s="3"/>
      <c r="O130" s="3"/>
      <c r="P130" s="3"/>
      <c r="Q130" s="3"/>
      <c r="R130" s="3"/>
      <c r="S130" s="3"/>
      <c r="T130" s="3"/>
      <c r="U130" s="3"/>
      <c r="V130" s="3"/>
      <c r="W130" s="3"/>
      <c r="X130" s="3"/>
      <c r="Y130" s="3"/>
      <c r="Z130" s="3"/>
    </row>
    <row r="131" spans="1:26" ht="12.75" customHeight="1">
      <c r="A131" s="2"/>
      <c r="B131" s="1" t="s">
        <v>212</v>
      </c>
      <c r="C131" s="18">
        <v>4</v>
      </c>
      <c r="D131" s="18">
        <v>18</v>
      </c>
      <c r="E131" s="18">
        <v>2</v>
      </c>
      <c r="F131" s="18">
        <v>4</v>
      </c>
      <c r="G131" s="18">
        <v>0</v>
      </c>
      <c r="H131" s="2">
        <f t="shared" si="4"/>
        <v>28</v>
      </c>
      <c r="I131" s="1">
        <v>0</v>
      </c>
      <c r="J131" s="2">
        <f t="shared" si="5"/>
        <v>28</v>
      </c>
      <c r="K131" s="3"/>
      <c r="L131" s="3"/>
      <c r="M131" s="3"/>
      <c r="N131" s="3"/>
      <c r="O131" s="3"/>
      <c r="P131" s="3"/>
      <c r="Q131" s="3"/>
      <c r="R131" s="3"/>
      <c r="S131" s="3"/>
      <c r="T131" s="3"/>
      <c r="U131" s="3"/>
      <c r="V131" s="3"/>
      <c r="W131" s="3"/>
      <c r="X131" s="3"/>
      <c r="Y131" s="3"/>
      <c r="Z131" s="3"/>
    </row>
    <row r="132" spans="1:26" ht="12.75" customHeight="1">
      <c r="A132" s="2"/>
      <c r="B132" s="1" t="s">
        <v>427</v>
      </c>
      <c r="C132" s="18">
        <v>6</v>
      </c>
      <c r="D132" s="18">
        <v>2</v>
      </c>
      <c r="E132" s="18">
        <v>2</v>
      </c>
      <c r="F132" s="18">
        <v>4</v>
      </c>
      <c r="G132" s="18">
        <v>0</v>
      </c>
      <c r="H132" s="2">
        <f t="shared" si="4"/>
        <v>14</v>
      </c>
      <c r="I132" s="1">
        <v>0</v>
      </c>
      <c r="J132" s="2">
        <f t="shared" si="5"/>
        <v>14</v>
      </c>
      <c r="K132" s="3"/>
      <c r="L132" s="3"/>
      <c r="M132" s="3"/>
      <c r="N132" s="3"/>
      <c r="O132" s="3"/>
      <c r="P132" s="3"/>
      <c r="Q132" s="3"/>
      <c r="R132" s="3"/>
      <c r="S132" s="3"/>
      <c r="T132" s="3"/>
      <c r="U132" s="3"/>
      <c r="V132" s="3"/>
      <c r="W132" s="3"/>
      <c r="X132" s="3"/>
      <c r="Y132" s="3"/>
      <c r="Z132" s="3"/>
    </row>
    <row r="133" spans="1:26" ht="12.75" customHeight="1">
      <c r="A133" s="2"/>
      <c r="B133" s="1" t="s">
        <v>428</v>
      </c>
      <c r="C133" s="18">
        <v>5</v>
      </c>
      <c r="D133" s="18">
        <v>11</v>
      </c>
      <c r="E133" s="18">
        <v>7</v>
      </c>
      <c r="F133" s="18">
        <v>2</v>
      </c>
      <c r="G133" s="18">
        <v>0</v>
      </c>
      <c r="H133" s="2">
        <f t="shared" si="4"/>
        <v>25</v>
      </c>
      <c r="I133" s="1">
        <v>0</v>
      </c>
      <c r="J133" s="2">
        <f t="shared" si="5"/>
        <v>25</v>
      </c>
      <c r="K133" s="3"/>
      <c r="L133" s="3"/>
      <c r="M133" s="3"/>
      <c r="N133" s="3"/>
      <c r="O133" s="3"/>
      <c r="P133" s="3"/>
      <c r="Q133" s="3"/>
      <c r="R133" s="3"/>
      <c r="S133" s="3"/>
      <c r="T133" s="3"/>
      <c r="U133" s="3"/>
      <c r="V133" s="3"/>
      <c r="W133" s="3"/>
      <c r="X133" s="3"/>
      <c r="Y133" s="3"/>
      <c r="Z133" s="3"/>
    </row>
    <row r="134" spans="1:26" ht="12.75" customHeight="1">
      <c r="A134" s="2"/>
      <c r="B134" s="1" t="s">
        <v>429</v>
      </c>
      <c r="C134" s="18">
        <v>10</v>
      </c>
      <c r="D134" s="18">
        <v>4</v>
      </c>
      <c r="E134" s="18">
        <v>4</v>
      </c>
      <c r="F134" s="18">
        <v>2</v>
      </c>
      <c r="G134" s="18">
        <v>0</v>
      </c>
      <c r="H134" s="2">
        <f t="shared" si="4"/>
        <v>20</v>
      </c>
      <c r="I134" s="1">
        <v>0</v>
      </c>
      <c r="J134" s="2">
        <f t="shared" si="5"/>
        <v>20</v>
      </c>
      <c r="K134" s="3"/>
      <c r="L134" s="3"/>
      <c r="M134" s="3"/>
      <c r="N134" s="3"/>
      <c r="O134" s="3"/>
      <c r="P134" s="3"/>
      <c r="Q134" s="3"/>
      <c r="R134" s="3"/>
      <c r="S134" s="3"/>
      <c r="T134" s="3"/>
      <c r="U134" s="3"/>
      <c r="V134" s="3"/>
      <c r="W134" s="3"/>
      <c r="X134" s="3"/>
      <c r="Y134" s="3"/>
      <c r="Z134" s="3"/>
    </row>
    <row r="135" spans="1:26" ht="12.75" customHeight="1">
      <c r="A135" s="2"/>
      <c r="B135" s="1" t="s">
        <v>430</v>
      </c>
      <c r="C135" s="18">
        <v>11</v>
      </c>
      <c r="D135" s="18">
        <v>4</v>
      </c>
      <c r="E135" s="18">
        <v>10</v>
      </c>
      <c r="F135" s="18">
        <v>1</v>
      </c>
      <c r="G135" s="18">
        <v>0</v>
      </c>
      <c r="H135" s="2">
        <f t="shared" si="4"/>
        <v>26</v>
      </c>
      <c r="I135" s="1">
        <v>0</v>
      </c>
      <c r="J135" s="2">
        <f t="shared" si="5"/>
        <v>26</v>
      </c>
      <c r="K135" s="3"/>
      <c r="L135" s="3"/>
      <c r="M135" s="3"/>
      <c r="N135" s="3"/>
      <c r="O135" s="3"/>
      <c r="P135" s="3"/>
      <c r="Q135" s="3"/>
      <c r="R135" s="3"/>
      <c r="S135" s="3"/>
      <c r="T135" s="3"/>
      <c r="U135" s="3"/>
      <c r="V135" s="3"/>
      <c r="W135" s="3"/>
      <c r="X135" s="3"/>
      <c r="Y135" s="3"/>
      <c r="Z135" s="3"/>
    </row>
    <row r="136" spans="1:26" ht="12.75" customHeight="1">
      <c r="A136" s="2"/>
      <c r="B136" s="1" t="s">
        <v>431</v>
      </c>
      <c r="C136" s="18">
        <v>7</v>
      </c>
      <c r="D136" s="18">
        <v>2</v>
      </c>
      <c r="E136" s="18">
        <v>7</v>
      </c>
      <c r="F136" s="18">
        <v>1</v>
      </c>
      <c r="G136" s="18">
        <v>0</v>
      </c>
      <c r="H136" s="2">
        <f t="shared" si="4"/>
        <v>17</v>
      </c>
      <c r="I136" s="1">
        <v>0</v>
      </c>
      <c r="J136" s="2">
        <f t="shared" si="5"/>
        <v>17</v>
      </c>
      <c r="K136" s="3"/>
      <c r="L136" s="3"/>
      <c r="M136" s="3"/>
      <c r="N136" s="3"/>
      <c r="O136" s="3"/>
      <c r="P136" s="3"/>
      <c r="Q136" s="3"/>
      <c r="R136" s="3"/>
      <c r="S136" s="3"/>
      <c r="T136" s="3"/>
      <c r="U136" s="3"/>
      <c r="V136" s="3"/>
      <c r="W136" s="3"/>
      <c r="X136" s="3"/>
      <c r="Y136" s="3"/>
      <c r="Z136" s="3"/>
    </row>
    <row r="137" spans="1:26" ht="12.75" customHeight="1">
      <c r="A137" s="2"/>
      <c r="B137" s="1" t="s">
        <v>432</v>
      </c>
      <c r="C137" s="18">
        <v>16</v>
      </c>
      <c r="D137" s="18">
        <v>4</v>
      </c>
      <c r="E137" s="18">
        <v>16</v>
      </c>
      <c r="F137" s="18">
        <v>4</v>
      </c>
      <c r="G137" s="18">
        <v>0</v>
      </c>
      <c r="H137" s="2">
        <f t="shared" si="4"/>
        <v>40</v>
      </c>
      <c r="I137" s="1">
        <v>0</v>
      </c>
      <c r="J137" s="2">
        <f t="shared" si="5"/>
        <v>40</v>
      </c>
      <c r="K137" s="3"/>
      <c r="L137" s="3"/>
      <c r="M137" s="3"/>
      <c r="N137" s="3"/>
      <c r="O137" s="3"/>
      <c r="P137" s="3"/>
      <c r="Q137" s="3"/>
      <c r="R137" s="3"/>
      <c r="S137" s="3"/>
      <c r="T137" s="3"/>
      <c r="U137" s="3"/>
      <c r="V137" s="3"/>
      <c r="W137" s="3"/>
      <c r="X137" s="3"/>
      <c r="Y137" s="3"/>
      <c r="Z137" s="3"/>
    </row>
    <row r="138" spans="1:26" ht="12.75" customHeight="1">
      <c r="A138" s="2"/>
      <c r="B138" s="1" t="s">
        <v>315</v>
      </c>
      <c r="C138" s="18">
        <v>2</v>
      </c>
      <c r="D138" s="18">
        <v>13</v>
      </c>
      <c r="E138" s="18">
        <v>3</v>
      </c>
      <c r="F138" s="18">
        <v>6</v>
      </c>
      <c r="G138" s="18">
        <v>0</v>
      </c>
      <c r="H138" s="2">
        <f t="shared" si="4"/>
        <v>24</v>
      </c>
      <c r="I138" s="1">
        <v>0</v>
      </c>
      <c r="J138" s="2">
        <f t="shared" si="5"/>
        <v>24</v>
      </c>
      <c r="K138" s="3"/>
      <c r="L138" s="3"/>
      <c r="M138" s="3"/>
      <c r="N138" s="3"/>
      <c r="O138" s="3"/>
      <c r="P138" s="3"/>
      <c r="Q138" s="3"/>
      <c r="R138" s="3"/>
      <c r="S138" s="3"/>
      <c r="T138" s="3"/>
      <c r="U138" s="3"/>
      <c r="V138" s="3"/>
      <c r="W138" s="3"/>
      <c r="X138" s="3"/>
      <c r="Y138" s="3"/>
      <c r="Z138" s="3"/>
    </row>
    <row r="139" spans="1:26" ht="12.75" customHeight="1">
      <c r="A139" s="2"/>
      <c r="B139" s="1" t="s">
        <v>433</v>
      </c>
      <c r="C139" s="18">
        <v>1</v>
      </c>
      <c r="D139" s="18">
        <v>6</v>
      </c>
      <c r="E139" s="18">
        <v>6</v>
      </c>
      <c r="F139" s="18">
        <v>2</v>
      </c>
      <c r="G139" s="18">
        <v>0</v>
      </c>
      <c r="H139" s="2">
        <f t="shared" si="4"/>
        <v>15</v>
      </c>
      <c r="I139" s="1">
        <v>0</v>
      </c>
      <c r="J139" s="2">
        <f t="shared" si="5"/>
        <v>15</v>
      </c>
      <c r="K139" s="3"/>
      <c r="L139" s="3"/>
      <c r="M139" s="3"/>
      <c r="N139" s="3"/>
      <c r="O139" s="3"/>
      <c r="P139" s="3"/>
      <c r="Q139" s="3"/>
      <c r="R139" s="3"/>
      <c r="S139" s="3"/>
      <c r="T139" s="3"/>
      <c r="U139" s="3"/>
      <c r="V139" s="3"/>
      <c r="W139" s="3"/>
      <c r="X139" s="3"/>
      <c r="Y139" s="3"/>
      <c r="Z139" s="3"/>
    </row>
    <row r="140" spans="1:26" ht="12.75" customHeight="1">
      <c r="A140" s="2"/>
      <c r="B140" s="1" t="s">
        <v>169</v>
      </c>
      <c r="C140" s="18">
        <v>3</v>
      </c>
      <c r="D140" s="18">
        <v>2</v>
      </c>
      <c r="E140" s="18">
        <v>10</v>
      </c>
      <c r="F140" s="18">
        <v>0</v>
      </c>
      <c r="G140" s="18">
        <v>0</v>
      </c>
      <c r="H140" s="2">
        <f t="shared" si="4"/>
        <v>15</v>
      </c>
      <c r="I140" s="1">
        <v>0</v>
      </c>
      <c r="J140" s="2">
        <f t="shared" si="5"/>
        <v>15</v>
      </c>
      <c r="K140" s="3"/>
      <c r="L140" s="3"/>
      <c r="M140" s="3"/>
      <c r="N140" s="3"/>
      <c r="O140" s="3"/>
      <c r="P140" s="3"/>
      <c r="Q140" s="3"/>
      <c r="R140" s="3"/>
      <c r="S140" s="3"/>
      <c r="T140" s="3"/>
      <c r="U140" s="3"/>
      <c r="V140" s="3"/>
      <c r="W140" s="3"/>
      <c r="X140" s="3"/>
      <c r="Y140" s="3"/>
      <c r="Z140" s="3"/>
    </row>
    <row r="141" spans="1:26" ht="12.75" customHeight="1">
      <c r="A141" s="2"/>
      <c r="B141" s="1" t="s">
        <v>170</v>
      </c>
      <c r="C141" s="18">
        <v>3</v>
      </c>
      <c r="D141" s="18">
        <v>9</v>
      </c>
      <c r="E141" s="18">
        <v>2</v>
      </c>
      <c r="F141" s="18">
        <v>6</v>
      </c>
      <c r="G141" s="18">
        <v>0</v>
      </c>
      <c r="H141" s="2">
        <f t="shared" si="4"/>
        <v>20</v>
      </c>
      <c r="I141" s="1">
        <v>0</v>
      </c>
      <c r="J141" s="2">
        <f t="shared" si="5"/>
        <v>20</v>
      </c>
      <c r="K141" s="3"/>
      <c r="L141" s="3"/>
      <c r="M141" s="3"/>
      <c r="N141" s="3"/>
      <c r="O141" s="3"/>
      <c r="P141" s="3"/>
      <c r="Q141" s="3"/>
      <c r="R141" s="3"/>
      <c r="S141" s="3"/>
      <c r="T141" s="3"/>
      <c r="U141" s="3"/>
      <c r="V141" s="3"/>
      <c r="W141" s="3"/>
      <c r="X141" s="3"/>
      <c r="Y141" s="3"/>
      <c r="Z141" s="3"/>
    </row>
    <row r="142" spans="1:26" ht="12.75" customHeight="1">
      <c r="A142" s="2"/>
      <c r="B142" s="1" t="s">
        <v>434</v>
      </c>
      <c r="C142" s="18">
        <v>1</v>
      </c>
      <c r="D142" s="18">
        <v>16</v>
      </c>
      <c r="E142" s="18">
        <v>2</v>
      </c>
      <c r="F142" s="18">
        <v>4</v>
      </c>
      <c r="G142" s="18">
        <v>0</v>
      </c>
      <c r="H142" s="2">
        <f t="shared" si="4"/>
        <v>23</v>
      </c>
      <c r="I142" s="1">
        <v>0</v>
      </c>
      <c r="J142" s="2">
        <f t="shared" si="5"/>
        <v>23</v>
      </c>
      <c r="K142" s="3"/>
      <c r="L142" s="3"/>
      <c r="M142" s="3"/>
      <c r="N142" s="3"/>
      <c r="O142" s="3"/>
      <c r="P142" s="3"/>
      <c r="Q142" s="3"/>
      <c r="R142" s="3"/>
      <c r="S142" s="3"/>
      <c r="T142" s="3"/>
      <c r="U142" s="3"/>
      <c r="V142" s="3"/>
      <c r="W142" s="3"/>
      <c r="X142" s="3"/>
      <c r="Y142" s="3"/>
      <c r="Z142" s="3"/>
    </row>
    <row r="143" spans="1:26" ht="12.75" customHeight="1">
      <c r="A143" s="2"/>
      <c r="B143" s="1" t="s">
        <v>174</v>
      </c>
      <c r="C143" s="18">
        <v>3</v>
      </c>
      <c r="D143" s="18">
        <v>4</v>
      </c>
      <c r="E143" s="18">
        <v>10</v>
      </c>
      <c r="F143" s="18">
        <v>0</v>
      </c>
      <c r="G143" s="18">
        <v>0</v>
      </c>
      <c r="H143" s="2">
        <f t="shared" si="4"/>
        <v>17</v>
      </c>
      <c r="I143" s="1">
        <v>0</v>
      </c>
      <c r="J143" s="2">
        <f t="shared" si="5"/>
        <v>17</v>
      </c>
      <c r="K143" s="3"/>
      <c r="L143" s="3"/>
      <c r="M143" s="3"/>
      <c r="N143" s="3"/>
      <c r="O143" s="3"/>
      <c r="P143" s="3"/>
      <c r="Q143" s="3"/>
      <c r="R143" s="3"/>
      <c r="S143" s="3"/>
      <c r="T143" s="3"/>
      <c r="U143" s="3"/>
      <c r="V143" s="3"/>
      <c r="W143" s="3"/>
      <c r="X143" s="3"/>
      <c r="Y143" s="3"/>
      <c r="Z143" s="3"/>
    </row>
    <row r="144" spans="1:26" ht="12.75" customHeight="1">
      <c r="A144" s="2"/>
      <c r="B144" s="1" t="s">
        <v>175</v>
      </c>
      <c r="C144" s="18">
        <v>5</v>
      </c>
      <c r="D144" s="18">
        <v>3</v>
      </c>
      <c r="E144" s="18">
        <v>5</v>
      </c>
      <c r="F144" s="18">
        <v>0</v>
      </c>
      <c r="G144" s="18">
        <v>4</v>
      </c>
      <c r="H144" s="2">
        <f t="shared" si="4"/>
        <v>17</v>
      </c>
      <c r="I144" s="1">
        <v>0</v>
      </c>
      <c r="J144" s="2">
        <f t="shared" si="5"/>
        <v>17</v>
      </c>
      <c r="K144" s="3"/>
      <c r="L144" s="3"/>
      <c r="M144" s="3"/>
      <c r="N144" s="3"/>
      <c r="O144" s="3"/>
      <c r="P144" s="3"/>
      <c r="Q144" s="3"/>
      <c r="R144" s="3"/>
      <c r="S144" s="3"/>
      <c r="T144" s="3"/>
      <c r="U144" s="3"/>
      <c r="V144" s="3"/>
      <c r="W144" s="3"/>
      <c r="X144" s="3"/>
      <c r="Y144" s="3"/>
      <c r="Z144" s="3"/>
    </row>
    <row r="145" spans="1:26" ht="12.75" customHeight="1">
      <c r="A145" s="2"/>
      <c r="B145" s="1" t="s">
        <v>176</v>
      </c>
      <c r="C145" s="18">
        <v>3</v>
      </c>
      <c r="D145" s="18">
        <v>5</v>
      </c>
      <c r="E145" s="18">
        <v>4</v>
      </c>
      <c r="F145" s="18">
        <v>8</v>
      </c>
      <c r="G145" s="18">
        <v>0</v>
      </c>
      <c r="H145" s="2">
        <f t="shared" si="4"/>
        <v>20</v>
      </c>
      <c r="I145" s="1">
        <v>0</v>
      </c>
      <c r="J145" s="2">
        <f t="shared" si="5"/>
        <v>20</v>
      </c>
      <c r="K145" s="3"/>
      <c r="L145" s="3"/>
      <c r="M145" s="3"/>
      <c r="N145" s="3"/>
      <c r="O145" s="3"/>
      <c r="P145" s="3"/>
      <c r="Q145" s="3"/>
      <c r="R145" s="3"/>
      <c r="S145" s="3"/>
      <c r="T145" s="3"/>
      <c r="U145" s="3"/>
      <c r="V145" s="3"/>
      <c r="W145" s="3"/>
      <c r="X145" s="3"/>
      <c r="Y145" s="3"/>
      <c r="Z145" s="3"/>
    </row>
    <row r="146" spans="1:26" ht="12.75" customHeight="1">
      <c r="A146" s="2"/>
      <c r="B146" s="1" t="s">
        <v>313</v>
      </c>
      <c r="C146" s="18">
        <v>4</v>
      </c>
      <c r="D146" s="18">
        <v>3</v>
      </c>
      <c r="E146" s="18">
        <v>2</v>
      </c>
      <c r="F146" s="18">
        <v>4</v>
      </c>
      <c r="G146" s="18">
        <v>0</v>
      </c>
      <c r="H146" s="2">
        <f t="shared" si="4"/>
        <v>13</v>
      </c>
      <c r="I146" s="1">
        <v>0</v>
      </c>
      <c r="J146" s="2">
        <f t="shared" si="5"/>
        <v>13</v>
      </c>
      <c r="K146" s="3"/>
      <c r="L146" s="3"/>
      <c r="M146" s="3"/>
      <c r="N146" s="3"/>
      <c r="O146" s="3"/>
      <c r="P146" s="3"/>
      <c r="Q146" s="3"/>
      <c r="R146" s="3"/>
      <c r="S146" s="3"/>
      <c r="T146" s="3"/>
      <c r="U146" s="3"/>
      <c r="V146" s="3"/>
      <c r="W146" s="3"/>
      <c r="X146" s="3"/>
      <c r="Y146" s="3"/>
      <c r="Z146" s="3"/>
    </row>
    <row r="147" spans="1:26" ht="12.75" customHeight="1">
      <c r="A147" s="2"/>
      <c r="B147" s="1" t="s">
        <v>178</v>
      </c>
      <c r="C147" s="18">
        <v>3</v>
      </c>
      <c r="D147" s="18">
        <v>7</v>
      </c>
      <c r="E147" s="18">
        <v>3</v>
      </c>
      <c r="F147" s="18">
        <v>0</v>
      </c>
      <c r="G147" s="18">
        <v>0</v>
      </c>
      <c r="H147" s="2">
        <f t="shared" si="4"/>
        <v>13</v>
      </c>
      <c r="I147" s="1">
        <v>0</v>
      </c>
      <c r="J147" s="2">
        <f t="shared" si="5"/>
        <v>13</v>
      </c>
      <c r="K147" s="3"/>
      <c r="L147" s="3"/>
      <c r="M147" s="3"/>
      <c r="N147" s="3"/>
      <c r="O147" s="3"/>
      <c r="P147" s="3"/>
      <c r="Q147" s="3"/>
      <c r="R147" s="3"/>
      <c r="S147" s="3"/>
      <c r="T147" s="3"/>
      <c r="U147" s="3"/>
      <c r="V147" s="3"/>
      <c r="W147" s="3"/>
      <c r="X147" s="3"/>
      <c r="Y147" s="3"/>
      <c r="Z147" s="3"/>
    </row>
    <row r="148" spans="1:26" ht="12.75" customHeight="1">
      <c r="A148" s="2"/>
      <c r="B148" s="1" t="s">
        <v>435</v>
      </c>
      <c r="C148" s="18">
        <v>4</v>
      </c>
      <c r="D148" s="18">
        <v>4</v>
      </c>
      <c r="E148" s="18">
        <v>5</v>
      </c>
      <c r="F148" s="18">
        <v>4</v>
      </c>
      <c r="G148" s="18">
        <v>4</v>
      </c>
      <c r="H148" s="2">
        <f t="shared" si="4"/>
        <v>21</v>
      </c>
      <c r="I148" s="1">
        <v>0</v>
      </c>
      <c r="J148" s="2">
        <f t="shared" si="5"/>
        <v>21</v>
      </c>
      <c r="K148" s="3"/>
      <c r="L148" s="3"/>
      <c r="M148" s="3"/>
      <c r="N148" s="3"/>
      <c r="O148" s="3"/>
      <c r="P148" s="3"/>
      <c r="Q148" s="3"/>
      <c r="R148" s="3"/>
      <c r="S148" s="3"/>
      <c r="T148" s="3"/>
      <c r="U148" s="3"/>
      <c r="V148" s="3"/>
      <c r="W148" s="3"/>
      <c r="X148" s="3"/>
      <c r="Y148" s="3"/>
      <c r="Z148" s="3"/>
    </row>
    <row r="149" spans="1:26" ht="12.75" customHeight="1">
      <c r="A149" s="2"/>
      <c r="B149" s="1" t="s">
        <v>180</v>
      </c>
      <c r="C149" s="18">
        <v>4</v>
      </c>
      <c r="D149" s="18">
        <v>5</v>
      </c>
      <c r="E149" s="18">
        <v>7</v>
      </c>
      <c r="F149" s="18">
        <v>4</v>
      </c>
      <c r="G149" s="18">
        <v>0</v>
      </c>
      <c r="H149" s="2">
        <f t="shared" si="4"/>
        <v>20</v>
      </c>
      <c r="I149" s="1">
        <v>0</v>
      </c>
      <c r="J149" s="2">
        <f t="shared" si="5"/>
        <v>20</v>
      </c>
      <c r="K149" s="3"/>
      <c r="L149" s="3"/>
      <c r="M149" s="3"/>
      <c r="N149" s="3"/>
      <c r="O149" s="3"/>
      <c r="P149" s="3"/>
      <c r="Q149" s="3"/>
      <c r="R149" s="3"/>
      <c r="S149" s="3"/>
      <c r="T149" s="3"/>
      <c r="U149" s="3"/>
      <c r="V149" s="3"/>
      <c r="W149" s="3"/>
      <c r="X149" s="3"/>
      <c r="Y149" s="3"/>
      <c r="Z149" s="3"/>
    </row>
    <row r="150" spans="1:26" ht="12.75" customHeight="1">
      <c r="A150" s="2"/>
      <c r="B150" s="1" t="s">
        <v>181</v>
      </c>
      <c r="C150" s="18">
        <v>5</v>
      </c>
      <c r="D150" s="18">
        <v>4</v>
      </c>
      <c r="E150" s="18">
        <v>3</v>
      </c>
      <c r="F150" s="18">
        <v>12</v>
      </c>
      <c r="G150" s="18">
        <v>4</v>
      </c>
      <c r="H150" s="2">
        <f t="shared" si="4"/>
        <v>28</v>
      </c>
      <c r="I150" s="1">
        <v>0</v>
      </c>
      <c r="J150" s="2">
        <f t="shared" si="5"/>
        <v>28</v>
      </c>
      <c r="K150" s="3"/>
      <c r="L150" s="3"/>
      <c r="M150" s="3"/>
      <c r="N150" s="3"/>
      <c r="O150" s="3"/>
      <c r="P150" s="3"/>
      <c r="Q150" s="3"/>
      <c r="R150" s="3"/>
      <c r="S150" s="3"/>
      <c r="T150" s="3"/>
      <c r="U150" s="3"/>
      <c r="V150" s="3"/>
      <c r="W150" s="3"/>
      <c r="X150" s="3"/>
      <c r="Y150" s="3"/>
      <c r="Z150" s="3"/>
    </row>
    <row r="151" spans="1:26" ht="12.75" customHeight="1">
      <c r="A151" s="2"/>
      <c r="B151" s="1" t="s">
        <v>320</v>
      </c>
      <c r="C151" s="18">
        <v>5</v>
      </c>
      <c r="D151" s="18">
        <v>1</v>
      </c>
      <c r="E151" s="18">
        <v>6</v>
      </c>
      <c r="F151" s="18">
        <v>4</v>
      </c>
      <c r="G151" s="18">
        <v>0</v>
      </c>
      <c r="H151" s="2">
        <f t="shared" si="4"/>
        <v>16</v>
      </c>
      <c r="I151" s="1">
        <v>0</v>
      </c>
      <c r="J151" s="2">
        <f t="shared" si="5"/>
        <v>16</v>
      </c>
      <c r="K151" s="3"/>
      <c r="L151" s="3"/>
      <c r="M151" s="3"/>
      <c r="N151" s="3"/>
      <c r="O151" s="3"/>
      <c r="P151" s="3"/>
      <c r="Q151" s="3"/>
      <c r="R151" s="3"/>
      <c r="S151" s="3"/>
      <c r="T151" s="3"/>
      <c r="U151" s="3"/>
      <c r="V151" s="3"/>
      <c r="W151" s="3"/>
      <c r="X151" s="3"/>
      <c r="Y151" s="3"/>
      <c r="Z151" s="3"/>
    </row>
    <row r="152" spans="1:26" ht="12.75" customHeight="1">
      <c r="A152" s="2"/>
      <c r="B152" s="1" t="s">
        <v>194</v>
      </c>
      <c r="C152" s="18">
        <v>5</v>
      </c>
      <c r="D152" s="18">
        <v>16</v>
      </c>
      <c r="E152" s="18">
        <v>2</v>
      </c>
      <c r="F152" s="18">
        <v>8</v>
      </c>
      <c r="G152" s="18">
        <v>0</v>
      </c>
      <c r="H152" s="2">
        <f t="shared" si="4"/>
        <v>31</v>
      </c>
      <c r="I152" s="1">
        <v>0</v>
      </c>
      <c r="J152" s="2">
        <f t="shared" si="5"/>
        <v>31</v>
      </c>
      <c r="K152" s="3"/>
      <c r="L152" s="3"/>
      <c r="M152" s="3"/>
      <c r="N152" s="3"/>
      <c r="O152" s="3"/>
      <c r="P152" s="3"/>
      <c r="Q152" s="3"/>
      <c r="R152" s="3"/>
      <c r="S152" s="3"/>
      <c r="T152" s="3"/>
      <c r="U152" s="3"/>
      <c r="V152" s="3"/>
      <c r="W152" s="3"/>
      <c r="X152" s="3"/>
      <c r="Y152" s="3"/>
      <c r="Z152" s="3"/>
    </row>
    <row r="153" spans="1:26" ht="12.75" customHeight="1">
      <c r="A153" s="2"/>
      <c r="B153" s="1" t="s">
        <v>195</v>
      </c>
      <c r="C153" s="18">
        <v>4</v>
      </c>
      <c r="D153" s="18">
        <v>12</v>
      </c>
      <c r="E153" s="18">
        <v>11</v>
      </c>
      <c r="F153" s="18">
        <v>4</v>
      </c>
      <c r="G153" s="18">
        <v>0</v>
      </c>
      <c r="H153" s="2">
        <f t="shared" si="4"/>
        <v>31</v>
      </c>
      <c r="I153" s="1">
        <v>0</v>
      </c>
      <c r="J153" s="2">
        <f t="shared" si="5"/>
        <v>31</v>
      </c>
      <c r="K153" s="3"/>
      <c r="L153" s="3"/>
      <c r="M153" s="3"/>
      <c r="N153" s="3"/>
      <c r="O153" s="3"/>
      <c r="P153" s="3"/>
      <c r="Q153" s="3"/>
      <c r="R153" s="3"/>
      <c r="S153" s="3"/>
      <c r="T153" s="3"/>
      <c r="U153" s="3"/>
      <c r="V153" s="3"/>
      <c r="W153" s="3"/>
      <c r="X153" s="3"/>
      <c r="Y153" s="3"/>
      <c r="Z153" s="3"/>
    </row>
    <row r="154" spans="1:26" ht="12.75" customHeight="1">
      <c r="A154" s="2"/>
      <c r="B154" s="1" t="s">
        <v>196</v>
      </c>
      <c r="C154" s="18">
        <v>2</v>
      </c>
      <c r="D154" s="18">
        <v>17</v>
      </c>
      <c r="E154" s="18">
        <v>8</v>
      </c>
      <c r="F154" s="18">
        <v>0</v>
      </c>
      <c r="G154" s="18">
        <v>0</v>
      </c>
      <c r="H154" s="2">
        <f t="shared" si="4"/>
        <v>27</v>
      </c>
      <c r="I154" s="1">
        <v>0</v>
      </c>
      <c r="J154" s="2">
        <f t="shared" si="5"/>
        <v>27</v>
      </c>
      <c r="K154" s="3"/>
      <c r="L154" s="3"/>
      <c r="M154" s="3"/>
      <c r="N154" s="3"/>
      <c r="O154" s="3"/>
      <c r="P154" s="3"/>
      <c r="Q154" s="3"/>
      <c r="R154" s="3"/>
      <c r="S154" s="3"/>
      <c r="T154" s="3"/>
      <c r="U154" s="3"/>
      <c r="V154" s="3"/>
      <c r="W154" s="3"/>
      <c r="X154" s="3"/>
      <c r="Y154" s="3"/>
      <c r="Z154" s="3"/>
    </row>
    <row r="155" spans="1:26" ht="12.75" customHeight="1">
      <c r="A155" s="2"/>
      <c r="B155" s="1" t="s">
        <v>197</v>
      </c>
      <c r="C155" s="18">
        <v>4</v>
      </c>
      <c r="D155" s="18">
        <v>16</v>
      </c>
      <c r="E155" s="18">
        <v>2</v>
      </c>
      <c r="F155" s="18">
        <v>4</v>
      </c>
      <c r="G155" s="18">
        <v>0</v>
      </c>
      <c r="H155" s="2">
        <f t="shared" si="4"/>
        <v>26</v>
      </c>
      <c r="I155" s="1">
        <v>0</v>
      </c>
      <c r="J155" s="2">
        <f t="shared" si="5"/>
        <v>26</v>
      </c>
      <c r="K155" s="3"/>
      <c r="L155" s="3"/>
      <c r="M155" s="3"/>
      <c r="N155" s="3"/>
      <c r="O155" s="3"/>
      <c r="P155" s="3"/>
      <c r="Q155" s="3"/>
      <c r="R155" s="3"/>
      <c r="S155" s="3"/>
      <c r="T155" s="3"/>
      <c r="U155" s="3"/>
      <c r="V155" s="3"/>
      <c r="W155" s="3"/>
      <c r="X155" s="3"/>
      <c r="Y155" s="3"/>
      <c r="Z155" s="3"/>
    </row>
    <row r="156" spans="1:26" ht="12.75" customHeight="1">
      <c r="A156" s="2"/>
      <c r="B156" s="1" t="s">
        <v>436</v>
      </c>
      <c r="C156" s="18">
        <v>17</v>
      </c>
      <c r="D156" s="18">
        <v>15</v>
      </c>
      <c r="E156" s="18">
        <v>11</v>
      </c>
      <c r="F156" s="18">
        <v>0</v>
      </c>
      <c r="G156" s="18">
        <v>0</v>
      </c>
      <c r="H156" s="2">
        <f t="shared" si="4"/>
        <v>43</v>
      </c>
      <c r="I156" s="1">
        <v>0</v>
      </c>
      <c r="J156" s="2">
        <f t="shared" si="5"/>
        <v>43</v>
      </c>
      <c r="K156" s="3"/>
      <c r="L156" s="3"/>
      <c r="M156" s="3"/>
      <c r="N156" s="3"/>
      <c r="O156" s="3"/>
      <c r="P156" s="3"/>
      <c r="Q156" s="3"/>
      <c r="R156" s="3"/>
      <c r="S156" s="3"/>
      <c r="T156" s="3"/>
      <c r="U156" s="3"/>
      <c r="V156" s="3"/>
      <c r="W156" s="3"/>
      <c r="X156" s="3"/>
      <c r="Y156" s="3"/>
      <c r="Z156" s="3"/>
    </row>
    <row r="157" spans="1:26" ht="12.75" customHeight="1">
      <c r="A157" s="2"/>
      <c r="B157" s="1" t="s">
        <v>437</v>
      </c>
      <c r="C157" s="18">
        <v>5</v>
      </c>
      <c r="D157" s="18">
        <v>13</v>
      </c>
      <c r="E157" s="18">
        <v>2</v>
      </c>
      <c r="F157" s="18">
        <v>4</v>
      </c>
      <c r="G157" s="18">
        <v>0</v>
      </c>
      <c r="H157" s="2">
        <f t="shared" si="4"/>
        <v>24</v>
      </c>
      <c r="I157" s="1">
        <v>0</v>
      </c>
      <c r="J157" s="2">
        <f t="shared" si="5"/>
        <v>24</v>
      </c>
      <c r="K157" s="3"/>
      <c r="L157" s="3"/>
      <c r="M157" s="3"/>
      <c r="N157" s="3"/>
      <c r="O157" s="3"/>
      <c r="P157" s="3"/>
      <c r="Q157" s="3"/>
      <c r="R157" s="3"/>
      <c r="S157" s="3"/>
      <c r="T157" s="3"/>
      <c r="U157" s="3"/>
      <c r="V157" s="3"/>
      <c r="W157" s="3"/>
      <c r="X157" s="3"/>
      <c r="Y157" s="3"/>
      <c r="Z157" s="3"/>
    </row>
    <row r="158" spans="1:26" ht="12.75" customHeight="1">
      <c r="A158" s="2"/>
      <c r="B158" s="1" t="s">
        <v>200</v>
      </c>
      <c r="C158" s="18">
        <v>14</v>
      </c>
      <c r="D158" s="18">
        <v>5</v>
      </c>
      <c r="E158" s="18">
        <v>5</v>
      </c>
      <c r="F158" s="18">
        <v>5</v>
      </c>
      <c r="G158" s="18">
        <v>0</v>
      </c>
      <c r="H158" s="2">
        <f t="shared" si="4"/>
        <v>29</v>
      </c>
      <c r="I158" s="1">
        <v>0</v>
      </c>
      <c r="J158" s="2">
        <f t="shared" si="5"/>
        <v>29</v>
      </c>
      <c r="K158" s="3"/>
      <c r="L158" s="3"/>
      <c r="M158" s="3"/>
      <c r="N158" s="3"/>
      <c r="O158" s="3"/>
      <c r="P158" s="3"/>
      <c r="Q158" s="3"/>
      <c r="R158" s="3"/>
      <c r="S158" s="3"/>
      <c r="T158" s="3"/>
      <c r="U158" s="3"/>
      <c r="V158" s="3"/>
      <c r="W158" s="3"/>
      <c r="X158" s="3"/>
      <c r="Y158" s="3"/>
      <c r="Z158" s="3"/>
    </row>
    <row r="159" spans="1:26" ht="12.75" customHeight="1">
      <c r="A159" s="2"/>
      <c r="B159" s="1" t="s">
        <v>438</v>
      </c>
      <c r="C159" s="18">
        <v>14</v>
      </c>
      <c r="D159" s="18">
        <v>2</v>
      </c>
      <c r="E159" s="18">
        <v>4</v>
      </c>
      <c r="F159" s="18">
        <v>6</v>
      </c>
      <c r="G159" s="18">
        <v>0</v>
      </c>
      <c r="H159" s="2">
        <f t="shared" si="4"/>
        <v>26</v>
      </c>
      <c r="I159" s="1">
        <v>0</v>
      </c>
      <c r="J159" s="2">
        <f t="shared" si="5"/>
        <v>26</v>
      </c>
      <c r="K159" s="3"/>
      <c r="L159" s="3"/>
      <c r="M159" s="3"/>
      <c r="N159" s="3"/>
      <c r="O159" s="3"/>
      <c r="P159" s="3"/>
      <c r="Q159" s="3"/>
      <c r="R159" s="3"/>
      <c r="S159" s="3"/>
      <c r="T159" s="3"/>
      <c r="U159" s="3"/>
      <c r="V159" s="3"/>
      <c r="W159" s="3"/>
      <c r="X159" s="3"/>
      <c r="Y159" s="3"/>
      <c r="Z159" s="3"/>
    </row>
    <row r="160" spans="1:26" ht="12.75" customHeight="1">
      <c r="A160" s="2"/>
      <c r="B160" s="1" t="s">
        <v>202</v>
      </c>
      <c r="C160" s="18">
        <v>4</v>
      </c>
      <c r="D160" s="18">
        <v>11</v>
      </c>
      <c r="E160" s="18">
        <v>3</v>
      </c>
      <c r="F160" s="18">
        <v>6</v>
      </c>
      <c r="G160" s="18">
        <v>0</v>
      </c>
      <c r="H160" s="2">
        <f t="shared" si="4"/>
        <v>24</v>
      </c>
      <c r="I160" s="1">
        <v>0</v>
      </c>
      <c r="J160" s="2">
        <f t="shared" si="5"/>
        <v>24</v>
      </c>
      <c r="K160" s="3"/>
      <c r="L160" s="3"/>
      <c r="M160" s="3"/>
      <c r="N160" s="3"/>
      <c r="O160" s="3"/>
      <c r="P160" s="3"/>
      <c r="Q160" s="3"/>
      <c r="R160" s="3"/>
      <c r="S160" s="3"/>
      <c r="T160" s="3"/>
      <c r="U160" s="3"/>
      <c r="V160" s="3"/>
      <c r="W160" s="3"/>
      <c r="X160" s="3"/>
      <c r="Y160" s="3"/>
      <c r="Z160" s="3"/>
    </row>
    <row r="161" spans="1:26" ht="12.75" customHeight="1">
      <c r="A161" s="2"/>
      <c r="B161" s="1" t="s">
        <v>203</v>
      </c>
      <c r="C161" s="18">
        <v>3</v>
      </c>
      <c r="D161" s="18">
        <v>6</v>
      </c>
      <c r="E161" s="18">
        <v>3</v>
      </c>
      <c r="F161" s="18">
        <v>4</v>
      </c>
      <c r="G161" s="18">
        <v>0</v>
      </c>
      <c r="H161" s="2">
        <f t="shared" si="4"/>
        <v>16</v>
      </c>
      <c r="I161" s="1">
        <v>0</v>
      </c>
      <c r="J161" s="2">
        <f t="shared" si="5"/>
        <v>16</v>
      </c>
      <c r="K161" s="3"/>
      <c r="L161" s="3"/>
      <c r="M161" s="3"/>
      <c r="N161" s="3"/>
      <c r="O161" s="3"/>
      <c r="P161" s="3"/>
      <c r="Q161" s="3"/>
      <c r="R161" s="3"/>
      <c r="S161" s="3"/>
      <c r="T161" s="3"/>
      <c r="U161" s="3"/>
      <c r="V161" s="3"/>
      <c r="W161" s="3"/>
      <c r="X161" s="3"/>
      <c r="Y161" s="3"/>
      <c r="Z161" s="3"/>
    </row>
    <row r="162" spans="1:26" ht="12.75" customHeight="1">
      <c r="A162" s="2"/>
      <c r="B162" s="1" t="s">
        <v>204</v>
      </c>
      <c r="C162" s="18">
        <v>8</v>
      </c>
      <c r="D162" s="18">
        <v>1</v>
      </c>
      <c r="E162" s="18">
        <v>4</v>
      </c>
      <c r="F162" s="18">
        <v>2</v>
      </c>
      <c r="G162" s="18">
        <v>0</v>
      </c>
      <c r="H162" s="2">
        <f t="shared" si="4"/>
        <v>15</v>
      </c>
      <c r="I162" s="1">
        <v>0</v>
      </c>
      <c r="J162" s="2">
        <f t="shared" si="5"/>
        <v>15</v>
      </c>
      <c r="K162" s="3"/>
      <c r="L162" s="3"/>
      <c r="M162" s="3"/>
      <c r="N162" s="3"/>
      <c r="O162" s="3"/>
      <c r="P162" s="3"/>
      <c r="Q162" s="3"/>
      <c r="R162" s="3"/>
      <c r="S162" s="3"/>
      <c r="T162" s="3"/>
      <c r="U162" s="3"/>
      <c r="V162" s="3"/>
      <c r="W162" s="3"/>
      <c r="X162" s="3"/>
      <c r="Y162" s="3"/>
      <c r="Z162" s="3"/>
    </row>
    <row r="163" spans="1:26" ht="12.75" customHeight="1">
      <c r="A163" s="2"/>
      <c r="B163" s="1" t="s">
        <v>205</v>
      </c>
      <c r="C163" s="18">
        <v>5</v>
      </c>
      <c r="D163" s="18">
        <v>11</v>
      </c>
      <c r="E163" s="18">
        <v>2</v>
      </c>
      <c r="F163" s="18">
        <v>6</v>
      </c>
      <c r="G163" s="18">
        <v>0</v>
      </c>
      <c r="H163" s="2">
        <f t="shared" si="4"/>
        <v>24</v>
      </c>
      <c r="I163" s="1">
        <v>0</v>
      </c>
      <c r="J163" s="2">
        <f t="shared" si="5"/>
        <v>24</v>
      </c>
      <c r="K163" s="3"/>
      <c r="L163" s="3"/>
      <c r="M163" s="3"/>
      <c r="N163" s="3"/>
      <c r="O163" s="3"/>
      <c r="P163" s="3"/>
      <c r="Q163" s="3"/>
      <c r="R163" s="3"/>
      <c r="S163" s="3"/>
      <c r="T163" s="3"/>
      <c r="U163" s="3"/>
      <c r="V163" s="3"/>
      <c r="W163" s="3"/>
      <c r="X163" s="3"/>
      <c r="Y163" s="3"/>
      <c r="Z163" s="3"/>
    </row>
    <row r="164" spans="1:26" ht="12.75" customHeight="1">
      <c r="A164" s="2"/>
      <c r="B164" s="1" t="s">
        <v>324</v>
      </c>
      <c r="C164" s="18">
        <v>5</v>
      </c>
      <c r="D164" s="18">
        <v>2</v>
      </c>
      <c r="E164" s="18">
        <v>1</v>
      </c>
      <c r="F164" s="18">
        <v>4</v>
      </c>
      <c r="G164" s="18">
        <v>0</v>
      </c>
      <c r="H164" s="2">
        <f t="shared" si="4"/>
        <v>12</v>
      </c>
      <c r="I164" s="1">
        <v>0</v>
      </c>
      <c r="J164" s="2">
        <f t="shared" si="5"/>
        <v>12</v>
      </c>
      <c r="K164" s="3"/>
      <c r="L164" s="3"/>
      <c r="M164" s="3"/>
      <c r="N164" s="3"/>
      <c r="O164" s="3"/>
      <c r="P164" s="3"/>
      <c r="Q164" s="3"/>
      <c r="R164" s="3"/>
      <c r="S164" s="3"/>
      <c r="T164" s="3"/>
      <c r="U164" s="3"/>
      <c r="V164" s="3"/>
      <c r="W164" s="3"/>
      <c r="X164" s="3"/>
      <c r="Y164" s="3"/>
      <c r="Z164" s="3"/>
    </row>
    <row r="165" spans="1:26" ht="12.75" customHeight="1">
      <c r="A165" s="2"/>
      <c r="B165" s="1" t="s">
        <v>439</v>
      </c>
      <c r="C165" s="18">
        <v>3</v>
      </c>
      <c r="D165" s="18">
        <v>6</v>
      </c>
      <c r="E165" s="18">
        <v>5</v>
      </c>
      <c r="F165" s="18">
        <v>4</v>
      </c>
      <c r="G165" s="18">
        <v>0</v>
      </c>
      <c r="H165" s="2">
        <f t="shared" si="4"/>
        <v>18</v>
      </c>
      <c r="I165" s="1">
        <v>0</v>
      </c>
      <c r="J165" s="2">
        <f t="shared" si="5"/>
        <v>18</v>
      </c>
      <c r="K165" s="3"/>
      <c r="L165" s="3"/>
      <c r="M165" s="3"/>
      <c r="N165" s="3"/>
      <c r="O165" s="3"/>
      <c r="P165" s="3"/>
      <c r="Q165" s="3"/>
      <c r="R165" s="3"/>
      <c r="S165" s="3"/>
      <c r="T165" s="3"/>
      <c r="U165" s="3"/>
      <c r="V165" s="3"/>
      <c r="W165" s="3"/>
      <c r="X165" s="3"/>
      <c r="Y165" s="3"/>
      <c r="Z165" s="3"/>
    </row>
    <row r="166" spans="1:26" ht="12.75" customHeight="1">
      <c r="A166" s="2"/>
      <c r="B166" s="1" t="s">
        <v>440</v>
      </c>
      <c r="C166" s="18">
        <v>7</v>
      </c>
      <c r="D166" s="18">
        <v>1</v>
      </c>
      <c r="E166" s="18">
        <v>4</v>
      </c>
      <c r="F166" s="18">
        <v>0</v>
      </c>
      <c r="G166" s="18">
        <v>0</v>
      </c>
      <c r="H166" s="2">
        <f t="shared" si="4"/>
        <v>12</v>
      </c>
      <c r="I166" s="1">
        <v>0</v>
      </c>
      <c r="J166" s="2">
        <f t="shared" si="5"/>
        <v>12</v>
      </c>
      <c r="K166" s="3"/>
      <c r="L166" s="3"/>
      <c r="M166" s="3"/>
      <c r="N166" s="3"/>
      <c r="O166" s="3"/>
      <c r="P166" s="3"/>
      <c r="Q166" s="3"/>
      <c r="R166" s="3"/>
      <c r="S166" s="3"/>
      <c r="T166" s="3"/>
      <c r="U166" s="3"/>
      <c r="V166" s="3"/>
      <c r="W166" s="3"/>
      <c r="X166" s="3"/>
      <c r="Y166" s="3"/>
      <c r="Z166" s="3"/>
    </row>
    <row r="167" spans="1:26" ht="12.75" customHeight="1">
      <c r="A167" s="2"/>
      <c r="B167" s="1" t="s">
        <v>441</v>
      </c>
      <c r="C167" s="18">
        <v>2</v>
      </c>
      <c r="D167" s="18">
        <v>1</v>
      </c>
      <c r="E167" s="18">
        <v>1</v>
      </c>
      <c r="F167" s="18">
        <v>2</v>
      </c>
      <c r="G167" s="18">
        <v>0</v>
      </c>
      <c r="H167" s="2">
        <f t="shared" si="4"/>
        <v>6</v>
      </c>
      <c r="I167" s="1">
        <v>0</v>
      </c>
      <c r="J167" s="2">
        <f t="shared" si="5"/>
        <v>6</v>
      </c>
      <c r="K167" s="3"/>
      <c r="L167" s="3"/>
      <c r="M167" s="3"/>
      <c r="N167" s="3"/>
      <c r="O167" s="3"/>
      <c r="P167" s="3"/>
      <c r="Q167" s="3"/>
      <c r="R167" s="3"/>
      <c r="S167" s="3"/>
      <c r="T167" s="3"/>
      <c r="U167" s="3"/>
      <c r="V167" s="3"/>
      <c r="W167" s="3"/>
      <c r="X167" s="3"/>
      <c r="Y167" s="3"/>
      <c r="Z167" s="3"/>
    </row>
    <row r="168" spans="1:26" ht="12.75" customHeight="1">
      <c r="A168" s="2"/>
      <c r="B168" s="1" t="s">
        <v>442</v>
      </c>
      <c r="C168" s="18">
        <v>15</v>
      </c>
      <c r="D168" s="18">
        <v>9</v>
      </c>
      <c r="E168" s="18">
        <v>2</v>
      </c>
      <c r="F168" s="18">
        <v>2</v>
      </c>
      <c r="G168" s="18">
        <v>0</v>
      </c>
      <c r="H168" s="2">
        <f t="shared" si="4"/>
        <v>28</v>
      </c>
      <c r="I168" s="1">
        <v>0</v>
      </c>
      <c r="J168" s="2">
        <f t="shared" si="5"/>
        <v>28</v>
      </c>
      <c r="K168" s="3"/>
      <c r="L168" s="3"/>
      <c r="M168" s="3"/>
      <c r="N168" s="3"/>
      <c r="O168" s="3"/>
      <c r="P168" s="3"/>
      <c r="Q168" s="3"/>
      <c r="R168" s="3"/>
      <c r="S168" s="3"/>
      <c r="T168" s="3"/>
      <c r="U168" s="3"/>
      <c r="V168" s="3"/>
      <c r="W168" s="3"/>
      <c r="X168" s="3"/>
      <c r="Y168" s="3"/>
      <c r="Z168" s="3"/>
    </row>
    <row r="169" spans="1:26" ht="12.75" customHeight="1">
      <c r="A169" s="2"/>
      <c r="B169" s="1" t="s">
        <v>187</v>
      </c>
      <c r="C169" s="18">
        <v>7</v>
      </c>
      <c r="D169" s="18">
        <v>8</v>
      </c>
      <c r="E169" s="18">
        <v>5</v>
      </c>
      <c r="F169" s="18">
        <v>6</v>
      </c>
      <c r="G169" s="18">
        <v>0</v>
      </c>
      <c r="H169" s="2">
        <f t="shared" si="4"/>
        <v>26</v>
      </c>
      <c r="I169" s="1">
        <v>0</v>
      </c>
      <c r="J169" s="2">
        <f t="shared" si="5"/>
        <v>26</v>
      </c>
      <c r="K169" s="3"/>
      <c r="L169" s="3"/>
      <c r="M169" s="3"/>
      <c r="N169" s="3"/>
      <c r="O169" s="3"/>
      <c r="P169" s="3"/>
      <c r="Q169" s="3"/>
      <c r="R169" s="3"/>
      <c r="S169" s="3"/>
      <c r="T169" s="3"/>
      <c r="U169" s="3"/>
      <c r="V169" s="3"/>
      <c r="W169" s="3"/>
      <c r="X169" s="3"/>
      <c r="Y169" s="3"/>
      <c r="Z169" s="3"/>
    </row>
    <row r="170" spans="1:26" ht="12.75" customHeight="1">
      <c r="A170" s="2"/>
      <c r="B170" s="1" t="s">
        <v>188</v>
      </c>
      <c r="C170" s="18">
        <v>7</v>
      </c>
      <c r="D170" s="18">
        <v>7</v>
      </c>
      <c r="E170" s="18">
        <v>2</v>
      </c>
      <c r="F170" s="18">
        <v>0</v>
      </c>
      <c r="G170" s="18">
        <v>0</v>
      </c>
      <c r="H170" s="2">
        <f t="shared" si="4"/>
        <v>16</v>
      </c>
      <c r="I170" s="1">
        <v>0</v>
      </c>
      <c r="J170" s="2">
        <f t="shared" si="5"/>
        <v>16</v>
      </c>
      <c r="K170" s="3"/>
      <c r="L170" s="3"/>
      <c r="M170" s="3"/>
      <c r="N170" s="3"/>
      <c r="O170" s="3"/>
      <c r="P170" s="3"/>
      <c r="Q170" s="3"/>
      <c r="R170" s="3"/>
      <c r="S170" s="3"/>
      <c r="T170" s="3"/>
      <c r="U170" s="3"/>
      <c r="V170" s="3"/>
      <c r="W170" s="3"/>
      <c r="X170" s="3"/>
      <c r="Y170" s="3"/>
      <c r="Z170" s="3"/>
    </row>
    <row r="171" spans="1:26" ht="12.75" customHeight="1">
      <c r="A171" s="2"/>
      <c r="B171" s="1" t="s">
        <v>189</v>
      </c>
      <c r="C171" s="18">
        <v>3</v>
      </c>
      <c r="D171" s="18">
        <v>14</v>
      </c>
      <c r="E171" s="18">
        <v>9</v>
      </c>
      <c r="F171" s="18">
        <v>4</v>
      </c>
      <c r="G171" s="18">
        <v>0</v>
      </c>
      <c r="H171" s="2">
        <f t="shared" si="4"/>
        <v>30</v>
      </c>
      <c r="I171" s="1">
        <v>0</v>
      </c>
      <c r="J171" s="2">
        <f t="shared" si="5"/>
        <v>30</v>
      </c>
      <c r="K171" s="3"/>
      <c r="L171" s="3"/>
      <c r="M171" s="3"/>
      <c r="N171" s="3"/>
      <c r="O171" s="3"/>
      <c r="P171" s="3"/>
      <c r="Q171" s="3"/>
      <c r="R171" s="3"/>
      <c r="S171" s="3"/>
      <c r="T171" s="3"/>
      <c r="U171" s="3"/>
      <c r="V171" s="3"/>
      <c r="W171" s="3"/>
      <c r="X171" s="3"/>
      <c r="Y171" s="3"/>
      <c r="Z171" s="3"/>
    </row>
    <row r="172" spans="1:26" ht="12.75" customHeight="1">
      <c r="A172" s="2"/>
      <c r="B172" s="1" t="s">
        <v>190</v>
      </c>
      <c r="C172" s="18">
        <v>4</v>
      </c>
      <c r="D172" s="18">
        <v>10</v>
      </c>
      <c r="E172" s="18">
        <v>1</v>
      </c>
      <c r="F172" s="18">
        <v>2</v>
      </c>
      <c r="G172" s="18">
        <v>0</v>
      </c>
      <c r="H172" s="2">
        <f t="shared" si="4"/>
        <v>17</v>
      </c>
      <c r="I172" s="1">
        <v>0</v>
      </c>
      <c r="J172" s="2">
        <f t="shared" si="5"/>
        <v>17</v>
      </c>
      <c r="K172" s="3"/>
      <c r="L172" s="3"/>
      <c r="M172" s="3"/>
      <c r="N172" s="3"/>
      <c r="O172" s="3"/>
      <c r="P172" s="3"/>
      <c r="Q172" s="3"/>
      <c r="R172" s="3"/>
      <c r="S172" s="3"/>
      <c r="T172" s="3"/>
      <c r="U172" s="3"/>
      <c r="V172" s="3"/>
      <c r="W172" s="3"/>
      <c r="X172" s="3"/>
      <c r="Y172" s="3"/>
      <c r="Z172" s="3"/>
    </row>
    <row r="173" spans="1:26" ht="12.75" customHeight="1">
      <c r="A173" s="2"/>
      <c r="B173" s="1" t="s">
        <v>443</v>
      </c>
      <c r="C173" s="18">
        <v>4</v>
      </c>
      <c r="D173" s="18">
        <v>11</v>
      </c>
      <c r="E173" s="18">
        <v>2</v>
      </c>
      <c r="F173" s="18">
        <v>0</v>
      </c>
      <c r="G173" s="18">
        <v>0</v>
      </c>
      <c r="H173" s="2">
        <f t="shared" si="4"/>
        <v>17</v>
      </c>
      <c r="I173" s="1">
        <v>0</v>
      </c>
      <c r="J173" s="2">
        <f t="shared" si="5"/>
        <v>17</v>
      </c>
      <c r="K173" s="3"/>
      <c r="L173" s="3"/>
      <c r="M173" s="3"/>
      <c r="N173" s="3"/>
      <c r="O173" s="3"/>
      <c r="P173" s="3"/>
      <c r="Q173" s="3"/>
      <c r="R173" s="3"/>
      <c r="S173" s="3"/>
      <c r="T173" s="3"/>
      <c r="U173" s="3"/>
      <c r="V173" s="3"/>
      <c r="W173" s="3"/>
      <c r="X173" s="3"/>
      <c r="Y173" s="3"/>
      <c r="Z173" s="3"/>
    </row>
    <row r="174" spans="1:26" ht="12.75" customHeight="1">
      <c r="A174" s="2"/>
      <c r="B174" s="1" t="s">
        <v>444</v>
      </c>
      <c r="C174" s="18">
        <v>5</v>
      </c>
      <c r="D174" s="18">
        <v>2</v>
      </c>
      <c r="E174" s="18">
        <v>9</v>
      </c>
      <c r="F174" s="18">
        <v>10</v>
      </c>
      <c r="G174" s="18">
        <v>0</v>
      </c>
      <c r="H174" s="2">
        <f t="shared" si="4"/>
        <v>26</v>
      </c>
      <c r="I174" s="1">
        <v>0</v>
      </c>
      <c r="J174" s="2">
        <f t="shared" si="5"/>
        <v>26</v>
      </c>
      <c r="K174" s="3"/>
      <c r="L174" s="3"/>
      <c r="M174" s="3"/>
      <c r="N174" s="3"/>
      <c r="O174" s="3"/>
      <c r="P174" s="3"/>
      <c r="Q174" s="3"/>
      <c r="R174" s="3"/>
      <c r="S174" s="3"/>
      <c r="T174" s="3"/>
      <c r="U174" s="3"/>
      <c r="V174" s="3"/>
      <c r="W174" s="3"/>
      <c r="X174" s="3"/>
      <c r="Y174" s="3"/>
      <c r="Z174" s="3"/>
    </row>
    <row r="175" spans="1:26" ht="12.75" customHeight="1">
      <c r="A175" s="2"/>
      <c r="B175" s="2"/>
      <c r="C175" s="1"/>
      <c r="D175" s="1"/>
      <c r="E175" s="1"/>
      <c r="F175" s="1"/>
      <c r="G175" s="1"/>
      <c r="H175" s="3"/>
      <c r="I175" s="1" t="s">
        <v>421</v>
      </c>
      <c r="J175" s="3">
        <f>SUM(I126:J174)</f>
        <v>1054</v>
      </c>
      <c r="K175" s="3"/>
      <c r="L175" s="3"/>
      <c r="M175" s="3"/>
      <c r="N175" s="3"/>
      <c r="O175" s="3"/>
      <c r="P175" s="3"/>
      <c r="Q175" s="3"/>
      <c r="R175" s="3"/>
      <c r="S175" s="3"/>
      <c r="T175" s="3"/>
      <c r="U175" s="3"/>
      <c r="V175" s="3"/>
      <c r="W175" s="3"/>
      <c r="X175" s="3"/>
      <c r="Y175" s="3"/>
      <c r="Z175" s="3"/>
    </row>
    <row r="176" spans="1:26" ht="12.75" customHeight="1">
      <c r="A176" s="2"/>
      <c r="B176" s="2"/>
      <c r="C176" s="2"/>
      <c r="D176" s="1"/>
      <c r="E176" s="1"/>
      <c r="F176" s="1"/>
      <c r="G176" s="1"/>
      <c r="H176" s="1"/>
      <c r="I176" s="3"/>
      <c r="J176" s="3"/>
      <c r="K176" s="3"/>
      <c r="L176" s="3"/>
      <c r="M176" s="3"/>
      <c r="N176" s="3"/>
      <c r="O176" s="3"/>
      <c r="P176" s="3"/>
      <c r="Q176" s="3"/>
      <c r="R176" s="3"/>
      <c r="S176" s="3"/>
      <c r="T176" s="3"/>
      <c r="U176" s="3"/>
      <c r="V176" s="3"/>
      <c r="W176" s="3"/>
      <c r="X176" s="3"/>
      <c r="Y176" s="3"/>
      <c r="Z176" s="3"/>
    </row>
    <row r="177" spans="1:26" ht="12.75" customHeight="1">
      <c r="A177" s="1" t="s">
        <v>95</v>
      </c>
      <c r="B177" s="18" t="s">
        <v>420</v>
      </c>
      <c r="C177" s="18" t="s">
        <v>328</v>
      </c>
      <c r="D177" s="1"/>
      <c r="E177" s="1"/>
      <c r="F177" s="1"/>
      <c r="G177" s="1"/>
      <c r="H177" s="1"/>
      <c r="I177" s="3"/>
      <c r="J177" s="3"/>
      <c r="K177" s="3"/>
      <c r="L177" s="3"/>
      <c r="M177" s="3"/>
      <c r="N177" s="3"/>
      <c r="O177" s="3"/>
      <c r="P177" s="3"/>
      <c r="Q177" s="3"/>
      <c r="R177" s="3"/>
      <c r="S177" s="3"/>
      <c r="T177" s="3"/>
      <c r="U177" s="3"/>
      <c r="V177" s="3"/>
      <c r="W177" s="3"/>
      <c r="X177" s="3"/>
      <c r="Y177" s="3"/>
      <c r="Z177" s="3"/>
    </row>
    <row r="178" spans="1:26" ht="12.75" customHeight="1">
      <c r="A178" s="22" t="s">
        <v>246</v>
      </c>
      <c r="B178" s="21">
        <f>L75</f>
        <v>467.47999999999996</v>
      </c>
      <c r="C178" s="21">
        <f>16*15*5</f>
        <v>1200</v>
      </c>
      <c r="D178" s="1"/>
      <c r="E178" s="1"/>
      <c r="F178" s="1"/>
      <c r="G178" s="1"/>
      <c r="H178" s="1"/>
      <c r="I178" s="3"/>
      <c r="J178" s="3"/>
      <c r="K178" s="3"/>
      <c r="L178" s="3"/>
      <c r="M178" s="3"/>
      <c r="N178" s="3"/>
      <c r="O178" s="3"/>
      <c r="P178" s="3"/>
      <c r="Q178" s="3"/>
      <c r="R178" s="3"/>
      <c r="S178" s="3"/>
      <c r="T178" s="3"/>
      <c r="U178" s="3"/>
      <c r="V178" s="3"/>
      <c r="W178" s="3"/>
      <c r="X178" s="3"/>
      <c r="Y178" s="3"/>
      <c r="Z178" s="3"/>
    </row>
    <row r="179" spans="1:26" ht="12.75" customHeight="1">
      <c r="A179" s="1" t="s">
        <v>132</v>
      </c>
      <c r="B179" s="1">
        <f>L94</f>
        <v>813.95999999999992</v>
      </c>
      <c r="C179" s="1">
        <f>24*12*7</f>
        <v>2016</v>
      </c>
      <c r="D179" s="1"/>
      <c r="E179" s="1"/>
      <c r="F179" s="1"/>
      <c r="G179" s="1"/>
      <c r="H179" s="1"/>
      <c r="I179" s="3"/>
      <c r="J179" s="3"/>
      <c r="K179" s="3"/>
      <c r="L179" s="3"/>
      <c r="M179" s="3"/>
      <c r="N179" s="3"/>
      <c r="O179" s="3"/>
      <c r="P179" s="3"/>
      <c r="Q179" s="3"/>
      <c r="R179" s="3"/>
      <c r="S179" s="3"/>
      <c r="T179" s="3"/>
      <c r="U179" s="3"/>
      <c r="V179" s="3"/>
      <c r="W179" s="3"/>
      <c r="X179" s="3"/>
      <c r="Y179" s="3"/>
      <c r="Z179" s="3"/>
    </row>
    <row r="180" spans="1:26" ht="12.75" customHeight="1">
      <c r="A180" s="1" t="s">
        <v>220</v>
      </c>
      <c r="B180" s="1">
        <f>L126</f>
        <v>1254.26</v>
      </c>
      <c r="C180" s="2">
        <f>49*4*8+24*4*10+12*12*8</f>
        <v>3680</v>
      </c>
      <c r="D180" s="1"/>
      <c r="E180" s="1"/>
      <c r="F180" s="1"/>
      <c r="G180" s="1"/>
      <c r="H180" s="1"/>
      <c r="I180" s="3"/>
      <c r="J180" s="3"/>
      <c r="K180" s="3"/>
      <c r="L180" s="3"/>
      <c r="M180" s="3"/>
      <c r="N180" s="3"/>
      <c r="O180" s="3"/>
      <c r="P180" s="3"/>
      <c r="Q180" s="3"/>
      <c r="R180" s="3"/>
      <c r="S180" s="3"/>
      <c r="T180" s="3"/>
      <c r="U180" s="3"/>
      <c r="V180" s="3"/>
      <c r="W180" s="3"/>
      <c r="X180" s="3"/>
      <c r="Y180" s="3"/>
      <c r="Z180" s="3"/>
    </row>
    <row r="181" spans="1:26" ht="12.75" customHeight="1">
      <c r="A181" s="24" t="s">
        <v>221</v>
      </c>
      <c r="B181" s="1">
        <v>0</v>
      </c>
      <c r="C181" s="1">
        <v>0</v>
      </c>
      <c r="D181" s="1"/>
      <c r="E181" s="1"/>
      <c r="F181" s="1"/>
      <c r="G181" s="1"/>
      <c r="H181" s="1"/>
      <c r="I181" s="3"/>
      <c r="J181" s="3"/>
      <c r="K181" s="3"/>
      <c r="L181" s="3"/>
      <c r="M181" s="3"/>
      <c r="N181" s="3"/>
      <c r="O181" s="3"/>
      <c r="P181" s="3"/>
      <c r="Q181" s="3"/>
      <c r="R181" s="3"/>
      <c r="S181" s="3"/>
      <c r="T181" s="3"/>
      <c r="U181" s="3"/>
      <c r="V181" s="3"/>
      <c r="W181" s="3"/>
      <c r="X181" s="3"/>
      <c r="Y181" s="3"/>
      <c r="Z181" s="3"/>
    </row>
    <row r="182" spans="1:26" ht="12.75" customHeight="1">
      <c r="A182" s="1"/>
      <c r="B182" s="1"/>
      <c r="C182" s="2"/>
      <c r="D182" s="2"/>
      <c r="E182" s="2"/>
      <c r="F182" s="3"/>
      <c r="G182" s="3"/>
      <c r="H182" s="3"/>
      <c r="I182" s="3"/>
      <c r="J182" s="3"/>
      <c r="K182" s="3"/>
      <c r="L182" s="3"/>
      <c r="M182" s="3"/>
      <c r="N182" s="3"/>
      <c r="O182" s="3"/>
      <c r="P182" s="3"/>
      <c r="Q182" s="3"/>
      <c r="R182" s="3"/>
      <c r="S182" s="3"/>
      <c r="T182" s="3"/>
      <c r="U182" s="3"/>
      <c r="V182" s="3"/>
      <c r="W182" s="3"/>
      <c r="X182" s="3"/>
      <c r="Y182" s="3"/>
      <c r="Z182" s="3"/>
    </row>
    <row r="183" spans="1:26" ht="12.75" customHeight="1">
      <c r="A183" s="1" t="s">
        <v>222</v>
      </c>
      <c r="B183" s="1">
        <f>COUNT(B179:B181)</f>
        <v>3</v>
      </c>
      <c r="C183" s="2"/>
      <c r="D183" s="2"/>
      <c r="E183" s="2"/>
      <c r="F183" s="3"/>
      <c r="G183" s="3"/>
      <c r="H183" s="3"/>
      <c r="I183" s="3"/>
      <c r="J183" s="3"/>
      <c r="K183" s="3"/>
      <c r="L183" s="3"/>
      <c r="M183" s="3"/>
      <c r="N183" s="3"/>
      <c r="O183" s="3"/>
      <c r="P183" s="3"/>
      <c r="Q183" s="3"/>
      <c r="R183" s="3"/>
      <c r="S183" s="3"/>
      <c r="T183" s="3"/>
      <c r="U183" s="3"/>
      <c r="V183" s="3"/>
      <c r="W183" s="3"/>
      <c r="X183" s="3"/>
      <c r="Y183" s="3"/>
      <c r="Z183" s="3"/>
    </row>
    <row r="184" spans="1:26" ht="12.75" customHeight="1">
      <c r="A184" s="1" t="s">
        <v>223</v>
      </c>
      <c r="B184" s="1">
        <f>CORREL(B179:B181,C179:C181)</f>
        <v>0.99337588905468988</v>
      </c>
      <c r="C184" s="2"/>
      <c r="D184" s="2"/>
      <c r="E184" s="2"/>
      <c r="F184" s="3"/>
      <c r="G184" s="3"/>
      <c r="H184" s="3"/>
      <c r="I184" s="3"/>
      <c r="J184" s="3"/>
      <c r="K184" s="3"/>
      <c r="L184" s="3"/>
      <c r="M184" s="3"/>
      <c r="N184" s="3"/>
      <c r="O184" s="3"/>
      <c r="P184" s="3"/>
      <c r="Q184" s="3"/>
      <c r="R184" s="3"/>
      <c r="S184" s="3"/>
      <c r="T184" s="3"/>
      <c r="U184" s="3"/>
      <c r="V184" s="3"/>
      <c r="W184" s="3"/>
      <c r="X184" s="3"/>
      <c r="Y184" s="3"/>
      <c r="Z184" s="3"/>
    </row>
    <row r="185" spans="1:26" ht="12.75" customHeight="1">
      <c r="A185" s="1" t="s">
        <v>224</v>
      </c>
      <c r="B185" s="1">
        <f>STDEV(B179:B181)</f>
        <v>636.33889283410406</v>
      </c>
      <c r="C185" s="2"/>
      <c r="D185" s="2"/>
      <c r="E185" s="2"/>
      <c r="F185" s="3"/>
      <c r="G185" s="3"/>
      <c r="H185" s="3"/>
      <c r="I185" s="3"/>
      <c r="J185" s="3"/>
      <c r="K185" s="3"/>
      <c r="L185" s="3"/>
      <c r="M185" s="3"/>
      <c r="N185" s="3"/>
      <c r="O185" s="3"/>
      <c r="P185" s="3"/>
      <c r="Q185" s="3"/>
      <c r="R185" s="3"/>
      <c r="S185" s="3"/>
      <c r="T185" s="3"/>
      <c r="U185" s="3"/>
      <c r="V185" s="3"/>
      <c r="W185" s="3"/>
      <c r="X185" s="3"/>
      <c r="Y185" s="3"/>
      <c r="Z185" s="3"/>
    </row>
    <row r="186" spans="1:26" ht="12.75" customHeight="1">
      <c r="A186" s="1" t="s">
        <v>225</v>
      </c>
      <c r="B186" s="1">
        <f>STDEV(C179:C181)</f>
        <v>1842.8036610917977</v>
      </c>
      <c r="C186" s="2"/>
      <c r="D186" s="2"/>
      <c r="E186" s="2"/>
      <c r="F186" s="3"/>
      <c r="G186" s="3"/>
      <c r="H186" s="3"/>
      <c r="I186" s="3"/>
      <c r="J186" s="3"/>
      <c r="K186" s="3"/>
      <c r="L186" s="3"/>
      <c r="M186" s="3"/>
      <c r="N186" s="3"/>
      <c r="O186" s="3"/>
      <c r="P186" s="3"/>
      <c r="Q186" s="3"/>
      <c r="R186" s="3"/>
      <c r="S186" s="3"/>
      <c r="T186" s="3"/>
      <c r="U186" s="3"/>
      <c r="V186" s="3"/>
      <c r="W186" s="3"/>
      <c r="X186" s="3"/>
      <c r="Y186" s="3"/>
      <c r="Z186" s="3"/>
    </row>
    <row r="187" spans="1:26" ht="12.75" customHeight="1">
      <c r="A187" s="1" t="s">
        <v>226</v>
      </c>
      <c r="B187" s="1">
        <f>B184*B186/B185</f>
        <v>2.8767638530426041</v>
      </c>
      <c r="C187" s="2"/>
      <c r="D187" s="2"/>
      <c r="E187" s="2"/>
      <c r="F187" s="3"/>
      <c r="G187" s="3"/>
      <c r="H187" s="3"/>
      <c r="I187" s="3"/>
      <c r="J187" s="3"/>
      <c r="K187" s="3"/>
      <c r="L187" s="3"/>
      <c r="M187" s="3"/>
      <c r="N187" s="3"/>
      <c r="O187" s="3"/>
      <c r="P187" s="3"/>
      <c r="Q187" s="3"/>
      <c r="R187" s="3"/>
      <c r="S187" s="3"/>
      <c r="T187" s="3"/>
      <c r="U187" s="3"/>
      <c r="V187" s="3"/>
      <c r="W187" s="3"/>
      <c r="X187" s="3"/>
      <c r="Y187" s="3"/>
      <c r="Z187" s="3"/>
    </row>
    <row r="188" spans="1:26" ht="12.75" customHeight="1">
      <c r="A188" s="1" t="s">
        <v>227</v>
      </c>
      <c r="B188" s="1">
        <f>AVERAGE(C179:C181)-AVERAGE(B179:B181)*B187</f>
        <v>-84.593512046591286</v>
      </c>
      <c r="C188" s="2"/>
      <c r="D188" s="2"/>
      <c r="E188" s="2"/>
      <c r="F188" s="3"/>
      <c r="G188" s="3"/>
      <c r="H188" s="3"/>
      <c r="I188" s="3"/>
      <c r="J188" s="3"/>
      <c r="K188" s="3"/>
      <c r="L188" s="3"/>
      <c r="M188" s="3"/>
      <c r="N188" s="3"/>
      <c r="O188" s="3"/>
      <c r="P188" s="3"/>
      <c r="Q188" s="3"/>
      <c r="R188" s="3"/>
      <c r="S188" s="3"/>
      <c r="T188" s="3"/>
      <c r="U188" s="3"/>
      <c r="V188" s="3"/>
      <c r="W188" s="3"/>
      <c r="X188" s="3"/>
      <c r="Y188" s="3"/>
      <c r="Z188" s="3"/>
    </row>
    <row r="189" spans="1:26" ht="12.75" customHeight="1">
      <c r="A189" s="1" t="s">
        <v>228</v>
      </c>
      <c r="B189" s="1">
        <f>B186*SQRT((1-B184^2)*(B183-2)/(B183-1))</f>
        <v>149.73470381958086</v>
      </c>
      <c r="C189" s="2"/>
      <c r="D189" s="2"/>
      <c r="E189" s="2"/>
      <c r="F189" s="3"/>
      <c r="G189" s="3"/>
      <c r="H189" s="3"/>
      <c r="I189" s="3"/>
      <c r="J189" s="3"/>
      <c r="K189" s="3"/>
      <c r="L189" s="3"/>
      <c r="M189" s="3"/>
      <c r="N189" s="3"/>
      <c r="O189" s="3"/>
      <c r="P189" s="3"/>
      <c r="Q189" s="3"/>
      <c r="R189" s="3"/>
      <c r="S189" s="3"/>
      <c r="T189" s="3"/>
      <c r="U189" s="3"/>
      <c r="V189" s="3"/>
      <c r="W189" s="3"/>
      <c r="X189" s="3"/>
      <c r="Y189" s="3"/>
      <c r="Z189" s="3"/>
    </row>
    <row r="190" spans="1:26" ht="12.75" customHeight="1">
      <c r="A190" s="1" t="s">
        <v>229</v>
      </c>
      <c r="B190" s="1">
        <f>B189/(B185*SQRT(B183-1))</f>
        <v>0.16638685084645261</v>
      </c>
      <c r="C190" s="2"/>
      <c r="D190" s="2"/>
      <c r="E190" s="2"/>
      <c r="F190" s="3"/>
      <c r="G190" s="3"/>
      <c r="H190" s="3"/>
      <c r="I190" s="3"/>
      <c r="J190" s="3"/>
      <c r="K190" s="3"/>
      <c r="L190" s="3"/>
      <c r="M190" s="3"/>
      <c r="N190" s="3"/>
      <c r="O190" s="3"/>
      <c r="P190" s="3"/>
      <c r="Q190" s="3"/>
      <c r="R190" s="3"/>
      <c r="S190" s="3"/>
      <c r="T190" s="3"/>
      <c r="U190" s="3"/>
      <c r="V190" s="3"/>
      <c r="W190" s="3"/>
      <c r="X190" s="3"/>
      <c r="Y190" s="3"/>
      <c r="Z190" s="3"/>
    </row>
    <row r="191" spans="1:26" ht="12.75" customHeight="1">
      <c r="A191" s="1" t="s">
        <v>230</v>
      </c>
      <c r="B191" s="1">
        <f>B187/B190</f>
        <v>17.289610557611784</v>
      </c>
      <c r="C191" s="2"/>
      <c r="D191" s="2"/>
      <c r="E191" s="2"/>
      <c r="F191" s="3"/>
      <c r="G191" s="3"/>
      <c r="H191" s="3"/>
      <c r="I191" s="3"/>
      <c r="J191" s="3"/>
      <c r="K191" s="3"/>
      <c r="L191" s="3"/>
      <c r="M191" s="3"/>
      <c r="N191" s="3"/>
      <c r="O191" s="3"/>
      <c r="P191" s="3"/>
      <c r="Q191" s="3"/>
      <c r="R191" s="3"/>
      <c r="S191" s="3"/>
      <c r="T191" s="3"/>
      <c r="U191" s="3"/>
      <c r="V191" s="3"/>
      <c r="W191" s="3"/>
      <c r="X191" s="3"/>
      <c r="Y191" s="3"/>
      <c r="Z191" s="3"/>
    </row>
    <row r="192" spans="1:26" ht="12.75" customHeight="1">
      <c r="A192" s="1" t="s">
        <v>231</v>
      </c>
      <c r="B192" s="1">
        <f>B183-2</f>
        <v>1</v>
      </c>
      <c r="C192" s="2"/>
      <c r="D192" s="2"/>
      <c r="E192" s="2"/>
      <c r="F192" s="3"/>
      <c r="G192" s="3"/>
      <c r="H192" s="3"/>
      <c r="I192" s="3"/>
      <c r="J192" s="3"/>
      <c r="K192" s="3"/>
      <c r="L192" s="3"/>
      <c r="M192" s="3"/>
      <c r="N192" s="3"/>
      <c r="O192" s="3"/>
      <c r="P192" s="3"/>
      <c r="Q192" s="3"/>
      <c r="R192" s="3"/>
      <c r="S192" s="3"/>
      <c r="T192" s="3"/>
      <c r="U192" s="3"/>
      <c r="V192" s="3"/>
      <c r="W192" s="3"/>
      <c r="X192" s="3"/>
      <c r="Y192" s="3"/>
      <c r="Z192" s="3"/>
    </row>
    <row r="193" spans="1:26" ht="12.75" customHeight="1">
      <c r="A193" s="22" t="s">
        <v>232</v>
      </c>
      <c r="B193" s="22">
        <f>TDIST(B191,B192,2)</f>
        <v>3.6779967135364293E-2</v>
      </c>
      <c r="C193" s="2"/>
      <c r="D193" s="2"/>
      <c r="E193" s="2"/>
      <c r="F193" s="3"/>
      <c r="G193" s="3"/>
      <c r="H193" s="3"/>
      <c r="I193" s="3"/>
      <c r="J193" s="3"/>
      <c r="K193" s="3"/>
      <c r="L193" s="3"/>
      <c r="M193" s="3"/>
      <c r="N193" s="3"/>
      <c r="O193" s="3"/>
      <c r="P193" s="3"/>
      <c r="Q193" s="3"/>
      <c r="R193" s="3"/>
      <c r="S193" s="3"/>
      <c r="T193" s="3"/>
      <c r="U193" s="3"/>
      <c r="V193" s="3"/>
      <c r="W193" s="3"/>
      <c r="X193" s="3"/>
      <c r="Y193" s="3"/>
      <c r="Z193" s="3"/>
    </row>
    <row r="194" spans="1:26" ht="12.75" customHeight="1">
      <c r="A194" s="1" t="s">
        <v>233</v>
      </c>
      <c r="B194" s="1">
        <v>0.05</v>
      </c>
      <c r="C194" s="2"/>
      <c r="D194" s="2"/>
      <c r="E194" s="2"/>
      <c r="F194" s="3"/>
      <c r="G194" s="3"/>
      <c r="H194" s="3"/>
      <c r="I194" s="3"/>
      <c r="J194" s="3"/>
      <c r="K194" s="3"/>
      <c r="L194" s="3"/>
      <c r="M194" s="3"/>
      <c r="N194" s="3"/>
      <c r="O194" s="3"/>
      <c r="P194" s="3"/>
      <c r="Q194" s="3"/>
      <c r="R194" s="3"/>
      <c r="S194" s="3"/>
      <c r="T194" s="3"/>
      <c r="U194" s="3"/>
      <c r="V194" s="3"/>
      <c r="W194" s="3"/>
      <c r="X194" s="3"/>
      <c r="Y194" s="3"/>
      <c r="Z194" s="3"/>
    </row>
    <row r="195" spans="1:26" ht="12.75" customHeight="1">
      <c r="A195" s="1" t="s">
        <v>234</v>
      </c>
      <c r="B195" s="1">
        <f>TINV(B194,B192)</f>
        <v>12.706204736174707</v>
      </c>
      <c r="C195" s="2"/>
      <c r="D195" s="2"/>
      <c r="E195" s="2"/>
      <c r="F195" s="3"/>
      <c r="G195" s="3"/>
      <c r="H195" s="3"/>
      <c r="I195" s="3"/>
      <c r="J195" s="3"/>
      <c r="K195" s="3"/>
      <c r="L195" s="3"/>
      <c r="M195" s="3"/>
      <c r="N195" s="3"/>
      <c r="O195" s="3"/>
      <c r="P195" s="3"/>
      <c r="Q195" s="3"/>
      <c r="R195" s="3"/>
      <c r="S195" s="3"/>
      <c r="T195" s="3"/>
      <c r="U195" s="3"/>
      <c r="V195" s="3"/>
      <c r="W195" s="3"/>
      <c r="X195" s="3"/>
      <c r="Y195" s="3"/>
      <c r="Z195" s="3"/>
    </row>
    <row r="196" spans="1:26" ht="12.75" customHeight="1">
      <c r="A196" s="1" t="s">
        <v>235</v>
      </c>
      <c r="B196" s="18" t="str">
        <f>IF(B191&gt;B195,"yes", "no")</f>
        <v>yes</v>
      </c>
      <c r="C196" s="2"/>
      <c r="D196" s="2"/>
      <c r="E196" s="2"/>
      <c r="F196" s="3"/>
      <c r="G196" s="3"/>
      <c r="H196" s="3"/>
      <c r="I196" s="3"/>
      <c r="J196" s="3"/>
      <c r="K196" s="3"/>
      <c r="L196" s="3"/>
      <c r="M196" s="3"/>
      <c r="N196" s="3"/>
      <c r="O196" s="3"/>
      <c r="P196" s="3"/>
      <c r="Q196" s="3"/>
      <c r="R196" s="3"/>
      <c r="S196" s="3"/>
      <c r="T196" s="3"/>
      <c r="U196" s="3"/>
      <c r="V196" s="3"/>
      <c r="W196" s="3"/>
      <c r="X196" s="3"/>
      <c r="Y196" s="3"/>
      <c r="Z196" s="3"/>
    </row>
    <row r="197" spans="1:26" ht="12.75" customHeight="1">
      <c r="A197" s="1"/>
      <c r="B197" s="1"/>
      <c r="C197" s="2"/>
      <c r="D197" s="2"/>
      <c r="E197" s="2"/>
      <c r="F197" s="3"/>
      <c r="G197" s="3"/>
      <c r="H197" s="3"/>
      <c r="I197" s="3"/>
      <c r="J197" s="3"/>
      <c r="K197" s="3"/>
      <c r="L197" s="3"/>
      <c r="M197" s="3"/>
      <c r="N197" s="3"/>
      <c r="O197" s="3"/>
      <c r="P197" s="3"/>
      <c r="Q197" s="3"/>
      <c r="R197" s="3"/>
      <c r="S197" s="3"/>
      <c r="T197" s="3"/>
      <c r="U197" s="3"/>
      <c r="V197" s="3"/>
      <c r="W197" s="3"/>
      <c r="X197" s="3"/>
      <c r="Y197" s="3"/>
      <c r="Z197" s="3"/>
    </row>
    <row r="198" spans="1:26" ht="12.75" customHeight="1">
      <c r="A198" s="1"/>
      <c r="B198" s="1"/>
      <c r="C198" s="2"/>
      <c r="D198" s="2"/>
      <c r="E198" s="2"/>
      <c r="F198" s="3"/>
      <c r="G198" s="3"/>
      <c r="H198" s="3"/>
      <c r="I198" s="3"/>
      <c r="J198" s="3"/>
      <c r="K198" s="3"/>
      <c r="L198" s="3"/>
      <c r="M198" s="3"/>
      <c r="N198" s="3"/>
      <c r="O198" s="3"/>
      <c r="P198" s="3"/>
      <c r="Q198" s="3"/>
      <c r="R198" s="3"/>
      <c r="S198" s="3"/>
      <c r="T198" s="3"/>
      <c r="U198" s="3"/>
      <c r="V198" s="3"/>
      <c r="W198" s="3"/>
      <c r="X198" s="3"/>
      <c r="Y198" s="3"/>
      <c r="Z198" s="3"/>
    </row>
    <row r="199" spans="1:26" ht="12.75" customHeight="1">
      <c r="A199" s="1" t="s">
        <v>236</v>
      </c>
      <c r="B199" s="2"/>
      <c r="C199" s="2"/>
      <c r="D199" s="2"/>
      <c r="E199" s="2"/>
      <c r="F199" s="3"/>
      <c r="G199" s="3"/>
      <c r="H199" s="3"/>
      <c r="I199" s="3"/>
      <c r="J199" s="3"/>
      <c r="K199" s="3"/>
      <c r="L199" s="3"/>
      <c r="M199" s="3"/>
      <c r="N199" s="3"/>
      <c r="O199" s="3"/>
      <c r="P199" s="3"/>
      <c r="Q199" s="3"/>
      <c r="R199" s="3"/>
      <c r="S199" s="3"/>
      <c r="T199" s="3"/>
      <c r="U199" s="3"/>
      <c r="V199" s="3"/>
      <c r="W199" s="3"/>
      <c r="X199" s="3"/>
      <c r="Y199" s="3"/>
      <c r="Z199" s="3"/>
    </row>
    <row r="200" spans="1:26" ht="12.75" customHeight="1">
      <c r="A200" s="1" t="s">
        <v>237</v>
      </c>
      <c r="B200" s="2"/>
      <c r="C200" s="2"/>
      <c r="D200" s="2"/>
      <c r="E200" s="2"/>
      <c r="F200" s="3"/>
      <c r="G200" s="3"/>
      <c r="H200" s="3"/>
      <c r="I200" s="3"/>
      <c r="J200" s="3"/>
      <c r="K200" s="3"/>
      <c r="L200" s="3"/>
      <c r="M200" s="3"/>
      <c r="N200" s="3"/>
      <c r="O200" s="3"/>
      <c r="P200" s="3"/>
      <c r="Q200" s="3"/>
      <c r="R200" s="3"/>
      <c r="S200" s="3"/>
      <c r="T200" s="3"/>
      <c r="U200" s="3"/>
      <c r="V200" s="3"/>
      <c r="W200" s="3"/>
      <c r="X200" s="3"/>
      <c r="Y200" s="3"/>
      <c r="Z200" s="3"/>
    </row>
    <row r="201" spans="1:26" ht="12.75" customHeight="1">
      <c r="A201" s="1" t="s">
        <v>238</v>
      </c>
      <c r="B201" s="23">
        <f t="shared" ref="B201:B202" si="6">B187</f>
        <v>2.8767638530426041</v>
      </c>
      <c r="C201" s="2"/>
      <c r="D201" s="2"/>
      <c r="E201" s="2"/>
      <c r="F201" s="3"/>
      <c r="G201" s="3"/>
      <c r="H201" s="3"/>
      <c r="I201" s="3"/>
      <c r="J201" s="3"/>
      <c r="K201" s="3"/>
      <c r="L201" s="3"/>
      <c r="M201" s="3"/>
      <c r="N201" s="3"/>
      <c r="O201" s="3"/>
      <c r="P201" s="3"/>
      <c r="Q201" s="3"/>
      <c r="R201" s="3"/>
      <c r="S201" s="3"/>
      <c r="T201" s="3"/>
      <c r="U201" s="3"/>
      <c r="V201" s="3"/>
      <c r="W201" s="3"/>
      <c r="X201" s="3"/>
      <c r="Y201" s="3"/>
      <c r="Z201" s="3"/>
    </row>
    <row r="202" spans="1:26" ht="12.75" customHeight="1">
      <c r="A202" s="1" t="s">
        <v>239</v>
      </c>
      <c r="B202" s="23">
        <f t="shared" si="6"/>
        <v>-84.593512046591286</v>
      </c>
      <c r="C202" s="2"/>
      <c r="D202" s="1"/>
      <c r="E202" s="2"/>
      <c r="F202" s="3"/>
      <c r="G202" s="3"/>
      <c r="H202" s="3"/>
      <c r="I202" s="3"/>
      <c r="J202" s="3"/>
      <c r="K202" s="3"/>
      <c r="L202" s="3"/>
      <c r="M202" s="3"/>
      <c r="N202" s="3"/>
      <c r="O202" s="3"/>
      <c r="P202" s="3"/>
      <c r="Q202" s="3"/>
      <c r="R202" s="3"/>
      <c r="S202" s="3"/>
      <c r="T202" s="3"/>
      <c r="U202" s="3"/>
      <c r="V202" s="3"/>
      <c r="W202" s="3"/>
      <c r="X202" s="3"/>
      <c r="Y202" s="3"/>
      <c r="Z202" s="3"/>
    </row>
    <row r="203" spans="1:26" ht="12.75" customHeight="1">
      <c r="A203" s="1" t="s">
        <v>445</v>
      </c>
      <c r="B203" s="2"/>
      <c r="C203" s="2"/>
      <c r="D203" s="1"/>
      <c r="E203" s="2"/>
      <c r="F203" s="3"/>
      <c r="G203" s="3"/>
      <c r="H203" s="3"/>
      <c r="I203" s="3"/>
      <c r="J203" s="3"/>
      <c r="K203" s="3"/>
      <c r="L203" s="3"/>
      <c r="M203" s="3"/>
      <c r="N203" s="3"/>
      <c r="O203" s="3"/>
      <c r="P203" s="3"/>
      <c r="Q203" s="3"/>
      <c r="R203" s="3"/>
      <c r="S203" s="3"/>
      <c r="T203" s="3"/>
      <c r="U203" s="3"/>
      <c r="V203" s="3"/>
      <c r="W203" s="3"/>
      <c r="X203" s="3"/>
      <c r="Y203" s="3"/>
      <c r="Z203" s="3"/>
    </row>
    <row r="204" spans="1:26" ht="12.75" customHeight="1">
      <c r="A204" s="1" t="s">
        <v>446</v>
      </c>
      <c r="B204" s="2"/>
      <c r="C204" s="2"/>
      <c r="D204" s="1"/>
      <c r="E204" s="2"/>
      <c r="F204" s="3"/>
      <c r="G204" s="3"/>
      <c r="H204" s="3"/>
      <c r="I204" s="3"/>
      <c r="J204" s="3"/>
      <c r="K204" s="3"/>
      <c r="L204" s="3"/>
      <c r="M204" s="3"/>
      <c r="N204" s="3"/>
      <c r="O204" s="3"/>
      <c r="P204" s="3"/>
      <c r="Q204" s="3"/>
      <c r="R204" s="3"/>
      <c r="S204" s="3"/>
      <c r="T204" s="3"/>
      <c r="U204" s="3"/>
      <c r="V204" s="3"/>
      <c r="W204" s="3"/>
      <c r="X204" s="3"/>
      <c r="Y204" s="3"/>
      <c r="Z204" s="3"/>
    </row>
    <row r="205" spans="1:26" ht="12.75" customHeight="1">
      <c r="A205" s="1" t="s">
        <v>242</v>
      </c>
      <c r="B205" s="2">
        <f>(B184)^2</f>
        <v>0.98679565695519555</v>
      </c>
      <c r="C205" s="2"/>
      <c r="D205" s="1"/>
      <c r="E205" s="2"/>
      <c r="F205" s="3"/>
      <c r="G205" s="3"/>
      <c r="H205" s="3"/>
      <c r="I205" s="3"/>
      <c r="J205" s="3"/>
      <c r="K205" s="3"/>
      <c r="L205" s="3"/>
      <c r="M205" s="3"/>
      <c r="N205" s="3"/>
      <c r="O205" s="3"/>
      <c r="P205" s="3"/>
      <c r="Q205" s="3"/>
      <c r="R205" s="3"/>
      <c r="S205" s="3"/>
      <c r="T205" s="3"/>
      <c r="U205" s="3"/>
      <c r="V205" s="3"/>
      <c r="W205" s="3"/>
      <c r="X205" s="3"/>
      <c r="Y205" s="3"/>
      <c r="Z205" s="3"/>
    </row>
    <row r="206" spans="1:26" ht="12.75" customHeight="1">
      <c r="A206" s="1" t="s">
        <v>243</v>
      </c>
      <c r="B206" s="1">
        <f>B193</f>
        <v>3.6779967135364293E-2</v>
      </c>
      <c r="C206" s="2"/>
      <c r="D206" s="1"/>
      <c r="E206" s="2"/>
      <c r="F206" s="3"/>
      <c r="G206" s="3"/>
      <c r="H206" s="3"/>
      <c r="I206" s="3"/>
      <c r="J206" s="3"/>
      <c r="K206" s="3"/>
      <c r="L206" s="3"/>
      <c r="M206" s="3"/>
      <c r="N206" s="3"/>
      <c r="O206" s="3"/>
      <c r="P206" s="3"/>
      <c r="Q206" s="3"/>
      <c r="R206" s="3"/>
      <c r="S206" s="3"/>
      <c r="T206" s="3"/>
      <c r="U206" s="3"/>
      <c r="V206" s="3"/>
      <c r="W206" s="3"/>
      <c r="X206" s="3"/>
      <c r="Y206" s="3"/>
      <c r="Z206" s="3"/>
    </row>
    <row r="207" spans="1:26" ht="12.75" customHeight="1">
      <c r="A207" s="2"/>
      <c r="B207" s="2"/>
      <c r="C207" s="2"/>
      <c r="D207" s="1"/>
      <c r="E207" s="2"/>
      <c r="F207" s="3"/>
      <c r="G207" s="3"/>
      <c r="H207" s="3"/>
      <c r="I207" s="3"/>
      <c r="J207" s="3"/>
      <c r="K207" s="3"/>
      <c r="L207" s="3"/>
      <c r="M207" s="3"/>
      <c r="N207" s="3"/>
      <c r="O207" s="3"/>
      <c r="P207" s="3"/>
      <c r="Q207" s="3"/>
      <c r="R207" s="3"/>
      <c r="S207" s="3"/>
      <c r="T207" s="3"/>
      <c r="U207" s="3"/>
      <c r="V207" s="3"/>
      <c r="W207" s="3"/>
      <c r="X207" s="3"/>
      <c r="Y207" s="3"/>
      <c r="Z207" s="3"/>
    </row>
    <row r="208" spans="1:26" ht="12.75" customHeight="1">
      <c r="A208" s="2"/>
      <c r="B208" s="2"/>
      <c r="C208" s="2"/>
      <c r="D208" s="1"/>
      <c r="E208" s="2"/>
      <c r="F208" s="3"/>
      <c r="G208" s="3"/>
      <c r="H208" s="3"/>
      <c r="I208" s="3"/>
      <c r="J208" s="3"/>
      <c r="K208" s="3"/>
      <c r="L208" s="3"/>
      <c r="M208" s="3"/>
      <c r="N208" s="3"/>
      <c r="O208" s="3"/>
      <c r="P208" s="3"/>
      <c r="Q208" s="3"/>
      <c r="R208" s="3"/>
      <c r="S208" s="3"/>
      <c r="T208" s="3"/>
      <c r="U208" s="3"/>
      <c r="V208" s="3"/>
      <c r="W208" s="3"/>
      <c r="X208" s="3"/>
      <c r="Y208" s="3"/>
      <c r="Z208" s="3"/>
    </row>
    <row r="209" spans="1:26" ht="12.75" customHeight="1">
      <c r="A209" s="1" t="s">
        <v>95</v>
      </c>
      <c r="B209" s="1" t="s">
        <v>420</v>
      </c>
      <c r="C209" s="1" t="s">
        <v>219</v>
      </c>
      <c r="D209" s="1" t="s">
        <v>244</v>
      </c>
      <c r="E209" s="1" t="s">
        <v>245</v>
      </c>
      <c r="F209" s="3"/>
      <c r="G209" s="3"/>
      <c r="H209" s="3"/>
      <c r="I209" s="3"/>
      <c r="J209" s="3"/>
      <c r="K209" s="3"/>
      <c r="L209" s="3"/>
      <c r="M209" s="3"/>
      <c r="N209" s="3"/>
      <c r="O209" s="3"/>
      <c r="P209" s="3"/>
      <c r="Q209" s="3"/>
      <c r="R209" s="3"/>
      <c r="S209" s="3"/>
      <c r="T209" s="3"/>
      <c r="U209" s="3"/>
      <c r="V209" s="3"/>
      <c r="W209" s="3"/>
      <c r="X209" s="3"/>
      <c r="Y209" s="3"/>
      <c r="Z209" s="3"/>
    </row>
    <row r="210" spans="1:26" ht="12.75" customHeight="1">
      <c r="A210" s="22" t="s">
        <v>246</v>
      </c>
      <c r="B210" s="1">
        <v>467.47999999999996</v>
      </c>
      <c r="C210" s="1">
        <v>1200</v>
      </c>
      <c r="D210" s="2">
        <f t="shared" ref="D210:D212" si="7">B210*$B$201+$B$202</f>
        <v>1260.2360539737651</v>
      </c>
      <c r="E210" s="2"/>
      <c r="F210" s="3"/>
      <c r="G210" s="3"/>
      <c r="H210" s="3"/>
      <c r="I210" s="3"/>
      <c r="J210" s="3"/>
      <c r="K210" s="3"/>
      <c r="L210" s="3"/>
      <c r="M210" s="3"/>
      <c r="N210" s="3"/>
      <c r="O210" s="3"/>
      <c r="P210" s="3"/>
      <c r="Q210" s="3"/>
      <c r="R210" s="3"/>
      <c r="S210" s="3"/>
      <c r="T210" s="3"/>
      <c r="U210" s="3"/>
      <c r="V210" s="3"/>
      <c r="W210" s="3"/>
      <c r="X210" s="3"/>
      <c r="Y210" s="3"/>
      <c r="Z210" s="3"/>
    </row>
    <row r="211" spans="1:26" ht="12.75" customHeight="1">
      <c r="A211" s="1" t="s">
        <v>132</v>
      </c>
      <c r="B211" s="1">
        <v>813.95999999999992</v>
      </c>
      <c r="C211" s="1">
        <v>2016</v>
      </c>
      <c r="D211" s="2">
        <f t="shared" si="7"/>
        <v>2256.977193775967</v>
      </c>
      <c r="E211" s="2">
        <f t="shared" ref="E211:E212" si="8">ABS(D211-C211)/C211</f>
        <v>0.11953233818252329</v>
      </c>
      <c r="F211" s="3"/>
      <c r="G211" s="3"/>
      <c r="H211" s="3"/>
      <c r="I211" s="3"/>
      <c r="J211" s="3"/>
      <c r="K211" s="3"/>
      <c r="L211" s="3"/>
      <c r="M211" s="3"/>
      <c r="N211" s="3"/>
      <c r="O211" s="3"/>
      <c r="P211" s="3"/>
      <c r="Q211" s="3"/>
      <c r="R211" s="3"/>
      <c r="S211" s="3"/>
      <c r="T211" s="3"/>
      <c r="U211" s="3"/>
      <c r="V211" s="3"/>
      <c r="W211" s="3"/>
      <c r="X211" s="3"/>
      <c r="Y211" s="3"/>
      <c r="Z211" s="3"/>
    </row>
    <row r="212" spans="1:26" ht="12.75" customHeight="1">
      <c r="A212" s="1" t="s">
        <v>220</v>
      </c>
      <c r="B212" s="1">
        <v>1254.26</v>
      </c>
      <c r="C212" s="2">
        <v>3680</v>
      </c>
      <c r="D212" s="2">
        <f t="shared" si="7"/>
        <v>3523.616318270625</v>
      </c>
      <c r="E212" s="2">
        <f t="shared" si="8"/>
        <v>4.2495565687330157E-2</v>
      </c>
      <c r="F212" s="3"/>
      <c r="G212" s="3"/>
      <c r="H212" s="3"/>
      <c r="I212" s="3"/>
      <c r="J212" s="3"/>
      <c r="K212" s="3"/>
      <c r="L212" s="3"/>
      <c r="M212" s="3"/>
      <c r="N212" s="3"/>
      <c r="O212" s="3"/>
      <c r="P212" s="3"/>
      <c r="Q212" s="3"/>
      <c r="R212" s="3"/>
      <c r="S212" s="3"/>
      <c r="T212" s="3"/>
      <c r="U212" s="3"/>
      <c r="V212" s="3"/>
      <c r="W212" s="3"/>
      <c r="X212" s="3"/>
      <c r="Y212" s="3"/>
      <c r="Z212" s="3"/>
    </row>
    <row r="213" spans="1:26" ht="12.75" customHeight="1">
      <c r="A213" s="24" t="s">
        <v>221</v>
      </c>
      <c r="B213" s="1">
        <v>0</v>
      </c>
      <c r="C213" s="1">
        <v>0</v>
      </c>
      <c r="D213" s="2"/>
      <c r="E213" s="1"/>
      <c r="F213" s="3"/>
      <c r="G213" s="3"/>
      <c r="H213" s="3"/>
      <c r="I213" s="3"/>
      <c r="J213" s="3"/>
      <c r="K213" s="3"/>
      <c r="L213" s="3"/>
      <c r="M213" s="3"/>
      <c r="N213" s="3"/>
      <c r="O213" s="3"/>
      <c r="P213" s="3"/>
      <c r="Q213" s="3"/>
      <c r="R213" s="3"/>
      <c r="S213" s="3"/>
      <c r="T213" s="3"/>
      <c r="U213" s="3"/>
      <c r="V213" s="3"/>
      <c r="W213" s="3"/>
      <c r="X213" s="3"/>
      <c r="Y213" s="3"/>
      <c r="Z213" s="3"/>
    </row>
    <row r="214" spans="1:26" ht="12.75" customHeight="1">
      <c r="A214" s="2"/>
      <c r="B214" s="1"/>
      <c r="C214" s="1"/>
      <c r="D214" s="1" t="s">
        <v>247</v>
      </c>
      <c r="E214" s="2">
        <f>AVERAGE(E211:E212)</f>
        <v>8.101395193492672E-2</v>
      </c>
      <c r="F214" s="3"/>
      <c r="G214" s="3"/>
      <c r="H214" s="3"/>
      <c r="I214" s="3"/>
      <c r="J214" s="3"/>
      <c r="K214" s="3"/>
      <c r="L214" s="3"/>
      <c r="M214" s="3"/>
      <c r="N214" s="3"/>
      <c r="O214" s="3"/>
      <c r="P214" s="3"/>
      <c r="Q214" s="3"/>
      <c r="R214" s="3"/>
      <c r="S214" s="3"/>
      <c r="T214" s="3"/>
      <c r="U214" s="3"/>
      <c r="V214" s="3"/>
      <c r="W214" s="3"/>
      <c r="X214" s="3"/>
      <c r="Y214" s="3"/>
      <c r="Z214" s="3"/>
    </row>
    <row r="215" spans="1:26" ht="12.75" customHeight="1">
      <c r="A215" s="1"/>
      <c r="B215" s="2"/>
      <c r="C215" s="2"/>
      <c r="D215" s="2"/>
      <c r="E215" s="2"/>
      <c r="F215" s="3"/>
      <c r="G215" s="3"/>
      <c r="H215" s="3"/>
      <c r="I215" s="3"/>
      <c r="J215" s="3"/>
      <c r="K215" s="3"/>
      <c r="L215" s="3"/>
      <c r="M215" s="3"/>
      <c r="N215" s="3"/>
      <c r="O215" s="3"/>
      <c r="P215" s="3"/>
      <c r="Q215" s="3"/>
      <c r="R215" s="3"/>
      <c r="S215" s="3"/>
      <c r="T215" s="3"/>
      <c r="U215" s="3"/>
      <c r="V215" s="3"/>
      <c r="W215" s="3"/>
      <c r="X215" s="3"/>
      <c r="Y215" s="3"/>
      <c r="Z215" s="3"/>
    </row>
    <row r="216" spans="1:26" ht="12.75" customHeight="1">
      <c r="A216" s="22" t="s">
        <v>248</v>
      </c>
      <c r="B216" s="1"/>
      <c r="C216" s="1"/>
      <c r="D216" s="2"/>
      <c r="E216" s="2"/>
      <c r="F216" s="3"/>
      <c r="G216" s="3"/>
      <c r="H216" s="3"/>
      <c r="I216" s="3"/>
      <c r="J216" s="3"/>
      <c r="K216" s="3"/>
      <c r="L216" s="3"/>
      <c r="M216" s="3"/>
      <c r="N216" s="3"/>
      <c r="O216" s="3"/>
      <c r="P216" s="3"/>
      <c r="Q216" s="3"/>
      <c r="R216" s="3"/>
      <c r="S216" s="3"/>
      <c r="T216" s="3"/>
      <c r="U216" s="3"/>
      <c r="V216" s="3"/>
      <c r="W216" s="3"/>
      <c r="X216" s="3"/>
      <c r="Y216" s="3"/>
      <c r="Z216" s="3"/>
    </row>
    <row r="217" spans="1:26" ht="12.75" customHeight="1">
      <c r="A217" s="22"/>
      <c r="B217" s="2"/>
      <c r="C217" s="1"/>
      <c r="D217" s="2"/>
      <c r="E217" s="2"/>
      <c r="F217" s="3"/>
      <c r="G217" s="3"/>
      <c r="H217" s="3"/>
      <c r="I217" s="3"/>
      <c r="J217" s="3"/>
      <c r="K217" s="3"/>
      <c r="L217" s="3"/>
      <c r="M217" s="3"/>
      <c r="N217" s="3"/>
      <c r="O217" s="3"/>
      <c r="P217" s="3"/>
      <c r="Q217" s="3"/>
      <c r="R217" s="3"/>
      <c r="S217" s="3"/>
      <c r="T217" s="3"/>
      <c r="U217" s="3"/>
      <c r="V217" s="3"/>
      <c r="W217" s="3"/>
      <c r="X217" s="3"/>
      <c r="Y217" s="3"/>
      <c r="Z217" s="3"/>
    </row>
    <row r="218" spans="1:26" ht="12.75" customHeight="1">
      <c r="A218" s="1"/>
      <c r="B218" s="2"/>
      <c r="C218" s="2"/>
      <c r="D218" s="2"/>
      <c r="E218" s="2"/>
      <c r="F218" s="3"/>
      <c r="G218" s="3"/>
      <c r="H218" s="3"/>
      <c r="I218" s="3"/>
      <c r="J218" s="3"/>
      <c r="K218" s="3"/>
      <c r="L218" s="3"/>
      <c r="M218" s="3"/>
      <c r="N218" s="3"/>
      <c r="O218" s="3"/>
      <c r="P218" s="3"/>
      <c r="Q218" s="3"/>
      <c r="R218" s="3"/>
      <c r="S218" s="3"/>
      <c r="T218" s="3"/>
      <c r="U218" s="3"/>
      <c r="V218" s="3"/>
      <c r="W218" s="3"/>
      <c r="X218" s="3"/>
      <c r="Y218" s="3"/>
      <c r="Z218" s="3"/>
    </row>
    <row r="219" spans="1:26" ht="12.75" customHeight="1">
      <c r="A219" s="1" t="s">
        <v>253</v>
      </c>
      <c r="B219" s="2"/>
      <c r="C219" s="2"/>
      <c r="D219" s="2"/>
      <c r="E219" s="2"/>
      <c r="F219" s="3"/>
      <c r="G219" s="3"/>
      <c r="H219" s="3"/>
      <c r="I219" s="3"/>
      <c r="J219" s="3"/>
      <c r="K219" s="3"/>
      <c r="L219" s="3"/>
      <c r="M219" s="3"/>
      <c r="N219" s="3"/>
      <c r="O219" s="3"/>
      <c r="P219" s="3"/>
      <c r="Q219" s="3"/>
      <c r="R219" s="3"/>
      <c r="S219" s="3"/>
      <c r="T219" s="3"/>
      <c r="U219" s="3"/>
      <c r="V219" s="3"/>
      <c r="W219" s="3"/>
      <c r="X219" s="3"/>
      <c r="Y219" s="3"/>
      <c r="Z219" s="3"/>
    </row>
    <row r="220" spans="1:26" ht="12.75" customHeight="1">
      <c r="A220" s="1" t="s">
        <v>447</v>
      </c>
      <c r="B220" s="2"/>
      <c r="C220" s="2"/>
      <c r="D220" s="2"/>
      <c r="E220" s="2"/>
      <c r="F220" s="3"/>
      <c r="G220" s="3"/>
      <c r="H220" s="3"/>
      <c r="I220" s="3"/>
      <c r="J220" s="3"/>
      <c r="K220" s="3"/>
      <c r="L220" s="3"/>
      <c r="M220" s="3"/>
      <c r="N220" s="3"/>
      <c r="O220" s="3"/>
      <c r="P220" s="3"/>
      <c r="Q220" s="3"/>
      <c r="R220" s="3"/>
      <c r="S220" s="3"/>
      <c r="T220" s="3"/>
      <c r="U220" s="3"/>
      <c r="V220" s="3"/>
      <c r="W220" s="3"/>
      <c r="X220" s="3"/>
      <c r="Y220" s="3"/>
      <c r="Z220" s="3"/>
    </row>
    <row r="221" spans="1:26" ht="12.75" customHeight="1">
      <c r="A221" s="1" t="s">
        <v>448</v>
      </c>
      <c r="B221" s="2"/>
      <c r="C221" s="2"/>
      <c r="D221" s="2"/>
      <c r="E221" s="2"/>
      <c r="F221" s="3"/>
      <c r="G221" s="3"/>
      <c r="H221" s="3"/>
      <c r="I221" s="3"/>
      <c r="J221" s="3"/>
      <c r="K221" s="3"/>
      <c r="L221" s="3"/>
      <c r="M221" s="3"/>
      <c r="N221" s="3"/>
      <c r="O221" s="3"/>
      <c r="P221" s="3"/>
      <c r="Q221" s="3"/>
      <c r="R221" s="3"/>
      <c r="S221" s="3"/>
      <c r="T221" s="3"/>
      <c r="U221" s="3"/>
      <c r="V221" s="3"/>
      <c r="W221" s="3"/>
      <c r="X221" s="3"/>
      <c r="Y221" s="3"/>
      <c r="Z221" s="3"/>
    </row>
    <row r="222" spans="1:26" ht="15.75" customHeight="1">
      <c r="A222" s="2"/>
      <c r="B222" s="2"/>
      <c r="C222" s="2"/>
      <c r="D222" s="2"/>
      <c r="E222" s="2"/>
      <c r="F222" s="3"/>
      <c r="G222" s="3"/>
      <c r="H222" s="3"/>
      <c r="I222" s="3"/>
      <c r="J222" s="3"/>
      <c r="K222" s="3"/>
      <c r="L222" s="3"/>
      <c r="M222" s="3"/>
      <c r="N222" s="3"/>
      <c r="O222" s="3"/>
      <c r="P222" s="3"/>
      <c r="Q222" s="3"/>
      <c r="R222" s="3"/>
      <c r="S222" s="3"/>
      <c r="T222" s="3"/>
      <c r="U222" s="3"/>
      <c r="V222" s="3"/>
      <c r="W222" s="3"/>
      <c r="X222" s="3"/>
      <c r="Y222" s="3"/>
      <c r="Z222" s="3"/>
    </row>
    <row r="223" spans="1:26" ht="15.75" customHeight="1">
      <c r="A223" s="2"/>
      <c r="B223" s="2"/>
      <c r="C223" s="2"/>
      <c r="D223" s="2"/>
      <c r="E223" s="2"/>
      <c r="F223" s="3"/>
      <c r="G223" s="3"/>
      <c r="H223" s="3"/>
      <c r="I223" s="3"/>
      <c r="J223" s="3"/>
      <c r="K223" s="3"/>
      <c r="L223" s="3"/>
      <c r="M223" s="3"/>
      <c r="N223" s="3"/>
      <c r="O223" s="3"/>
      <c r="P223" s="3"/>
      <c r="Q223" s="3"/>
      <c r="R223" s="3"/>
      <c r="S223" s="3"/>
      <c r="T223" s="3"/>
      <c r="U223" s="3"/>
      <c r="V223" s="3"/>
      <c r="W223" s="3"/>
      <c r="X223" s="3"/>
      <c r="Y223" s="3"/>
      <c r="Z223" s="3"/>
    </row>
    <row r="224" spans="1:26" ht="15.75" customHeight="1">
      <c r="A224" s="2"/>
      <c r="B224" s="2"/>
      <c r="C224" s="2"/>
      <c r="D224" s="2"/>
      <c r="E224" s="2"/>
      <c r="F224" s="3"/>
      <c r="G224" s="3"/>
      <c r="H224" s="3"/>
      <c r="I224" s="3"/>
      <c r="J224" s="3"/>
      <c r="K224" s="3"/>
      <c r="L224" s="3"/>
      <c r="M224" s="3"/>
      <c r="N224" s="3"/>
      <c r="O224" s="3"/>
      <c r="P224" s="3"/>
      <c r="Q224" s="3"/>
      <c r="R224" s="3"/>
      <c r="S224" s="3"/>
      <c r="T224" s="3"/>
      <c r="U224" s="3"/>
      <c r="V224" s="3"/>
      <c r="W224" s="3"/>
      <c r="X224" s="3"/>
      <c r="Y224" s="3"/>
      <c r="Z224" s="3"/>
    </row>
    <row r="225" spans="1:26" ht="15.75" customHeight="1">
      <c r="A225" s="2"/>
      <c r="B225" s="2"/>
      <c r="C225" s="2"/>
      <c r="D225" s="2"/>
      <c r="E225" s="2"/>
      <c r="F225" s="3"/>
      <c r="G225" s="3"/>
      <c r="H225" s="3"/>
      <c r="I225" s="3"/>
      <c r="J225" s="3"/>
      <c r="K225" s="3"/>
      <c r="L225" s="3"/>
      <c r="M225" s="3"/>
      <c r="N225" s="3"/>
      <c r="O225" s="3"/>
      <c r="P225" s="3"/>
      <c r="Q225" s="3"/>
      <c r="R225" s="3"/>
      <c r="S225" s="3"/>
      <c r="T225" s="3"/>
      <c r="U225" s="3"/>
      <c r="V225" s="3"/>
      <c r="W225" s="3"/>
      <c r="X225" s="3"/>
      <c r="Y225" s="3"/>
      <c r="Z225" s="3"/>
    </row>
    <row r="226" spans="1:26" ht="15.75" customHeight="1">
      <c r="A226" s="2"/>
      <c r="B226" s="2"/>
      <c r="C226" s="2"/>
      <c r="D226" s="2"/>
      <c r="E226" s="2"/>
      <c r="F226" s="3"/>
      <c r="G226" s="3"/>
      <c r="H226" s="3"/>
      <c r="I226" s="3"/>
      <c r="J226" s="3"/>
      <c r="K226" s="3"/>
      <c r="L226" s="3"/>
      <c r="M226" s="3"/>
      <c r="N226" s="3"/>
      <c r="O226" s="3"/>
      <c r="P226" s="3"/>
      <c r="Q226" s="3"/>
      <c r="R226" s="3"/>
      <c r="S226" s="3"/>
      <c r="T226" s="3"/>
      <c r="U226" s="3"/>
      <c r="V226" s="3"/>
      <c r="W226" s="3"/>
      <c r="X226" s="3"/>
      <c r="Y226" s="3"/>
      <c r="Z226" s="3"/>
    </row>
    <row r="227" spans="1:26" ht="15.75" customHeight="1">
      <c r="A227" s="2"/>
      <c r="B227" s="2"/>
      <c r="C227" s="2"/>
      <c r="D227" s="2"/>
      <c r="E227" s="2"/>
      <c r="F227" s="3"/>
      <c r="G227" s="3"/>
      <c r="H227" s="3"/>
      <c r="I227" s="3"/>
      <c r="J227" s="3"/>
      <c r="K227" s="3"/>
      <c r="L227" s="3"/>
      <c r="M227" s="3"/>
      <c r="N227" s="3"/>
      <c r="O227" s="3"/>
      <c r="P227" s="3"/>
      <c r="Q227" s="3"/>
      <c r="R227" s="3"/>
      <c r="S227" s="3"/>
      <c r="T227" s="3"/>
      <c r="U227" s="3"/>
      <c r="V227" s="3"/>
      <c r="W227" s="3"/>
      <c r="X227" s="3"/>
      <c r="Y227" s="3"/>
      <c r="Z227" s="3"/>
    </row>
    <row r="228" spans="1:26" ht="15.75" customHeight="1">
      <c r="A228" s="2"/>
      <c r="B228" s="2"/>
      <c r="C228" s="2"/>
      <c r="D228" s="2"/>
      <c r="E228" s="2"/>
      <c r="F228" s="3"/>
      <c r="G228" s="3"/>
      <c r="H228" s="3"/>
      <c r="I228" s="3"/>
      <c r="J228" s="3"/>
      <c r="K228" s="3"/>
      <c r="L228" s="3"/>
      <c r="M228" s="3"/>
      <c r="N228" s="3"/>
      <c r="O228" s="3"/>
      <c r="P228" s="3"/>
      <c r="Q228" s="3"/>
      <c r="R228" s="3"/>
      <c r="S228" s="3"/>
      <c r="T228" s="3"/>
      <c r="U228" s="3"/>
      <c r="V228" s="3"/>
      <c r="W228" s="3"/>
      <c r="X228" s="3"/>
      <c r="Y228" s="3"/>
      <c r="Z228" s="3"/>
    </row>
    <row r="229" spans="1:26" ht="15.75" customHeight="1">
      <c r="A229" s="2"/>
      <c r="B229" s="2"/>
      <c r="C229" s="2"/>
      <c r="D229" s="2"/>
      <c r="E229" s="2"/>
      <c r="F229" s="3"/>
      <c r="G229" s="3"/>
      <c r="H229" s="3"/>
      <c r="I229" s="3"/>
      <c r="J229" s="3"/>
      <c r="K229" s="3"/>
      <c r="L229" s="3"/>
      <c r="M229" s="3"/>
      <c r="N229" s="3"/>
      <c r="O229" s="3"/>
      <c r="P229" s="3"/>
      <c r="Q229" s="3"/>
      <c r="R229" s="3"/>
      <c r="S229" s="3"/>
      <c r="T229" s="3"/>
      <c r="U229" s="3"/>
      <c r="V229" s="3"/>
      <c r="W229" s="3"/>
      <c r="X229" s="3"/>
      <c r="Y229" s="3"/>
      <c r="Z229" s="3"/>
    </row>
    <row r="230" spans="1:26" ht="15.75" customHeight="1">
      <c r="A230" s="2"/>
      <c r="B230" s="2"/>
      <c r="C230" s="2"/>
      <c r="D230" s="2"/>
      <c r="E230" s="2"/>
      <c r="F230" s="3"/>
      <c r="G230" s="3"/>
      <c r="H230" s="3"/>
      <c r="I230" s="3"/>
      <c r="J230" s="3"/>
      <c r="K230" s="3"/>
      <c r="L230" s="3"/>
      <c r="M230" s="3"/>
      <c r="N230" s="3"/>
      <c r="O230" s="3"/>
      <c r="P230" s="3"/>
      <c r="Q230" s="3"/>
      <c r="R230" s="3"/>
      <c r="S230" s="3"/>
      <c r="T230" s="3"/>
      <c r="U230" s="3"/>
      <c r="V230" s="3"/>
      <c r="W230" s="3"/>
      <c r="X230" s="3"/>
      <c r="Y230" s="3"/>
      <c r="Z230" s="3"/>
    </row>
    <row r="231" spans="1:26" ht="15.75" customHeight="1">
      <c r="A231" s="2"/>
      <c r="B231" s="2"/>
      <c r="C231" s="2"/>
      <c r="D231" s="2"/>
      <c r="E231" s="2"/>
      <c r="F231" s="3"/>
      <c r="G231" s="3"/>
      <c r="H231" s="3"/>
      <c r="I231" s="3"/>
      <c r="J231" s="3"/>
      <c r="K231" s="3"/>
      <c r="L231" s="3"/>
      <c r="M231" s="3"/>
      <c r="N231" s="3"/>
      <c r="O231" s="3"/>
      <c r="P231" s="3"/>
      <c r="Q231" s="3"/>
      <c r="R231" s="3"/>
      <c r="S231" s="3"/>
      <c r="T231" s="3"/>
      <c r="U231" s="3"/>
      <c r="V231" s="3"/>
      <c r="W231" s="3"/>
      <c r="X231" s="3"/>
      <c r="Y231" s="3"/>
      <c r="Z231" s="3"/>
    </row>
    <row r="232" spans="1:26" ht="15.75" customHeight="1">
      <c r="A232" s="2"/>
      <c r="B232" s="2"/>
      <c r="C232" s="2"/>
      <c r="D232" s="2"/>
      <c r="E232" s="2"/>
      <c r="F232" s="3"/>
      <c r="G232" s="3"/>
      <c r="H232" s="3"/>
      <c r="I232" s="3"/>
      <c r="J232" s="3"/>
      <c r="K232" s="3"/>
      <c r="L232" s="3"/>
      <c r="M232" s="3"/>
      <c r="N232" s="3"/>
      <c r="O232" s="3"/>
      <c r="P232" s="3"/>
      <c r="Q232" s="3"/>
      <c r="R232" s="3"/>
      <c r="S232" s="3"/>
      <c r="T232" s="3"/>
      <c r="U232" s="3"/>
      <c r="V232" s="3"/>
      <c r="W232" s="3"/>
      <c r="X232" s="3"/>
      <c r="Y232" s="3"/>
      <c r="Z232" s="3"/>
    </row>
    <row r="233" spans="1:26" ht="15.75" customHeight="1">
      <c r="A233" s="2"/>
      <c r="B233" s="2"/>
      <c r="C233" s="2"/>
      <c r="D233" s="2"/>
      <c r="E233" s="2"/>
      <c r="F233" s="3"/>
      <c r="G233" s="3"/>
      <c r="H233" s="3"/>
      <c r="I233" s="3"/>
      <c r="J233" s="3"/>
      <c r="K233" s="3"/>
      <c r="L233" s="3"/>
      <c r="M233" s="3"/>
      <c r="N233" s="3"/>
      <c r="O233" s="3"/>
      <c r="P233" s="3"/>
      <c r="Q233" s="3"/>
      <c r="R233" s="3"/>
      <c r="S233" s="3"/>
      <c r="T233" s="3"/>
      <c r="U233" s="3"/>
      <c r="V233" s="3"/>
      <c r="W233" s="3"/>
      <c r="X233" s="3"/>
      <c r="Y233" s="3"/>
      <c r="Z233" s="3"/>
    </row>
    <row r="234" spans="1:26" ht="15.75" customHeight="1">
      <c r="A234" s="2"/>
      <c r="B234" s="2"/>
      <c r="C234" s="2"/>
      <c r="D234" s="2"/>
      <c r="E234" s="2"/>
      <c r="F234" s="3"/>
      <c r="G234" s="3"/>
      <c r="H234" s="3"/>
      <c r="I234" s="3"/>
      <c r="J234" s="3"/>
      <c r="K234" s="3"/>
      <c r="L234" s="3"/>
      <c r="M234" s="3"/>
      <c r="N234" s="3"/>
      <c r="O234" s="3"/>
      <c r="P234" s="3"/>
      <c r="Q234" s="3"/>
      <c r="R234" s="3"/>
      <c r="S234" s="3"/>
      <c r="T234" s="3"/>
      <c r="U234" s="3"/>
      <c r="V234" s="3"/>
      <c r="W234" s="3"/>
      <c r="X234" s="3"/>
      <c r="Y234" s="3"/>
      <c r="Z234" s="3"/>
    </row>
    <row r="235" spans="1:26" ht="15.75" customHeight="1">
      <c r="A235" s="2"/>
      <c r="B235" s="2"/>
      <c r="C235" s="2"/>
      <c r="D235" s="2"/>
      <c r="E235" s="2"/>
      <c r="F235" s="3"/>
      <c r="G235" s="3"/>
      <c r="H235" s="3"/>
      <c r="I235" s="3"/>
      <c r="J235" s="3"/>
      <c r="K235" s="3"/>
      <c r="L235" s="3"/>
      <c r="M235" s="3"/>
      <c r="N235" s="3"/>
      <c r="O235" s="3"/>
      <c r="P235" s="3"/>
      <c r="Q235" s="3"/>
      <c r="R235" s="3"/>
      <c r="S235" s="3"/>
      <c r="T235" s="3"/>
      <c r="U235" s="3"/>
      <c r="V235" s="3"/>
      <c r="W235" s="3"/>
      <c r="X235" s="3"/>
      <c r="Y235" s="3"/>
      <c r="Z235" s="3"/>
    </row>
    <row r="236" spans="1:26" ht="15.75" customHeight="1">
      <c r="A236" s="2"/>
      <c r="B236" s="2"/>
      <c r="C236" s="2"/>
      <c r="D236" s="2"/>
      <c r="E236" s="2"/>
      <c r="F236" s="3"/>
      <c r="G236" s="3"/>
      <c r="H236" s="3"/>
      <c r="I236" s="3"/>
      <c r="J236" s="3"/>
      <c r="K236" s="3"/>
      <c r="L236" s="3"/>
      <c r="M236" s="3"/>
      <c r="N236" s="3"/>
      <c r="O236" s="3"/>
      <c r="P236" s="3"/>
      <c r="Q236" s="3"/>
      <c r="R236" s="3"/>
      <c r="S236" s="3"/>
      <c r="T236" s="3"/>
      <c r="U236" s="3"/>
      <c r="V236" s="3"/>
      <c r="W236" s="3"/>
      <c r="X236" s="3"/>
      <c r="Y236" s="3"/>
      <c r="Z236" s="3"/>
    </row>
    <row r="237" spans="1:26" ht="15.75" customHeight="1">
      <c r="A237" s="2"/>
      <c r="B237" s="2"/>
      <c r="C237" s="2"/>
      <c r="D237" s="2"/>
      <c r="E237" s="2"/>
      <c r="F237" s="3"/>
      <c r="G237" s="3"/>
      <c r="H237" s="3"/>
      <c r="I237" s="3"/>
      <c r="J237" s="3"/>
      <c r="K237" s="3"/>
      <c r="L237" s="3"/>
      <c r="M237" s="3"/>
      <c r="N237" s="3"/>
      <c r="O237" s="3"/>
      <c r="P237" s="3"/>
      <c r="Q237" s="3"/>
      <c r="R237" s="3"/>
      <c r="S237" s="3"/>
      <c r="T237" s="3"/>
      <c r="U237" s="3"/>
      <c r="V237" s="3"/>
      <c r="W237" s="3"/>
      <c r="X237" s="3"/>
      <c r="Y237" s="3"/>
      <c r="Z237" s="3"/>
    </row>
    <row r="238" spans="1:26" ht="15.75" customHeight="1">
      <c r="A238" s="2"/>
      <c r="B238" s="2"/>
      <c r="C238" s="2"/>
      <c r="D238" s="2"/>
      <c r="E238" s="2"/>
      <c r="F238" s="3"/>
      <c r="G238" s="3"/>
      <c r="H238" s="3"/>
      <c r="I238" s="3"/>
      <c r="J238" s="3"/>
      <c r="K238" s="3"/>
      <c r="L238" s="3"/>
      <c r="M238" s="3"/>
      <c r="N238" s="3"/>
      <c r="O238" s="3"/>
      <c r="P238" s="3"/>
      <c r="Q238" s="3"/>
      <c r="R238" s="3"/>
      <c r="S238" s="3"/>
      <c r="T238" s="3"/>
      <c r="U238" s="3"/>
      <c r="V238" s="3"/>
      <c r="W238" s="3"/>
      <c r="X238" s="3"/>
      <c r="Y238" s="3"/>
      <c r="Z238" s="3"/>
    </row>
    <row r="239" spans="1:26" ht="15.75" customHeight="1">
      <c r="A239" s="2"/>
      <c r="B239" s="2"/>
      <c r="C239" s="2"/>
      <c r="D239" s="2"/>
      <c r="E239" s="2"/>
      <c r="F239" s="3"/>
      <c r="G239" s="3"/>
      <c r="H239" s="3"/>
      <c r="I239" s="3"/>
      <c r="J239" s="3"/>
      <c r="K239" s="3"/>
      <c r="L239" s="3"/>
      <c r="M239" s="3"/>
      <c r="N239" s="3"/>
      <c r="O239" s="3"/>
      <c r="P239" s="3"/>
      <c r="Q239" s="3"/>
      <c r="R239" s="3"/>
      <c r="S239" s="3"/>
      <c r="T239" s="3"/>
      <c r="U239" s="3"/>
      <c r="V239" s="3"/>
      <c r="W239" s="3"/>
      <c r="X239" s="3"/>
      <c r="Y239" s="3"/>
      <c r="Z239" s="3"/>
    </row>
    <row r="240" spans="1:26" ht="15.75" customHeight="1">
      <c r="A240" s="2"/>
      <c r="B240" s="2"/>
      <c r="C240" s="2"/>
      <c r="D240" s="2"/>
      <c r="E240" s="2"/>
      <c r="F240" s="3"/>
      <c r="G240" s="3"/>
      <c r="H240" s="3"/>
      <c r="I240" s="3"/>
      <c r="J240" s="3"/>
      <c r="K240" s="3"/>
      <c r="L240" s="3"/>
      <c r="M240" s="3"/>
      <c r="N240" s="3"/>
      <c r="O240" s="3"/>
      <c r="P240" s="3"/>
      <c r="Q240" s="3"/>
      <c r="R240" s="3"/>
      <c r="S240" s="3"/>
      <c r="T240" s="3"/>
      <c r="U240" s="3"/>
      <c r="V240" s="3"/>
      <c r="W240" s="3"/>
      <c r="X240" s="3"/>
      <c r="Y240" s="3"/>
      <c r="Z240" s="3"/>
    </row>
    <row r="241" spans="1:26" ht="15.75" customHeight="1">
      <c r="A241" s="2"/>
      <c r="B241" s="2"/>
      <c r="C241" s="2"/>
      <c r="D241" s="2"/>
      <c r="E241" s="2"/>
      <c r="F241" s="3"/>
      <c r="G241" s="3"/>
      <c r="H241" s="3"/>
      <c r="I241" s="3"/>
      <c r="J241" s="3"/>
      <c r="K241" s="3"/>
      <c r="L241" s="3"/>
      <c r="M241" s="3"/>
      <c r="N241" s="3"/>
      <c r="O241" s="3"/>
      <c r="P241" s="3"/>
      <c r="Q241" s="3"/>
      <c r="R241" s="3"/>
      <c r="S241" s="3"/>
      <c r="T241" s="3"/>
      <c r="U241" s="3"/>
      <c r="V241" s="3"/>
      <c r="W241" s="3"/>
      <c r="X241" s="3"/>
      <c r="Y241" s="3"/>
      <c r="Z241" s="3"/>
    </row>
    <row r="242" spans="1:26" ht="15.75" customHeight="1">
      <c r="A242" s="2"/>
      <c r="B242" s="2"/>
      <c r="C242" s="2"/>
      <c r="D242" s="2"/>
      <c r="E242" s="2"/>
      <c r="F242" s="3"/>
      <c r="G242" s="3"/>
      <c r="H242" s="3"/>
      <c r="I242" s="3"/>
      <c r="J242" s="3"/>
      <c r="K242" s="3"/>
      <c r="L242" s="3"/>
      <c r="M242" s="3"/>
      <c r="N242" s="3"/>
      <c r="O242" s="3"/>
      <c r="P242" s="3"/>
      <c r="Q242" s="3"/>
      <c r="R242" s="3"/>
      <c r="S242" s="3"/>
      <c r="T242" s="3"/>
      <c r="U242" s="3"/>
      <c r="V242" s="3"/>
      <c r="W242" s="3"/>
      <c r="X242" s="3"/>
      <c r="Y242" s="3"/>
      <c r="Z242" s="3"/>
    </row>
    <row r="243" spans="1:26" ht="15.75" customHeight="1">
      <c r="A243" s="2"/>
      <c r="B243" s="2"/>
      <c r="C243" s="2"/>
      <c r="D243" s="2"/>
      <c r="E243" s="2"/>
      <c r="F243" s="3"/>
      <c r="G243" s="3"/>
      <c r="H243" s="3"/>
      <c r="I243" s="3"/>
      <c r="J243" s="3"/>
      <c r="K243" s="3"/>
      <c r="L243" s="3"/>
      <c r="M243" s="3"/>
      <c r="N243" s="3"/>
      <c r="O243" s="3"/>
      <c r="P243" s="3"/>
      <c r="Q243" s="3"/>
      <c r="R243" s="3"/>
      <c r="S243" s="3"/>
      <c r="T243" s="3"/>
      <c r="U243" s="3"/>
      <c r="V243" s="3"/>
      <c r="W243" s="3"/>
      <c r="X243" s="3"/>
      <c r="Y243" s="3"/>
      <c r="Z243" s="3"/>
    </row>
    <row r="244" spans="1:26" ht="15.75" customHeight="1">
      <c r="A244" s="2"/>
      <c r="B244" s="2"/>
      <c r="C244" s="2"/>
      <c r="D244" s="2"/>
      <c r="E244" s="2"/>
      <c r="F244" s="3"/>
      <c r="G244" s="3"/>
      <c r="H244" s="3"/>
      <c r="I244" s="3"/>
      <c r="J244" s="3"/>
      <c r="K244" s="3"/>
      <c r="L244" s="3"/>
      <c r="M244" s="3"/>
      <c r="N244" s="3"/>
      <c r="O244" s="3"/>
      <c r="P244" s="3"/>
      <c r="Q244" s="3"/>
      <c r="R244" s="3"/>
      <c r="S244" s="3"/>
      <c r="T244" s="3"/>
      <c r="U244" s="3"/>
      <c r="V244" s="3"/>
      <c r="W244" s="3"/>
      <c r="X244" s="3"/>
      <c r="Y244" s="3"/>
      <c r="Z244" s="3"/>
    </row>
    <row r="245" spans="1:26" ht="15.75" customHeight="1">
      <c r="A245" s="2"/>
      <c r="B245" s="2"/>
      <c r="C245" s="2"/>
      <c r="D245" s="2"/>
      <c r="E245" s="2"/>
      <c r="F245" s="3"/>
      <c r="G245" s="3"/>
      <c r="H245" s="3"/>
      <c r="I245" s="3"/>
      <c r="J245" s="3"/>
      <c r="K245" s="3"/>
      <c r="L245" s="3"/>
      <c r="M245" s="3"/>
      <c r="N245" s="3"/>
      <c r="O245" s="3"/>
      <c r="P245" s="3"/>
      <c r="Q245" s="3"/>
      <c r="R245" s="3"/>
      <c r="S245" s="3"/>
      <c r="T245" s="3"/>
      <c r="U245" s="3"/>
      <c r="V245" s="3"/>
      <c r="W245" s="3"/>
      <c r="X245" s="3"/>
      <c r="Y245" s="3"/>
      <c r="Z245" s="3"/>
    </row>
    <row r="246" spans="1:26" ht="15.75" customHeight="1">
      <c r="A246" s="2"/>
      <c r="B246" s="2"/>
      <c r="C246" s="2"/>
      <c r="D246" s="2"/>
      <c r="E246" s="2"/>
      <c r="F246" s="3"/>
      <c r="G246" s="3"/>
      <c r="H246" s="3"/>
      <c r="I246" s="3"/>
      <c r="J246" s="3"/>
      <c r="K246" s="3"/>
      <c r="L246" s="3"/>
      <c r="M246" s="3"/>
      <c r="N246" s="3"/>
      <c r="O246" s="3"/>
      <c r="P246" s="3"/>
      <c r="Q246" s="3"/>
      <c r="R246" s="3"/>
      <c r="S246" s="3"/>
      <c r="T246" s="3"/>
      <c r="U246" s="3"/>
      <c r="V246" s="3"/>
      <c r="W246" s="3"/>
      <c r="X246" s="3"/>
      <c r="Y246" s="3"/>
      <c r="Z246" s="3"/>
    </row>
    <row r="247" spans="1:26" ht="15.75" customHeight="1">
      <c r="A247" s="2"/>
      <c r="B247" s="2"/>
      <c r="C247" s="2"/>
      <c r="D247" s="2"/>
      <c r="E247" s="2"/>
      <c r="F247" s="3"/>
      <c r="G247" s="3"/>
      <c r="H247" s="3"/>
      <c r="I247" s="3"/>
      <c r="J247" s="3"/>
      <c r="K247" s="3"/>
      <c r="L247" s="3"/>
      <c r="M247" s="3"/>
      <c r="N247" s="3"/>
      <c r="O247" s="3"/>
      <c r="P247" s="3"/>
      <c r="Q247" s="3"/>
      <c r="R247" s="3"/>
      <c r="S247" s="3"/>
      <c r="T247" s="3"/>
      <c r="U247" s="3"/>
      <c r="V247" s="3"/>
      <c r="W247" s="3"/>
      <c r="X247" s="3"/>
      <c r="Y247" s="3"/>
      <c r="Z247" s="3"/>
    </row>
    <row r="248" spans="1:26" ht="15.75" customHeight="1">
      <c r="A248" s="2"/>
      <c r="B248" s="2"/>
      <c r="C248" s="2"/>
      <c r="D248" s="2"/>
      <c r="E248" s="2"/>
      <c r="F248" s="3"/>
      <c r="G248" s="3"/>
      <c r="H248" s="3"/>
      <c r="I248" s="3"/>
      <c r="J248" s="3"/>
      <c r="K248" s="3"/>
      <c r="L248" s="3"/>
      <c r="M248" s="3"/>
      <c r="N248" s="3"/>
      <c r="O248" s="3"/>
      <c r="P248" s="3"/>
      <c r="Q248" s="3"/>
      <c r="R248" s="3"/>
      <c r="S248" s="3"/>
      <c r="T248" s="3"/>
      <c r="U248" s="3"/>
      <c r="V248" s="3"/>
      <c r="W248" s="3"/>
      <c r="X248" s="3"/>
      <c r="Y248" s="3"/>
      <c r="Z248" s="3"/>
    </row>
    <row r="249" spans="1:26" ht="15.75" customHeight="1">
      <c r="A249" s="2"/>
      <c r="B249" s="2"/>
      <c r="C249" s="2"/>
      <c r="D249" s="2"/>
      <c r="E249" s="2"/>
      <c r="F249" s="3"/>
      <c r="G249" s="3"/>
      <c r="H249" s="3"/>
      <c r="I249" s="3"/>
      <c r="J249" s="3"/>
      <c r="K249" s="3"/>
      <c r="L249" s="3"/>
      <c r="M249" s="3"/>
      <c r="N249" s="3"/>
      <c r="O249" s="3"/>
      <c r="P249" s="3"/>
      <c r="Q249" s="3"/>
      <c r="R249" s="3"/>
      <c r="S249" s="3"/>
      <c r="T249" s="3"/>
      <c r="U249" s="3"/>
      <c r="V249" s="3"/>
      <c r="W249" s="3"/>
      <c r="X249" s="3"/>
      <c r="Y249" s="3"/>
      <c r="Z249" s="3"/>
    </row>
    <row r="250" spans="1:26" ht="15.75" customHeight="1">
      <c r="A250" s="2"/>
      <c r="B250" s="2"/>
      <c r="C250" s="2"/>
      <c r="D250" s="2"/>
      <c r="E250" s="2"/>
      <c r="F250" s="3"/>
      <c r="G250" s="3"/>
      <c r="H250" s="3"/>
      <c r="I250" s="3"/>
      <c r="J250" s="3"/>
      <c r="K250" s="3"/>
      <c r="L250" s="3"/>
      <c r="M250" s="3"/>
      <c r="N250" s="3"/>
      <c r="O250" s="3"/>
      <c r="P250" s="3"/>
      <c r="Q250" s="3"/>
      <c r="R250" s="3"/>
      <c r="S250" s="3"/>
      <c r="T250" s="3"/>
      <c r="U250" s="3"/>
      <c r="V250" s="3"/>
      <c r="W250" s="3"/>
      <c r="X250" s="3"/>
      <c r="Y250" s="3"/>
      <c r="Z250" s="3"/>
    </row>
    <row r="251" spans="1:26" ht="15.75" customHeight="1">
      <c r="A251" s="2"/>
      <c r="B251" s="2"/>
      <c r="C251" s="2"/>
      <c r="D251" s="2"/>
      <c r="E251" s="2"/>
      <c r="F251" s="3"/>
      <c r="G251" s="3"/>
      <c r="H251" s="3"/>
      <c r="I251" s="3"/>
      <c r="J251" s="3"/>
      <c r="K251" s="3"/>
      <c r="L251" s="3"/>
      <c r="M251" s="3"/>
      <c r="N251" s="3"/>
      <c r="O251" s="3"/>
      <c r="P251" s="3"/>
      <c r="Q251" s="3"/>
      <c r="R251" s="3"/>
      <c r="S251" s="3"/>
      <c r="T251" s="3"/>
      <c r="U251" s="3"/>
      <c r="V251" s="3"/>
      <c r="W251" s="3"/>
      <c r="X251" s="3"/>
      <c r="Y251" s="3"/>
      <c r="Z251" s="3"/>
    </row>
    <row r="252" spans="1:26" ht="15.75" customHeight="1">
      <c r="A252" s="2"/>
      <c r="B252" s="2"/>
      <c r="C252" s="2"/>
      <c r="D252" s="2"/>
      <c r="E252" s="2"/>
      <c r="F252" s="3"/>
      <c r="G252" s="3"/>
      <c r="H252" s="3"/>
      <c r="I252" s="3"/>
      <c r="J252" s="3"/>
      <c r="K252" s="3"/>
      <c r="L252" s="3"/>
      <c r="M252" s="3"/>
      <c r="N252" s="3"/>
      <c r="O252" s="3"/>
      <c r="P252" s="3"/>
      <c r="Q252" s="3"/>
      <c r="R252" s="3"/>
      <c r="S252" s="3"/>
      <c r="T252" s="3"/>
      <c r="U252" s="3"/>
      <c r="V252" s="3"/>
      <c r="W252" s="3"/>
      <c r="X252" s="3"/>
      <c r="Y252" s="3"/>
      <c r="Z252" s="3"/>
    </row>
    <row r="253" spans="1:26" ht="15.75" customHeight="1">
      <c r="A253" s="2"/>
      <c r="B253" s="2"/>
      <c r="C253" s="2"/>
      <c r="D253" s="2"/>
      <c r="E253" s="2"/>
      <c r="F253" s="3"/>
      <c r="G253" s="3"/>
      <c r="H253" s="3"/>
      <c r="I253" s="3"/>
      <c r="J253" s="3"/>
      <c r="K253" s="3"/>
      <c r="L253" s="3"/>
      <c r="M253" s="3"/>
      <c r="N253" s="3"/>
      <c r="O253" s="3"/>
      <c r="P253" s="3"/>
      <c r="Q253" s="3"/>
      <c r="R253" s="3"/>
      <c r="S253" s="3"/>
      <c r="T253" s="3"/>
      <c r="U253" s="3"/>
      <c r="V253" s="3"/>
      <c r="W253" s="3"/>
      <c r="X253" s="3"/>
      <c r="Y253" s="3"/>
      <c r="Z253" s="3"/>
    </row>
    <row r="254" spans="1:26" ht="15.75" customHeight="1">
      <c r="A254" s="2"/>
      <c r="B254" s="2"/>
      <c r="C254" s="2"/>
      <c r="D254" s="2"/>
      <c r="E254" s="2"/>
      <c r="F254" s="3"/>
      <c r="G254" s="3"/>
      <c r="H254" s="3"/>
      <c r="I254" s="3"/>
      <c r="J254" s="3"/>
      <c r="K254" s="3"/>
      <c r="L254" s="3"/>
      <c r="M254" s="3"/>
      <c r="N254" s="3"/>
      <c r="O254" s="3"/>
      <c r="P254" s="3"/>
      <c r="Q254" s="3"/>
      <c r="R254" s="3"/>
      <c r="S254" s="3"/>
      <c r="T254" s="3"/>
      <c r="U254" s="3"/>
      <c r="V254" s="3"/>
      <c r="W254" s="3"/>
      <c r="X254" s="3"/>
      <c r="Y254" s="3"/>
      <c r="Z254" s="3"/>
    </row>
    <row r="255" spans="1:26" ht="12.75" customHeight="1">
      <c r="A255" s="1"/>
      <c r="B255" s="2"/>
      <c r="C255" s="2"/>
      <c r="D255" s="2"/>
      <c r="E255" s="2"/>
      <c r="F255" s="3"/>
      <c r="G255" s="3"/>
      <c r="H255" s="3"/>
      <c r="I255" s="3"/>
      <c r="J255" s="3"/>
      <c r="K255" s="3"/>
      <c r="L255" s="3"/>
      <c r="M255" s="3"/>
      <c r="N255" s="3"/>
      <c r="O255" s="3"/>
      <c r="P255" s="3"/>
      <c r="Q255" s="3"/>
      <c r="R255" s="3"/>
      <c r="S255" s="3"/>
      <c r="T255" s="3"/>
      <c r="U255" s="3"/>
      <c r="V255" s="3"/>
      <c r="W255" s="3"/>
      <c r="X255" s="3"/>
      <c r="Y255" s="3"/>
      <c r="Z255" s="3"/>
    </row>
    <row r="256" spans="1:26" ht="15.75" customHeight="1">
      <c r="A256" s="2"/>
      <c r="B256" s="2"/>
      <c r="C256" s="2"/>
      <c r="D256" s="2"/>
      <c r="E256" s="2"/>
      <c r="F256" s="3"/>
      <c r="G256" s="3"/>
      <c r="H256" s="3"/>
      <c r="I256" s="3"/>
      <c r="J256" s="3"/>
      <c r="K256" s="3"/>
      <c r="L256" s="3"/>
      <c r="M256" s="3"/>
      <c r="N256" s="3"/>
      <c r="O256" s="3"/>
      <c r="P256" s="3"/>
      <c r="Q256" s="3"/>
      <c r="R256" s="3"/>
      <c r="S256" s="3"/>
      <c r="T256" s="3"/>
      <c r="U256" s="3"/>
      <c r="V256" s="3"/>
      <c r="W256" s="3"/>
      <c r="X256" s="3"/>
      <c r="Y256" s="3"/>
      <c r="Z256" s="3"/>
    </row>
    <row r="257" spans="1:26" ht="12.7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7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7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7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7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7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7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7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7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7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7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2.7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2.7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5"/>
  <sheetViews>
    <sheetView topLeftCell="A64" workbookViewId="0">
      <selection activeCell="L80" sqref="L80"/>
    </sheetView>
  </sheetViews>
  <sheetFormatPr defaultRowHeight="12.75"/>
  <sheetData>
    <row r="1" spans="1:8" s="78" customFormat="1">
      <c r="A1" s="78" t="s">
        <v>476</v>
      </c>
    </row>
    <row r="2" spans="1:8" s="78" customFormat="1"/>
    <row r="3" spans="1:8">
      <c r="A3" s="1" t="s">
        <v>96</v>
      </c>
    </row>
    <row r="4" spans="1:8" ht="15">
      <c r="A4" s="27" t="s">
        <v>292</v>
      </c>
      <c r="E4" t="s">
        <v>156</v>
      </c>
      <c r="H4" s="76" t="s">
        <v>133</v>
      </c>
    </row>
    <row r="5" spans="1:8" ht="15">
      <c r="A5" s="27" t="s">
        <v>293</v>
      </c>
      <c r="E5" t="s">
        <v>719</v>
      </c>
      <c r="H5" s="1" t="s">
        <v>135</v>
      </c>
    </row>
    <row r="6" spans="1:8" ht="15">
      <c r="A6" s="27" t="s">
        <v>294</v>
      </c>
      <c r="E6" t="s">
        <v>720</v>
      </c>
      <c r="H6" s="1" t="s">
        <v>137</v>
      </c>
    </row>
    <row r="7" spans="1:8" ht="15">
      <c r="A7" s="27" t="s">
        <v>295</v>
      </c>
      <c r="E7" t="s">
        <v>721</v>
      </c>
      <c r="H7" s="1" t="s">
        <v>139</v>
      </c>
    </row>
    <row r="8" spans="1:8" ht="15">
      <c r="A8" s="27" t="s">
        <v>200</v>
      </c>
      <c r="E8" t="s">
        <v>722</v>
      </c>
      <c r="H8" s="1" t="s">
        <v>140</v>
      </c>
    </row>
    <row r="9" spans="1:8" ht="15">
      <c r="A9" s="27" t="s">
        <v>296</v>
      </c>
      <c r="E9" t="s">
        <v>723</v>
      </c>
      <c r="H9" s="1" t="s">
        <v>141</v>
      </c>
    </row>
    <row r="10" spans="1:8" ht="15">
      <c r="A10" s="27" t="s">
        <v>297</v>
      </c>
      <c r="E10" t="s">
        <v>724</v>
      </c>
      <c r="H10" s="1" t="s">
        <v>142</v>
      </c>
    </row>
    <row r="11" spans="1:8" ht="15">
      <c r="A11" s="27" t="s">
        <v>298</v>
      </c>
      <c r="E11" t="s">
        <v>725</v>
      </c>
      <c r="H11" s="1" t="s">
        <v>143</v>
      </c>
    </row>
    <row r="12" spans="1:8" ht="15">
      <c r="A12" s="27" t="s">
        <v>299</v>
      </c>
      <c r="E12" t="s">
        <v>726</v>
      </c>
      <c r="H12" s="1" t="s">
        <v>144</v>
      </c>
    </row>
    <row r="13" spans="1:8" ht="15">
      <c r="A13" s="27" t="s">
        <v>300</v>
      </c>
      <c r="E13" t="s">
        <v>727</v>
      </c>
      <c r="H13" s="59" t="s">
        <v>145</v>
      </c>
    </row>
    <row r="14" spans="1:8" ht="15">
      <c r="A14" s="27" t="s">
        <v>301</v>
      </c>
      <c r="E14" t="s">
        <v>728</v>
      </c>
      <c r="H14" s="1" t="s">
        <v>146</v>
      </c>
    </row>
    <row r="15" spans="1:8" ht="15">
      <c r="A15" s="27" t="s">
        <v>302</v>
      </c>
      <c r="E15" t="s">
        <v>729</v>
      </c>
      <c r="H15" s="1" t="s">
        <v>147</v>
      </c>
    </row>
    <row r="16" spans="1:8" ht="15">
      <c r="A16" s="27" t="s">
        <v>303</v>
      </c>
      <c r="E16" t="s">
        <v>730</v>
      </c>
      <c r="H16" s="59" t="s">
        <v>148</v>
      </c>
    </row>
    <row r="17" spans="1:8" ht="15">
      <c r="A17" s="27" t="s">
        <v>304</v>
      </c>
      <c r="E17" t="s">
        <v>731</v>
      </c>
      <c r="H17" s="1" t="s">
        <v>149</v>
      </c>
    </row>
    <row r="18" spans="1:8" ht="15">
      <c r="A18" s="27" t="s">
        <v>305</v>
      </c>
      <c r="E18" t="s">
        <v>732</v>
      </c>
      <c r="H18" s="1" t="s">
        <v>150</v>
      </c>
    </row>
    <row r="19" spans="1:8" ht="15">
      <c r="A19" s="27" t="s">
        <v>306</v>
      </c>
      <c r="E19" t="s">
        <v>733</v>
      </c>
      <c r="H19" s="59" t="s">
        <v>151</v>
      </c>
    </row>
    <row r="20" spans="1:8" ht="15">
      <c r="A20" s="27" t="s">
        <v>307</v>
      </c>
      <c r="E20" t="s">
        <v>734</v>
      </c>
      <c r="H20" s="1" t="s">
        <v>152</v>
      </c>
    </row>
    <row r="21" spans="1:8" ht="15">
      <c r="A21" s="27" t="s">
        <v>308</v>
      </c>
      <c r="E21" t="s">
        <v>735</v>
      </c>
      <c r="H21" s="1" t="s">
        <v>153</v>
      </c>
    </row>
    <row r="22" spans="1:8" ht="15">
      <c r="A22" s="27" t="s">
        <v>139</v>
      </c>
      <c r="E22" t="s">
        <v>736</v>
      </c>
      <c r="H22" s="1" t="s">
        <v>154</v>
      </c>
    </row>
    <row r="23" spans="1:8" ht="15">
      <c r="A23" s="27" t="s">
        <v>146</v>
      </c>
      <c r="E23" t="s">
        <v>737</v>
      </c>
      <c r="H23" s="1" t="s">
        <v>155</v>
      </c>
    </row>
    <row r="24" spans="1:8" ht="15">
      <c r="A24" s="27" t="s">
        <v>309</v>
      </c>
      <c r="E24" s="61" t="s">
        <v>738</v>
      </c>
      <c r="H24" s="1" t="s">
        <v>156</v>
      </c>
    </row>
    <row r="25" spans="1:8" ht="15">
      <c r="A25" s="27" t="s">
        <v>310</v>
      </c>
      <c r="E25" s="61" t="s">
        <v>739</v>
      </c>
      <c r="H25" s="1" t="s">
        <v>157</v>
      </c>
    </row>
    <row r="26" spans="1:8" ht="15">
      <c r="A26" s="27" t="s">
        <v>311</v>
      </c>
      <c r="E26" t="s">
        <v>740</v>
      </c>
      <c r="H26" s="1" t="s">
        <v>158</v>
      </c>
    </row>
    <row r="27" spans="1:8" ht="15">
      <c r="A27" s="27" t="s">
        <v>147</v>
      </c>
      <c r="E27" t="s">
        <v>741</v>
      </c>
      <c r="H27" s="1" t="s">
        <v>159</v>
      </c>
    </row>
    <row r="28" spans="1:8">
      <c r="A28" s="61" t="s">
        <v>738</v>
      </c>
      <c r="E28" t="s">
        <v>742</v>
      </c>
      <c r="H28" s="1" t="s">
        <v>160</v>
      </c>
    </row>
    <row r="29" spans="1:8">
      <c r="A29" s="61" t="s">
        <v>739</v>
      </c>
      <c r="E29" t="s">
        <v>743</v>
      </c>
      <c r="H29" s="1" t="s">
        <v>161</v>
      </c>
    </row>
    <row r="30" spans="1:8">
      <c r="A30" s="59" t="s">
        <v>145</v>
      </c>
      <c r="H30" s="1" t="s">
        <v>162</v>
      </c>
    </row>
    <row r="31" spans="1:8">
      <c r="A31" s="59" t="s">
        <v>148</v>
      </c>
      <c r="H31" s="1" t="s">
        <v>163</v>
      </c>
    </row>
    <row r="32" spans="1:8">
      <c r="A32" s="59" t="s">
        <v>151</v>
      </c>
    </row>
    <row r="33" spans="1:14" s="78" customFormat="1">
      <c r="A33" s="59"/>
    </row>
    <row r="34" spans="1:14">
      <c r="A34" s="62" t="s">
        <v>747</v>
      </c>
    </row>
    <row r="35" spans="1:14" s="78" customFormat="1">
      <c r="A35" s="62"/>
    </row>
    <row r="36" spans="1:14">
      <c r="A36" s="1" t="s">
        <v>180</v>
      </c>
      <c r="E36" s="1" t="s">
        <v>180</v>
      </c>
      <c r="J36" s="1" t="s">
        <v>180</v>
      </c>
      <c r="K36" s="78"/>
      <c r="L36" s="78"/>
      <c r="M36" s="78"/>
      <c r="N36" s="1" t="s">
        <v>180</v>
      </c>
    </row>
    <row r="37" spans="1:14">
      <c r="A37" s="81" t="s">
        <v>216</v>
      </c>
      <c r="E37" s="1" t="s">
        <v>312</v>
      </c>
      <c r="J37" s="81" t="s">
        <v>216</v>
      </c>
      <c r="K37" s="78"/>
      <c r="L37" s="78"/>
      <c r="M37" s="78"/>
      <c r="N37" s="1" t="s">
        <v>312</v>
      </c>
    </row>
    <row r="38" spans="1:14">
      <c r="A38" s="1" t="s">
        <v>170</v>
      </c>
      <c r="E38" s="1" t="s">
        <v>199</v>
      </c>
      <c r="J38" s="1" t="s">
        <v>170</v>
      </c>
      <c r="K38" s="78"/>
      <c r="L38" s="78"/>
      <c r="M38" s="78"/>
      <c r="N38" s="1" t="s">
        <v>199</v>
      </c>
    </row>
    <row r="39" spans="1:14">
      <c r="A39" s="1" t="s">
        <v>199</v>
      </c>
      <c r="E39" s="1" t="s">
        <v>204</v>
      </c>
      <c r="J39" s="1" t="s">
        <v>199</v>
      </c>
      <c r="K39" s="78"/>
      <c r="L39" s="78"/>
      <c r="M39" s="78"/>
      <c r="N39" s="1" t="s">
        <v>204</v>
      </c>
    </row>
    <row r="40" spans="1:14">
      <c r="A40" s="1" t="s">
        <v>204</v>
      </c>
      <c r="E40" s="1" t="s">
        <v>191</v>
      </c>
      <c r="J40" s="1" t="s">
        <v>204</v>
      </c>
      <c r="K40" s="78"/>
      <c r="L40" s="78"/>
      <c r="M40" s="78"/>
      <c r="N40" s="1" t="s">
        <v>191</v>
      </c>
    </row>
    <row r="41" spans="1:14">
      <c r="A41" s="1" t="s">
        <v>191</v>
      </c>
      <c r="E41" s="1" t="s">
        <v>322</v>
      </c>
      <c r="J41" s="1" t="s">
        <v>191</v>
      </c>
      <c r="K41" s="78"/>
      <c r="L41" s="78"/>
      <c r="M41" s="78"/>
      <c r="N41" s="1" t="s">
        <v>322</v>
      </c>
    </row>
    <row r="42" spans="1:14">
      <c r="A42" s="1" t="s">
        <v>207</v>
      </c>
      <c r="E42" s="81" t="s">
        <v>319</v>
      </c>
      <c r="J42" s="1" t="s">
        <v>207</v>
      </c>
      <c r="K42" s="78"/>
      <c r="L42" s="78"/>
      <c r="M42" s="78"/>
      <c r="N42" s="81" t="s">
        <v>319</v>
      </c>
    </row>
    <row r="43" spans="1:14">
      <c r="A43" s="1" t="s">
        <v>200</v>
      </c>
      <c r="E43" s="1" t="s">
        <v>200</v>
      </c>
      <c r="J43" s="1" t="s">
        <v>200</v>
      </c>
      <c r="K43" s="78"/>
      <c r="L43" s="78"/>
      <c r="M43" s="78"/>
      <c r="N43" s="1" t="s">
        <v>200</v>
      </c>
    </row>
    <row r="44" spans="1:14">
      <c r="A44" s="1" t="s">
        <v>194</v>
      </c>
      <c r="E44" s="1" t="s">
        <v>194</v>
      </c>
      <c r="J44" s="1" t="s">
        <v>194</v>
      </c>
      <c r="K44" s="78"/>
      <c r="L44" s="78"/>
      <c r="M44" s="78"/>
      <c r="N44" s="1" t="s">
        <v>194</v>
      </c>
    </row>
    <row r="45" spans="1:14">
      <c r="A45" s="81" t="s">
        <v>185</v>
      </c>
      <c r="E45" s="1" t="s">
        <v>178</v>
      </c>
      <c r="J45" s="81" t="s">
        <v>185</v>
      </c>
      <c r="K45" s="78"/>
      <c r="L45" s="78"/>
      <c r="M45" s="78"/>
      <c r="N45" s="1" t="s">
        <v>178</v>
      </c>
    </row>
    <row r="46" spans="1:14">
      <c r="A46" s="1" t="s">
        <v>178</v>
      </c>
      <c r="E46" s="1" t="s">
        <v>195</v>
      </c>
      <c r="J46" s="1" t="s">
        <v>178</v>
      </c>
      <c r="K46" s="78"/>
      <c r="L46" s="78"/>
      <c r="M46" s="78"/>
      <c r="N46" s="1" t="s">
        <v>195</v>
      </c>
    </row>
    <row r="47" spans="1:14">
      <c r="A47" s="1" t="s">
        <v>195</v>
      </c>
      <c r="E47" s="1" t="s">
        <v>318</v>
      </c>
      <c r="J47" s="1" t="s">
        <v>195</v>
      </c>
      <c r="K47" s="78"/>
      <c r="L47" s="78"/>
      <c r="M47" s="78"/>
      <c r="N47" s="1" t="s">
        <v>318</v>
      </c>
    </row>
    <row r="48" spans="1:14">
      <c r="A48" s="81" t="s">
        <v>205</v>
      </c>
      <c r="E48" s="1" t="s">
        <v>323</v>
      </c>
      <c r="J48" s="81" t="s">
        <v>205</v>
      </c>
      <c r="K48" s="78"/>
      <c r="L48" s="78"/>
      <c r="M48" s="78"/>
      <c r="N48" s="1" t="s">
        <v>323</v>
      </c>
    </row>
    <row r="49" spans="1:14">
      <c r="A49" s="81" t="s">
        <v>209</v>
      </c>
      <c r="E49" s="1" t="s">
        <v>196</v>
      </c>
      <c r="J49" s="81" t="s">
        <v>209</v>
      </c>
      <c r="K49" s="78"/>
      <c r="L49" s="78"/>
      <c r="M49" s="78"/>
      <c r="N49" s="1" t="s">
        <v>196</v>
      </c>
    </row>
    <row r="50" spans="1:14">
      <c r="A50" s="81" t="s">
        <v>172</v>
      </c>
      <c r="E50" s="1" t="s">
        <v>169</v>
      </c>
      <c r="J50" s="81" t="s">
        <v>172</v>
      </c>
      <c r="K50" s="78"/>
      <c r="L50" s="78"/>
      <c r="M50" s="78"/>
      <c r="N50" s="1" t="s">
        <v>169</v>
      </c>
    </row>
    <row r="51" spans="1:14">
      <c r="A51" s="82" t="s">
        <v>186</v>
      </c>
      <c r="E51" s="1" t="s">
        <v>320</v>
      </c>
      <c r="J51" s="81" t="s">
        <v>167</v>
      </c>
      <c r="K51" s="78"/>
      <c r="L51" s="78"/>
      <c r="M51" s="78"/>
      <c r="N51" s="1" t="s">
        <v>320</v>
      </c>
    </row>
    <row r="52" spans="1:14">
      <c r="A52" s="81" t="s">
        <v>167</v>
      </c>
      <c r="E52" s="1" t="s">
        <v>197</v>
      </c>
      <c r="J52" s="20" t="s">
        <v>192</v>
      </c>
      <c r="K52" s="78"/>
      <c r="L52" s="78"/>
      <c r="M52" s="78"/>
      <c r="N52" s="1" t="s">
        <v>197</v>
      </c>
    </row>
    <row r="53" spans="1:14">
      <c r="A53" s="20" t="s">
        <v>192</v>
      </c>
      <c r="E53" s="1" t="s">
        <v>313</v>
      </c>
      <c r="J53" s="1" t="s">
        <v>206</v>
      </c>
      <c r="K53" s="78"/>
      <c r="L53" s="78"/>
      <c r="M53" s="78"/>
      <c r="N53" s="1" t="s">
        <v>313</v>
      </c>
    </row>
    <row r="54" spans="1:14">
      <c r="A54" s="1" t="s">
        <v>206</v>
      </c>
      <c r="E54" s="1" t="s">
        <v>187</v>
      </c>
      <c r="J54" s="81" t="s">
        <v>210</v>
      </c>
      <c r="K54" s="78"/>
      <c r="L54" s="78"/>
      <c r="M54" s="78"/>
      <c r="N54" s="1" t="s">
        <v>187</v>
      </c>
    </row>
    <row r="55" spans="1:14">
      <c r="A55" s="81" t="s">
        <v>210</v>
      </c>
      <c r="E55" s="1" t="s">
        <v>324</v>
      </c>
      <c r="J55" s="81" t="s">
        <v>208</v>
      </c>
      <c r="K55" s="78"/>
      <c r="L55" s="78"/>
      <c r="M55" s="78"/>
      <c r="N55" s="1" t="s">
        <v>324</v>
      </c>
    </row>
    <row r="56" spans="1:14">
      <c r="A56" s="81" t="s">
        <v>208</v>
      </c>
      <c r="E56" s="1" t="s">
        <v>190</v>
      </c>
      <c r="J56" s="81" t="s">
        <v>184</v>
      </c>
      <c r="K56" s="78"/>
      <c r="L56" s="78"/>
      <c r="M56" s="78"/>
      <c r="N56" s="1" t="s">
        <v>190</v>
      </c>
    </row>
    <row r="57" spans="1:14">
      <c r="A57" s="81" t="s">
        <v>184</v>
      </c>
      <c r="E57" s="1" t="s">
        <v>325</v>
      </c>
      <c r="J57" s="1" t="s">
        <v>196</v>
      </c>
      <c r="K57" s="78"/>
      <c r="L57" s="78"/>
      <c r="M57" s="78"/>
      <c r="N57" s="1" t="s">
        <v>325</v>
      </c>
    </row>
    <row r="58" spans="1:14">
      <c r="A58" s="1" t="s">
        <v>196</v>
      </c>
      <c r="E58" s="1" t="s">
        <v>181</v>
      </c>
      <c r="J58" s="1" t="s">
        <v>169</v>
      </c>
      <c r="K58" s="78"/>
      <c r="L58" s="78"/>
      <c r="M58" s="78"/>
      <c r="N58" s="1" t="s">
        <v>181</v>
      </c>
    </row>
    <row r="59" spans="1:14">
      <c r="A59" s="1" t="s">
        <v>169</v>
      </c>
      <c r="E59" s="1" t="s">
        <v>188</v>
      </c>
      <c r="J59" s="1" t="s">
        <v>193</v>
      </c>
      <c r="K59" s="78"/>
      <c r="L59" s="78"/>
      <c r="M59" s="78"/>
      <c r="N59" s="1" t="s">
        <v>188</v>
      </c>
    </row>
    <row r="60" spans="1:14">
      <c r="A60" s="1" t="s">
        <v>193</v>
      </c>
      <c r="E60" s="81" t="s">
        <v>326</v>
      </c>
      <c r="J60" s="1" t="s">
        <v>197</v>
      </c>
      <c r="K60" s="78"/>
      <c r="L60" s="78"/>
      <c r="M60" s="78"/>
      <c r="N60" s="81" t="s">
        <v>326</v>
      </c>
    </row>
    <row r="61" spans="1:14">
      <c r="A61" s="82" t="s">
        <v>218</v>
      </c>
      <c r="E61" s="1" t="s">
        <v>321</v>
      </c>
      <c r="J61" s="1" t="s">
        <v>177</v>
      </c>
      <c r="K61" s="78"/>
      <c r="L61" s="78"/>
      <c r="M61" s="78"/>
      <c r="N61" s="1" t="s">
        <v>321</v>
      </c>
    </row>
    <row r="62" spans="1:14">
      <c r="A62" s="1" t="s">
        <v>197</v>
      </c>
      <c r="E62" s="1" t="s">
        <v>314</v>
      </c>
      <c r="J62" s="3" t="s">
        <v>187</v>
      </c>
      <c r="K62" s="78"/>
      <c r="L62" s="78"/>
      <c r="M62" s="78"/>
      <c r="N62" s="1" t="s">
        <v>314</v>
      </c>
    </row>
    <row r="63" spans="1:14">
      <c r="A63" s="1" t="s">
        <v>177</v>
      </c>
      <c r="E63" s="1" t="s">
        <v>202</v>
      </c>
      <c r="J63" s="1" t="s">
        <v>182</v>
      </c>
      <c r="K63" s="78"/>
      <c r="L63" s="78"/>
      <c r="M63" s="78"/>
      <c r="N63" s="1" t="s">
        <v>202</v>
      </c>
    </row>
    <row r="64" spans="1:14">
      <c r="A64" s="3" t="s">
        <v>187</v>
      </c>
      <c r="E64" s="1" t="s">
        <v>203</v>
      </c>
      <c r="J64" s="1" t="s">
        <v>190</v>
      </c>
      <c r="K64" s="78"/>
      <c r="L64" s="78"/>
      <c r="M64" s="78"/>
      <c r="N64" s="1" t="s">
        <v>203</v>
      </c>
    </row>
    <row r="65" spans="1:14">
      <c r="A65" s="1" t="s">
        <v>182</v>
      </c>
      <c r="E65" s="1" t="s">
        <v>315</v>
      </c>
      <c r="J65" s="19" t="s">
        <v>181</v>
      </c>
      <c r="K65" s="78"/>
      <c r="L65" s="78"/>
      <c r="M65" s="78"/>
      <c r="N65" s="1" t="s">
        <v>315</v>
      </c>
    </row>
    <row r="66" spans="1:14">
      <c r="A66" s="1" t="s">
        <v>190</v>
      </c>
      <c r="E66" s="1" t="s">
        <v>198</v>
      </c>
      <c r="J66" s="1" t="s">
        <v>188</v>
      </c>
      <c r="K66" s="78"/>
      <c r="L66" s="78"/>
      <c r="M66" s="78"/>
      <c r="N66" s="1" t="s">
        <v>198</v>
      </c>
    </row>
    <row r="67" spans="1:14">
      <c r="A67" s="19" t="s">
        <v>181</v>
      </c>
      <c r="E67" s="1" t="s">
        <v>316</v>
      </c>
      <c r="J67" s="1" t="s">
        <v>213</v>
      </c>
      <c r="K67" s="78"/>
      <c r="L67" s="78"/>
      <c r="M67" s="78"/>
      <c r="N67" s="1" t="s">
        <v>316</v>
      </c>
    </row>
    <row r="68" spans="1:14">
      <c r="A68" s="1" t="s">
        <v>188</v>
      </c>
      <c r="E68" s="1" t="s">
        <v>317</v>
      </c>
      <c r="J68" s="1" t="s">
        <v>201</v>
      </c>
      <c r="K68" s="78"/>
      <c r="L68" s="78"/>
      <c r="M68" s="78"/>
      <c r="N68" s="1" t="s">
        <v>317</v>
      </c>
    </row>
    <row r="69" spans="1:14">
      <c r="A69" s="1" t="s">
        <v>213</v>
      </c>
      <c r="E69" s="1" t="s">
        <v>189</v>
      </c>
      <c r="J69" s="1" t="s">
        <v>176</v>
      </c>
      <c r="K69" s="78"/>
      <c r="L69" s="78"/>
      <c r="M69" s="78"/>
      <c r="N69" s="1" t="s">
        <v>189</v>
      </c>
    </row>
    <row r="70" spans="1:14">
      <c r="A70" s="82" t="s">
        <v>217</v>
      </c>
      <c r="E70" s="1" t="s">
        <v>327</v>
      </c>
      <c r="J70" s="1" t="s">
        <v>202</v>
      </c>
      <c r="K70" s="78"/>
      <c r="L70" s="78"/>
      <c r="M70" s="78"/>
      <c r="N70" s="1" t="s">
        <v>327</v>
      </c>
    </row>
    <row r="71" spans="1:14">
      <c r="A71" s="1" t="s">
        <v>201</v>
      </c>
      <c r="E71" s="1" t="s">
        <v>179</v>
      </c>
      <c r="J71" s="1" t="s">
        <v>203</v>
      </c>
      <c r="K71" s="78"/>
      <c r="L71" s="78"/>
      <c r="M71" s="78"/>
      <c r="N71" s="1" t="s">
        <v>179</v>
      </c>
    </row>
    <row r="72" spans="1:14">
      <c r="A72" s="82" t="s">
        <v>212</v>
      </c>
      <c r="J72" s="1" t="s">
        <v>165</v>
      </c>
      <c r="K72" s="78"/>
      <c r="L72" s="78"/>
      <c r="M72" s="78"/>
      <c r="N72" s="83" t="s">
        <v>216</v>
      </c>
    </row>
    <row r="73" spans="1:14">
      <c r="A73" s="1" t="s">
        <v>176</v>
      </c>
      <c r="J73" s="1" t="s">
        <v>198</v>
      </c>
      <c r="K73" s="78"/>
      <c r="L73" s="78"/>
      <c r="M73" s="78"/>
      <c r="N73" s="83" t="s">
        <v>185</v>
      </c>
    </row>
    <row r="74" spans="1:14">
      <c r="A74" s="1" t="s">
        <v>202</v>
      </c>
      <c r="J74" s="1" t="s">
        <v>175</v>
      </c>
      <c r="K74" s="78"/>
      <c r="L74" s="78"/>
      <c r="M74" s="78"/>
      <c r="N74" s="83" t="s">
        <v>205</v>
      </c>
    </row>
    <row r="75" spans="1:14">
      <c r="A75" s="1" t="s">
        <v>203</v>
      </c>
      <c r="J75" s="81" t="s">
        <v>211</v>
      </c>
      <c r="K75" s="78"/>
      <c r="L75" s="78"/>
      <c r="M75" s="78"/>
      <c r="N75" s="83" t="s">
        <v>209</v>
      </c>
    </row>
    <row r="76" spans="1:14">
      <c r="A76" s="1" t="s">
        <v>165</v>
      </c>
      <c r="J76" s="1" t="s">
        <v>174</v>
      </c>
      <c r="K76" s="78"/>
      <c r="L76" s="78"/>
      <c r="M76" s="78"/>
      <c r="N76" s="83" t="s">
        <v>172</v>
      </c>
    </row>
    <row r="77" spans="1:14">
      <c r="A77" s="1" t="s">
        <v>198</v>
      </c>
      <c r="J77" s="1" t="s">
        <v>189</v>
      </c>
      <c r="K77" s="78"/>
      <c r="L77" s="78"/>
      <c r="M77" s="78"/>
      <c r="N77" s="83" t="s">
        <v>167</v>
      </c>
    </row>
    <row r="78" spans="1:14">
      <c r="A78" s="1" t="s">
        <v>175</v>
      </c>
      <c r="J78" s="1" t="s">
        <v>183</v>
      </c>
      <c r="K78" s="78"/>
      <c r="L78" s="78"/>
      <c r="M78" s="78"/>
      <c r="N78" s="83" t="s">
        <v>210</v>
      </c>
    </row>
    <row r="79" spans="1:14">
      <c r="A79" s="81" t="s">
        <v>211</v>
      </c>
      <c r="J79" s="1" t="s">
        <v>179</v>
      </c>
      <c r="K79" s="78"/>
      <c r="L79" s="78"/>
      <c r="M79" s="78"/>
      <c r="N79" s="83" t="s">
        <v>208</v>
      </c>
    </row>
    <row r="80" spans="1:14">
      <c r="A80" s="1" t="s">
        <v>174</v>
      </c>
      <c r="J80" s="83" t="s">
        <v>215</v>
      </c>
      <c r="K80" s="78"/>
      <c r="L80" s="78"/>
      <c r="M80" s="78"/>
      <c r="N80" s="83" t="s">
        <v>184</v>
      </c>
    </row>
    <row r="81" spans="1:14">
      <c r="A81" s="1" t="s">
        <v>189</v>
      </c>
      <c r="J81" s="83" t="s">
        <v>319</v>
      </c>
      <c r="K81" s="78"/>
      <c r="L81" s="78"/>
      <c r="M81" s="78"/>
      <c r="N81" s="83" t="s">
        <v>211</v>
      </c>
    </row>
    <row r="82" spans="1:14">
      <c r="A82" s="1" t="s">
        <v>183</v>
      </c>
      <c r="J82" s="83" t="s">
        <v>326</v>
      </c>
      <c r="K82" s="78"/>
      <c r="L82" s="78"/>
      <c r="M82" s="78"/>
      <c r="N82" s="83" t="s">
        <v>215</v>
      </c>
    </row>
    <row r="83" spans="1:14">
      <c r="A83" s="1" t="s">
        <v>179</v>
      </c>
      <c r="K83" s="78"/>
      <c r="L83" s="78"/>
      <c r="M83" s="78"/>
      <c r="N83" s="78"/>
    </row>
    <row r="84" spans="1:14">
      <c r="A84" s="82" t="s">
        <v>214</v>
      </c>
      <c r="K84" s="78"/>
      <c r="L84" s="78"/>
      <c r="M84" s="78"/>
      <c r="N84" s="78"/>
    </row>
    <row r="85" spans="1:14">
      <c r="A85" s="81" t="s">
        <v>215</v>
      </c>
      <c r="K85" s="78"/>
      <c r="L85" s="78"/>
      <c r="M85" s="78"/>
      <c r="N85" s="78"/>
    </row>
  </sheetData>
  <sortState ref="A35:A84">
    <sortCondition ref="A35:A84"/>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54"/>
  <sheetViews>
    <sheetView topLeftCell="A58" workbookViewId="0">
      <selection activeCell="C91" sqref="C91"/>
    </sheetView>
  </sheetViews>
  <sheetFormatPr defaultColWidth="17.28515625" defaultRowHeight="15" customHeight="1"/>
  <cols>
    <col min="1" max="1" width="43.85546875" style="56" customWidth="1"/>
    <col min="2" max="4" width="44.5703125" style="56" customWidth="1"/>
    <col min="5" max="5" width="33.85546875" style="56" customWidth="1"/>
    <col min="6" max="6" width="19.28515625" style="56" customWidth="1"/>
    <col min="7" max="16384" width="17.28515625" style="56"/>
  </cols>
  <sheetData>
    <row r="1" spans="1:7" ht="15" customHeight="1">
      <c r="B1" s="37" t="s">
        <v>449</v>
      </c>
      <c r="C1" s="37" t="s">
        <v>450</v>
      </c>
      <c r="D1" s="37" t="s">
        <v>451</v>
      </c>
      <c r="E1" s="37" t="s">
        <v>452</v>
      </c>
      <c r="F1" s="37" t="s">
        <v>453</v>
      </c>
    </row>
    <row r="2" spans="1:7" ht="15" customHeight="1">
      <c r="A2" s="38"/>
      <c r="B2" s="38"/>
      <c r="C2" s="47"/>
      <c r="D2" s="47"/>
      <c r="E2" s="47" t="s">
        <v>454</v>
      </c>
      <c r="F2" s="47" t="s">
        <v>454</v>
      </c>
      <c r="G2" s="47" t="s">
        <v>455</v>
      </c>
    </row>
    <row r="3" spans="1:7" ht="15" customHeight="1">
      <c r="A3" s="47" t="s">
        <v>456</v>
      </c>
      <c r="B3" s="47" t="s">
        <v>77</v>
      </c>
      <c r="C3" s="47"/>
      <c r="D3" s="47"/>
      <c r="E3" s="47" t="s">
        <v>457</v>
      </c>
      <c r="F3" s="47" t="s">
        <v>457</v>
      </c>
      <c r="G3" s="47" t="s">
        <v>458</v>
      </c>
    </row>
    <row r="4" spans="1:7" ht="15" customHeight="1">
      <c r="A4" s="38"/>
      <c r="B4" s="47" t="s">
        <v>79</v>
      </c>
      <c r="C4" s="47"/>
      <c r="D4" s="47"/>
      <c r="E4" s="47" t="s">
        <v>457</v>
      </c>
      <c r="F4" s="47" t="s">
        <v>457</v>
      </c>
      <c r="G4" s="47" t="s">
        <v>459</v>
      </c>
    </row>
    <row r="5" spans="1:7" ht="15" customHeight="1">
      <c r="A5" s="38"/>
      <c r="B5" s="47" t="s">
        <v>81</v>
      </c>
      <c r="C5" s="47" t="s">
        <v>82</v>
      </c>
      <c r="D5" s="47"/>
      <c r="E5" s="47" t="s">
        <v>460</v>
      </c>
      <c r="F5" s="47" t="s">
        <v>457</v>
      </c>
      <c r="G5" s="47" t="s">
        <v>461</v>
      </c>
    </row>
    <row r="6" spans="1:7" ht="15" customHeight="1">
      <c r="A6" s="38"/>
      <c r="B6" s="47" t="s">
        <v>84</v>
      </c>
      <c r="C6" s="47" t="s">
        <v>85</v>
      </c>
      <c r="D6" s="47"/>
      <c r="E6" s="47" t="s">
        <v>460</v>
      </c>
      <c r="F6" s="47" t="s">
        <v>457</v>
      </c>
      <c r="G6" s="47" t="s">
        <v>461</v>
      </c>
    </row>
    <row r="7" spans="1:7" ht="15" customHeight="1">
      <c r="A7" s="38"/>
      <c r="B7" s="47" t="s">
        <v>87</v>
      </c>
      <c r="C7" s="47"/>
      <c r="D7" s="47"/>
      <c r="E7" s="47" t="s">
        <v>457</v>
      </c>
      <c r="F7" s="47" t="s">
        <v>457</v>
      </c>
      <c r="G7" s="47" t="s">
        <v>462</v>
      </c>
    </row>
    <row r="8" spans="1:7" ht="15" customHeight="1">
      <c r="A8" s="47" t="s">
        <v>463</v>
      </c>
      <c r="B8" s="47" t="s">
        <v>26</v>
      </c>
      <c r="C8" s="47"/>
      <c r="D8" s="47"/>
      <c r="E8" s="47" t="s">
        <v>457</v>
      </c>
      <c r="F8" s="47" t="s">
        <v>457</v>
      </c>
      <c r="G8" s="47" t="s">
        <v>464</v>
      </c>
    </row>
    <row r="9" spans="1:7" ht="15" customHeight="1">
      <c r="A9" s="38"/>
      <c r="B9" s="47" t="s">
        <v>29</v>
      </c>
      <c r="C9" s="47"/>
      <c r="D9" s="47"/>
      <c r="E9" s="47" t="s">
        <v>457</v>
      </c>
      <c r="F9" s="47" t="s">
        <v>457</v>
      </c>
      <c r="G9" s="47" t="s">
        <v>464</v>
      </c>
    </row>
    <row r="10" spans="1:7" ht="15" customHeight="1">
      <c r="A10" s="38"/>
      <c r="B10" s="47" t="s">
        <v>32</v>
      </c>
      <c r="C10" s="47" t="s">
        <v>33</v>
      </c>
      <c r="D10" s="47" t="s">
        <v>374</v>
      </c>
      <c r="E10" s="47" t="s">
        <v>460</v>
      </c>
      <c r="F10" s="47" t="s">
        <v>460</v>
      </c>
      <c r="G10" s="47" t="s">
        <v>464</v>
      </c>
    </row>
    <row r="11" spans="1:7" ht="15" customHeight="1">
      <c r="A11" s="38"/>
      <c r="B11" s="47" t="s">
        <v>35</v>
      </c>
      <c r="C11" s="47" t="s">
        <v>36</v>
      </c>
      <c r="D11" s="47" t="s">
        <v>377</v>
      </c>
      <c r="E11" s="47" t="s">
        <v>460</v>
      </c>
      <c r="F11" s="47" t="s">
        <v>460</v>
      </c>
      <c r="G11" s="47" t="s">
        <v>465</v>
      </c>
    </row>
    <row r="12" spans="1:7" ht="15" customHeight="1">
      <c r="A12" s="38"/>
      <c r="B12" s="47" t="s">
        <v>38</v>
      </c>
      <c r="C12" s="47"/>
      <c r="D12" s="47"/>
      <c r="E12" s="47" t="s">
        <v>457</v>
      </c>
      <c r="F12" s="47" t="s">
        <v>457</v>
      </c>
      <c r="G12" s="47" t="s">
        <v>465</v>
      </c>
    </row>
    <row r="13" spans="1:7" ht="15" customHeight="1">
      <c r="A13" s="47" t="s">
        <v>466</v>
      </c>
      <c r="B13" s="47" t="s">
        <v>41</v>
      </c>
      <c r="C13" s="47" t="s">
        <v>42</v>
      </c>
      <c r="D13" s="47" t="s">
        <v>375</v>
      </c>
      <c r="E13" s="47" t="s">
        <v>460</v>
      </c>
      <c r="F13" s="47" t="s">
        <v>460</v>
      </c>
      <c r="G13" s="47" t="s">
        <v>465</v>
      </c>
    </row>
    <row r="14" spans="1:7" ht="15" customHeight="1">
      <c r="A14" s="38"/>
      <c r="B14" s="47" t="s">
        <v>45</v>
      </c>
      <c r="C14" s="47"/>
      <c r="D14" s="47"/>
      <c r="E14" s="47" t="s">
        <v>457</v>
      </c>
      <c r="F14" s="47" t="s">
        <v>457</v>
      </c>
      <c r="G14" s="47" t="s">
        <v>465</v>
      </c>
    </row>
    <row r="15" spans="1:7" ht="15" customHeight="1">
      <c r="A15" s="38"/>
      <c r="B15" s="47" t="s">
        <v>48</v>
      </c>
      <c r="C15" s="47"/>
      <c r="D15" s="47"/>
      <c r="E15" s="47" t="s">
        <v>457</v>
      </c>
      <c r="F15" s="47" t="s">
        <v>457</v>
      </c>
      <c r="G15" s="47" t="s">
        <v>467</v>
      </c>
    </row>
    <row r="16" spans="1:7" ht="15" customHeight="1">
      <c r="A16" s="47" t="s">
        <v>468</v>
      </c>
      <c r="B16" s="47" t="s">
        <v>51</v>
      </c>
      <c r="C16" s="47" t="s">
        <v>52</v>
      </c>
      <c r="D16" s="47"/>
      <c r="E16" s="47" t="s">
        <v>460</v>
      </c>
      <c r="F16" s="47" t="s">
        <v>457</v>
      </c>
      <c r="G16" s="47" t="s">
        <v>458</v>
      </c>
    </row>
    <row r="17" spans="1:7" ht="15" customHeight="1">
      <c r="A17" s="38"/>
      <c r="B17" s="47" t="s">
        <v>55</v>
      </c>
      <c r="C17" s="47" t="s">
        <v>56</v>
      </c>
      <c r="D17" s="47"/>
      <c r="E17" s="47" t="s">
        <v>460</v>
      </c>
      <c r="F17" s="47" t="s">
        <v>457</v>
      </c>
      <c r="G17" s="47" t="s">
        <v>458</v>
      </c>
    </row>
    <row r="18" spans="1:7" ht="15" customHeight="1">
      <c r="A18" s="38"/>
      <c r="B18" s="47" t="s">
        <v>59</v>
      </c>
      <c r="C18" s="47" t="s">
        <v>60</v>
      </c>
      <c r="D18" s="47"/>
      <c r="E18" s="47" t="s">
        <v>460</v>
      </c>
      <c r="F18" s="47" t="s">
        <v>457</v>
      </c>
      <c r="G18" s="47" t="s">
        <v>458</v>
      </c>
    </row>
    <row r="19" spans="1:7" ht="15" customHeight="1">
      <c r="A19" s="38"/>
      <c r="B19" s="47" t="s">
        <v>63</v>
      </c>
      <c r="C19" s="47" t="s">
        <v>64</v>
      </c>
      <c r="D19" s="47"/>
      <c r="E19" s="47" t="s">
        <v>460</v>
      </c>
      <c r="F19" s="47" t="s">
        <v>457</v>
      </c>
      <c r="G19" s="47" t="s">
        <v>458</v>
      </c>
    </row>
    <row r="20" spans="1:7" ht="15" customHeight="1">
      <c r="A20" s="38"/>
      <c r="B20" s="47" t="s">
        <v>67</v>
      </c>
      <c r="C20" s="47"/>
      <c r="D20" s="47"/>
      <c r="E20" s="47" t="s">
        <v>457</v>
      </c>
      <c r="F20" s="47" t="s">
        <v>457</v>
      </c>
      <c r="G20" s="47" t="s">
        <v>458</v>
      </c>
    </row>
    <row r="21" spans="1:7" ht="15" customHeight="1">
      <c r="A21" s="38"/>
      <c r="B21" s="47" t="s">
        <v>68</v>
      </c>
      <c r="C21" s="47" t="s">
        <v>92</v>
      </c>
      <c r="D21" s="47"/>
      <c r="E21" s="47" t="s">
        <v>460</v>
      </c>
      <c r="F21" s="47" t="s">
        <v>457</v>
      </c>
      <c r="G21" s="47" t="s">
        <v>458</v>
      </c>
    </row>
    <row r="22" spans="1:7" ht="15" customHeight="1">
      <c r="A22" s="47" t="s">
        <v>469</v>
      </c>
      <c r="B22" s="47" t="s">
        <v>71</v>
      </c>
      <c r="C22" s="47"/>
      <c r="D22" s="47"/>
      <c r="E22" s="47" t="s">
        <v>457</v>
      </c>
      <c r="F22" s="47" t="s">
        <v>457</v>
      </c>
      <c r="G22" s="47" t="s">
        <v>461</v>
      </c>
    </row>
    <row r="23" spans="1:7" ht="15" customHeight="1">
      <c r="A23" s="38"/>
      <c r="B23" s="47" t="s">
        <v>73</v>
      </c>
      <c r="C23" s="47"/>
      <c r="D23" s="47"/>
      <c r="E23" s="47" t="s">
        <v>457</v>
      </c>
      <c r="F23" s="47" t="s">
        <v>457</v>
      </c>
      <c r="G23" s="47" t="s">
        <v>458</v>
      </c>
    </row>
    <row r="24" spans="1:7" ht="15" customHeight="1">
      <c r="A24" s="38"/>
      <c r="B24" s="47" t="s">
        <v>74</v>
      </c>
      <c r="C24" s="47"/>
      <c r="D24" s="47"/>
      <c r="E24" s="47" t="s">
        <v>457</v>
      </c>
      <c r="F24" s="47" t="s">
        <v>457</v>
      </c>
      <c r="G24" s="47" t="s">
        <v>470</v>
      </c>
    </row>
    <row r="28" spans="1:7" ht="15" customHeight="1">
      <c r="A28" s="47" t="s">
        <v>471</v>
      </c>
      <c r="B28" s="38"/>
      <c r="C28" s="38"/>
      <c r="D28" s="38"/>
      <c r="E28" s="38"/>
    </row>
    <row r="29" spans="1:7" ht="15" customHeight="1">
      <c r="A29" s="47" t="s">
        <v>95</v>
      </c>
      <c r="B29" s="47" t="s">
        <v>420</v>
      </c>
      <c r="C29" s="47" t="s">
        <v>278</v>
      </c>
      <c r="D29" s="47" t="s">
        <v>420</v>
      </c>
      <c r="E29" s="47" t="s">
        <v>472</v>
      </c>
    </row>
    <row r="30" spans="1:7" ht="15" customHeight="1">
      <c r="A30" s="47" t="s">
        <v>104</v>
      </c>
      <c r="B30" s="39">
        <v>467.48</v>
      </c>
      <c r="C30" s="40">
        <v>104.8344</v>
      </c>
      <c r="D30" s="39">
        <v>467.48</v>
      </c>
      <c r="E30" s="40">
        <v>1230.312222</v>
      </c>
    </row>
    <row r="31" spans="1:7" ht="15" customHeight="1">
      <c r="A31" s="47" t="s">
        <v>132</v>
      </c>
      <c r="B31" s="40">
        <v>1013.46</v>
      </c>
      <c r="C31" s="40">
        <v>123.3734</v>
      </c>
      <c r="D31" s="40">
        <v>1013.46</v>
      </c>
      <c r="E31" s="40">
        <v>723.21533460000001</v>
      </c>
    </row>
    <row r="32" spans="1:7" ht="15" customHeight="1">
      <c r="A32" s="47" t="s">
        <v>220</v>
      </c>
      <c r="B32" s="40">
        <v>1254.26</v>
      </c>
      <c r="C32" s="40">
        <v>515.96159999999998</v>
      </c>
      <c r="D32" s="40">
        <v>1254.26</v>
      </c>
      <c r="E32" s="40">
        <v>2446.398831</v>
      </c>
    </row>
    <row r="33" spans="1:9" ht="15" customHeight="1">
      <c r="A33" s="47" t="s">
        <v>221</v>
      </c>
      <c r="B33" s="40">
        <v>0</v>
      </c>
      <c r="C33" s="40">
        <v>0</v>
      </c>
      <c r="D33" s="40">
        <v>0</v>
      </c>
      <c r="E33" s="40">
        <v>0</v>
      </c>
    </row>
    <row r="36" spans="1:9" ht="15" customHeight="1">
      <c r="A36" s="37" t="s">
        <v>473</v>
      </c>
    </row>
    <row r="37" spans="1:9" ht="15" customHeight="1">
      <c r="A37" s="37" t="s">
        <v>449</v>
      </c>
      <c r="B37" s="37" t="s">
        <v>452</v>
      </c>
      <c r="C37" s="37" t="s">
        <v>474</v>
      </c>
      <c r="D37" s="37" t="s">
        <v>475</v>
      </c>
      <c r="F37" s="37" t="s">
        <v>476</v>
      </c>
      <c r="H37" s="37" t="s">
        <v>477</v>
      </c>
    </row>
    <row r="38" spans="1:9" ht="15" customHeight="1">
      <c r="A38" s="38"/>
      <c r="B38" s="47" t="s">
        <v>454</v>
      </c>
      <c r="C38" s="47"/>
    </row>
    <row r="39" spans="1:9" ht="15" customHeight="1">
      <c r="A39" s="47" t="s">
        <v>77</v>
      </c>
      <c r="B39" s="47" t="s">
        <v>457</v>
      </c>
      <c r="C39" s="47">
        <v>3.72</v>
      </c>
      <c r="D39" s="37" t="s">
        <v>263</v>
      </c>
      <c r="E39" s="37">
        <v>4.96</v>
      </c>
      <c r="F39" s="37" t="s">
        <v>478</v>
      </c>
      <c r="G39" s="37">
        <v>3.72</v>
      </c>
      <c r="H39" s="32" t="s">
        <v>478</v>
      </c>
      <c r="I39" s="37">
        <v>3.72</v>
      </c>
    </row>
    <row r="40" spans="1:9" ht="12.75">
      <c r="A40" s="47" t="s">
        <v>79</v>
      </c>
      <c r="B40" s="47" t="s">
        <v>457</v>
      </c>
      <c r="C40" s="47">
        <v>4.24</v>
      </c>
      <c r="D40" s="37" t="s">
        <v>265</v>
      </c>
      <c r="E40" s="37">
        <v>2.83</v>
      </c>
      <c r="F40" s="37" t="s">
        <v>265</v>
      </c>
      <c r="G40" s="37">
        <v>2.83</v>
      </c>
      <c r="H40" s="37" t="s">
        <v>265</v>
      </c>
      <c r="I40" s="37">
        <v>2.83</v>
      </c>
    </row>
    <row r="41" spans="1:9" ht="12.75">
      <c r="A41" s="47" t="s">
        <v>87</v>
      </c>
      <c r="B41" s="47" t="s">
        <v>457</v>
      </c>
      <c r="C41" s="47">
        <v>3.04</v>
      </c>
      <c r="D41" s="37" t="s">
        <v>478</v>
      </c>
      <c r="E41" s="37">
        <v>3.04</v>
      </c>
      <c r="F41" s="37" t="s">
        <v>478</v>
      </c>
      <c r="G41" s="37">
        <v>3.04</v>
      </c>
      <c r="H41" s="37" t="s">
        <v>478</v>
      </c>
      <c r="I41" s="37">
        <v>3.04</v>
      </c>
    </row>
    <row r="42" spans="1:9" ht="12.75">
      <c r="A42" s="47" t="s">
        <v>26</v>
      </c>
      <c r="B42" s="47" t="s">
        <v>457</v>
      </c>
      <c r="C42" s="47">
        <v>1</v>
      </c>
      <c r="D42" s="37" t="s">
        <v>265</v>
      </c>
      <c r="E42" s="37">
        <v>1.1000000000000001</v>
      </c>
      <c r="F42" s="37" t="s">
        <v>478</v>
      </c>
      <c r="G42" s="37">
        <v>1</v>
      </c>
      <c r="H42" s="37" t="s">
        <v>265</v>
      </c>
      <c r="I42" s="37">
        <v>1.1100000000000001</v>
      </c>
    </row>
    <row r="43" spans="1:9" ht="12.75">
      <c r="A43" s="47" t="s">
        <v>29</v>
      </c>
      <c r="B43" s="47" t="s">
        <v>457</v>
      </c>
      <c r="C43" s="47">
        <v>1</v>
      </c>
      <c r="D43" s="37" t="s">
        <v>478</v>
      </c>
      <c r="E43" s="37">
        <v>1</v>
      </c>
      <c r="F43" s="32" t="s">
        <v>265</v>
      </c>
      <c r="G43" s="37">
        <v>1.1100000000000001</v>
      </c>
      <c r="H43" s="37" t="s">
        <v>265</v>
      </c>
      <c r="I43" s="37">
        <v>1.1100000000000001</v>
      </c>
    </row>
    <row r="44" spans="1:9" ht="12.75">
      <c r="A44" s="47" t="s">
        <v>38</v>
      </c>
      <c r="B44" s="47" t="s">
        <v>457</v>
      </c>
      <c r="C44" s="47">
        <v>1</v>
      </c>
      <c r="D44" s="37" t="s">
        <v>265</v>
      </c>
      <c r="E44" s="37">
        <v>1.1100000000000001</v>
      </c>
      <c r="F44" s="37" t="s">
        <v>265</v>
      </c>
      <c r="G44" s="37">
        <v>1.1100000000000001</v>
      </c>
      <c r="H44" s="37" t="s">
        <v>265</v>
      </c>
      <c r="I44" s="37">
        <v>1.1100000000000001</v>
      </c>
    </row>
    <row r="45" spans="1:9" ht="12.75">
      <c r="A45" s="47" t="s">
        <v>45</v>
      </c>
      <c r="B45" s="47" t="s">
        <v>457</v>
      </c>
      <c r="C45" s="47">
        <v>1</v>
      </c>
      <c r="D45" s="37" t="s">
        <v>478</v>
      </c>
      <c r="E45" s="37">
        <v>1</v>
      </c>
      <c r="F45" s="37" t="s">
        <v>478</v>
      </c>
      <c r="G45" s="37">
        <v>1</v>
      </c>
      <c r="H45" s="32" t="s">
        <v>478</v>
      </c>
      <c r="I45" s="37">
        <v>1</v>
      </c>
    </row>
    <row r="46" spans="1:9" ht="12.75">
      <c r="A46" s="47" t="s">
        <v>48</v>
      </c>
      <c r="B46" s="47" t="s">
        <v>457</v>
      </c>
      <c r="C46" s="47">
        <v>1</v>
      </c>
      <c r="D46" s="37" t="s">
        <v>478</v>
      </c>
      <c r="E46" s="37">
        <v>1</v>
      </c>
      <c r="F46" s="37" t="s">
        <v>478</v>
      </c>
      <c r="G46" s="37">
        <v>1</v>
      </c>
      <c r="H46" s="37" t="s">
        <v>478</v>
      </c>
      <c r="I46" s="37">
        <v>1</v>
      </c>
    </row>
    <row r="47" spans="1:9" ht="12.75">
      <c r="A47" s="47" t="s">
        <v>67</v>
      </c>
      <c r="B47" s="47" t="s">
        <v>457</v>
      </c>
      <c r="C47" s="47">
        <v>1</v>
      </c>
      <c r="D47" s="32" t="s">
        <v>478</v>
      </c>
      <c r="E47" s="37">
        <v>1</v>
      </c>
      <c r="F47" s="32" t="s">
        <v>478</v>
      </c>
      <c r="G47" s="37">
        <v>1</v>
      </c>
      <c r="H47" s="32" t="s">
        <v>265</v>
      </c>
      <c r="I47" s="37">
        <v>0.91</v>
      </c>
    </row>
    <row r="48" spans="1:9" ht="12.75">
      <c r="A48" s="47" t="s">
        <v>71</v>
      </c>
      <c r="B48" s="47" t="s">
        <v>457</v>
      </c>
      <c r="C48" s="47">
        <v>1</v>
      </c>
      <c r="D48" s="37" t="s">
        <v>478</v>
      </c>
      <c r="E48" s="37">
        <v>1</v>
      </c>
      <c r="F48" s="32" t="s">
        <v>478</v>
      </c>
      <c r="G48" s="37">
        <v>1</v>
      </c>
      <c r="H48" s="37" t="s">
        <v>265</v>
      </c>
      <c r="I48" s="37">
        <v>0.9</v>
      </c>
    </row>
    <row r="49" spans="1:29" ht="12.75">
      <c r="A49" s="47" t="s">
        <v>73</v>
      </c>
      <c r="B49" s="47" t="s">
        <v>457</v>
      </c>
      <c r="C49" s="47">
        <v>1</v>
      </c>
      <c r="D49" s="37" t="s">
        <v>478</v>
      </c>
      <c r="E49" s="37">
        <v>1</v>
      </c>
      <c r="F49" s="32" t="s">
        <v>478</v>
      </c>
      <c r="G49" s="37">
        <v>1</v>
      </c>
      <c r="H49" s="37" t="s">
        <v>478</v>
      </c>
      <c r="I49" s="37">
        <v>1</v>
      </c>
    </row>
    <row r="50" spans="1:29" ht="12.75">
      <c r="A50" s="47" t="s">
        <v>74</v>
      </c>
      <c r="B50" s="47" t="s">
        <v>457</v>
      </c>
      <c r="C50" s="47">
        <v>1</v>
      </c>
      <c r="D50" s="37" t="s">
        <v>478</v>
      </c>
      <c r="E50" s="37">
        <v>1</v>
      </c>
      <c r="F50" s="37" t="s">
        <v>478</v>
      </c>
      <c r="G50" s="37">
        <v>1</v>
      </c>
      <c r="H50" s="37" t="s">
        <v>478</v>
      </c>
      <c r="I50" s="37">
        <v>1</v>
      </c>
    </row>
    <row r="52" spans="1:29">
      <c r="D52" s="37" t="s">
        <v>479</v>
      </c>
      <c r="E52" s="56">
        <f>(21344)*0.001</f>
        <v>21.344000000000001</v>
      </c>
      <c r="F52" s="37" t="s">
        <v>479</v>
      </c>
      <c r="G52" s="1">
        <f>6811*0.001</f>
        <v>6.8109999999999999</v>
      </c>
      <c r="H52" s="37" t="s">
        <v>479</v>
      </c>
      <c r="I52" s="41">
        <f>4710*0.001</f>
        <v>4.71</v>
      </c>
    </row>
    <row r="53" spans="1:29" ht="14.25">
      <c r="D53" s="37" t="s">
        <v>480</v>
      </c>
      <c r="E53" s="56">
        <f>49*4*8+24*4*10+12*12*8</f>
        <v>3680</v>
      </c>
      <c r="F53" s="37" t="s">
        <v>480</v>
      </c>
      <c r="G53" s="43">
        <f>24*12*7</f>
        <v>2016</v>
      </c>
      <c r="H53" s="37" t="s">
        <v>480</v>
      </c>
      <c r="I53" s="51">
        <v>1392</v>
      </c>
    </row>
    <row r="54" spans="1:29" ht="14.25">
      <c r="D54" s="37" t="s">
        <v>481</v>
      </c>
      <c r="E54" s="56">
        <f>PRODUCT(E42:E50)*E52^(0.01*(SUM(E39-C39,E40-C40,E41-C41)))</f>
        <v>1.2146632586331036</v>
      </c>
      <c r="F54" s="37"/>
      <c r="G54" s="43">
        <f>PRODUCT(G42:G50)*G52^(0.01*(SUM(G39-E39,G40-E40,G41-E41)))</f>
        <v>1.2031343954160196</v>
      </c>
      <c r="H54" s="37"/>
      <c r="I54" s="43">
        <f>PRODUCT(I42:I50)*I52^(0.01*(SUM(I39-G39,I40-G40,I41-G41)))</f>
        <v>1.1200897890000003</v>
      </c>
    </row>
    <row r="55" spans="1:29">
      <c r="D55" s="37" t="s">
        <v>482</v>
      </c>
      <c r="E55" s="41">
        <f>E53/E54</f>
        <v>3029.6462610890298</v>
      </c>
      <c r="F55" s="32" t="s">
        <v>482</v>
      </c>
      <c r="G55" s="41">
        <f>G53/G54</f>
        <v>1675.6232783976789</v>
      </c>
      <c r="H55" s="37" t="s">
        <v>482</v>
      </c>
      <c r="I55" s="41">
        <f>I53/I54</f>
        <v>1242.7575125408089</v>
      </c>
    </row>
    <row r="57" spans="1:29" ht="12.75">
      <c r="A57" s="45" t="s">
        <v>483</v>
      </c>
      <c r="B57" s="46"/>
      <c r="C57" s="46"/>
      <c r="D57" s="46"/>
      <c r="E57" s="46"/>
      <c r="F57" s="46"/>
      <c r="G57" s="46"/>
      <c r="H57" s="46"/>
      <c r="I57" s="46"/>
      <c r="J57" s="46"/>
      <c r="K57" s="46"/>
      <c r="L57" s="46"/>
      <c r="M57" s="46"/>
      <c r="N57" s="46"/>
      <c r="O57" s="46"/>
      <c r="P57" s="46"/>
      <c r="Q57" s="46"/>
      <c r="R57" s="46"/>
      <c r="S57" s="46"/>
      <c r="T57" s="46"/>
      <c r="U57" s="46"/>
      <c r="V57" s="46"/>
      <c r="W57" s="46"/>
      <c r="X57" s="46"/>
      <c r="Y57" s="46"/>
      <c r="Z57" s="46"/>
      <c r="AA57" s="46"/>
      <c r="AB57" s="46"/>
      <c r="AC57" s="46"/>
    </row>
    <row r="58" spans="1:29" ht="12.75">
      <c r="A58" s="45" t="s">
        <v>449</v>
      </c>
      <c r="B58" s="45" t="s">
        <v>453</v>
      </c>
      <c r="C58" s="45" t="s">
        <v>474</v>
      </c>
      <c r="D58" s="45" t="s">
        <v>475</v>
      </c>
      <c r="E58" s="46"/>
      <c r="F58" s="45" t="s">
        <v>476</v>
      </c>
      <c r="G58" s="46"/>
      <c r="H58" s="45" t="s">
        <v>477</v>
      </c>
      <c r="I58" s="46"/>
      <c r="J58" s="46"/>
      <c r="K58" s="46"/>
      <c r="L58" s="46"/>
      <c r="M58" s="46"/>
      <c r="N58" s="46"/>
      <c r="O58" s="46"/>
      <c r="P58" s="46"/>
      <c r="Q58" s="46"/>
      <c r="R58" s="46"/>
      <c r="S58" s="46"/>
      <c r="T58" s="46"/>
      <c r="U58" s="46"/>
      <c r="V58" s="46"/>
      <c r="W58" s="46"/>
      <c r="X58" s="46"/>
      <c r="Y58" s="46"/>
      <c r="Z58" s="46"/>
      <c r="AA58" s="46"/>
      <c r="AB58" s="46"/>
      <c r="AC58" s="46"/>
    </row>
    <row r="59" spans="1:29" ht="12.75">
      <c r="A59" s="38"/>
      <c r="B59" s="47" t="s">
        <v>454</v>
      </c>
      <c r="C59" s="47"/>
    </row>
    <row r="60" spans="1:29" ht="12.75">
      <c r="A60" s="47" t="s">
        <v>77</v>
      </c>
      <c r="B60" s="47" t="s">
        <v>457</v>
      </c>
      <c r="C60" s="47">
        <v>3.72</v>
      </c>
      <c r="D60" s="37" t="s">
        <v>263</v>
      </c>
      <c r="E60" s="37">
        <v>4.96</v>
      </c>
      <c r="F60" s="37" t="s">
        <v>478</v>
      </c>
      <c r="G60" s="37">
        <v>3.72</v>
      </c>
      <c r="H60" s="37" t="s">
        <v>263</v>
      </c>
      <c r="I60" s="37">
        <v>4.96</v>
      </c>
    </row>
    <row r="61" spans="1:29" ht="12.75">
      <c r="A61" s="47" t="s">
        <v>79</v>
      </c>
      <c r="B61" s="47" t="s">
        <v>457</v>
      </c>
      <c r="C61" s="47">
        <v>4.24</v>
      </c>
      <c r="D61" s="37" t="s">
        <v>265</v>
      </c>
      <c r="E61" s="37">
        <v>2.83</v>
      </c>
      <c r="F61" s="37" t="s">
        <v>265</v>
      </c>
      <c r="G61" s="37">
        <v>2.83</v>
      </c>
      <c r="H61" s="37" t="s">
        <v>265</v>
      </c>
      <c r="I61" s="37">
        <v>2.83</v>
      </c>
    </row>
    <row r="62" spans="1:29" ht="12.75">
      <c r="A62" s="47" t="s">
        <v>81</v>
      </c>
      <c r="B62" s="47" t="s">
        <v>457</v>
      </c>
      <c r="C62" s="47">
        <v>4.68</v>
      </c>
      <c r="D62" s="37" t="s">
        <v>478</v>
      </c>
      <c r="E62" s="37">
        <v>4.68</v>
      </c>
      <c r="F62" s="37" t="s">
        <v>478</v>
      </c>
      <c r="G62" s="37">
        <v>4.68</v>
      </c>
      <c r="H62" s="37" t="s">
        <v>478</v>
      </c>
      <c r="I62" s="37">
        <v>4.68</v>
      </c>
    </row>
    <row r="63" spans="1:29" ht="12.75">
      <c r="A63" s="47" t="s">
        <v>84</v>
      </c>
      <c r="B63" s="47" t="s">
        <v>457</v>
      </c>
      <c r="C63" s="47">
        <v>3.29</v>
      </c>
      <c r="D63" s="37" t="s">
        <v>478</v>
      </c>
      <c r="E63" s="37">
        <v>3.29</v>
      </c>
      <c r="F63" s="37" t="s">
        <v>478</v>
      </c>
      <c r="G63" s="37">
        <v>3.29</v>
      </c>
      <c r="H63" s="37" t="s">
        <v>478</v>
      </c>
      <c r="I63" s="37">
        <v>3.29</v>
      </c>
    </row>
    <row r="64" spans="1:29" ht="12.75">
      <c r="A64" s="47" t="s">
        <v>87</v>
      </c>
      <c r="B64" s="48" t="s">
        <v>457</v>
      </c>
      <c r="C64" s="49">
        <v>3.04</v>
      </c>
      <c r="D64" s="50" t="s">
        <v>478</v>
      </c>
      <c r="E64" s="51">
        <v>3.04</v>
      </c>
      <c r="F64" s="50" t="s">
        <v>478</v>
      </c>
      <c r="G64" s="51">
        <v>3.04</v>
      </c>
      <c r="H64" s="50" t="s">
        <v>478</v>
      </c>
      <c r="I64" s="51">
        <v>3.04</v>
      </c>
      <c r="J64" s="50"/>
      <c r="K64" s="50"/>
      <c r="L64" s="50"/>
      <c r="M64" s="50"/>
      <c r="N64" s="50"/>
      <c r="O64" s="50"/>
      <c r="P64" s="50"/>
      <c r="Q64" s="50"/>
      <c r="R64" s="50"/>
      <c r="S64" s="50"/>
      <c r="T64" s="50"/>
      <c r="U64" s="50"/>
      <c r="V64" s="50"/>
      <c r="W64" s="50"/>
      <c r="X64" s="50"/>
      <c r="Y64" s="50"/>
      <c r="Z64" s="50"/>
      <c r="AA64" s="50"/>
      <c r="AB64" s="50"/>
      <c r="AC64" s="50"/>
    </row>
    <row r="65" spans="1:29" ht="12.75">
      <c r="A65" s="47" t="s">
        <v>26</v>
      </c>
      <c r="B65" s="48" t="s">
        <v>457</v>
      </c>
      <c r="C65" s="49">
        <v>1</v>
      </c>
      <c r="D65" s="50" t="s">
        <v>265</v>
      </c>
      <c r="E65" s="51">
        <v>1.1000000000000001</v>
      </c>
      <c r="F65" s="50" t="s">
        <v>478</v>
      </c>
      <c r="G65" s="51">
        <v>1</v>
      </c>
      <c r="H65" s="50" t="s">
        <v>265</v>
      </c>
      <c r="I65" s="51">
        <v>1</v>
      </c>
      <c r="J65" s="50"/>
      <c r="K65" s="50"/>
      <c r="L65" s="50"/>
      <c r="M65" s="50"/>
      <c r="N65" s="50"/>
      <c r="O65" s="50"/>
      <c r="P65" s="50"/>
      <c r="Q65" s="50"/>
      <c r="R65" s="50"/>
      <c r="S65" s="50"/>
      <c r="T65" s="50"/>
      <c r="U65" s="50"/>
      <c r="V65" s="50"/>
      <c r="W65" s="50"/>
      <c r="X65" s="50"/>
      <c r="Y65" s="50"/>
      <c r="Z65" s="50"/>
      <c r="AA65" s="50"/>
      <c r="AB65" s="50"/>
      <c r="AC65" s="50"/>
    </row>
    <row r="66" spans="1:29" ht="12.75">
      <c r="A66" s="47" t="s">
        <v>29</v>
      </c>
      <c r="B66" s="48" t="s">
        <v>457</v>
      </c>
      <c r="C66" s="49">
        <v>1</v>
      </c>
      <c r="D66" s="50" t="s">
        <v>478</v>
      </c>
      <c r="E66" s="51">
        <v>1</v>
      </c>
      <c r="F66" s="50"/>
      <c r="G66" s="51">
        <v>1</v>
      </c>
      <c r="H66" s="50" t="s">
        <v>265</v>
      </c>
      <c r="I66" s="51">
        <v>1</v>
      </c>
      <c r="J66" s="50"/>
      <c r="K66" s="50"/>
      <c r="L66" s="50"/>
      <c r="M66" s="50"/>
      <c r="N66" s="50"/>
      <c r="O66" s="50"/>
      <c r="P66" s="50"/>
      <c r="Q66" s="50"/>
      <c r="R66" s="50"/>
      <c r="S66" s="50"/>
      <c r="T66" s="50"/>
      <c r="U66" s="50"/>
      <c r="V66" s="50"/>
      <c r="W66" s="50"/>
      <c r="X66" s="50"/>
      <c r="Y66" s="50"/>
      <c r="Z66" s="50"/>
      <c r="AA66" s="50"/>
      <c r="AB66" s="50"/>
      <c r="AC66" s="50"/>
    </row>
    <row r="67" spans="1:29" ht="12.75">
      <c r="A67" s="47" t="s">
        <v>38</v>
      </c>
      <c r="B67" s="48" t="s">
        <v>457</v>
      </c>
      <c r="C67" s="49">
        <v>1</v>
      </c>
      <c r="D67" s="50" t="s">
        <v>265</v>
      </c>
      <c r="E67" s="51">
        <v>1.1100000000000001</v>
      </c>
      <c r="F67" s="50" t="s">
        <v>265</v>
      </c>
      <c r="G67" s="51">
        <v>1.1100000000000001</v>
      </c>
      <c r="H67" s="50" t="s">
        <v>265</v>
      </c>
      <c r="I67" s="51">
        <v>1.1100000000000001</v>
      </c>
      <c r="J67" s="50"/>
      <c r="K67" s="50"/>
      <c r="L67" s="50"/>
      <c r="M67" s="50"/>
      <c r="N67" s="50"/>
      <c r="O67" s="50"/>
      <c r="P67" s="50"/>
      <c r="Q67" s="50"/>
      <c r="R67" s="50"/>
      <c r="S67" s="50"/>
      <c r="T67" s="50"/>
      <c r="U67" s="50"/>
      <c r="V67" s="50"/>
      <c r="W67" s="50"/>
      <c r="X67" s="50"/>
      <c r="Y67" s="50"/>
      <c r="Z67" s="50"/>
      <c r="AA67" s="50"/>
      <c r="AB67" s="50"/>
      <c r="AC67" s="50"/>
    </row>
    <row r="68" spans="1:29" ht="12.75">
      <c r="A68" s="47" t="s">
        <v>45</v>
      </c>
      <c r="B68" s="48" t="s">
        <v>457</v>
      </c>
      <c r="C68" s="49">
        <v>1</v>
      </c>
      <c r="D68" s="50" t="s">
        <v>478</v>
      </c>
      <c r="E68" s="51">
        <v>1</v>
      </c>
      <c r="F68" s="50" t="s">
        <v>478</v>
      </c>
      <c r="G68" s="51">
        <v>1</v>
      </c>
      <c r="H68" s="50" t="s">
        <v>265</v>
      </c>
      <c r="I68" s="51">
        <v>1.05</v>
      </c>
      <c r="J68" s="50"/>
      <c r="K68" s="50"/>
      <c r="L68" s="50"/>
      <c r="M68" s="50"/>
      <c r="N68" s="50"/>
      <c r="O68" s="50"/>
      <c r="P68" s="50"/>
      <c r="Q68" s="50"/>
      <c r="R68" s="50"/>
      <c r="S68" s="50"/>
      <c r="T68" s="50"/>
      <c r="U68" s="50"/>
      <c r="V68" s="50"/>
      <c r="W68" s="50"/>
      <c r="X68" s="50"/>
      <c r="Y68" s="50"/>
      <c r="Z68" s="50"/>
      <c r="AA68" s="50"/>
      <c r="AB68" s="50"/>
      <c r="AC68" s="50"/>
    </row>
    <row r="69" spans="1:29" ht="12.75">
      <c r="A69" s="47" t="s">
        <v>48</v>
      </c>
      <c r="B69" s="48" t="s">
        <v>457</v>
      </c>
      <c r="C69" s="49">
        <v>1</v>
      </c>
      <c r="D69" s="50" t="s">
        <v>478</v>
      </c>
      <c r="E69" s="51">
        <v>1</v>
      </c>
      <c r="F69" s="50" t="s">
        <v>478</v>
      </c>
      <c r="G69" s="51">
        <v>1</v>
      </c>
      <c r="H69" s="50" t="s">
        <v>478</v>
      </c>
      <c r="I69" s="51">
        <v>1</v>
      </c>
      <c r="J69" s="50"/>
      <c r="K69" s="50"/>
      <c r="L69" s="50"/>
      <c r="M69" s="50"/>
      <c r="N69" s="50"/>
      <c r="O69" s="50"/>
      <c r="P69" s="50"/>
      <c r="Q69" s="50"/>
      <c r="R69" s="50"/>
      <c r="S69" s="50"/>
      <c r="T69" s="50"/>
      <c r="U69" s="50"/>
      <c r="V69" s="50"/>
      <c r="W69" s="50"/>
      <c r="X69" s="50"/>
      <c r="Y69" s="50"/>
      <c r="Z69" s="50"/>
      <c r="AA69" s="50"/>
      <c r="AB69" s="50"/>
      <c r="AC69" s="50"/>
    </row>
    <row r="70" spans="1:29" ht="12.75">
      <c r="A70" s="47" t="s">
        <v>51</v>
      </c>
      <c r="B70" s="47" t="s">
        <v>457</v>
      </c>
      <c r="C70" s="47">
        <v>1</v>
      </c>
      <c r="D70" s="37" t="s">
        <v>478</v>
      </c>
      <c r="E70" s="37">
        <v>1</v>
      </c>
      <c r="F70" s="37" t="s">
        <v>478</v>
      </c>
      <c r="G70" s="37">
        <v>1</v>
      </c>
      <c r="H70" s="37" t="s">
        <v>478</v>
      </c>
      <c r="I70" s="37">
        <v>1</v>
      </c>
    </row>
    <row r="71" spans="1:29" ht="12.75">
      <c r="A71" s="47" t="s">
        <v>55</v>
      </c>
      <c r="B71" s="47" t="s">
        <v>457</v>
      </c>
      <c r="C71" s="47">
        <v>1</v>
      </c>
      <c r="D71" s="37" t="s">
        <v>478</v>
      </c>
      <c r="E71" s="37">
        <v>1</v>
      </c>
      <c r="F71" s="37" t="s">
        <v>478</v>
      </c>
      <c r="G71" s="37">
        <v>1</v>
      </c>
      <c r="H71" s="37" t="s">
        <v>478</v>
      </c>
      <c r="I71" s="37">
        <v>1</v>
      </c>
    </row>
    <row r="72" spans="1:29" ht="12.75">
      <c r="A72" s="47" t="s">
        <v>59</v>
      </c>
      <c r="B72" s="47" t="s">
        <v>457</v>
      </c>
      <c r="C72" s="47">
        <v>1</v>
      </c>
      <c r="D72" s="37" t="s">
        <v>263</v>
      </c>
      <c r="E72" s="37">
        <v>1.1200000000000001</v>
      </c>
      <c r="F72" s="37" t="s">
        <v>478</v>
      </c>
      <c r="G72" s="37">
        <v>1</v>
      </c>
      <c r="H72" s="37" t="s">
        <v>263</v>
      </c>
      <c r="I72" s="37">
        <v>1.1200000000000001</v>
      </c>
    </row>
    <row r="73" spans="1:29" ht="12.75">
      <c r="A73" s="47" t="s">
        <v>63</v>
      </c>
      <c r="B73" s="47" t="s">
        <v>457</v>
      </c>
      <c r="C73" s="47">
        <v>1</v>
      </c>
      <c r="D73" s="37" t="s">
        <v>263</v>
      </c>
      <c r="E73" s="37">
        <v>1.1000000000000001</v>
      </c>
      <c r="F73" s="37" t="s">
        <v>478</v>
      </c>
      <c r="G73" s="37">
        <v>1</v>
      </c>
      <c r="H73" s="37" t="s">
        <v>263</v>
      </c>
      <c r="I73" s="37">
        <v>1.1000000000000001</v>
      </c>
    </row>
    <row r="74" spans="1:29" ht="12.75">
      <c r="A74" s="47" t="s">
        <v>67</v>
      </c>
      <c r="B74" s="48" t="s">
        <v>457</v>
      </c>
      <c r="C74" s="49">
        <v>1</v>
      </c>
      <c r="D74" s="50" t="s">
        <v>478</v>
      </c>
      <c r="E74" s="51">
        <v>1</v>
      </c>
      <c r="F74" s="50" t="s">
        <v>478</v>
      </c>
      <c r="G74" s="51">
        <v>1</v>
      </c>
      <c r="H74" s="50" t="s">
        <v>478</v>
      </c>
      <c r="I74" s="51">
        <v>1</v>
      </c>
      <c r="J74" s="50"/>
      <c r="K74" s="50"/>
      <c r="L74" s="50"/>
      <c r="M74" s="50"/>
      <c r="N74" s="50"/>
      <c r="O74" s="50"/>
      <c r="P74" s="50"/>
      <c r="Q74" s="50"/>
      <c r="R74" s="50"/>
      <c r="S74" s="50"/>
      <c r="T74" s="50"/>
      <c r="U74" s="50"/>
      <c r="V74" s="50"/>
      <c r="W74" s="50"/>
      <c r="X74" s="50"/>
      <c r="Y74" s="50"/>
      <c r="Z74" s="50"/>
      <c r="AA74" s="50"/>
      <c r="AB74" s="50"/>
      <c r="AC74" s="50"/>
    </row>
    <row r="75" spans="1:29" ht="12.75">
      <c r="A75" s="47" t="s">
        <v>68</v>
      </c>
      <c r="B75" s="47" t="s">
        <v>457</v>
      </c>
      <c r="C75" s="47">
        <v>1</v>
      </c>
      <c r="D75" s="37" t="s">
        <v>478</v>
      </c>
      <c r="E75" s="37">
        <v>1</v>
      </c>
      <c r="F75" s="37" t="s">
        <v>478</v>
      </c>
      <c r="G75" s="37">
        <v>1</v>
      </c>
      <c r="H75" s="37" t="s">
        <v>478</v>
      </c>
      <c r="I75" s="37">
        <v>1</v>
      </c>
    </row>
    <row r="76" spans="1:29" ht="12.75">
      <c r="A76" s="47" t="s">
        <v>71</v>
      </c>
      <c r="B76" s="48" t="s">
        <v>457</v>
      </c>
      <c r="C76" s="49">
        <v>1</v>
      </c>
      <c r="D76" s="50" t="s">
        <v>478</v>
      </c>
      <c r="E76" s="51">
        <v>1</v>
      </c>
      <c r="F76" s="50" t="s">
        <v>478</v>
      </c>
      <c r="G76" s="51">
        <v>1</v>
      </c>
      <c r="H76" s="50" t="s">
        <v>265</v>
      </c>
      <c r="I76" s="51">
        <v>0.9</v>
      </c>
      <c r="J76" s="50"/>
      <c r="K76" s="50"/>
      <c r="L76" s="50"/>
      <c r="M76" s="50"/>
      <c r="N76" s="50"/>
      <c r="O76" s="50"/>
      <c r="P76" s="50"/>
      <c r="Q76" s="50"/>
      <c r="R76" s="50"/>
      <c r="S76" s="50"/>
      <c r="T76" s="50"/>
      <c r="U76" s="50"/>
      <c r="V76" s="50"/>
      <c r="W76" s="50"/>
      <c r="X76" s="50"/>
      <c r="Y76" s="50"/>
      <c r="Z76" s="50"/>
      <c r="AA76" s="50"/>
      <c r="AB76" s="50"/>
      <c r="AC76" s="50"/>
    </row>
    <row r="77" spans="1:29" ht="12.75">
      <c r="A77" s="47" t="s">
        <v>73</v>
      </c>
      <c r="B77" s="48" t="s">
        <v>457</v>
      </c>
      <c r="C77" s="49">
        <v>1</v>
      </c>
      <c r="D77" s="50" t="s">
        <v>478</v>
      </c>
      <c r="E77" s="51">
        <v>1</v>
      </c>
      <c r="F77" s="50" t="s">
        <v>265</v>
      </c>
      <c r="G77" s="51">
        <v>0.93</v>
      </c>
      <c r="H77" s="50" t="s">
        <v>478</v>
      </c>
      <c r="I77" s="51">
        <v>1</v>
      </c>
      <c r="J77" s="50"/>
      <c r="K77" s="50"/>
      <c r="L77" s="50"/>
      <c r="M77" s="50"/>
      <c r="N77" s="50"/>
      <c r="O77" s="50"/>
      <c r="P77" s="50"/>
      <c r="Q77" s="50"/>
      <c r="R77" s="50"/>
      <c r="S77" s="50"/>
      <c r="T77" s="50"/>
      <c r="U77" s="50"/>
      <c r="V77" s="50"/>
      <c r="W77" s="50"/>
      <c r="X77" s="50"/>
      <c r="Y77" s="50"/>
      <c r="Z77" s="50"/>
      <c r="AA77" s="50"/>
      <c r="AB77" s="50"/>
      <c r="AC77" s="50"/>
    </row>
    <row r="78" spans="1:29" ht="12.75">
      <c r="A78" s="47" t="s">
        <v>74</v>
      </c>
      <c r="B78" s="48" t="s">
        <v>457</v>
      </c>
      <c r="C78" s="49">
        <v>1</v>
      </c>
      <c r="D78" s="50" t="s">
        <v>478</v>
      </c>
      <c r="E78" s="51">
        <v>1</v>
      </c>
      <c r="F78" s="50" t="s">
        <v>478</v>
      </c>
      <c r="G78" s="51">
        <v>1</v>
      </c>
      <c r="H78" s="50" t="s">
        <v>478</v>
      </c>
      <c r="I78" s="51">
        <v>1</v>
      </c>
      <c r="J78" s="50"/>
      <c r="K78" s="50"/>
      <c r="L78" s="50"/>
      <c r="M78" s="50"/>
      <c r="N78" s="50"/>
      <c r="O78" s="50"/>
      <c r="P78" s="50"/>
      <c r="Q78" s="50"/>
      <c r="R78" s="50"/>
      <c r="S78" s="50"/>
      <c r="T78" s="50"/>
      <c r="U78" s="50"/>
      <c r="V78" s="50"/>
      <c r="W78" s="50"/>
      <c r="X78" s="50"/>
      <c r="Y78" s="50"/>
      <c r="Z78" s="50"/>
      <c r="AA78" s="50"/>
      <c r="AB78" s="50"/>
      <c r="AC78" s="50"/>
    </row>
    <row r="80" spans="1:29">
      <c r="D80" s="37" t="s">
        <v>479</v>
      </c>
      <c r="E80" s="1">
        <f>(21344)*0.001</f>
        <v>21.344000000000001</v>
      </c>
      <c r="F80" s="37" t="s">
        <v>479</v>
      </c>
      <c r="G80" s="1">
        <f>6811*0.001</f>
        <v>6.8109999999999999</v>
      </c>
      <c r="H80" s="37" t="s">
        <v>479</v>
      </c>
      <c r="I80" s="41">
        <f>4710*0.001</f>
        <v>4.71</v>
      </c>
    </row>
    <row r="81" spans="1:10" ht="14.25">
      <c r="D81" s="37" t="s">
        <v>480</v>
      </c>
      <c r="E81" s="42">
        <f>49*4*8+24*4*10+12*12*8</f>
        <v>3680</v>
      </c>
      <c r="F81" s="37" t="s">
        <v>480</v>
      </c>
      <c r="G81" s="43">
        <f>24*12*7</f>
        <v>2016</v>
      </c>
      <c r="H81" s="37" t="s">
        <v>480</v>
      </c>
      <c r="I81" s="51">
        <v>1392</v>
      </c>
      <c r="J81" s="43"/>
    </row>
    <row r="82" spans="1:10" ht="14.25">
      <c r="D82" s="37" t="s">
        <v>481</v>
      </c>
      <c r="E82" s="43">
        <f>PRODUCT(E65:E78)*E80^(0.01*(SUM(E60-C60,E61-C61,E62-C62,E63-C63,E64-C64)))</f>
        <v>1.4964651346359841</v>
      </c>
      <c r="F82" s="37"/>
      <c r="G82" s="43">
        <f>PRODUCT(G65:G78)*G80^(0.01*(SUM(G60-E60,G61-E61,G62-E62,G63-E63,G64-E64)))</f>
        <v>1.008031520483692</v>
      </c>
      <c r="H82" s="37"/>
      <c r="I82" s="43">
        <f>PRODUCT(I65:I78)*I80^(0.01*(SUM(I60-G60,I61-G61,I62-G62,I63-G63,I64-G64)))</f>
        <v>1.3173796618489586</v>
      </c>
    </row>
    <row r="83" spans="1:10">
      <c r="D83" s="37" t="s">
        <v>484</v>
      </c>
      <c r="E83" s="41">
        <f>E81/E82</f>
        <v>2459.1284586761603</v>
      </c>
      <c r="F83" s="37" t="s">
        <v>484</v>
      </c>
      <c r="G83" s="41">
        <f>G81/G82</f>
        <v>1999.9374613133587</v>
      </c>
      <c r="H83" s="37" t="s">
        <v>484</v>
      </c>
      <c r="I83" s="41">
        <f>I81/I82</f>
        <v>1056.6430014915447</v>
      </c>
    </row>
    <row r="85" spans="1:10" ht="12.75">
      <c r="A85" s="1" t="s">
        <v>95</v>
      </c>
      <c r="B85" s="32" t="s">
        <v>103</v>
      </c>
      <c r="C85" s="32" t="s">
        <v>278</v>
      </c>
      <c r="D85" s="32" t="s">
        <v>420</v>
      </c>
      <c r="E85" s="1" t="s">
        <v>485</v>
      </c>
      <c r="F85" s="37" t="s">
        <v>486</v>
      </c>
      <c r="G85" s="32" t="s">
        <v>487</v>
      </c>
    </row>
    <row r="86" spans="1:10" ht="12.75">
      <c r="A86" s="1" t="s">
        <v>488</v>
      </c>
      <c r="B86" s="1">
        <v>191.74</v>
      </c>
      <c r="C86" s="3">
        <v>104.83</v>
      </c>
      <c r="D86" s="1">
        <v>467.48</v>
      </c>
      <c r="E86" s="1">
        <v>1392</v>
      </c>
      <c r="F86" s="56">
        <f>I55</f>
        <v>1242.7575125408089</v>
      </c>
      <c r="G86" s="59">
        <f>I83</f>
        <v>1056.6430014915447</v>
      </c>
      <c r="H86" s="56">
        <v>1300</v>
      </c>
    </row>
    <row r="87" spans="1:10">
      <c r="A87" s="1" t="s">
        <v>476</v>
      </c>
      <c r="B87" s="1">
        <v>227.09</v>
      </c>
      <c r="C87" s="1">
        <v>152.85</v>
      </c>
      <c r="D87" s="52">
        <v>1013.46</v>
      </c>
      <c r="E87" s="1">
        <f>24*12*7</f>
        <v>2016</v>
      </c>
      <c r="F87" s="56">
        <f>G55</f>
        <v>1675.6232783976789</v>
      </c>
      <c r="G87" s="60">
        <f>G83</f>
        <v>1999.9374613133587</v>
      </c>
      <c r="H87" s="56">
        <v>1541</v>
      </c>
    </row>
    <row r="88" spans="1:10" ht="12.75">
      <c r="A88" s="32" t="s">
        <v>489</v>
      </c>
      <c r="B88" s="1">
        <v>564.75</v>
      </c>
      <c r="C88" s="1">
        <v>416.91</v>
      </c>
      <c r="D88" s="1">
        <v>1254.26</v>
      </c>
      <c r="E88" s="3">
        <f>49*4*8+24*4*10+12*12*8</f>
        <v>3680</v>
      </c>
      <c r="F88" s="56">
        <f>E55</f>
        <v>3029.6462610890298</v>
      </c>
      <c r="G88" s="59">
        <f>E83</f>
        <v>2459.1284586761603</v>
      </c>
      <c r="H88" s="56">
        <v>3030</v>
      </c>
    </row>
    <row r="89" spans="1:10" ht="12.75">
      <c r="A89" s="37" t="s">
        <v>490</v>
      </c>
      <c r="B89" s="37">
        <v>0</v>
      </c>
      <c r="C89" s="37">
        <v>0</v>
      </c>
      <c r="D89" s="37">
        <v>0</v>
      </c>
      <c r="E89" s="37">
        <v>0</v>
      </c>
      <c r="F89" s="37">
        <v>0</v>
      </c>
      <c r="G89" s="61">
        <v>0</v>
      </c>
    </row>
    <row r="91" spans="1:10" ht="15" customHeight="1">
      <c r="D91" s="56" t="s">
        <v>629</v>
      </c>
    </row>
    <row r="93" spans="1:10" ht="15" customHeight="1">
      <c r="A93" s="56" t="s">
        <v>629</v>
      </c>
      <c r="D93" s="56" t="s">
        <v>554</v>
      </c>
    </row>
    <row r="94" spans="1:10" ht="15" customHeight="1">
      <c r="D94" s="56" t="s">
        <v>630</v>
      </c>
    </row>
    <row r="95" spans="1:10" ht="15" customHeight="1">
      <c r="A95" s="56" t="s">
        <v>554</v>
      </c>
    </row>
    <row r="96" spans="1:10" ht="15" customHeight="1">
      <c r="A96" s="56" t="s">
        <v>630</v>
      </c>
      <c r="D96" s="56" t="s">
        <v>631</v>
      </c>
    </row>
    <row r="97" spans="1:6" ht="15" customHeight="1">
      <c r="D97" s="56" t="s">
        <v>632</v>
      </c>
      <c r="E97" s="62" t="s">
        <v>665</v>
      </c>
      <c r="F97" s="62" t="s">
        <v>247</v>
      </c>
    </row>
    <row r="98" spans="1:6" ht="15" customHeight="1">
      <c r="A98" s="56" t="s">
        <v>631</v>
      </c>
      <c r="D98" s="56" t="s">
        <v>633</v>
      </c>
      <c r="E98" s="62" t="s">
        <v>666</v>
      </c>
      <c r="F98" s="56">
        <f>AVERAGE(14.24/1392, 393.18/2016, 147.48/3680)</f>
        <v>8.1778577972918307E-2</v>
      </c>
    </row>
    <row r="99" spans="1:6" ht="15" customHeight="1">
      <c r="A99" s="56" t="s">
        <v>632</v>
      </c>
      <c r="D99" s="58" t="s">
        <v>667</v>
      </c>
      <c r="E99" s="62">
        <f>392.18/2016</f>
        <v>0.19453373015873016</v>
      </c>
    </row>
    <row r="100" spans="1:6" ht="15" customHeight="1">
      <c r="A100" s="56" t="s">
        <v>633</v>
      </c>
      <c r="B100" s="56">
        <f>AVERAGE(-14,393,-147,-231)</f>
        <v>0.25</v>
      </c>
      <c r="D100" s="56" t="s">
        <v>634</v>
      </c>
    </row>
    <row r="101" spans="1:6" ht="15" customHeight="1">
      <c r="D101" s="56" t="s">
        <v>635</v>
      </c>
    </row>
    <row r="102" spans="1:6" ht="15" customHeight="1">
      <c r="A102" s="56" t="s">
        <v>634</v>
      </c>
      <c r="D102" s="56" t="s">
        <v>636</v>
      </c>
    </row>
    <row r="103" spans="1:6" ht="15" customHeight="1">
      <c r="A103" s="56" t="s">
        <v>635</v>
      </c>
      <c r="D103" s="56" t="s">
        <v>637</v>
      </c>
    </row>
    <row r="104" spans="1:6" ht="15" customHeight="1">
      <c r="A104" s="56" t="s">
        <v>636</v>
      </c>
      <c r="D104" s="56" t="s">
        <v>638</v>
      </c>
    </row>
    <row r="105" spans="1:6" ht="15" customHeight="1">
      <c r="A105" s="56" t="s">
        <v>637</v>
      </c>
      <c r="D105" s="56" t="s">
        <v>639</v>
      </c>
    </row>
    <row r="106" spans="1:6" ht="15" customHeight="1">
      <c r="A106" s="56" t="s">
        <v>638</v>
      </c>
    </row>
    <row r="107" spans="1:6" ht="15" customHeight="1">
      <c r="A107" s="56" t="s">
        <v>639</v>
      </c>
      <c r="D107" s="56" t="s">
        <v>640</v>
      </c>
    </row>
    <row r="108" spans="1:6" ht="15" customHeight="1">
      <c r="D108" s="56" t="s">
        <v>641</v>
      </c>
      <c r="E108" s="56" t="s">
        <v>642</v>
      </c>
    </row>
    <row r="109" spans="1:6" ht="15" customHeight="1">
      <c r="A109" s="56" t="s">
        <v>640</v>
      </c>
      <c r="D109" s="56" t="s">
        <v>643</v>
      </c>
    </row>
    <row r="110" spans="1:6" ht="15" customHeight="1">
      <c r="A110" s="56" t="s">
        <v>641</v>
      </c>
      <c r="B110" s="56" t="s">
        <v>642</v>
      </c>
    </row>
    <row r="111" spans="1:6" ht="15" customHeight="1">
      <c r="A111" s="56" t="s">
        <v>643</v>
      </c>
      <c r="D111" s="56" t="s">
        <v>644</v>
      </c>
    </row>
    <row r="113" spans="1:6" ht="15" customHeight="1">
      <c r="A113" s="56" t="s">
        <v>644</v>
      </c>
      <c r="D113" s="56" t="s">
        <v>554</v>
      </c>
    </row>
    <row r="114" spans="1:6" ht="15" customHeight="1">
      <c r="D114" s="56" t="s">
        <v>645</v>
      </c>
    </row>
    <row r="115" spans="1:6" ht="15" customHeight="1">
      <c r="A115" s="56" t="s">
        <v>554</v>
      </c>
    </row>
    <row r="116" spans="1:6" ht="15" customHeight="1">
      <c r="A116" s="56" t="s">
        <v>645</v>
      </c>
      <c r="D116" s="56" t="s">
        <v>631</v>
      </c>
    </row>
    <row r="117" spans="1:6" ht="15" customHeight="1">
      <c r="D117" s="56" t="s">
        <v>646</v>
      </c>
      <c r="E117" s="62" t="s">
        <v>665</v>
      </c>
      <c r="F117" s="62" t="s">
        <v>247</v>
      </c>
    </row>
    <row r="118" spans="1:6" ht="15" customHeight="1">
      <c r="A118" s="56" t="s">
        <v>631</v>
      </c>
      <c r="D118" s="56" t="s">
        <v>647</v>
      </c>
      <c r="E118" s="62" t="s">
        <v>666</v>
      </c>
      <c r="F118" s="58">
        <f>AVERAGE(134.1/1392, 640.7/2016, -180.4/3680)</f>
        <v>0.12170733581621888</v>
      </c>
    </row>
    <row r="119" spans="1:6" ht="15" customHeight="1">
      <c r="A119" s="56" t="s">
        <v>646</v>
      </c>
      <c r="E119" s="62">
        <f>640/2016</f>
        <v>0.31746031746031744</v>
      </c>
    </row>
    <row r="120" spans="1:6" ht="15" customHeight="1">
      <c r="A120" s="56" t="s">
        <v>647</v>
      </c>
      <c r="D120" s="56" t="s">
        <v>634</v>
      </c>
    </row>
    <row r="121" spans="1:6" ht="15" customHeight="1">
      <c r="D121" s="56" t="s">
        <v>635</v>
      </c>
    </row>
    <row r="122" spans="1:6" ht="15" customHeight="1">
      <c r="A122" s="56" t="s">
        <v>634</v>
      </c>
      <c r="D122" s="56" t="s">
        <v>648</v>
      </c>
    </row>
    <row r="123" spans="1:6" ht="15" customHeight="1">
      <c r="A123" s="56" t="s">
        <v>635</v>
      </c>
      <c r="D123" s="56" t="s">
        <v>649</v>
      </c>
    </row>
    <row r="124" spans="1:6" ht="15" customHeight="1">
      <c r="A124" s="56" t="s">
        <v>648</v>
      </c>
      <c r="D124" s="56" t="s">
        <v>638</v>
      </c>
    </row>
    <row r="125" spans="1:6" ht="15" customHeight="1">
      <c r="A125" s="56" t="s">
        <v>649</v>
      </c>
      <c r="D125" s="56" t="s">
        <v>639</v>
      </c>
    </row>
    <row r="126" spans="1:6" ht="15" customHeight="1">
      <c r="A126" s="56" t="s">
        <v>638</v>
      </c>
    </row>
    <row r="127" spans="1:6" ht="15" customHeight="1">
      <c r="A127" s="56" t="s">
        <v>639</v>
      </c>
      <c r="D127" s="56" t="s">
        <v>650</v>
      </c>
    </row>
    <row r="128" spans="1:6" ht="15" customHeight="1">
      <c r="D128" s="56" t="s">
        <v>651</v>
      </c>
      <c r="E128" s="56" t="s">
        <v>652</v>
      </c>
    </row>
    <row r="129" spans="1:6" ht="15" customHeight="1">
      <c r="A129" s="56" t="s">
        <v>650</v>
      </c>
      <c r="D129" s="56" t="s">
        <v>653</v>
      </c>
    </row>
    <row r="130" spans="1:6" ht="15" customHeight="1">
      <c r="A130" s="56" t="s">
        <v>651</v>
      </c>
      <c r="B130" s="56" t="s">
        <v>652</v>
      </c>
    </row>
    <row r="131" spans="1:6" ht="15" customHeight="1">
      <c r="A131" s="56" t="s">
        <v>653</v>
      </c>
      <c r="D131" s="56" t="s">
        <v>654</v>
      </c>
    </row>
    <row r="133" spans="1:6" ht="15" customHeight="1">
      <c r="A133" s="56" t="s">
        <v>654</v>
      </c>
      <c r="D133" s="56" t="s">
        <v>554</v>
      </c>
    </row>
    <row r="134" spans="1:6" ht="15" customHeight="1">
      <c r="D134" s="56" t="s">
        <v>655</v>
      </c>
    </row>
    <row r="135" spans="1:6" ht="15" customHeight="1">
      <c r="A135" s="56" t="s">
        <v>554</v>
      </c>
    </row>
    <row r="136" spans="1:6" ht="15" customHeight="1">
      <c r="A136" s="56" t="s">
        <v>655</v>
      </c>
      <c r="D136" s="56" t="s">
        <v>631</v>
      </c>
      <c r="E136" s="62" t="s">
        <v>665</v>
      </c>
      <c r="F136" s="62" t="s">
        <v>247</v>
      </c>
    </row>
    <row r="137" spans="1:6" ht="15" customHeight="1">
      <c r="D137" s="56" t="s">
        <v>632</v>
      </c>
      <c r="E137" s="62" t="s">
        <v>666</v>
      </c>
      <c r="F137" s="58">
        <f>AVERAGE(94.23/1392, 268.27/2016, 138.87/3680)</f>
        <v>7.9500271689552052E-2</v>
      </c>
    </row>
    <row r="138" spans="1:6" ht="15" customHeight="1">
      <c r="A138" s="56" t="s">
        <v>631</v>
      </c>
      <c r="D138" s="56" t="s">
        <v>656</v>
      </c>
      <c r="E138" s="56">
        <f>268.27/2016</f>
        <v>0.13307043650793651</v>
      </c>
    </row>
    <row r="139" spans="1:6" ht="15" customHeight="1">
      <c r="A139" s="56" t="s">
        <v>632</v>
      </c>
    </row>
    <row r="140" spans="1:6" ht="15" customHeight="1">
      <c r="A140" s="56" t="s">
        <v>656</v>
      </c>
      <c r="D140" s="56" t="s">
        <v>634</v>
      </c>
    </row>
    <row r="141" spans="1:6" ht="15" customHeight="1">
      <c r="D141" s="56" t="s">
        <v>657</v>
      </c>
    </row>
    <row r="142" spans="1:6" ht="15" customHeight="1">
      <c r="A142" s="56" t="s">
        <v>634</v>
      </c>
      <c r="D142" s="56" t="s">
        <v>658</v>
      </c>
    </row>
    <row r="143" spans="1:6" ht="15" customHeight="1">
      <c r="A143" s="56" t="s">
        <v>657</v>
      </c>
      <c r="D143" s="56" t="s">
        <v>659</v>
      </c>
    </row>
    <row r="144" spans="1:6" ht="15" customHeight="1">
      <c r="A144" s="56" t="s">
        <v>658</v>
      </c>
      <c r="D144" s="56" t="s">
        <v>638</v>
      </c>
    </row>
    <row r="145" spans="1:5" ht="15" customHeight="1">
      <c r="A145" s="56" t="s">
        <v>659</v>
      </c>
      <c r="D145" s="56" t="s">
        <v>639</v>
      </c>
    </row>
    <row r="146" spans="1:5" ht="15" customHeight="1">
      <c r="A146" s="56" t="s">
        <v>638</v>
      </c>
    </row>
    <row r="147" spans="1:5" ht="15" customHeight="1">
      <c r="A147" s="56" t="s">
        <v>639</v>
      </c>
      <c r="D147" s="56" t="s">
        <v>660</v>
      </c>
    </row>
    <row r="148" spans="1:5" ht="15" customHeight="1">
      <c r="D148" s="56" t="s">
        <v>661</v>
      </c>
      <c r="E148" s="56" t="s">
        <v>662</v>
      </c>
    </row>
    <row r="149" spans="1:5" ht="15" customHeight="1">
      <c r="A149" s="56" t="s">
        <v>660</v>
      </c>
      <c r="D149" s="56" t="s">
        <v>663</v>
      </c>
    </row>
    <row r="150" spans="1:5" ht="15" customHeight="1">
      <c r="A150" s="56" t="s">
        <v>661</v>
      </c>
      <c r="B150" s="56" t="s">
        <v>662</v>
      </c>
    </row>
    <row r="151" spans="1:5" ht="15" customHeight="1">
      <c r="A151" s="56" t="s">
        <v>663</v>
      </c>
      <c r="D151" s="56" t="s">
        <v>664</v>
      </c>
    </row>
    <row r="152" spans="1:5" ht="15" customHeight="1">
      <c r="D152" s="56">
        <v>1</v>
      </c>
    </row>
    <row r="153" spans="1:5" ht="15" customHeight="1">
      <c r="A153" s="56" t="s">
        <v>664</v>
      </c>
    </row>
    <row r="154" spans="1:5" ht="15" customHeight="1">
      <c r="A154" s="56">
        <v>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9"/>
  <sheetViews>
    <sheetView topLeftCell="A69" workbookViewId="0">
      <selection activeCell="K81" sqref="K81"/>
    </sheetView>
  </sheetViews>
  <sheetFormatPr defaultColWidth="17.28515625" defaultRowHeight="15" customHeight="1"/>
  <cols>
    <col min="1" max="1" width="43.85546875" customWidth="1"/>
    <col min="2" max="4" width="44.5703125" customWidth="1"/>
    <col min="5" max="5" width="33.85546875" customWidth="1"/>
    <col min="6" max="6" width="19.28515625" customWidth="1"/>
  </cols>
  <sheetData>
    <row r="1" spans="1:7" ht="15" customHeight="1">
      <c r="B1" s="37" t="s">
        <v>449</v>
      </c>
      <c r="C1" s="37" t="s">
        <v>450</v>
      </c>
      <c r="D1" s="37" t="s">
        <v>451</v>
      </c>
      <c r="E1" s="37" t="s">
        <v>452</v>
      </c>
      <c r="F1" s="37" t="s">
        <v>453</v>
      </c>
    </row>
    <row r="2" spans="1:7" ht="15" customHeight="1">
      <c r="A2" s="38"/>
      <c r="B2" s="38"/>
      <c r="C2" s="14"/>
      <c r="D2" s="14"/>
      <c r="E2" s="14" t="s">
        <v>454</v>
      </c>
      <c r="F2" s="14" t="s">
        <v>454</v>
      </c>
      <c r="G2" s="14" t="s">
        <v>455</v>
      </c>
    </row>
    <row r="3" spans="1:7" ht="15" customHeight="1">
      <c r="A3" s="14" t="s">
        <v>456</v>
      </c>
      <c r="B3" s="14" t="s">
        <v>77</v>
      </c>
      <c r="C3" s="14"/>
      <c r="D3" s="14"/>
      <c r="E3" s="14" t="s">
        <v>457</v>
      </c>
      <c r="F3" s="14" t="s">
        <v>457</v>
      </c>
      <c r="G3" s="14" t="s">
        <v>458</v>
      </c>
    </row>
    <row r="4" spans="1:7" ht="15" customHeight="1">
      <c r="A4" s="38"/>
      <c r="B4" s="14" t="s">
        <v>79</v>
      </c>
      <c r="C4" s="14"/>
      <c r="D4" s="14"/>
      <c r="E4" s="14" t="s">
        <v>457</v>
      </c>
      <c r="F4" s="14" t="s">
        <v>457</v>
      </c>
      <c r="G4" s="14" t="s">
        <v>459</v>
      </c>
    </row>
    <row r="5" spans="1:7" ht="15" customHeight="1">
      <c r="A5" s="38"/>
      <c r="B5" s="14" t="s">
        <v>81</v>
      </c>
      <c r="C5" s="14" t="s">
        <v>82</v>
      </c>
      <c r="D5" s="14"/>
      <c r="E5" s="14" t="s">
        <v>460</v>
      </c>
      <c r="F5" s="14" t="s">
        <v>457</v>
      </c>
      <c r="G5" s="14" t="s">
        <v>461</v>
      </c>
    </row>
    <row r="6" spans="1:7" ht="15" customHeight="1">
      <c r="A6" s="38"/>
      <c r="B6" s="14" t="s">
        <v>84</v>
      </c>
      <c r="C6" s="14" t="s">
        <v>85</v>
      </c>
      <c r="D6" s="14"/>
      <c r="E6" s="14" t="s">
        <v>460</v>
      </c>
      <c r="F6" s="14" t="s">
        <v>457</v>
      </c>
      <c r="G6" s="14" t="s">
        <v>461</v>
      </c>
    </row>
    <row r="7" spans="1:7" ht="15" customHeight="1">
      <c r="A7" s="38"/>
      <c r="B7" s="14" t="s">
        <v>87</v>
      </c>
      <c r="C7" s="14"/>
      <c r="D7" s="14"/>
      <c r="E7" s="14" t="s">
        <v>457</v>
      </c>
      <c r="F7" s="14" t="s">
        <v>457</v>
      </c>
      <c r="G7" s="14" t="s">
        <v>462</v>
      </c>
    </row>
    <row r="8" spans="1:7" ht="15" customHeight="1">
      <c r="A8" s="14" t="s">
        <v>463</v>
      </c>
      <c r="B8" s="14" t="s">
        <v>26</v>
      </c>
      <c r="C8" s="14"/>
      <c r="D8" s="14"/>
      <c r="E8" s="14" t="s">
        <v>457</v>
      </c>
      <c r="F8" s="14" t="s">
        <v>457</v>
      </c>
      <c r="G8" s="14" t="s">
        <v>464</v>
      </c>
    </row>
    <row r="9" spans="1:7" ht="15" customHeight="1">
      <c r="A9" s="38"/>
      <c r="B9" s="14" t="s">
        <v>29</v>
      </c>
      <c r="C9" s="14"/>
      <c r="D9" s="14"/>
      <c r="E9" s="14" t="s">
        <v>457</v>
      </c>
      <c r="F9" s="14" t="s">
        <v>457</v>
      </c>
      <c r="G9" s="14" t="s">
        <v>464</v>
      </c>
    </row>
    <row r="10" spans="1:7" ht="15" customHeight="1">
      <c r="A10" s="38"/>
      <c r="B10" s="14" t="s">
        <v>32</v>
      </c>
      <c r="C10" s="14" t="s">
        <v>33</v>
      </c>
      <c r="D10" s="14" t="s">
        <v>374</v>
      </c>
      <c r="E10" s="14" t="s">
        <v>460</v>
      </c>
      <c r="F10" s="14" t="s">
        <v>460</v>
      </c>
      <c r="G10" s="14" t="s">
        <v>464</v>
      </c>
    </row>
    <row r="11" spans="1:7" ht="15" customHeight="1">
      <c r="A11" s="38"/>
      <c r="B11" s="14" t="s">
        <v>35</v>
      </c>
      <c r="C11" s="14" t="s">
        <v>36</v>
      </c>
      <c r="D11" s="14" t="s">
        <v>377</v>
      </c>
      <c r="E11" s="14" t="s">
        <v>460</v>
      </c>
      <c r="F11" s="14" t="s">
        <v>460</v>
      </c>
      <c r="G11" s="14" t="s">
        <v>465</v>
      </c>
    </row>
    <row r="12" spans="1:7" ht="15" customHeight="1">
      <c r="A12" s="38"/>
      <c r="B12" s="14" t="s">
        <v>38</v>
      </c>
      <c r="C12" s="14"/>
      <c r="D12" s="14"/>
      <c r="E12" s="14" t="s">
        <v>457</v>
      </c>
      <c r="F12" s="14" t="s">
        <v>457</v>
      </c>
      <c r="G12" s="14" t="s">
        <v>465</v>
      </c>
    </row>
    <row r="13" spans="1:7" ht="15" customHeight="1">
      <c r="A13" s="14" t="s">
        <v>466</v>
      </c>
      <c r="B13" s="14" t="s">
        <v>41</v>
      </c>
      <c r="C13" s="14" t="s">
        <v>42</v>
      </c>
      <c r="D13" s="14" t="s">
        <v>375</v>
      </c>
      <c r="E13" s="14" t="s">
        <v>460</v>
      </c>
      <c r="F13" s="14" t="s">
        <v>460</v>
      </c>
      <c r="G13" s="14" t="s">
        <v>465</v>
      </c>
    </row>
    <row r="14" spans="1:7" ht="15" customHeight="1">
      <c r="A14" s="38"/>
      <c r="B14" s="14" t="s">
        <v>45</v>
      </c>
      <c r="C14" s="14"/>
      <c r="D14" s="14"/>
      <c r="E14" s="14" t="s">
        <v>457</v>
      </c>
      <c r="F14" s="14" t="s">
        <v>457</v>
      </c>
      <c r="G14" s="14" t="s">
        <v>465</v>
      </c>
    </row>
    <row r="15" spans="1:7" ht="15" customHeight="1">
      <c r="A15" s="38"/>
      <c r="B15" s="14" t="s">
        <v>48</v>
      </c>
      <c r="C15" s="14"/>
      <c r="D15" s="14"/>
      <c r="E15" s="14" t="s">
        <v>457</v>
      </c>
      <c r="F15" s="14" t="s">
        <v>457</v>
      </c>
      <c r="G15" s="14" t="s">
        <v>467</v>
      </c>
    </row>
    <row r="16" spans="1:7" ht="15" customHeight="1">
      <c r="A16" s="14" t="s">
        <v>468</v>
      </c>
      <c r="B16" s="14" t="s">
        <v>51</v>
      </c>
      <c r="C16" s="14" t="s">
        <v>52</v>
      </c>
      <c r="D16" s="14"/>
      <c r="E16" s="14" t="s">
        <v>460</v>
      </c>
      <c r="F16" s="14" t="s">
        <v>457</v>
      </c>
      <c r="G16" s="14" t="s">
        <v>458</v>
      </c>
    </row>
    <row r="17" spans="1:7" ht="15" customHeight="1">
      <c r="A17" s="38"/>
      <c r="B17" s="14" t="s">
        <v>55</v>
      </c>
      <c r="C17" s="14" t="s">
        <v>56</v>
      </c>
      <c r="D17" s="14"/>
      <c r="E17" s="14" t="s">
        <v>460</v>
      </c>
      <c r="F17" s="14" t="s">
        <v>457</v>
      </c>
      <c r="G17" s="14" t="s">
        <v>458</v>
      </c>
    </row>
    <row r="18" spans="1:7" ht="15" customHeight="1">
      <c r="A18" s="38"/>
      <c r="B18" s="14" t="s">
        <v>59</v>
      </c>
      <c r="C18" s="14" t="s">
        <v>60</v>
      </c>
      <c r="D18" s="14"/>
      <c r="E18" s="14" t="s">
        <v>460</v>
      </c>
      <c r="F18" s="14" t="s">
        <v>457</v>
      </c>
      <c r="G18" s="14" t="s">
        <v>458</v>
      </c>
    </row>
    <row r="19" spans="1:7" ht="15" customHeight="1">
      <c r="A19" s="38"/>
      <c r="B19" s="14" t="s">
        <v>63</v>
      </c>
      <c r="C19" s="14" t="s">
        <v>64</v>
      </c>
      <c r="D19" s="14"/>
      <c r="E19" s="14" t="s">
        <v>460</v>
      </c>
      <c r="F19" s="14" t="s">
        <v>457</v>
      </c>
      <c r="G19" s="14" t="s">
        <v>458</v>
      </c>
    </row>
    <row r="20" spans="1:7" ht="15" customHeight="1">
      <c r="A20" s="38"/>
      <c r="B20" s="14" t="s">
        <v>67</v>
      </c>
      <c r="C20" s="14"/>
      <c r="D20" s="14"/>
      <c r="E20" s="14" t="s">
        <v>457</v>
      </c>
      <c r="F20" s="14" t="s">
        <v>457</v>
      </c>
      <c r="G20" s="14" t="s">
        <v>458</v>
      </c>
    </row>
    <row r="21" spans="1:7" ht="15" customHeight="1">
      <c r="A21" s="38"/>
      <c r="B21" s="14" t="s">
        <v>68</v>
      </c>
      <c r="C21" s="14" t="s">
        <v>69</v>
      </c>
      <c r="D21" s="14"/>
      <c r="E21" s="14" t="s">
        <v>460</v>
      </c>
      <c r="F21" s="14" t="s">
        <v>457</v>
      </c>
      <c r="G21" s="14" t="s">
        <v>458</v>
      </c>
    </row>
    <row r="22" spans="1:7" ht="15" customHeight="1">
      <c r="A22" s="14" t="s">
        <v>469</v>
      </c>
      <c r="B22" s="14" t="s">
        <v>71</v>
      </c>
      <c r="C22" s="14"/>
      <c r="D22" s="14"/>
      <c r="E22" s="14" t="s">
        <v>457</v>
      </c>
      <c r="F22" s="14" t="s">
        <v>457</v>
      </c>
      <c r="G22" s="14" t="s">
        <v>461</v>
      </c>
    </row>
    <row r="23" spans="1:7" ht="15" customHeight="1">
      <c r="A23" s="38"/>
      <c r="B23" s="14" t="s">
        <v>73</v>
      </c>
      <c r="C23" s="14"/>
      <c r="D23" s="14"/>
      <c r="E23" s="14" t="s">
        <v>457</v>
      </c>
      <c r="F23" s="14" t="s">
        <v>457</v>
      </c>
      <c r="G23" s="14" t="s">
        <v>458</v>
      </c>
    </row>
    <row r="24" spans="1:7" ht="15" customHeight="1">
      <c r="A24" s="38"/>
      <c r="B24" s="14" t="s">
        <v>74</v>
      </c>
      <c r="C24" s="14"/>
      <c r="D24" s="14"/>
      <c r="E24" s="14" t="s">
        <v>457</v>
      </c>
      <c r="F24" s="14" t="s">
        <v>457</v>
      </c>
      <c r="G24" s="14" t="s">
        <v>470</v>
      </c>
    </row>
    <row r="28" spans="1:7" ht="15" customHeight="1">
      <c r="A28" s="14" t="s">
        <v>471</v>
      </c>
      <c r="B28" s="38"/>
      <c r="C28" s="38"/>
      <c r="D28" s="38"/>
      <c r="E28" s="38"/>
    </row>
    <row r="29" spans="1:7" ht="15" customHeight="1">
      <c r="A29" s="14" t="s">
        <v>95</v>
      </c>
      <c r="B29" s="14" t="s">
        <v>420</v>
      </c>
      <c r="C29" s="14" t="s">
        <v>278</v>
      </c>
      <c r="D29" s="14" t="s">
        <v>420</v>
      </c>
      <c r="E29" s="14" t="s">
        <v>472</v>
      </c>
    </row>
    <row r="30" spans="1:7" ht="15" customHeight="1">
      <c r="A30" s="14" t="s">
        <v>104</v>
      </c>
      <c r="B30" s="39">
        <v>467.48</v>
      </c>
      <c r="C30" s="40">
        <v>104.8344</v>
      </c>
      <c r="D30" s="39">
        <v>467.48</v>
      </c>
      <c r="E30" s="40">
        <v>1230.312222</v>
      </c>
    </row>
    <row r="31" spans="1:7" ht="15" customHeight="1">
      <c r="A31" s="14" t="s">
        <v>132</v>
      </c>
      <c r="B31" s="40">
        <v>1013.46</v>
      </c>
      <c r="C31" s="40">
        <v>123.3734</v>
      </c>
      <c r="D31" s="40">
        <v>1013.46</v>
      </c>
      <c r="E31" s="40">
        <v>723.21533460000001</v>
      </c>
    </row>
    <row r="32" spans="1:7" ht="15" customHeight="1">
      <c r="A32" s="14" t="s">
        <v>220</v>
      </c>
      <c r="B32" s="40">
        <v>1254.26</v>
      </c>
      <c r="C32" s="40">
        <v>515.96159999999998</v>
      </c>
      <c r="D32" s="40">
        <v>1254.26</v>
      </c>
      <c r="E32" s="40">
        <v>2446.398831</v>
      </c>
    </row>
    <row r="33" spans="1:9" ht="15" customHeight="1">
      <c r="A33" s="14" t="s">
        <v>221</v>
      </c>
      <c r="B33" s="40">
        <v>0</v>
      </c>
      <c r="C33" s="40">
        <v>0</v>
      </c>
      <c r="D33" s="40">
        <v>0</v>
      </c>
      <c r="E33" s="40">
        <v>0</v>
      </c>
    </row>
    <row r="36" spans="1:9" ht="15" customHeight="1">
      <c r="A36" s="37" t="s">
        <v>473</v>
      </c>
    </row>
    <row r="37" spans="1:9" ht="15" customHeight="1">
      <c r="A37" s="37" t="s">
        <v>449</v>
      </c>
      <c r="B37" s="37" t="s">
        <v>452</v>
      </c>
      <c r="C37" s="37" t="s">
        <v>474</v>
      </c>
      <c r="D37" s="37" t="s">
        <v>475</v>
      </c>
      <c r="F37" s="37" t="s">
        <v>476</v>
      </c>
      <c r="H37" s="37" t="s">
        <v>477</v>
      </c>
    </row>
    <row r="38" spans="1:9" ht="15" customHeight="1">
      <c r="A38" s="38"/>
      <c r="B38" s="14" t="s">
        <v>454</v>
      </c>
      <c r="C38" s="14"/>
    </row>
    <row r="39" spans="1:9" ht="15" customHeight="1">
      <c r="A39" s="14" t="s">
        <v>77</v>
      </c>
      <c r="B39" s="14" t="s">
        <v>457</v>
      </c>
      <c r="C39" s="14">
        <v>3.72</v>
      </c>
      <c r="D39" s="37" t="s">
        <v>263</v>
      </c>
      <c r="E39" s="37">
        <v>4.96</v>
      </c>
      <c r="F39" s="37" t="s">
        <v>478</v>
      </c>
      <c r="G39" s="37">
        <v>3.72</v>
      </c>
      <c r="H39" s="37" t="s">
        <v>263</v>
      </c>
      <c r="I39" s="37">
        <v>4.96</v>
      </c>
    </row>
    <row r="40" spans="1:9" ht="12.75">
      <c r="A40" s="14" t="s">
        <v>79</v>
      </c>
      <c r="B40" s="14" t="s">
        <v>457</v>
      </c>
      <c r="C40" s="14">
        <v>4.24</v>
      </c>
      <c r="D40" s="37" t="s">
        <v>265</v>
      </c>
      <c r="E40" s="37">
        <v>2.83</v>
      </c>
      <c r="F40" s="37" t="s">
        <v>265</v>
      </c>
      <c r="G40" s="37">
        <v>2.83</v>
      </c>
      <c r="H40" s="37" t="s">
        <v>265</v>
      </c>
      <c r="I40" s="37">
        <v>2.83</v>
      </c>
    </row>
    <row r="41" spans="1:9" ht="12.75">
      <c r="A41" s="14" t="s">
        <v>87</v>
      </c>
      <c r="B41" s="14" t="s">
        <v>457</v>
      </c>
      <c r="C41" s="14">
        <v>3.04</v>
      </c>
      <c r="D41" s="37" t="s">
        <v>478</v>
      </c>
      <c r="E41" s="37">
        <v>3.04</v>
      </c>
      <c r="F41" s="37" t="s">
        <v>478</v>
      </c>
      <c r="G41" s="37">
        <v>3.04</v>
      </c>
      <c r="H41" s="37" t="s">
        <v>478</v>
      </c>
      <c r="I41" s="37">
        <v>3.04</v>
      </c>
    </row>
    <row r="42" spans="1:9" ht="12.75">
      <c r="A42" s="14" t="s">
        <v>26</v>
      </c>
      <c r="B42" s="14" t="s">
        <v>457</v>
      </c>
      <c r="C42" s="14">
        <v>1</v>
      </c>
      <c r="D42" s="37" t="s">
        <v>265</v>
      </c>
      <c r="E42" s="37">
        <v>1.1000000000000001</v>
      </c>
      <c r="F42" s="37" t="s">
        <v>478</v>
      </c>
      <c r="G42" s="37">
        <v>1</v>
      </c>
      <c r="H42" s="37" t="s">
        <v>265</v>
      </c>
      <c r="I42" s="37">
        <v>1.26</v>
      </c>
    </row>
    <row r="43" spans="1:9" ht="12.75">
      <c r="A43" s="14" t="s">
        <v>29</v>
      </c>
      <c r="B43" s="14" t="s">
        <v>457</v>
      </c>
      <c r="C43" s="14">
        <v>1</v>
      </c>
      <c r="D43" s="37" t="s">
        <v>478</v>
      </c>
      <c r="E43" s="37">
        <v>1</v>
      </c>
      <c r="G43" s="37">
        <v>1</v>
      </c>
      <c r="H43" s="37" t="s">
        <v>265</v>
      </c>
      <c r="I43" s="37">
        <v>1</v>
      </c>
    </row>
    <row r="44" spans="1:9" ht="12.75">
      <c r="A44" s="14" t="s">
        <v>38</v>
      </c>
      <c r="B44" s="14" t="s">
        <v>457</v>
      </c>
      <c r="C44" s="14">
        <v>1</v>
      </c>
      <c r="D44" s="37" t="s">
        <v>265</v>
      </c>
      <c r="E44" s="37">
        <v>1.1100000000000001</v>
      </c>
      <c r="F44" s="37" t="s">
        <v>265</v>
      </c>
      <c r="G44" s="37">
        <v>1.1100000000000001</v>
      </c>
      <c r="H44" s="37" t="s">
        <v>265</v>
      </c>
      <c r="I44" s="37">
        <v>1.1100000000000001</v>
      </c>
    </row>
    <row r="45" spans="1:9" ht="12.75">
      <c r="A45" s="14" t="s">
        <v>45</v>
      </c>
      <c r="B45" s="14" t="s">
        <v>457</v>
      </c>
      <c r="C45" s="14">
        <v>1</v>
      </c>
      <c r="D45" s="37" t="s">
        <v>478</v>
      </c>
      <c r="E45" s="37">
        <v>1</v>
      </c>
      <c r="F45" s="37" t="s">
        <v>478</v>
      </c>
      <c r="G45" s="37">
        <v>1</v>
      </c>
      <c r="H45" s="37" t="s">
        <v>265</v>
      </c>
      <c r="I45" s="37">
        <v>1.05</v>
      </c>
    </row>
    <row r="46" spans="1:9" ht="12.75">
      <c r="A46" s="14" t="s">
        <v>48</v>
      </c>
      <c r="B46" s="14" t="s">
        <v>457</v>
      </c>
      <c r="C46" s="14">
        <v>1</v>
      </c>
      <c r="D46" s="37" t="s">
        <v>478</v>
      </c>
      <c r="E46" s="37">
        <v>1</v>
      </c>
      <c r="F46" s="37" t="s">
        <v>478</v>
      </c>
      <c r="G46" s="37">
        <v>1</v>
      </c>
      <c r="H46" s="37" t="s">
        <v>478</v>
      </c>
      <c r="I46" s="37">
        <v>1</v>
      </c>
    </row>
    <row r="47" spans="1:9" ht="12.75">
      <c r="A47" s="14" t="s">
        <v>67</v>
      </c>
      <c r="B47" s="14" t="s">
        <v>457</v>
      </c>
      <c r="C47" s="14">
        <v>1</v>
      </c>
      <c r="D47" s="37" t="s">
        <v>478</v>
      </c>
      <c r="E47" s="37">
        <v>1</v>
      </c>
      <c r="F47" s="37" t="s">
        <v>265</v>
      </c>
      <c r="G47" s="37">
        <v>0.91</v>
      </c>
      <c r="H47" s="37" t="s">
        <v>478</v>
      </c>
      <c r="I47" s="37">
        <v>1</v>
      </c>
    </row>
    <row r="48" spans="1:9" ht="12.75">
      <c r="A48" s="14" t="s">
        <v>71</v>
      </c>
      <c r="B48" s="14" t="s">
        <v>457</v>
      </c>
      <c r="C48" s="14">
        <v>1</v>
      </c>
      <c r="D48" s="37" t="s">
        <v>478</v>
      </c>
      <c r="E48" s="37">
        <v>1</v>
      </c>
      <c r="F48" s="37" t="s">
        <v>265</v>
      </c>
      <c r="G48" s="37">
        <v>0.9</v>
      </c>
      <c r="H48" s="37" t="s">
        <v>265</v>
      </c>
      <c r="I48" s="37">
        <v>0.9</v>
      </c>
    </row>
    <row r="49" spans="1:29" ht="12.75">
      <c r="A49" s="14" t="s">
        <v>73</v>
      </c>
      <c r="B49" s="14" t="s">
        <v>457</v>
      </c>
      <c r="C49" s="14">
        <v>1</v>
      </c>
      <c r="D49" s="37" t="s">
        <v>478</v>
      </c>
      <c r="E49" s="37">
        <v>1</v>
      </c>
      <c r="F49" s="37" t="s">
        <v>265</v>
      </c>
      <c r="G49" s="37">
        <v>0.93</v>
      </c>
      <c r="H49" s="37" t="s">
        <v>478</v>
      </c>
      <c r="I49" s="37">
        <v>1</v>
      </c>
    </row>
    <row r="50" spans="1:29" ht="12.75">
      <c r="A50" s="14" t="s">
        <v>74</v>
      </c>
      <c r="B50" s="14" t="s">
        <v>457</v>
      </c>
      <c r="C50" s="14">
        <v>1</v>
      </c>
      <c r="D50" s="37" t="s">
        <v>478</v>
      </c>
      <c r="E50" s="37">
        <v>1</v>
      </c>
      <c r="F50" s="37" t="s">
        <v>478</v>
      </c>
      <c r="G50" s="37">
        <v>1</v>
      </c>
      <c r="H50" s="37" t="s">
        <v>478</v>
      </c>
      <c r="I50" s="37">
        <v>1</v>
      </c>
    </row>
    <row r="52" spans="1:29">
      <c r="D52" s="37" t="s">
        <v>479</v>
      </c>
      <c r="E52" s="1">
        <f>(21344)*0.001</f>
        <v>21.344000000000001</v>
      </c>
      <c r="F52" s="37" t="s">
        <v>479</v>
      </c>
      <c r="G52" s="1">
        <f>6811*0.001</f>
        <v>6.8109999999999999</v>
      </c>
      <c r="H52" s="37" t="s">
        <v>479</v>
      </c>
      <c r="I52" s="41">
        <f>4710*0.001</f>
        <v>4.71</v>
      </c>
    </row>
    <row r="53" spans="1:29" ht="14.25">
      <c r="D53" s="37" t="s">
        <v>480</v>
      </c>
      <c r="E53" s="42">
        <f>49*4*8+24*4*10+12*12*8</f>
        <v>3680</v>
      </c>
      <c r="F53" s="37" t="s">
        <v>480</v>
      </c>
      <c r="G53" s="43">
        <f>24*12*7</f>
        <v>2016</v>
      </c>
      <c r="H53" s="37" t="s">
        <v>480</v>
      </c>
      <c r="I53" s="44">
        <v>1200</v>
      </c>
    </row>
    <row r="54" spans="1:29" ht="14.25">
      <c r="D54" s="37" t="s">
        <v>481</v>
      </c>
      <c r="E54" s="43">
        <f>PRODUCT(E42:E50)*E52^(0.01*(SUM(E39-C39,E40-C40,E41-C41)))</f>
        <v>1.2146632586331036</v>
      </c>
      <c r="F54" s="37"/>
      <c r="G54" s="43">
        <f>PRODUCT(G42:G50)*G52^(0.01*(SUM(G39-E39,G40-E40,G41-E41)))</f>
        <v>0.82557781527614382</v>
      </c>
      <c r="H54" s="37"/>
      <c r="I54" s="43">
        <f>PRODUCT(I42:I50)*I52^(0.01*(SUM(I39-G39,I40-G40,I41-G41)))</f>
        <v>1.347320108709162</v>
      </c>
    </row>
    <row r="55" spans="1:29">
      <c r="D55" s="37" t="s">
        <v>482</v>
      </c>
      <c r="E55" s="41">
        <f>E53/E54</f>
        <v>3029.6462610890298</v>
      </c>
      <c r="F55" s="32" t="s">
        <v>482</v>
      </c>
      <c r="G55" s="41">
        <f>G53/G54</f>
        <v>2441.9260821896933</v>
      </c>
      <c r="H55" s="37" t="s">
        <v>482</v>
      </c>
      <c r="I55" s="41">
        <f>I53/I54</f>
        <v>890.65693612314135</v>
      </c>
    </row>
    <row r="57" spans="1:29" ht="12.75">
      <c r="A57" s="45" t="s">
        <v>483</v>
      </c>
      <c r="B57" s="46"/>
      <c r="C57" s="46"/>
      <c r="D57" s="46"/>
      <c r="E57" s="46"/>
      <c r="F57" s="46"/>
      <c r="G57" s="46"/>
      <c r="H57" s="46"/>
      <c r="I57" s="46"/>
      <c r="J57" s="46"/>
      <c r="K57" s="46"/>
      <c r="L57" s="46"/>
      <c r="M57" s="46"/>
      <c r="N57" s="46"/>
      <c r="O57" s="46"/>
      <c r="P57" s="46"/>
      <c r="Q57" s="46"/>
      <c r="R57" s="46"/>
      <c r="S57" s="46"/>
      <c r="T57" s="46"/>
      <c r="U57" s="46"/>
      <c r="V57" s="46"/>
      <c r="W57" s="46"/>
      <c r="X57" s="46"/>
      <c r="Y57" s="46"/>
      <c r="Z57" s="46"/>
      <c r="AA57" s="46"/>
      <c r="AB57" s="46"/>
      <c r="AC57" s="46"/>
    </row>
    <row r="58" spans="1:29" ht="12.75">
      <c r="A58" s="45" t="s">
        <v>449</v>
      </c>
      <c r="B58" s="45" t="s">
        <v>453</v>
      </c>
      <c r="C58" s="45" t="s">
        <v>474</v>
      </c>
      <c r="D58" s="45" t="s">
        <v>475</v>
      </c>
      <c r="E58" s="46"/>
      <c r="F58" s="45" t="s">
        <v>476</v>
      </c>
      <c r="G58" s="46"/>
      <c r="H58" s="45" t="s">
        <v>477</v>
      </c>
      <c r="I58" s="46"/>
      <c r="J58" s="46"/>
      <c r="K58" s="46"/>
      <c r="L58" s="46"/>
      <c r="M58" s="46"/>
      <c r="N58" s="46"/>
      <c r="O58" s="46"/>
      <c r="P58" s="46"/>
      <c r="Q58" s="46"/>
      <c r="R58" s="46"/>
      <c r="S58" s="46"/>
      <c r="T58" s="46"/>
      <c r="U58" s="46"/>
      <c r="V58" s="46"/>
      <c r="W58" s="46"/>
      <c r="X58" s="46"/>
      <c r="Y58" s="46"/>
      <c r="Z58" s="46"/>
      <c r="AA58" s="46"/>
      <c r="AB58" s="46"/>
      <c r="AC58" s="46"/>
    </row>
    <row r="59" spans="1:29" ht="12.75">
      <c r="A59" s="38"/>
      <c r="B59" s="14" t="s">
        <v>454</v>
      </c>
      <c r="C59" s="14"/>
    </row>
    <row r="60" spans="1:29" ht="12.75">
      <c r="A60" s="14" t="s">
        <v>77</v>
      </c>
      <c r="B60" s="14" t="s">
        <v>457</v>
      </c>
      <c r="C60" s="14">
        <v>3.72</v>
      </c>
      <c r="D60" s="37" t="s">
        <v>263</v>
      </c>
      <c r="E60" s="37">
        <v>4.96</v>
      </c>
      <c r="F60" s="37" t="s">
        <v>478</v>
      </c>
      <c r="G60" s="37">
        <v>3.72</v>
      </c>
      <c r="H60" s="37" t="s">
        <v>263</v>
      </c>
      <c r="I60" s="37">
        <v>4.96</v>
      </c>
    </row>
    <row r="61" spans="1:29" ht="12.75">
      <c r="A61" s="14" t="s">
        <v>79</v>
      </c>
      <c r="B61" s="14" t="s">
        <v>457</v>
      </c>
      <c r="C61" s="14">
        <v>4.24</v>
      </c>
      <c r="D61" s="37" t="s">
        <v>265</v>
      </c>
      <c r="E61" s="37">
        <v>2.83</v>
      </c>
      <c r="F61" s="37" t="s">
        <v>265</v>
      </c>
      <c r="G61" s="37">
        <v>2.83</v>
      </c>
      <c r="H61" s="37" t="s">
        <v>265</v>
      </c>
      <c r="I61" s="37">
        <v>2.83</v>
      </c>
    </row>
    <row r="62" spans="1:29" ht="12.75">
      <c r="A62" s="14" t="s">
        <v>81</v>
      </c>
      <c r="B62" s="14" t="s">
        <v>457</v>
      </c>
      <c r="C62" s="14">
        <v>4.68</v>
      </c>
      <c r="D62" s="37" t="s">
        <v>478</v>
      </c>
      <c r="E62" s="37">
        <v>4.68</v>
      </c>
      <c r="F62" s="37" t="s">
        <v>478</v>
      </c>
      <c r="G62" s="37">
        <v>4.68</v>
      </c>
      <c r="H62" s="37" t="s">
        <v>478</v>
      </c>
      <c r="I62" s="37">
        <v>4.68</v>
      </c>
    </row>
    <row r="63" spans="1:29" ht="12.75">
      <c r="A63" s="14" t="s">
        <v>84</v>
      </c>
      <c r="B63" s="14" t="s">
        <v>457</v>
      </c>
      <c r="C63" s="14">
        <v>3.29</v>
      </c>
      <c r="D63" s="37" t="s">
        <v>478</v>
      </c>
      <c r="E63" s="37">
        <v>3.29</v>
      </c>
      <c r="F63" s="37" t="s">
        <v>478</v>
      </c>
      <c r="G63" s="37">
        <v>3.29</v>
      </c>
      <c r="H63" s="37" t="s">
        <v>478</v>
      </c>
      <c r="I63" s="37">
        <v>3.29</v>
      </c>
    </row>
    <row r="64" spans="1:29" ht="12.75">
      <c r="A64" s="47" t="s">
        <v>87</v>
      </c>
      <c r="B64" s="48" t="s">
        <v>457</v>
      </c>
      <c r="C64" s="49">
        <v>3.04</v>
      </c>
      <c r="D64" s="50" t="s">
        <v>478</v>
      </c>
      <c r="E64" s="51">
        <v>3.04</v>
      </c>
      <c r="F64" s="50" t="s">
        <v>478</v>
      </c>
      <c r="G64" s="51">
        <v>3.04</v>
      </c>
      <c r="H64" s="50" t="s">
        <v>478</v>
      </c>
      <c r="I64" s="51">
        <v>3.04</v>
      </c>
      <c r="J64" s="50"/>
      <c r="K64" s="50"/>
      <c r="L64" s="50"/>
      <c r="M64" s="50"/>
      <c r="N64" s="50"/>
      <c r="O64" s="50"/>
      <c r="P64" s="50"/>
      <c r="Q64" s="50"/>
      <c r="R64" s="50"/>
      <c r="S64" s="50"/>
      <c r="T64" s="50"/>
      <c r="U64" s="50"/>
      <c r="V64" s="50"/>
      <c r="W64" s="50"/>
      <c r="X64" s="50"/>
      <c r="Y64" s="50"/>
      <c r="Z64" s="50"/>
      <c r="AA64" s="50"/>
      <c r="AB64" s="50"/>
      <c r="AC64" s="50"/>
    </row>
    <row r="65" spans="1:29" ht="12.75">
      <c r="A65" s="47" t="s">
        <v>26</v>
      </c>
      <c r="B65" s="48" t="s">
        <v>457</v>
      </c>
      <c r="C65" s="49">
        <v>1</v>
      </c>
      <c r="D65" s="50" t="s">
        <v>265</v>
      </c>
      <c r="E65" s="51">
        <v>1.1000000000000001</v>
      </c>
      <c r="F65" s="50" t="s">
        <v>478</v>
      </c>
      <c r="G65" s="51">
        <v>1</v>
      </c>
      <c r="H65" s="50" t="s">
        <v>265</v>
      </c>
      <c r="I65" s="51">
        <v>1</v>
      </c>
      <c r="J65" s="50"/>
      <c r="K65" s="50"/>
      <c r="L65" s="50"/>
      <c r="M65" s="50"/>
      <c r="N65" s="50"/>
      <c r="O65" s="50"/>
      <c r="P65" s="50"/>
      <c r="Q65" s="50"/>
      <c r="R65" s="50"/>
      <c r="S65" s="50"/>
      <c r="T65" s="50"/>
      <c r="U65" s="50"/>
      <c r="V65" s="50"/>
      <c r="W65" s="50"/>
      <c r="X65" s="50"/>
      <c r="Y65" s="50"/>
      <c r="Z65" s="50"/>
      <c r="AA65" s="50"/>
      <c r="AB65" s="50"/>
      <c r="AC65" s="50"/>
    </row>
    <row r="66" spans="1:29" ht="12.75">
      <c r="A66" s="47" t="s">
        <v>29</v>
      </c>
      <c r="B66" s="48" t="s">
        <v>457</v>
      </c>
      <c r="C66" s="49">
        <v>1</v>
      </c>
      <c r="D66" s="50" t="s">
        <v>478</v>
      </c>
      <c r="E66" s="51">
        <v>1</v>
      </c>
      <c r="F66" s="50"/>
      <c r="G66" s="51">
        <v>1</v>
      </c>
      <c r="H66" s="50" t="s">
        <v>265</v>
      </c>
      <c r="I66" s="51">
        <v>1</v>
      </c>
      <c r="J66" s="50"/>
      <c r="K66" s="50"/>
      <c r="L66" s="50"/>
      <c r="M66" s="50"/>
      <c r="N66" s="50"/>
      <c r="O66" s="50"/>
      <c r="P66" s="50"/>
      <c r="Q66" s="50"/>
      <c r="R66" s="50"/>
      <c r="S66" s="50"/>
      <c r="T66" s="50"/>
      <c r="U66" s="50"/>
      <c r="V66" s="50"/>
      <c r="W66" s="50"/>
      <c r="X66" s="50"/>
      <c r="Y66" s="50"/>
      <c r="Z66" s="50"/>
      <c r="AA66" s="50"/>
      <c r="AB66" s="50"/>
      <c r="AC66" s="50"/>
    </row>
    <row r="67" spans="1:29" ht="12.75">
      <c r="A67" s="47" t="s">
        <v>38</v>
      </c>
      <c r="B67" s="48" t="s">
        <v>457</v>
      </c>
      <c r="C67" s="49">
        <v>1</v>
      </c>
      <c r="D67" s="50" t="s">
        <v>265</v>
      </c>
      <c r="E67" s="51">
        <v>1.1100000000000001</v>
      </c>
      <c r="F67" s="50" t="s">
        <v>265</v>
      </c>
      <c r="G67" s="51">
        <v>1.1100000000000001</v>
      </c>
      <c r="H67" s="50" t="s">
        <v>265</v>
      </c>
      <c r="I67" s="51">
        <v>1.1100000000000001</v>
      </c>
      <c r="J67" s="50"/>
      <c r="K67" s="50"/>
      <c r="L67" s="50"/>
      <c r="M67" s="50"/>
      <c r="N67" s="50"/>
      <c r="O67" s="50"/>
      <c r="P67" s="50"/>
      <c r="Q67" s="50"/>
      <c r="R67" s="50"/>
      <c r="S67" s="50"/>
      <c r="T67" s="50"/>
      <c r="U67" s="50"/>
      <c r="V67" s="50"/>
      <c r="W67" s="50"/>
      <c r="X67" s="50"/>
      <c r="Y67" s="50"/>
      <c r="Z67" s="50"/>
      <c r="AA67" s="50"/>
      <c r="AB67" s="50"/>
      <c r="AC67" s="50"/>
    </row>
    <row r="68" spans="1:29" ht="12.75">
      <c r="A68" s="47" t="s">
        <v>45</v>
      </c>
      <c r="B68" s="48" t="s">
        <v>457</v>
      </c>
      <c r="C68" s="49">
        <v>1</v>
      </c>
      <c r="D68" s="50" t="s">
        <v>478</v>
      </c>
      <c r="E68" s="51">
        <v>1</v>
      </c>
      <c r="F68" s="50" t="s">
        <v>478</v>
      </c>
      <c r="G68" s="51">
        <v>1</v>
      </c>
      <c r="H68" s="50" t="s">
        <v>265</v>
      </c>
      <c r="I68" s="51">
        <v>1.05</v>
      </c>
      <c r="J68" s="50"/>
      <c r="K68" s="50"/>
      <c r="L68" s="50"/>
      <c r="M68" s="50"/>
      <c r="N68" s="50"/>
      <c r="O68" s="50"/>
      <c r="P68" s="50"/>
      <c r="Q68" s="50"/>
      <c r="R68" s="50"/>
      <c r="S68" s="50"/>
      <c r="T68" s="50"/>
      <c r="U68" s="50"/>
      <c r="V68" s="50"/>
      <c r="W68" s="50"/>
      <c r="X68" s="50"/>
      <c r="Y68" s="50"/>
      <c r="Z68" s="50"/>
      <c r="AA68" s="50"/>
      <c r="AB68" s="50"/>
      <c r="AC68" s="50"/>
    </row>
    <row r="69" spans="1:29" ht="12.75">
      <c r="A69" s="47" t="s">
        <v>48</v>
      </c>
      <c r="B69" s="48" t="s">
        <v>457</v>
      </c>
      <c r="C69" s="49">
        <v>1</v>
      </c>
      <c r="D69" s="50" t="s">
        <v>478</v>
      </c>
      <c r="E69" s="51">
        <v>1</v>
      </c>
      <c r="F69" s="50" t="s">
        <v>478</v>
      </c>
      <c r="G69" s="51">
        <v>1</v>
      </c>
      <c r="H69" s="50" t="s">
        <v>478</v>
      </c>
      <c r="I69" s="51">
        <v>1</v>
      </c>
      <c r="J69" s="50"/>
      <c r="K69" s="50"/>
      <c r="L69" s="50"/>
      <c r="M69" s="50"/>
      <c r="N69" s="50"/>
      <c r="O69" s="50"/>
      <c r="P69" s="50"/>
      <c r="Q69" s="50"/>
      <c r="R69" s="50"/>
      <c r="S69" s="50"/>
      <c r="T69" s="50"/>
      <c r="U69" s="50"/>
      <c r="V69" s="50"/>
      <c r="W69" s="50"/>
      <c r="X69" s="50"/>
      <c r="Y69" s="50"/>
      <c r="Z69" s="50"/>
      <c r="AA69" s="50"/>
      <c r="AB69" s="50"/>
      <c r="AC69" s="50"/>
    </row>
    <row r="70" spans="1:29" ht="12.75">
      <c r="A70" s="14" t="s">
        <v>51</v>
      </c>
      <c r="B70" s="14" t="s">
        <v>457</v>
      </c>
      <c r="C70" s="14">
        <v>1</v>
      </c>
      <c r="D70" s="37" t="s">
        <v>478</v>
      </c>
      <c r="E70" s="37">
        <v>1</v>
      </c>
      <c r="F70" s="37" t="s">
        <v>478</v>
      </c>
      <c r="G70" s="37">
        <v>1</v>
      </c>
      <c r="H70" s="37" t="s">
        <v>478</v>
      </c>
      <c r="I70" s="37">
        <v>1</v>
      </c>
    </row>
    <row r="71" spans="1:29" ht="12.75">
      <c r="A71" s="14" t="s">
        <v>55</v>
      </c>
      <c r="B71" s="14" t="s">
        <v>457</v>
      </c>
      <c r="C71" s="14">
        <v>1</v>
      </c>
      <c r="D71" s="37" t="s">
        <v>478</v>
      </c>
      <c r="E71" s="37">
        <v>1</v>
      </c>
      <c r="F71" s="37" t="s">
        <v>478</v>
      </c>
      <c r="G71" s="37">
        <v>1</v>
      </c>
      <c r="H71" s="37" t="s">
        <v>478</v>
      </c>
      <c r="I71" s="37">
        <v>1</v>
      </c>
    </row>
    <row r="72" spans="1:29" ht="12.75">
      <c r="A72" s="14" t="s">
        <v>59</v>
      </c>
      <c r="B72" s="14" t="s">
        <v>457</v>
      </c>
      <c r="C72" s="14">
        <v>1</v>
      </c>
      <c r="D72" s="37" t="s">
        <v>263</v>
      </c>
      <c r="E72" s="37">
        <v>1.1200000000000001</v>
      </c>
      <c r="F72" s="37" t="s">
        <v>478</v>
      </c>
      <c r="G72" s="37">
        <v>1</v>
      </c>
      <c r="H72" s="37" t="s">
        <v>263</v>
      </c>
      <c r="I72" s="37">
        <v>1.1200000000000001</v>
      </c>
    </row>
    <row r="73" spans="1:29" ht="12.75">
      <c r="A73" s="14" t="s">
        <v>63</v>
      </c>
      <c r="B73" s="14" t="s">
        <v>457</v>
      </c>
      <c r="C73" s="14">
        <v>1</v>
      </c>
      <c r="D73" s="37" t="s">
        <v>263</v>
      </c>
      <c r="E73" s="37">
        <v>1.1000000000000001</v>
      </c>
      <c r="F73" s="37" t="s">
        <v>478</v>
      </c>
      <c r="G73" s="37">
        <v>1</v>
      </c>
      <c r="H73" s="37" t="s">
        <v>263</v>
      </c>
      <c r="I73" s="37">
        <v>1.1000000000000001</v>
      </c>
    </row>
    <row r="74" spans="1:29" ht="12.75">
      <c r="A74" s="47" t="s">
        <v>67</v>
      </c>
      <c r="B74" s="48" t="s">
        <v>457</v>
      </c>
      <c r="C74" s="49">
        <v>1</v>
      </c>
      <c r="D74" s="50" t="s">
        <v>478</v>
      </c>
      <c r="E74" s="51">
        <v>1</v>
      </c>
      <c r="F74" s="50" t="s">
        <v>478</v>
      </c>
      <c r="G74" s="51">
        <v>1</v>
      </c>
      <c r="H74" s="50" t="s">
        <v>478</v>
      </c>
      <c r="I74" s="51">
        <v>1</v>
      </c>
      <c r="J74" s="50"/>
      <c r="K74" s="50"/>
      <c r="L74" s="50"/>
      <c r="M74" s="50"/>
      <c r="N74" s="50"/>
      <c r="O74" s="50"/>
      <c r="P74" s="50"/>
      <c r="Q74" s="50"/>
      <c r="R74" s="50"/>
      <c r="S74" s="50"/>
      <c r="T74" s="50"/>
      <c r="U74" s="50"/>
      <c r="V74" s="50"/>
      <c r="W74" s="50"/>
      <c r="X74" s="50"/>
      <c r="Y74" s="50"/>
      <c r="Z74" s="50"/>
      <c r="AA74" s="50"/>
      <c r="AB74" s="50"/>
      <c r="AC74" s="50"/>
    </row>
    <row r="75" spans="1:29" ht="12.75">
      <c r="A75" s="14" t="s">
        <v>68</v>
      </c>
      <c r="B75" s="14" t="s">
        <v>457</v>
      </c>
      <c r="C75" s="14">
        <v>1</v>
      </c>
      <c r="D75" s="37" t="s">
        <v>478</v>
      </c>
      <c r="E75" s="37">
        <v>1</v>
      </c>
      <c r="F75" s="37" t="s">
        <v>478</v>
      </c>
      <c r="G75" s="37">
        <v>1</v>
      </c>
      <c r="H75" s="37" t="s">
        <v>478</v>
      </c>
      <c r="I75" s="37">
        <v>1</v>
      </c>
    </row>
    <row r="76" spans="1:29" ht="12.75">
      <c r="A76" s="47" t="s">
        <v>71</v>
      </c>
      <c r="B76" s="48" t="s">
        <v>457</v>
      </c>
      <c r="C76" s="49">
        <v>1</v>
      </c>
      <c r="D76" s="50" t="s">
        <v>478</v>
      </c>
      <c r="E76" s="51">
        <v>1</v>
      </c>
      <c r="F76" s="50" t="s">
        <v>478</v>
      </c>
      <c r="G76" s="51">
        <v>1</v>
      </c>
      <c r="H76" s="50" t="s">
        <v>265</v>
      </c>
      <c r="I76" s="51">
        <v>0.9</v>
      </c>
      <c r="J76" s="50"/>
      <c r="K76" s="50"/>
      <c r="L76" s="50"/>
      <c r="M76" s="50"/>
      <c r="N76" s="50"/>
      <c r="O76" s="50"/>
      <c r="P76" s="50"/>
      <c r="Q76" s="50"/>
      <c r="R76" s="50"/>
      <c r="S76" s="50"/>
      <c r="T76" s="50"/>
      <c r="U76" s="50"/>
      <c r="V76" s="50"/>
      <c r="W76" s="50"/>
      <c r="X76" s="50"/>
      <c r="Y76" s="50"/>
      <c r="Z76" s="50"/>
      <c r="AA76" s="50"/>
      <c r="AB76" s="50"/>
      <c r="AC76" s="50"/>
    </row>
    <row r="77" spans="1:29" ht="12.75">
      <c r="A77" s="47" t="s">
        <v>73</v>
      </c>
      <c r="B77" s="48" t="s">
        <v>457</v>
      </c>
      <c r="C77" s="49">
        <v>1</v>
      </c>
      <c r="D77" s="50" t="s">
        <v>478</v>
      </c>
      <c r="E77" s="51">
        <v>1</v>
      </c>
      <c r="F77" s="50" t="s">
        <v>265</v>
      </c>
      <c r="G77" s="51">
        <v>0.93</v>
      </c>
      <c r="H77" s="50" t="s">
        <v>478</v>
      </c>
      <c r="I77" s="51">
        <v>1</v>
      </c>
      <c r="J77" s="50"/>
      <c r="K77" s="50"/>
      <c r="L77" s="50"/>
      <c r="M77" s="50"/>
      <c r="N77" s="50"/>
      <c r="O77" s="50"/>
      <c r="P77" s="50"/>
      <c r="Q77" s="50"/>
      <c r="R77" s="50"/>
      <c r="S77" s="50"/>
      <c r="T77" s="50"/>
      <c r="U77" s="50"/>
      <c r="V77" s="50"/>
      <c r="W77" s="50"/>
      <c r="X77" s="50"/>
      <c r="Y77" s="50"/>
      <c r="Z77" s="50"/>
      <c r="AA77" s="50"/>
      <c r="AB77" s="50"/>
      <c r="AC77" s="50"/>
    </row>
    <row r="78" spans="1:29" ht="12.75">
      <c r="A78" s="47" t="s">
        <v>74</v>
      </c>
      <c r="B78" s="48" t="s">
        <v>457</v>
      </c>
      <c r="C78" s="49">
        <v>1</v>
      </c>
      <c r="D78" s="50" t="s">
        <v>478</v>
      </c>
      <c r="E78" s="51">
        <v>1</v>
      </c>
      <c r="F78" s="50" t="s">
        <v>478</v>
      </c>
      <c r="G78" s="51">
        <v>1</v>
      </c>
      <c r="H78" s="50" t="s">
        <v>478</v>
      </c>
      <c r="I78" s="51">
        <v>1</v>
      </c>
      <c r="J78" s="50"/>
      <c r="K78" s="50"/>
      <c r="L78" s="50"/>
      <c r="M78" s="50"/>
      <c r="N78" s="50"/>
      <c r="O78" s="50"/>
      <c r="P78" s="50"/>
      <c r="Q78" s="50"/>
      <c r="R78" s="50"/>
      <c r="S78" s="50"/>
      <c r="T78" s="50"/>
      <c r="U78" s="50"/>
      <c r="V78" s="50"/>
      <c r="W78" s="50"/>
      <c r="X78" s="50"/>
      <c r="Y78" s="50"/>
      <c r="Z78" s="50"/>
      <c r="AA78" s="50"/>
      <c r="AB78" s="50"/>
      <c r="AC78" s="50"/>
    </row>
    <row r="80" spans="1:29">
      <c r="D80" s="37" t="s">
        <v>479</v>
      </c>
      <c r="E80" s="1">
        <f>(21344)*0.001</f>
        <v>21.344000000000001</v>
      </c>
      <c r="F80" s="37" t="s">
        <v>479</v>
      </c>
      <c r="G80" s="1">
        <f>6811*0.001</f>
        <v>6.8109999999999999</v>
      </c>
      <c r="H80" s="37" t="s">
        <v>479</v>
      </c>
      <c r="I80" s="41">
        <f>4710*0.001</f>
        <v>4.71</v>
      </c>
    </row>
    <row r="81" spans="1:10" ht="14.25">
      <c r="D81" s="37" t="s">
        <v>480</v>
      </c>
      <c r="E81" s="42">
        <f>49*4*8+24*4*10+12*12*8</f>
        <v>3680</v>
      </c>
      <c r="F81" s="37" t="s">
        <v>480</v>
      </c>
      <c r="G81" s="43">
        <f>24*12*7</f>
        <v>2016</v>
      </c>
      <c r="H81" s="37" t="s">
        <v>480</v>
      </c>
      <c r="I81" s="44">
        <v>1200</v>
      </c>
      <c r="J81" s="43"/>
    </row>
    <row r="82" spans="1:10" ht="14.25">
      <c r="D82" s="37" t="s">
        <v>481</v>
      </c>
      <c r="E82" s="43">
        <f>PRODUCT(E65:E78)*E80^(0.01*(SUM(E60-C60,E61-C61,E62-C62,E63-C63,E64-C64)))</f>
        <v>1.4964651346359841</v>
      </c>
      <c r="F82" s="37"/>
      <c r="G82" s="43">
        <f>PRODUCT(G65:G78)*G80^(0.01*(SUM(G60-E60,G61-E61,G62-E62,G63-E63,G64-E64)))</f>
        <v>1.008031520483692</v>
      </c>
      <c r="H82" s="37"/>
      <c r="I82" s="43">
        <f>PRODUCT(I65:I78)*I80^(0.01*(SUM(I60-G60,I61-G61,I62-G62,I63-G63,I64-G64)))</f>
        <v>1.3173796618489586</v>
      </c>
    </row>
    <row r="83" spans="1:10">
      <c r="D83" s="37" t="s">
        <v>484</v>
      </c>
      <c r="E83" s="41">
        <f>E81/E82</f>
        <v>2459.1284586761603</v>
      </c>
      <c r="F83" s="37" t="s">
        <v>484</v>
      </c>
      <c r="G83" s="41">
        <f>G81/G82</f>
        <v>1999.9374613133587</v>
      </c>
      <c r="H83" s="37" t="s">
        <v>484</v>
      </c>
      <c r="I83" s="41">
        <f>I81/I82</f>
        <v>910.89913921684899</v>
      </c>
    </row>
    <row r="85" spans="1:10" ht="12.75">
      <c r="A85" s="1" t="s">
        <v>95</v>
      </c>
      <c r="B85" s="32" t="s">
        <v>103</v>
      </c>
      <c r="C85" s="32" t="s">
        <v>278</v>
      </c>
      <c r="D85" s="32" t="s">
        <v>420</v>
      </c>
      <c r="E85" s="1" t="s">
        <v>485</v>
      </c>
      <c r="F85" s="37" t="s">
        <v>486</v>
      </c>
      <c r="G85" s="32" t="s">
        <v>487</v>
      </c>
    </row>
    <row r="86" spans="1:10" ht="12.75">
      <c r="A86" s="1" t="s">
        <v>488</v>
      </c>
      <c r="B86" s="1">
        <v>191.74</v>
      </c>
      <c r="C86" s="2">
        <v>104.83</v>
      </c>
      <c r="D86" s="1">
        <v>467.48</v>
      </c>
      <c r="E86" s="1">
        <v>1200</v>
      </c>
      <c r="F86">
        <f>I55</f>
        <v>890.65693612314135</v>
      </c>
      <c r="G86" s="1">
        <f>I83</f>
        <v>910.89913921684899</v>
      </c>
      <c r="H86">
        <v>1300</v>
      </c>
    </row>
    <row r="87" spans="1:10">
      <c r="A87" s="1" t="s">
        <v>476</v>
      </c>
      <c r="B87" s="1">
        <v>227.09</v>
      </c>
      <c r="C87" s="1">
        <v>123.37</v>
      </c>
      <c r="D87" s="52">
        <v>1013.46</v>
      </c>
      <c r="E87" s="1">
        <f>24*12*7</f>
        <v>2016</v>
      </c>
      <c r="F87">
        <f>G55</f>
        <v>2441.9260821896933</v>
      </c>
      <c r="G87" s="41">
        <f>G83</f>
        <v>1999.9374613133587</v>
      </c>
      <c r="H87">
        <v>1541</v>
      </c>
    </row>
    <row r="88" spans="1:10" ht="12.75">
      <c r="A88" s="32" t="s">
        <v>489</v>
      </c>
      <c r="B88" s="1">
        <v>586.91999999999996</v>
      </c>
      <c r="C88" s="1">
        <v>515.96</v>
      </c>
      <c r="D88" s="1">
        <v>1254.26</v>
      </c>
      <c r="E88" s="2">
        <f>49*4*8+24*4*10+12*12*8</f>
        <v>3680</v>
      </c>
      <c r="F88">
        <f>E55</f>
        <v>3029.6462610890298</v>
      </c>
      <c r="G88" s="2">
        <f>E83</f>
        <v>2459.1284586761603</v>
      </c>
      <c r="H88">
        <v>3030</v>
      </c>
    </row>
    <row r="89" spans="1:10" ht="12.75">
      <c r="A89" s="37" t="s">
        <v>490</v>
      </c>
      <c r="B89" s="37">
        <v>0</v>
      </c>
      <c r="C89" s="37">
        <v>0</v>
      </c>
      <c r="D89" s="37">
        <v>0</v>
      </c>
      <c r="E89" s="37">
        <v>0</v>
      </c>
      <c r="F89" s="37">
        <v>0</v>
      </c>
      <c r="G89" s="37">
        <v>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E1" workbookViewId="0">
      <selection activeCell="L1" sqref="L1"/>
    </sheetView>
  </sheetViews>
  <sheetFormatPr defaultColWidth="17.28515625" defaultRowHeight="15" customHeight="1"/>
  <cols>
    <col min="1" max="1" width="38.85546875" customWidth="1"/>
    <col min="2" max="2" width="45.140625" customWidth="1"/>
    <col min="3" max="5" width="17.28515625" customWidth="1"/>
    <col min="6" max="6" width="50.5703125" customWidth="1"/>
    <col min="7" max="17" width="17.28515625" customWidth="1"/>
  </cols>
  <sheetData>
    <row r="1" spans="1:26" ht="12.75" customHeight="1">
      <c r="A1" s="109" t="s">
        <v>491</v>
      </c>
      <c r="B1" s="110"/>
      <c r="C1" s="110"/>
      <c r="D1" s="110"/>
      <c r="E1" s="110"/>
      <c r="F1" s="110"/>
      <c r="G1" s="110"/>
      <c r="H1" s="110"/>
      <c r="I1" s="2"/>
      <c r="J1" s="2"/>
      <c r="K1" s="2"/>
      <c r="L1" s="2"/>
      <c r="M1" s="2"/>
      <c r="N1" s="2"/>
      <c r="O1" s="2"/>
      <c r="P1" s="2"/>
      <c r="Q1" s="2"/>
      <c r="R1" s="2"/>
      <c r="S1" s="2"/>
      <c r="T1" s="2"/>
      <c r="U1" s="2"/>
      <c r="V1" s="2"/>
      <c r="W1" s="2"/>
      <c r="X1" s="2"/>
      <c r="Y1" s="2"/>
      <c r="Z1" s="2"/>
    </row>
    <row r="2" spans="1:26" ht="15" customHeight="1">
      <c r="A2" s="110"/>
      <c r="B2" s="110"/>
      <c r="C2" s="110"/>
      <c r="D2" s="110"/>
      <c r="E2" s="110"/>
      <c r="F2" s="110"/>
      <c r="G2" s="110"/>
      <c r="H2" s="110"/>
      <c r="I2" s="2"/>
      <c r="J2" s="2"/>
      <c r="K2" s="2"/>
      <c r="L2" s="2"/>
      <c r="M2" s="2"/>
      <c r="N2" s="2"/>
      <c r="O2" s="2"/>
      <c r="P2" s="2"/>
      <c r="Q2" s="2"/>
      <c r="R2" s="2"/>
      <c r="S2" s="2"/>
      <c r="T2" s="2"/>
      <c r="U2" s="2"/>
      <c r="V2" s="2"/>
      <c r="W2" s="2"/>
      <c r="X2" s="2"/>
      <c r="Y2" s="2"/>
      <c r="Z2" s="2"/>
    </row>
    <row r="3" spans="1:26" ht="29.25" customHeight="1">
      <c r="A3" s="110"/>
      <c r="B3" s="110"/>
      <c r="C3" s="110"/>
      <c r="D3" s="110"/>
      <c r="E3" s="110"/>
      <c r="F3" s="110"/>
      <c r="G3" s="110"/>
      <c r="H3" s="110"/>
      <c r="I3" s="2"/>
      <c r="J3" s="2"/>
      <c r="K3" s="2"/>
      <c r="L3" s="2"/>
      <c r="M3" s="2"/>
      <c r="N3" s="2"/>
      <c r="O3" s="2"/>
      <c r="P3" s="2"/>
      <c r="Q3" s="2"/>
      <c r="R3" s="2"/>
      <c r="S3" s="2"/>
      <c r="T3" s="2"/>
      <c r="U3" s="2"/>
      <c r="V3" s="2"/>
      <c r="W3" s="2"/>
      <c r="X3" s="2"/>
      <c r="Y3" s="2"/>
      <c r="Z3" s="2"/>
    </row>
    <row r="4" spans="1:26" ht="1.5" customHeight="1">
      <c r="A4" s="110"/>
      <c r="B4" s="110"/>
      <c r="C4" s="110"/>
      <c r="D4" s="110"/>
      <c r="E4" s="110"/>
      <c r="F4" s="110"/>
      <c r="G4" s="110"/>
      <c r="H4" s="110"/>
      <c r="I4" s="2"/>
      <c r="J4" s="2"/>
      <c r="K4" s="2"/>
      <c r="L4" s="2"/>
      <c r="M4" s="2"/>
      <c r="N4" s="2"/>
      <c r="O4" s="2"/>
      <c r="P4" s="2"/>
      <c r="Q4" s="2"/>
      <c r="R4" s="2"/>
      <c r="S4" s="2"/>
      <c r="T4" s="2"/>
      <c r="U4" s="2"/>
      <c r="V4" s="2"/>
      <c r="W4" s="2"/>
      <c r="X4" s="2"/>
      <c r="Y4" s="2"/>
      <c r="Z4" s="2"/>
    </row>
    <row r="5" spans="1:26" ht="12.75">
      <c r="A5" s="2"/>
      <c r="B5" s="2"/>
      <c r="C5" s="2"/>
      <c r="D5" s="2"/>
      <c r="E5" s="2"/>
      <c r="F5" s="2"/>
      <c r="G5" s="2"/>
      <c r="H5" s="2"/>
      <c r="I5" s="2"/>
      <c r="J5" s="2"/>
      <c r="K5" s="2"/>
      <c r="L5" s="2"/>
      <c r="M5" s="2"/>
      <c r="N5" s="2"/>
      <c r="O5" s="2"/>
      <c r="P5" s="2"/>
      <c r="Q5" s="2"/>
      <c r="R5" s="2"/>
      <c r="S5" s="2"/>
      <c r="T5" s="2"/>
      <c r="U5" s="2"/>
      <c r="V5" s="2"/>
      <c r="W5" s="2"/>
      <c r="X5" s="2"/>
      <c r="Y5" s="2"/>
      <c r="Z5" s="2"/>
    </row>
    <row r="6" spans="1:26" ht="12.75" customHeight="1">
      <c r="A6" s="53" t="s">
        <v>96</v>
      </c>
      <c r="B6" s="2"/>
      <c r="C6" s="2"/>
      <c r="D6" s="2"/>
      <c r="E6" s="2"/>
      <c r="F6" s="2"/>
      <c r="G6" s="2"/>
      <c r="H6" s="2"/>
      <c r="I6" s="2"/>
      <c r="J6" s="2"/>
      <c r="K6" s="2"/>
      <c r="L6" s="2"/>
      <c r="M6" s="2"/>
      <c r="N6" s="2"/>
      <c r="O6" s="2"/>
      <c r="P6" s="2"/>
      <c r="Q6" s="2"/>
      <c r="R6" s="2"/>
      <c r="S6" s="2"/>
      <c r="T6" s="2"/>
      <c r="U6" s="2"/>
      <c r="V6" s="2"/>
      <c r="W6" s="2"/>
      <c r="X6" s="2"/>
      <c r="Y6" s="2"/>
      <c r="Z6" s="2"/>
    </row>
    <row r="7" spans="1:26">
      <c r="A7" s="10" t="s">
        <v>21</v>
      </c>
      <c r="B7" s="10" t="s">
        <v>22</v>
      </c>
      <c r="C7" s="10" t="s">
        <v>23</v>
      </c>
      <c r="D7" s="2"/>
      <c r="E7" s="10" t="s">
        <v>21</v>
      </c>
      <c r="F7" s="10" t="s">
        <v>22</v>
      </c>
      <c r="G7" s="10" t="s">
        <v>23</v>
      </c>
      <c r="H7" s="2"/>
      <c r="I7" s="2"/>
      <c r="J7" s="2"/>
      <c r="K7" s="2"/>
      <c r="L7" s="2"/>
      <c r="M7" s="2"/>
      <c r="N7" s="2"/>
      <c r="O7" s="2"/>
      <c r="P7" s="2"/>
      <c r="Q7" s="2"/>
      <c r="R7" s="2"/>
      <c r="S7" s="2"/>
      <c r="T7" s="2"/>
      <c r="U7" s="2"/>
      <c r="V7" s="2"/>
      <c r="W7" s="2"/>
      <c r="X7" s="2"/>
      <c r="Y7" s="2"/>
      <c r="Z7" s="2"/>
    </row>
    <row r="8" spans="1:26" ht="14.25" customHeight="1">
      <c r="A8" s="11" t="s">
        <v>24</v>
      </c>
      <c r="B8" s="11" t="s">
        <v>25</v>
      </c>
      <c r="C8" s="12">
        <v>2</v>
      </c>
      <c r="D8" s="2"/>
      <c r="E8" s="11" t="s">
        <v>75</v>
      </c>
      <c r="F8" s="11" t="s">
        <v>76</v>
      </c>
      <c r="G8" s="12">
        <v>1.5</v>
      </c>
      <c r="H8" s="2"/>
      <c r="I8" s="2"/>
      <c r="J8" s="2"/>
      <c r="K8" s="2"/>
      <c r="L8" s="2"/>
      <c r="M8" s="2"/>
      <c r="N8" s="2"/>
      <c r="O8" s="2"/>
      <c r="P8" s="2"/>
      <c r="Q8" s="2"/>
      <c r="R8" s="2"/>
      <c r="S8" s="2"/>
      <c r="T8" s="2"/>
      <c r="U8" s="2"/>
      <c r="V8" s="2"/>
      <c r="W8" s="2"/>
      <c r="X8" s="2"/>
      <c r="Y8" s="2"/>
      <c r="Z8" s="2"/>
    </row>
    <row r="9" spans="1:26" ht="14.25" customHeight="1">
      <c r="A9" s="11" t="s">
        <v>27</v>
      </c>
      <c r="B9" s="11" t="s">
        <v>28</v>
      </c>
      <c r="C9" s="12">
        <v>1</v>
      </c>
      <c r="D9" s="2"/>
      <c r="E9" s="11" t="s">
        <v>78</v>
      </c>
      <c r="F9" s="11" t="s">
        <v>64</v>
      </c>
      <c r="G9" s="12">
        <v>0.5</v>
      </c>
      <c r="H9" s="2"/>
      <c r="I9" s="2"/>
      <c r="J9" s="2"/>
      <c r="K9" s="2"/>
      <c r="L9" s="2"/>
      <c r="M9" s="2"/>
      <c r="N9" s="2"/>
      <c r="O9" s="2"/>
      <c r="P9" s="2"/>
      <c r="Q9" s="2"/>
      <c r="R9" s="2"/>
      <c r="S9" s="2"/>
      <c r="T9" s="2"/>
      <c r="U9" s="2"/>
      <c r="V9" s="2"/>
      <c r="W9" s="2"/>
      <c r="X9" s="2"/>
      <c r="Y9" s="2"/>
      <c r="Z9" s="2"/>
    </row>
    <row r="10" spans="1:26" ht="14.25" customHeight="1">
      <c r="A10" s="11" t="s">
        <v>30</v>
      </c>
      <c r="B10" s="11" t="s">
        <v>31</v>
      </c>
      <c r="C10" s="12">
        <v>1</v>
      </c>
      <c r="D10" s="2"/>
      <c r="E10" s="11" t="s">
        <v>80</v>
      </c>
      <c r="F10" s="11" t="s">
        <v>56</v>
      </c>
      <c r="G10" s="12">
        <v>1</v>
      </c>
      <c r="H10" s="2"/>
      <c r="I10" s="2"/>
      <c r="J10" s="2"/>
      <c r="K10" s="2"/>
      <c r="L10" s="2"/>
      <c r="M10" s="2"/>
      <c r="N10" s="2"/>
      <c r="O10" s="2"/>
      <c r="P10" s="2"/>
      <c r="Q10" s="2"/>
      <c r="R10" s="2"/>
      <c r="S10" s="2"/>
      <c r="T10" s="2"/>
      <c r="U10" s="2"/>
      <c r="V10" s="2"/>
      <c r="W10" s="2"/>
      <c r="X10" s="2"/>
      <c r="Y10" s="2"/>
      <c r="Z10" s="2"/>
    </row>
    <row r="11" spans="1:26" ht="14.25" customHeight="1">
      <c r="A11" s="11" t="s">
        <v>34</v>
      </c>
      <c r="B11" s="11" t="s">
        <v>33</v>
      </c>
      <c r="C11" s="12">
        <v>1</v>
      </c>
      <c r="D11" s="2"/>
      <c r="E11" s="11" t="s">
        <v>83</v>
      </c>
      <c r="F11" s="11" t="s">
        <v>52</v>
      </c>
      <c r="G11" s="12">
        <v>0.5</v>
      </c>
      <c r="H11" s="2"/>
      <c r="I11" s="2"/>
      <c r="J11" s="2"/>
      <c r="K11" s="2"/>
      <c r="L11" s="2"/>
      <c r="M11" s="2"/>
      <c r="N11" s="2"/>
      <c r="O11" s="2"/>
      <c r="P11" s="2"/>
      <c r="Q11" s="2"/>
      <c r="R11" s="2"/>
      <c r="S11" s="2"/>
      <c r="T11" s="2"/>
      <c r="U11" s="2"/>
      <c r="V11" s="2"/>
      <c r="W11" s="2"/>
      <c r="X11" s="2"/>
      <c r="Y11" s="2"/>
      <c r="Z11" s="2"/>
    </row>
    <row r="12" spans="1:26" ht="14.25" customHeight="1">
      <c r="A12" s="11" t="s">
        <v>37</v>
      </c>
      <c r="B12" s="11" t="s">
        <v>36</v>
      </c>
      <c r="C12" s="12">
        <v>1</v>
      </c>
      <c r="D12" s="2"/>
      <c r="E12" s="11" t="s">
        <v>86</v>
      </c>
      <c r="F12" s="11" t="s">
        <v>85</v>
      </c>
      <c r="G12" s="12">
        <v>1</v>
      </c>
      <c r="H12" s="2"/>
      <c r="I12" s="2"/>
      <c r="J12" s="2"/>
      <c r="K12" s="2"/>
      <c r="L12" s="2"/>
      <c r="M12" s="2"/>
      <c r="N12" s="2"/>
      <c r="O12" s="2"/>
      <c r="P12" s="2"/>
      <c r="Q12" s="2"/>
      <c r="R12" s="2"/>
      <c r="S12" s="2"/>
      <c r="T12" s="2"/>
      <c r="U12" s="2"/>
      <c r="V12" s="2"/>
      <c r="W12" s="2"/>
      <c r="X12" s="2"/>
      <c r="Y12" s="2"/>
      <c r="Z12" s="2"/>
    </row>
    <row r="13" spans="1:26" ht="14.25" customHeight="1">
      <c r="A13" s="11" t="s">
        <v>39</v>
      </c>
      <c r="B13" s="11" t="s">
        <v>40</v>
      </c>
      <c r="C13" s="12">
        <v>0.5</v>
      </c>
      <c r="D13" s="2"/>
      <c r="E13" s="11" t="s">
        <v>88</v>
      </c>
      <c r="F13" s="11" t="s">
        <v>89</v>
      </c>
      <c r="G13" s="12">
        <v>2</v>
      </c>
      <c r="H13" s="2"/>
      <c r="I13" s="2"/>
      <c r="J13" s="2"/>
      <c r="K13" s="2"/>
      <c r="L13" s="2"/>
      <c r="M13" s="2"/>
      <c r="N13" s="2"/>
      <c r="O13" s="2"/>
      <c r="P13" s="2"/>
      <c r="Q13" s="2"/>
      <c r="R13" s="2"/>
      <c r="S13" s="2"/>
      <c r="T13" s="2"/>
      <c r="U13" s="2"/>
      <c r="V13" s="2"/>
      <c r="W13" s="2"/>
      <c r="X13" s="2"/>
      <c r="Y13" s="2"/>
      <c r="Z13" s="2"/>
    </row>
    <row r="14" spans="1:26" ht="14.25" customHeight="1">
      <c r="A14" s="11" t="s">
        <v>43</v>
      </c>
      <c r="B14" s="11" t="s">
        <v>44</v>
      </c>
      <c r="C14" s="12">
        <v>0.5</v>
      </c>
      <c r="D14" s="2"/>
      <c r="E14" s="11" t="s">
        <v>90</v>
      </c>
      <c r="F14" s="11" t="s">
        <v>60</v>
      </c>
      <c r="G14" s="12">
        <v>-1</v>
      </c>
      <c r="H14" s="2"/>
      <c r="I14" s="2"/>
      <c r="J14" s="2"/>
      <c r="K14" s="2"/>
      <c r="L14" s="2"/>
      <c r="M14" s="2"/>
      <c r="N14" s="2"/>
      <c r="O14" s="2"/>
      <c r="P14" s="2"/>
      <c r="Q14" s="2"/>
      <c r="R14" s="2"/>
      <c r="S14" s="2"/>
      <c r="T14" s="2"/>
      <c r="U14" s="2"/>
      <c r="V14" s="2"/>
      <c r="W14" s="2"/>
      <c r="X14" s="2"/>
      <c r="Y14" s="2"/>
      <c r="Z14" s="2"/>
    </row>
    <row r="15" spans="1:26" ht="14.25" customHeight="1">
      <c r="A15" s="11" t="s">
        <v>46</v>
      </c>
      <c r="B15" s="11" t="s">
        <v>47</v>
      </c>
      <c r="C15" s="12">
        <v>2</v>
      </c>
      <c r="D15" s="2"/>
      <c r="E15" s="11" t="s">
        <v>91</v>
      </c>
      <c r="F15" s="11" t="s">
        <v>92</v>
      </c>
      <c r="G15" s="12">
        <v>-1</v>
      </c>
      <c r="H15" s="2"/>
      <c r="I15" s="2"/>
      <c r="J15" s="2"/>
      <c r="K15" s="2"/>
      <c r="L15" s="2"/>
      <c r="M15" s="2"/>
      <c r="N15" s="2"/>
      <c r="O15" s="2"/>
      <c r="P15" s="2"/>
      <c r="Q15" s="2"/>
      <c r="R15" s="2"/>
      <c r="S15" s="2"/>
      <c r="T15" s="2"/>
      <c r="U15" s="2"/>
      <c r="V15" s="2"/>
      <c r="W15" s="2"/>
      <c r="X15" s="2"/>
      <c r="Y15" s="2"/>
      <c r="Z15" s="2"/>
    </row>
    <row r="16" spans="1:26" ht="14.25" customHeight="1">
      <c r="A16" s="11" t="s">
        <v>49</v>
      </c>
      <c r="B16" s="11" t="s">
        <v>50</v>
      </c>
      <c r="C16" s="12">
        <v>1</v>
      </c>
      <c r="D16" s="2"/>
      <c r="E16" s="2"/>
      <c r="F16" s="2"/>
      <c r="G16" s="2"/>
      <c r="H16" s="2"/>
      <c r="I16" s="2"/>
      <c r="J16" s="2"/>
      <c r="K16" s="2"/>
      <c r="L16" s="2"/>
      <c r="M16" s="2"/>
      <c r="N16" s="2"/>
      <c r="O16" s="2"/>
      <c r="P16" s="2"/>
      <c r="Q16" s="2"/>
      <c r="R16" s="2"/>
      <c r="S16" s="2"/>
      <c r="T16" s="2"/>
      <c r="U16" s="2"/>
      <c r="V16" s="2"/>
      <c r="W16" s="2"/>
      <c r="X16" s="2"/>
      <c r="Y16" s="2"/>
      <c r="Z16" s="2"/>
    </row>
    <row r="17" spans="1:26" ht="14.25" customHeight="1">
      <c r="A17" s="11" t="s">
        <v>53</v>
      </c>
      <c r="B17" s="11" t="s">
        <v>54</v>
      </c>
      <c r="C17" s="12">
        <v>1</v>
      </c>
      <c r="D17" s="2"/>
      <c r="E17" s="2"/>
      <c r="F17" s="2"/>
      <c r="G17" s="2"/>
      <c r="H17" s="2"/>
      <c r="I17" s="2"/>
      <c r="J17" s="2"/>
      <c r="K17" s="2"/>
      <c r="L17" s="2"/>
      <c r="M17" s="2"/>
      <c r="N17" s="2"/>
      <c r="O17" s="2"/>
      <c r="P17" s="2"/>
      <c r="Q17" s="2"/>
      <c r="R17" s="2"/>
      <c r="S17" s="2"/>
      <c r="T17" s="2"/>
      <c r="U17" s="2"/>
      <c r="V17" s="2"/>
      <c r="W17" s="2"/>
      <c r="X17" s="2"/>
      <c r="Y17" s="2"/>
      <c r="Z17" s="2"/>
    </row>
    <row r="18" spans="1:26" ht="14.25" customHeight="1">
      <c r="A18" s="11" t="s">
        <v>57</v>
      </c>
      <c r="B18" s="11" t="s">
        <v>58</v>
      </c>
      <c r="C18" s="12">
        <v>1</v>
      </c>
      <c r="D18" s="2"/>
      <c r="E18" s="2"/>
      <c r="F18" s="2"/>
      <c r="G18" s="2"/>
      <c r="H18" s="2"/>
      <c r="I18" s="2"/>
      <c r="J18" s="2"/>
      <c r="K18" s="2"/>
      <c r="L18" s="2"/>
      <c r="M18" s="2"/>
      <c r="N18" s="2"/>
      <c r="O18" s="2"/>
      <c r="P18" s="2"/>
      <c r="Q18" s="2"/>
      <c r="R18" s="2"/>
      <c r="S18" s="2"/>
      <c r="T18" s="2"/>
      <c r="U18" s="2"/>
      <c r="V18" s="2"/>
      <c r="W18" s="2"/>
      <c r="X18" s="2"/>
      <c r="Y18" s="2"/>
      <c r="Z18" s="2"/>
    </row>
    <row r="19" spans="1:26" ht="14.25" customHeight="1">
      <c r="A19" s="11" t="s">
        <v>61</v>
      </c>
      <c r="B19" s="11" t="s">
        <v>62</v>
      </c>
      <c r="C19" s="12">
        <v>1</v>
      </c>
      <c r="D19" s="2"/>
      <c r="E19" s="2"/>
      <c r="F19" s="2"/>
      <c r="G19" s="2"/>
      <c r="H19" s="2"/>
      <c r="I19" s="2"/>
      <c r="J19" s="2"/>
      <c r="K19" s="2"/>
      <c r="L19" s="2"/>
      <c r="M19" s="2"/>
      <c r="N19" s="2"/>
      <c r="O19" s="2"/>
      <c r="P19" s="2"/>
      <c r="Q19" s="2"/>
      <c r="R19" s="2"/>
      <c r="S19" s="2"/>
      <c r="T19" s="2"/>
      <c r="U19" s="2"/>
      <c r="V19" s="2"/>
      <c r="W19" s="2"/>
      <c r="X19" s="2"/>
      <c r="Y19" s="2"/>
      <c r="Z19" s="2"/>
    </row>
    <row r="20" spans="1:26" ht="14.25" customHeight="1">
      <c r="A20" s="11" t="s">
        <v>65</v>
      </c>
      <c r="B20" s="11" t="s">
        <v>66</v>
      </c>
      <c r="C20" s="12">
        <v>1</v>
      </c>
      <c r="D20" s="2"/>
      <c r="E20" s="2"/>
      <c r="F20" s="2"/>
      <c r="G20" s="2"/>
      <c r="H20" s="2"/>
      <c r="I20" s="2"/>
      <c r="J20" s="2"/>
      <c r="K20" s="2"/>
      <c r="L20" s="2"/>
      <c r="M20" s="2"/>
      <c r="N20" s="2"/>
      <c r="O20" s="2"/>
      <c r="P20" s="2"/>
      <c r="Q20" s="2"/>
      <c r="R20" s="2"/>
      <c r="S20" s="2"/>
      <c r="T20" s="2"/>
      <c r="U20" s="2"/>
      <c r="V20" s="2"/>
      <c r="W20" s="2"/>
      <c r="X20" s="2"/>
      <c r="Y20" s="2"/>
      <c r="Z20" s="2"/>
    </row>
    <row r="21" spans="1:26" ht="12.75">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ustomHeight="1">
      <c r="A23" s="53" t="s">
        <v>492</v>
      </c>
      <c r="B23" s="2"/>
      <c r="C23" s="2"/>
      <c r="D23" s="2"/>
      <c r="E23" s="2"/>
      <c r="F23" s="2"/>
      <c r="G23" s="2"/>
      <c r="H23" s="2"/>
      <c r="I23" s="2"/>
      <c r="J23" s="2"/>
      <c r="K23" s="2"/>
      <c r="L23" s="2"/>
      <c r="M23" s="2"/>
      <c r="N23" s="2"/>
      <c r="O23" s="2"/>
      <c r="P23" s="2"/>
      <c r="Q23" s="2"/>
      <c r="R23" s="2"/>
      <c r="S23" s="2"/>
      <c r="T23" s="2"/>
      <c r="U23" s="2"/>
      <c r="V23" s="2"/>
      <c r="W23" s="2"/>
      <c r="X23" s="2"/>
      <c r="Y23" s="2"/>
      <c r="Z23" s="2"/>
    </row>
    <row r="24" spans="1:26" ht="14.25" customHeight="1">
      <c r="A24" s="30" t="s">
        <v>368</v>
      </c>
      <c r="B24" s="30" t="s">
        <v>369</v>
      </c>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c r="A25" s="11" t="s">
        <v>370</v>
      </c>
      <c r="B25" s="11" t="s">
        <v>371</v>
      </c>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c r="A26" s="11" t="s">
        <v>372</v>
      </c>
      <c r="B26" s="11" t="s">
        <v>373</v>
      </c>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c r="A27" s="11" t="s">
        <v>375</v>
      </c>
      <c r="B27" s="11" t="s">
        <v>376</v>
      </c>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c r="A28" s="11" t="s">
        <v>378</v>
      </c>
      <c r="B28" s="11" t="s">
        <v>379</v>
      </c>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c r="A29" s="11" t="s">
        <v>380</v>
      </c>
      <c r="B29" s="11" t="s">
        <v>381</v>
      </c>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c r="A30" s="11" t="s">
        <v>382</v>
      </c>
      <c r="B30" s="11" t="s">
        <v>383</v>
      </c>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c r="A31" s="11" t="s">
        <v>384</v>
      </c>
      <c r="B31" s="11" t="s">
        <v>385</v>
      </c>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c r="A32" s="11" t="s">
        <v>386</v>
      </c>
      <c r="B32" s="11" t="s">
        <v>387</v>
      </c>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c r="A33" s="11" t="s">
        <v>374</v>
      </c>
      <c r="B33" s="11" t="s">
        <v>388</v>
      </c>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c r="A34" s="11" t="s">
        <v>377</v>
      </c>
      <c r="B34" s="11" t="s">
        <v>389</v>
      </c>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c r="A35" s="11" t="s">
        <v>390</v>
      </c>
      <c r="B35" s="11" t="s">
        <v>391</v>
      </c>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c r="A36" s="11" t="s">
        <v>392</v>
      </c>
      <c r="B36" s="11" t="s">
        <v>393</v>
      </c>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c r="A37" s="11" t="s">
        <v>394</v>
      </c>
      <c r="B37" s="11" t="s">
        <v>395</v>
      </c>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c r="A38" s="11" t="s">
        <v>396</v>
      </c>
      <c r="B38" s="11" t="s">
        <v>397</v>
      </c>
      <c r="C38" s="2"/>
      <c r="D38" s="2"/>
      <c r="E38" s="2"/>
      <c r="F38" s="2"/>
      <c r="G38" s="2"/>
      <c r="H38" s="2"/>
      <c r="I38" s="2"/>
      <c r="J38" s="2"/>
      <c r="K38" s="2"/>
      <c r="L38" s="2"/>
      <c r="M38" s="2"/>
      <c r="N38" s="2"/>
      <c r="O38" s="2"/>
      <c r="P38" s="2"/>
      <c r="Q38" s="2"/>
      <c r="R38" s="2"/>
      <c r="S38" s="2"/>
      <c r="T38" s="2"/>
      <c r="U38" s="2"/>
      <c r="V38" s="2"/>
      <c r="W38" s="2"/>
      <c r="X38" s="2"/>
      <c r="Y38" s="2"/>
      <c r="Z38" s="2"/>
    </row>
    <row r="39" spans="1:26" ht="12.7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c r="A40" s="1" t="s">
        <v>449</v>
      </c>
      <c r="B40" s="2"/>
      <c r="C40" s="2"/>
      <c r="D40" s="2"/>
      <c r="E40" s="1" t="s">
        <v>455</v>
      </c>
      <c r="F40" s="2"/>
      <c r="G40" s="2"/>
      <c r="H40" s="2"/>
      <c r="I40" s="2"/>
      <c r="J40" s="2"/>
      <c r="K40" s="2"/>
      <c r="L40" s="2"/>
      <c r="M40" s="2"/>
      <c r="N40" s="2"/>
      <c r="O40" s="2"/>
      <c r="P40" s="2"/>
      <c r="Q40" s="2"/>
      <c r="R40" s="2"/>
      <c r="S40" s="2"/>
      <c r="T40" s="2"/>
      <c r="U40" s="2"/>
      <c r="V40" s="2"/>
      <c r="W40" s="2"/>
      <c r="X40" s="2"/>
      <c r="Y40" s="2"/>
      <c r="Z40" s="2"/>
    </row>
    <row r="41" spans="1:26" ht="12.75" customHeight="1">
      <c r="A41" s="1" t="s">
        <v>493</v>
      </c>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c r="A42" s="1" t="s">
        <v>494</v>
      </c>
      <c r="B42" s="1" t="s">
        <v>463</v>
      </c>
      <c r="C42" s="1" t="s">
        <v>26</v>
      </c>
      <c r="D42" s="2"/>
      <c r="E42" s="1" t="s">
        <v>495</v>
      </c>
      <c r="F42" s="2"/>
      <c r="G42" s="2"/>
      <c r="H42" s="2"/>
      <c r="I42" s="2"/>
      <c r="J42" s="2"/>
      <c r="K42" s="2"/>
      <c r="L42" s="2"/>
      <c r="M42" s="2"/>
      <c r="N42" s="2"/>
      <c r="O42" s="2"/>
      <c r="P42" s="2"/>
      <c r="Q42" s="2"/>
      <c r="R42" s="2"/>
      <c r="S42" s="2"/>
      <c r="T42" s="2"/>
      <c r="U42" s="2"/>
      <c r="V42" s="2"/>
      <c r="W42" s="2"/>
      <c r="X42" s="2"/>
      <c r="Y42" s="2"/>
      <c r="Z42" s="2"/>
    </row>
    <row r="43" spans="1:26" ht="12.75" customHeight="1">
      <c r="A43" s="2"/>
      <c r="B43" s="2"/>
      <c r="C43" s="1" t="s">
        <v>496</v>
      </c>
      <c r="D43" s="2"/>
      <c r="E43" s="1" t="s">
        <v>495</v>
      </c>
      <c r="F43" s="2"/>
      <c r="G43" s="2"/>
      <c r="H43" s="2"/>
      <c r="I43" s="2"/>
      <c r="J43" s="2"/>
      <c r="K43" s="2"/>
      <c r="L43" s="2"/>
      <c r="M43" s="2"/>
      <c r="N43" s="2"/>
      <c r="O43" s="2"/>
      <c r="P43" s="2"/>
      <c r="Q43" s="2"/>
      <c r="R43" s="2"/>
      <c r="S43" s="2"/>
      <c r="T43" s="2"/>
      <c r="U43" s="2"/>
      <c r="V43" s="2"/>
      <c r="W43" s="2"/>
      <c r="X43" s="2"/>
      <c r="Y43" s="2"/>
      <c r="Z43" s="2"/>
    </row>
    <row r="44" spans="1:26" ht="12.75" customHeight="1">
      <c r="A44" s="2"/>
      <c r="B44" s="2"/>
      <c r="C44" s="1" t="s">
        <v>497</v>
      </c>
      <c r="D44" s="2"/>
      <c r="E44" s="1" t="s">
        <v>495</v>
      </c>
      <c r="F44" s="2"/>
      <c r="G44" s="2"/>
      <c r="H44" s="2"/>
      <c r="I44" s="2"/>
      <c r="J44" s="2"/>
      <c r="K44" s="2"/>
      <c r="L44" s="2"/>
      <c r="M44" s="2"/>
      <c r="N44" s="2"/>
      <c r="O44" s="2"/>
      <c r="P44" s="2"/>
      <c r="Q44" s="2"/>
      <c r="R44" s="2"/>
      <c r="S44" s="2"/>
      <c r="T44" s="2"/>
      <c r="U44" s="2"/>
      <c r="V44" s="2"/>
      <c r="W44" s="2"/>
      <c r="X44" s="2"/>
      <c r="Y44" s="2"/>
      <c r="Z44" s="2"/>
    </row>
    <row r="45" spans="1:26" ht="12.75" customHeight="1">
      <c r="A45" s="2"/>
      <c r="B45" s="2"/>
      <c r="C45" s="1" t="s">
        <v>35</v>
      </c>
      <c r="D45" s="2"/>
      <c r="E45" s="1" t="s">
        <v>495</v>
      </c>
      <c r="F45" s="2"/>
      <c r="G45" s="2"/>
      <c r="H45" s="2"/>
      <c r="I45" s="2"/>
      <c r="J45" s="2"/>
      <c r="K45" s="2"/>
      <c r="L45" s="2"/>
      <c r="M45" s="2"/>
      <c r="N45" s="2"/>
      <c r="O45" s="2"/>
      <c r="P45" s="2"/>
      <c r="Q45" s="2"/>
      <c r="R45" s="2"/>
      <c r="S45" s="2"/>
      <c r="T45" s="2"/>
      <c r="U45" s="2"/>
      <c r="V45" s="2"/>
      <c r="W45" s="2"/>
      <c r="X45" s="2"/>
      <c r="Y45" s="2"/>
      <c r="Z45" s="2"/>
    </row>
    <row r="46" spans="1:26" ht="12.75" customHeight="1">
      <c r="A46" s="2"/>
      <c r="B46" s="2"/>
      <c r="C46" s="1" t="s">
        <v>38</v>
      </c>
      <c r="D46" s="2"/>
      <c r="E46" s="1" t="s">
        <v>495</v>
      </c>
      <c r="F46" s="2"/>
      <c r="G46" s="2"/>
      <c r="H46" s="2"/>
      <c r="I46" s="2"/>
      <c r="J46" s="2"/>
      <c r="K46" s="2"/>
      <c r="L46" s="2"/>
      <c r="M46" s="2"/>
      <c r="N46" s="2"/>
      <c r="O46" s="2"/>
      <c r="P46" s="2"/>
      <c r="Q46" s="2"/>
      <c r="R46" s="2"/>
      <c r="S46" s="2"/>
      <c r="T46" s="2"/>
      <c r="U46" s="2"/>
      <c r="V46" s="2"/>
      <c r="W46" s="2"/>
      <c r="X46" s="2"/>
      <c r="Y46" s="2"/>
      <c r="Z46" s="2"/>
    </row>
    <row r="47" spans="1:26" ht="12.75" customHeight="1">
      <c r="A47" s="2"/>
      <c r="B47" s="1" t="s">
        <v>466</v>
      </c>
      <c r="C47" s="1" t="s">
        <v>498</v>
      </c>
      <c r="D47" s="2"/>
      <c r="E47" s="1" t="s">
        <v>495</v>
      </c>
      <c r="F47" s="2"/>
      <c r="G47" s="2"/>
      <c r="H47" s="2"/>
      <c r="I47" s="2"/>
      <c r="J47" s="2"/>
      <c r="K47" s="2"/>
      <c r="L47" s="2"/>
      <c r="M47" s="2"/>
      <c r="N47" s="2"/>
      <c r="O47" s="2"/>
      <c r="P47" s="2"/>
      <c r="Q47" s="2"/>
      <c r="R47" s="2"/>
      <c r="S47" s="2"/>
      <c r="T47" s="2"/>
      <c r="U47" s="2"/>
      <c r="V47" s="2"/>
      <c r="W47" s="2"/>
      <c r="X47" s="2"/>
      <c r="Y47" s="2"/>
      <c r="Z47" s="2"/>
    </row>
    <row r="48" spans="1:26" ht="12.75" customHeight="1">
      <c r="A48" s="2"/>
      <c r="B48" s="2"/>
      <c r="C48" s="1" t="s">
        <v>45</v>
      </c>
      <c r="D48" s="2"/>
      <c r="E48" s="1" t="s">
        <v>495</v>
      </c>
      <c r="F48" s="2"/>
      <c r="G48" s="2"/>
      <c r="H48" s="2"/>
      <c r="I48" s="2"/>
      <c r="J48" s="2"/>
      <c r="K48" s="2"/>
      <c r="L48" s="2"/>
      <c r="M48" s="2"/>
      <c r="N48" s="2"/>
      <c r="O48" s="2"/>
      <c r="P48" s="2"/>
      <c r="Q48" s="2"/>
      <c r="R48" s="2"/>
      <c r="S48" s="2"/>
      <c r="T48" s="2"/>
      <c r="U48" s="2"/>
      <c r="V48" s="2"/>
      <c r="W48" s="2"/>
      <c r="X48" s="2"/>
      <c r="Y48" s="2"/>
      <c r="Z48" s="2"/>
    </row>
    <row r="49" spans="1:26" ht="12.75" customHeight="1">
      <c r="A49" s="2"/>
      <c r="B49" s="2"/>
      <c r="C49" s="1" t="s">
        <v>48</v>
      </c>
      <c r="D49" s="2"/>
      <c r="E49" s="1" t="s">
        <v>495</v>
      </c>
      <c r="F49" s="1" t="s">
        <v>499</v>
      </c>
      <c r="G49" s="2"/>
      <c r="H49" s="2"/>
      <c r="I49" s="2"/>
      <c r="J49" s="2"/>
      <c r="K49" s="2"/>
      <c r="L49" s="2"/>
      <c r="M49" s="2"/>
      <c r="N49" s="2"/>
      <c r="O49" s="2"/>
      <c r="P49" s="2"/>
      <c r="Q49" s="2"/>
      <c r="R49" s="2"/>
      <c r="S49" s="2"/>
      <c r="T49" s="2"/>
      <c r="U49" s="2"/>
      <c r="V49" s="2"/>
      <c r="W49" s="2"/>
      <c r="X49" s="2"/>
      <c r="Y49" s="2"/>
      <c r="Z49" s="2"/>
    </row>
    <row r="50" spans="1:26" ht="12.75" customHeight="1">
      <c r="A50" s="2"/>
      <c r="B50" s="1" t="s">
        <v>468</v>
      </c>
      <c r="C50" s="1" t="s">
        <v>51</v>
      </c>
      <c r="D50" s="2"/>
      <c r="E50" s="1" t="s">
        <v>500</v>
      </c>
      <c r="F50" s="2"/>
      <c r="G50" s="2"/>
      <c r="H50" s="2"/>
      <c r="I50" s="2"/>
      <c r="J50" s="2"/>
      <c r="K50" s="2"/>
      <c r="L50" s="2"/>
      <c r="M50" s="2"/>
      <c r="N50" s="2"/>
      <c r="O50" s="2"/>
      <c r="P50" s="2"/>
      <c r="Q50" s="2"/>
      <c r="R50" s="2"/>
      <c r="S50" s="2"/>
      <c r="T50" s="2"/>
      <c r="U50" s="2"/>
      <c r="V50" s="2"/>
      <c r="W50" s="2"/>
      <c r="X50" s="2"/>
      <c r="Y50" s="2"/>
      <c r="Z50" s="2"/>
    </row>
    <row r="51" spans="1:26" ht="12.75" customHeight="1">
      <c r="A51" s="2"/>
      <c r="B51" s="2"/>
      <c r="C51" s="1" t="s">
        <v>501</v>
      </c>
      <c r="D51" s="2"/>
      <c r="E51" s="1" t="s">
        <v>500</v>
      </c>
      <c r="F51" s="2"/>
      <c r="G51" s="2"/>
      <c r="H51" s="2"/>
      <c r="I51" s="2"/>
      <c r="J51" s="2"/>
      <c r="K51" s="2"/>
      <c r="L51" s="2"/>
      <c r="M51" s="2"/>
      <c r="N51" s="2"/>
      <c r="O51" s="2"/>
      <c r="P51" s="2"/>
      <c r="Q51" s="2"/>
      <c r="R51" s="2"/>
      <c r="S51" s="2"/>
      <c r="T51" s="2"/>
      <c r="U51" s="2"/>
      <c r="V51" s="2"/>
      <c r="W51" s="2"/>
      <c r="X51" s="2"/>
      <c r="Y51" s="2"/>
      <c r="Z51" s="2"/>
    </row>
    <row r="52" spans="1:26" ht="12.75" customHeight="1">
      <c r="A52" s="2"/>
      <c r="B52" s="2"/>
      <c r="C52" s="1" t="s">
        <v>59</v>
      </c>
      <c r="D52" s="2"/>
      <c r="E52" s="1" t="s">
        <v>500</v>
      </c>
      <c r="F52" s="2"/>
      <c r="G52" s="2"/>
      <c r="H52" s="2"/>
      <c r="I52" s="2"/>
      <c r="J52" s="2"/>
      <c r="K52" s="2"/>
      <c r="L52" s="2"/>
      <c r="M52" s="2"/>
      <c r="N52" s="2"/>
      <c r="O52" s="2"/>
      <c r="P52" s="2"/>
      <c r="Q52" s="2"/>
      <c r="R52" s="2"/>
      <c r="S52" s="2"/>
      <c r="T52" s="2"/>
      <c r="U52" s="2"/>
      <c r="V52" s="2"/>
      <c r="W52" s="2"/>
      <c r="X52" s="2"/>
      <c r="Y52" s="2"/>
      <c r="Z52" s="2"/>
    </row>
    <row r="53" spans="1:26" ht="12.75" customHeight="1">
      <c r="A53" s="2"/>
      <c r="B53" s="2"/>
      <c r="C53" s="1" t="s">
        <v>63</v>
      </c>
      <c r="D53" s="2"/>
      <c r="E53" s="1" t="s">
        <v>500</v>
      </c>
      <c r="F53" s="2"/>
      <c r="G53" s="2"/>
      <c r="H53" s="2"/>
      <c r="I53" s="2"/>
      <c r="J53" s="2"/>
      <c r="K53" s="2"/>
      <c r="L53" s="2"/>
      <c r="M53" s="2"/>
      <c r="N53" s="2"/>
      <c r="O53" s="2"/>
      <c r="P53" s="2"/>
      <c r="Q53" s="2"/>
      <c r="R53" s="2"/>
      <c r="S53" s="2"/>
      <c r="T53" s="2"/>
      <c r="U53" s="2"/>
      <c r="V53" s="2"/>
      <c r="W53" s="2"/>
      <c r="X53" s="2"/>
      <c r="Y53" s="2"/>
      <c r="Z53" s="2"/>
    </row>
    <row r="54" spans="1:26" ht="12.75" customHeight="1">
      <c r="A54" s="2"/>
      <c r="B54" s="2"/>
      <c r="C54" s="1" t="s">
        <v>67</v>
      </c>
      <c r="D54" s="2"/>
      <c r="E54" s="1" t="s">
        <v>500</v>
      </c>
      <c r="F54" s="2"/>
      <c r="G54" s="2"/>
      <c r="H54" s="2"/>
      <c r="I54" s="2"/>
      <c r="J54" s="2"/>
      <c r="K54" s="2"/>
      <c r="L54" s="2"/>
      <c r="M54" s="2"/>
      <c r="N54" s="2"/>
      <c r="O54" s="2"/>
      <c r="P54" s="2"/>
      <c r="Q54" s="2"/>
      <c r="R54" s="2"/>
      <c r="S54" s="2"/>
      <c r="T54" s="2"/>
      <c r="U54" s="2"/>
      <c r="V54" s="2"/>
      <c r="W54" s="2"/>
      <c r="X54" s="2"/>
      <c r="Y54" s="2"/>
      <c r="Z54" s="2"/>
    </row>
    <row r="55" spans="1:26" ht="12.75" customHeight="1">
      <c r="A55" s="2"/>
      <c r="B55" s="2"/>
      <c r="C55" s="1" t="s">
        <v>68</v>
      </c>
      <c r="D55" s="2"/>
      <c r="E55" s="1" t="s">
        <v>500</v>
      </c>
      <c r="F55" s="2"/>
      <c r="G55" s="2"/>
      <c r="H55" s="2"/>
      <c r="I55" s="2"/>
      <c r="J55" s="2"/>
      <c r="K55" s="2"/>
      <c r="L55" s="2"/>
      <c r="M55" s="2"/>
      <c r="N55" s="2"/>
      <c r="O55" s="2"/>
      <c r="P55" s="2"/>
      <c r="Q55" s="2"/>
      <c r="R55" s="2"/>
      <c r="S55" s="2"/>
      <c r="T55" s="2"/>
      <c r="U55" s="2"/>
      <c r="V55" s="2"/>
      <c r="W55" s="2"/>
      <c r="X55" s="2"/>
      <c r="Y55" s="2"/>
      <c r="Z55" s="2"/>
    </row>
    <row r="56" spans="1:26" ht="12.75" customHeight="1">
      <c r="A56" s="2"/>
      <c r="B56" s="1" t="s">
        <v>469</v>
      </c>
      <c r="C56" s="1" t="s">
        <v>71</v>
      </c>
      <c r="D56" s="2"/>
      <c r="E56" s="1" t="s">
        <v>500</v>
      </c>
      <c r="F56" s="2"/>
      <c r="G56" s="2"/>
      <c r="H56" s="2"/>
      <c r="I56" s="2"/>
      <c r="J56" s="2"/>
      <c r="K56" s="2"/>
      <c r="L56" s="2"/>
      <c r="M56" s="2"/>
      <c r="N56" s="2"/>
      <c r="O56" s="2"/>
      <c r="P56" s="2"/>
      <c r="Q56" s="2"/>
      <c r="R56" s="2"/>
      <c r="S56" s="2"/>
      <c r="T56" s="2"/>
      <c r="U56" s="2"/>
      <c r="V56" s="2"/>
      <c r="W56" s="2"/>
      <c r="X56" s="2"/>
      <c r="Y56" s="2"/>
      <c r="Z56" s="2"/>
    </row>
    <row r="57" spans="1:26" ht="12.75" customHeight="1">
      <c r="A57" s="2"/>
      <c r="B57" s="2"/>
      <c r="C57" s="1" t="s">
        <v>502</v>
      </c>
      <c r="D57" s="2"/>
      <c r="E57" s="1" t="s">
        <v>500</v>
      </c>
      <c r="F57" s="2"/>
      <c r="G57" s="2"/>
      <c r="H57" s="2"/>
      <c r="I57" s="2"/>
      <c r="J57" s="2"/>
      <c r="K57" s="2"/>
      <c r="L57" s="2"/>
      <c r="M57" s="2"/>
      <c r="N57" s="2"/>
      <c r="O57" s="2"/>
      <c r="P57" s="2"/>
      <c r="Q57" s="2"/>
      <c r="R57" s="2"/>
      <c r="S57" s="2"/>
      <c r="T57" s="2"/>
      <c r="U57" s="2"/>
      <c r="V57" s="2"/>
      <c r="W57" s="2"/>
      <c r="X57" s="2"/>
      <c r="Y57" s="2"/>
      <c r="Z57" s="2"/>
    </row>
    <row r="58" spans="1:26" ht="12.75" customHeight="1">
      <c r="A58" s="2"/>
      <c r="B58" s="2"/>
      <c r="C58" s="1" t="s">
        <v>74</v>
      </c>
      <c r="D58" s="2"/>
      <c r="E58" s="1" t="s">
        <v>500</v>
      </c>
      <c r="F58" s="2"/>
      <c r="G58" s="2"/>
      <c r="H58" s="2"/>
      <c r="I58" s="2"/>
      <c r="J58" s="2"/>
      <c r="K58" s="2"/>
      <c r="L58" s="2"/>
      <c r="M58" s="2"/>
      <c r="N58" s="2"/>
      <c r="O58" s="2"/>
      <c r="P58" s="2"/>
      <c r="Q58" s="2"/>
      <c r="R58" s="2"/>
      <c r="S58" s="2"/>
      <c r="T58" s="2"/>
      <c r="U58" s="2"/>
      <c r="V58" s="2"/>
      <c r="W58" s="2"/>
      <c r="X58" s="2"/>
      <c r="Y58" s="2"/>
      <c r="Z58" s="2"/>
    </row>
    <row r="59" spans="1:26" ht="12.75" customHeight="1">
      <c r="A59" s="2"/>
      <c r="B59" s="1" t="s">
        <v>456</v>
      </c>
      <c r="C59" s="1" t="s">
        <v>77</v>
      </c>
      <c r="D59" s="2"/>
      <c r="E59" s="1" t="s">
        <v>500</v>
      </c>
      <c r="F59" s="2"/>
      <c r="G59" s="2"/>
      <c r="H59" s="2"/>
      <c r="I59" s="2"/>
      <c r="J59" s="2"/>
      <c r="K59" s="2"/>
      <c r="L59" s="2"/>
      <c r="M59" s="2"/>
      <c r="N59" s="2"/>
      <c r="O59" s="2"/>
      <c r="P59" s="2"/>
      <c r="Q59" s="2"/>
      <c r="R59" s="2"/>
      <c r="S59" s="2"/>
      <c r="T59" s="2"/>
      <c r="U59" s="2"/>
      <c r="V59" s="2"/>
      <c r="W59" s="2"/>
      <c r="X59" s="2"/>
      <c r="Y59" s="2"/>
      <c r="Z59" s="2"/>
    </row>
    <row r="60" spans="1:26" ht="12.75" customHeight="1">
      <c r="A60" s="2"/>
      <c r="B60" s="2"/>
      <c r="C60" s="1" t="s">
        <v>79</v>
      </c>
      <c r="D60" s="2"/>
      <c r="E60" s="1" t="s">
        <v>495</v>
      </c>
      <c r="F60" s="1" t="s">
        <v>503</v>
      </c>
      <c r="G60" s="2"/>
      <c r="H60" s="2"/>
      <c r="I60" s="2"/>
      <c r="J60" s="2"/>
      <c r="K60" s="2"/>
      <c r="L60" s="2"/>
      <c r="M60" s="2"/>
      <c r="N60" s="2"/>
      <c r="O60" s="2"/>
      <c r="P60" s="2"/>
      <c r="Q60" s="2"/>
      <c r="R60" s="2"/>
      <c r="S60" s="2"/>
      <c r="T60" s="2"/>
      <c r="U60" s="2"/>
      <c r="V60" s="2"/>
      <c r="W60" s="2"/>
      <c r="X60" s="2"/>
      <c r="Y60" s="2"/>
      <c r="Z60" s="2"/>
    </row>
    <row r="61" spans="1:26" ht="12.75" customHeight="1">
      <c r="A61" s="2"/>
      <c r="B61" s="2"/>
      <c r="C61" s="1" t="s">
        <v>81</v>
      </c>
      <c r="D61" s="2"/>
      <c r="E61" s="1" t="s">
        <v>500</v>
      </c>
      <c r="F61" s="2"/>
      <c r="G61" s="2"/>
      <c r="H61" s="2"/>
      <c r="I61" s="2"/>
      <c r="J61" s="2"/>
      <c r="K61" s="2"/>
      <c r="L61" s="2"/>
      <c r="M61" s="2"/>
      <c r="N61" s="2"/>
      <c r="O61" s="2"/>
      <c r="P61" s="2"/>
      <c r="Q61" s="2"/>
      <c r="R61" s="2"/>
      <c r="S61" s="2"/>
      <c r="T61" s="2"/>
      <c r="U61" s="2"/>
      <c r="V61" s="2"/>
      <c r="W61" s="2"/>
      <c r="X61" s="2"/>
      <c r="Y61" s="2"/>
      <c r="Z61" s="2"/>
    </row>
    <row r="62" spans="1:26" ht="12.75" customHeight="1">
      <c r="A62" s="2"/>
      <c r="B62" s="2"/>
      <c r="C62" s="1" t="s">
        <v>84</v>
      </c>
      <c r="D62" s="2"/>
      <c r="E62" s="1" t="s">
        <v>500</v>
      </c>
      <c r="F62" s="2"/>
      <c r="G62" s="2"/>
      <c r="H62" s="2"/>
      <c r="I62" s="2"/>
      <c r="J62" s="2"/>
      <c r="K62" s="2"/>
      <c r="L62" s="2"/>
      <c r="M62" s="2"/>
      <c r="N62" s="2"/>
      <c r="O62" s="2"/>
      <c r="P62" s="2"/>
      <c r="Q62" s="2"/>
      <c r="R62" s="2"/>
      <c r="S62" s="2"/>
      <c r="T62" s="2"/>
      <c r="U62" s="2"/>
      <c r="V62" s="2"/>
      <c r="W62" s="2"/>
      <c r="X62" s="2"/>
      <c r="Y62" s="2"/>
      <c r="Z62" s="2"/>
    </row>
    <row r="63" spans="1:26" ht="12.75" customHeight="1">
      <c r="A63" s="2"/>
      <c r="B63" s="2"/>
      <c r="C63" s="1" t="s">
        <v>504</v>
      </c>
      <c r="D63" s="2"/>
      <c r="E63" s="1" t="s">
        <v>495</v>
      </c>
      <c r="F63" s="1" t="s">
        <v>505</v>
      </c>
      <c r="G63" s="2"/>
      <c r="H63" s="2"/>
      <c r="I63" s="2"/>
      <c r="J63" s="2"/>
      <c r="K63" s="2"/>
      <c r="L63" s="2"/>
      <c r="M63" s="2"/>
      <c r="N63" s="2"/>
      <c r="O63" s="2"/>
      <c r="P63" s="2"/>
      <c r="Q63" s="2"/>
      <c r="R63" s="2"/>
      <c r="S63" s="2"/>
      <c r="T63" s="2"/>
      <c r="U63" s="2"/>
      <c r="V63" s="2"/>
      <c r="W63" s="2"/>
      <c r="X63" s="2"/>
      <c r="Y63" s="2"/>
      <c r="Z63" s="2"/>
    </row>
    <row r="64" spans="1:26" ht="12.7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c r="A65" s="1" t="s">
        <v>506</v>
      </c>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c r="A66" s="1" t="s">
        <v>507</v>
      </c>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c r="A67" s="1" t="s">
        <v>508</v>
      </c>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c r="A72" s="1" t="s">
        <v>509</v>
      </c>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c r="A73" s="1" t="s">
        <v>510</v>
      </c>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c r="A81" s="1" t="s">
        <v>95</v>
      </c>
      <c r="B81" s="1" t="s">
        <v>479</v>
      </c>
      <c r="C81" s="1" t="s">
        <v>511</v>
      </c>
      <c r="D81" s="1" t="s">
        <v>512</v>
      </c>
      <c r="E81" s="1" t="s">
        <v>513</v>
      </c>
      <c r="F81" s="1" t="s">
        <v>514</v>
      </c>
      <c r="G81" s="1" t="s">
        <v>515</v>
      </c>
      <c r="H81" s="1" t="s">
        <v>516</v>
      </c>
      <c r="I81" s="1" t="s">
        <v>517</v>
      </c>
      <c r="J81" s="1" t="s">
        <v>518</v>
      </c>
      <c r="K81" s="1" t="s">
        <v>519</v>
      </c>
      <c r="L81" s="1" t="s">
        <v>520</v>
      </c>
      <c r="M81" s="1" t="s">
        <v>521</v>
      </c>
      <c r="N81" s="1" t="s">
        <v>522</v>
      </c>
      <c r="O81" s="1" t="s">
        <v>481</v>
      </c>
      <c r="P81" s="1" t="s">
        <v>485</v>
      </c>
      <c r="Q81" s="1" t="s">
        <v>472</v>
      </c>
      <c r="R81" s="2"/>
      <c r="S81" s="2"/>
      <c r="T81" s="2"/>
      <c r="U81" s="2"/>
      <c r="V81" s="2"/>
      <c r="W81" s="2"/>
      <c r="X81" s="2"/>
      <c r="Y81" s="2"/>
      <c r="Z81" s="2"/>
    </row>
    <row r="82" spans="1:26" ht="12.75" customHeight="1">
      <c r="A82" s="1" t="s">
        <v>488</v>
      </c>
      <c r="B82" s="1">
        <f>1890*0.001</f>
        <v>1.8900000000000001</v>
      </c>
      <c r="C82" s="1">
        <v>1</v>
      </c>
      <c r="D82" s="1">
        <v>1</v>
      </c>
      <c r="E82" s="1">
        <v>1.1200000000000001</v>
      </c>
      <c r="F82" s="1">
        <v>1.1000000000000001</v>
      </c>
      <c r="G82" s="1">
        <v>1</v>
      </c>
      <c r="H82" s="1">
        <v>1.0900000000000001</v>
      </c>
      <c r="I82" s="1">
        <v>1.0900000000000001</v>
      </c>
      <c r="J82" s="1">
        <v>1.0900000000000001</v>
      </c>
      <c r="K82" s="1">
        <v>1</v>
      </c>
      <c r="L82" s="1">
        <v>0</v>
      </c>
      <c r="M82" s="1">
        <v>1.56</v>
      </c>
      <c r="N82" s="1">
        <v>0</v>
      </c>
      <c r="O82" s="2">
        <f>PRODUCT(C82:K82)*B82^(0.01*SUM(L82:N82))</f>
        <v>1.6113986883322833</v>
      </c>
      <c r="P82" s="1">
        <v>1200</v>
      </c>
      <c r="Q82" s="1">
        <f t="shared" ref="Q82:Q84" si="0">P82/O82</f>
        <v>744.69466103509103</v>
      </c>
      <c r="R82" s="2"/>
      <c r="S82" s="2"/>
      <c r="T82" s="2"/>
      <c r="U82" s="2"/>
      <c r="V82" s="2"/>
      <c r="W82" s="2"/>
      <c r="X82" s="2"/>
      <c r="Y82" s="2"/>
      <c r="Z82" s="2"/>
    </row>
    <row r="83" spans="1:26" ht="12.75" customHeight="1">
      <c r="A83" s="1" t="s">
        <v>476</v>
      </c>
      <c r="B83" s="1">
        <f>(2098+17+611)*0.001</f>
        <v>2.726</v>
      </c>
      <c r="C83" s="1">
        <v>1</v>
      </c>
      <c r="D83" s="1">
        <v>1</v>
      </c>
      <c r="E83" s="1">
        <v>1.1200000000000001</v>
      </c>
      <c r="F83" s="1">
        <v>1.1000000000000001</v>
      </c>
      <c r="G83" s="1">
        <v>1</v>
      </c>
      <c r="H83" s="1">
        <v>1.0900000000000001</v>
      </c>
      <c r="I83" s="1">
        <v>1.0900000000000001</v>
      </c>
      <c r="J83" s="1">
        <v>1.0900000000000001</v>
      </c>
      <c r="K83" s="1">
        <v>1</v>
      </c>
      <c r="L83" s="1">
        <v>0</v>
      </c>
      <c r="M83" s="1">
        <v>1.56</v>
      </c>
      <c r="N83" s="1">
        <v>1.1000000000000001</v>
      </c>
      <c r="O83" s="2">
        <f>1.12*1.1*1.09*1.09*1.09*2.726^(0.01*(1.56+1.1))</f>
        <v>1.6386084469621776</v>
      </c>
      <c r="P83" s="1">
        <f>24*12*7</f>
        <v>2016</v>
      </c>
      <c r="Q83" s="1">
        <f t="shared" si="0"/>
        <v>1230.3122223844691</v>
      </c>
      <c r="R83" s="2"/>
      <c r="S83" s="2"/>
      <c r="T83" s="2"/>
      <c r="U83" s="2"/>
      <c r="V83" s="2"/>
      <c r="W83" s="2"/>
      <c r="X83" s="2"/>
      <c r="Y83" s="2"/>
      <c r="Z83" s="2"/>
    </row>
    <row r="84" spans="1:26">
      <c r="A84" s="1" t="s">
        <v>523</v>
      </c>
      <c r="B84" s="41">
        <f>3883*0.001</f>
        <v>3.883</v>
      </c>
      <c r="C84" s="1">
        <v>1</v>
      </c>
      <c r="D84" s="1">
        <v>1</v>
      </c>
      <c r="E84" s="1">
        <v>1.29</v>
      </c>
      <c r="F84" s="1">
        <v>1.1000000000000001</v>
      </c>
      <c r="G84" s="1">
        <v>0.91</v>
      </c>
      <c r="H84" s="1">
        <v>1</v>
      </c>
      <c r="I84" s="1">
        <v>1</v>
      </c>
      <c r="J84" s="1">
        <v>1.0900000000000001</v>
      </c>
      <c r="K84" s="1">
        <v>1</v>
      </c>
      <c r="L84" s="1">
        <v>0</v>
      </c>
      <c r="M84" s="1">
        <v>1.56</v>
      </c>
      <c r="N84" s="1">
        <v>0</v>
      </c>
      <c r="O84" s="2">
        <f>PRODUCT(C84:K84)*B84^(0.01*SUM(L84:N84))</f>
        <v>1.4376107016092705</v>
      </c>
      <c r="P84" s="2">
        <f>49*4*8+24*4*10+12*12*8</f>
        <v>3680</v>
      </c>
      <c r="Q84" s="2">
        <f t="shared" si="0"/>
        <v>2559.8028700541704</v>
      </c>
      <c r="R84" s="2"/>
      <c r="S84" s="2"/>
      <c r="T84" s="2"/>
      <c r="U84" s="2"/>
      <c r="V84" s="2"/>
      <c r="W84" s="2"/>
      <c r="X84" s="2"/>
      <c r="Y84" s="2"/>
      <c r="Z84" s="2"/>
    </row>
    <row r="85" spans="1:26" ht="12.7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 r="A86" s="2"/>
      <c r="B86" s="2"/>
      <c r="C86" s="2"/>
      <c r="D86" s="2"/>
      <c r="E86" s="2"/>
      <c r="F86" s="2"/>
      <c r="G86" s="2"/>
      <c r="H86" s="2"/>
      <c r="I86" s="2"/>
      <c r="J86" s="2"/>
      <c r="K86" s="2"/>
      <c r="L86" s="2"/>
      <c r="M86" s="2"/>
      <c r="N86" s="2"/>
      <c r="O86" s="2"/>
      <c r="P86" s="2"/>
      <c r="Q86" s="2"/>
      <c r="R86" s="2"/>
      <c r="S86" s="2"/>
      <c r="T86" s="2"/>
      <c r="U86" s="2"/>
      <c r="V86" s="2"/>
      <c r="W86" s="2"/>
      <c r="X86" s="2"/>
      <c r="Y86" s="2"/>
      <c r="Z86" s="2"/>
    </row>
    <row r="133" spans="1:26" ht="12.7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1:H4"/>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8"/>
  <sheetViews>
    <sheetView workbookViewId="0">
      <selection activeCell="C46" sqref="C46"/>
    </sheetView>
  </sheetViews>
  <sheetFormatPr defaultColWidth="17.28515625" defaultRowHeight="15" customHeight="1"/>
  <sheetData>
    <row r="1" spans="1:26" ht="12.75" customHeight="1">
      <c r="A1" s="2" t="s">
        <v>524</v>
      </c>
      <c r="B1" s="2"/>
      <c r="C1" s="2"/>
      <c r="D1" s="2"/>
      <c r="E1" s="2"/>
      <c r="F1" s="2"/>
      <c r="G1" s="2"/>
      <c r="H1" s="2"/>
      <c r="I1" s="2"/>
      <c r="J1" s="2"/>
      <c r="K1" s="2"/>
      <c r="L1" s="2"/>
      <c r="M1" s="2"/>
      <c r="N1" s="2"/>
      <c r="O1" s="2"/>
      <c r="P1" s="2"/>
      <c r="Q1" s="2"/>
      <c r="R1" s="2"/>
      <c r="S1" s="2"/>
      <c r="T1" s="2"/>
      <c r="U1" s="2"/>
      <c r="V1" s="2"/>
      <c r="W1" s="2"/>
      <c r="X1" s="2"/>
      <c r="Y1" s="2"/>
      <c r="Z1" s="2"/>
    </row>
    <row r="2" spans="1:26" ht="12.75" customHeight="1">
      <c r="A2" s="24" t="s">
        <v>525</v>
      </c>
      <c r="B2" s="24" t="s">
        <v>526</v>
      </c>
      <c r="C2" s="24" t="s">
        <v>263</v>
      </c>
      <c r="D2" s="24" t="s">
        <v>478</v>
      </c>
      <c r="E2" s="24" t="s">
        <v>265</v>
      </c>
      <c r="F2" s="24" t="s">
        <v>527</v>
      </c>
      <c r="G2" s="24" t="s">
        <v>528</v>
      </c>
      <c r="H2" s="22"/>
      <c r="I2" s="22"/>
      <c r="J2" s="22"/>
      <c r="K2" s="22"/>
      <c r="L2" s="22"/>
      <c r="M2" s="22"/>
      <c r="N2" s="22"/>
      <c r="O2" s="22"/>
      <c r="P2" s="22"/>
      <c r="Q2" s="22"/>
      <c r="R2" s="2"/>
      <c r="S2" s="2"/>
      <c r="T2" s="2"/>
      <c r="U2" s="2"/>
      <c r="V2" s="2"/>
      <c r="W2" s="2"/>
      <c r="X2" s="2"/>
      <c r="Y2" s="2"/>
      <c r="Z2" s="2"/>
    </row>
    <row r="3" spans="1:26" ht="12.75" customHeight="1">
      <c r="A3" s="2"/>
      <c r="B3" s="2">
        <v>6.2</v>
      </c>
      <c r="C3" s="2">
        <v>4.96</v>
      </c>
      <c r="D3" s="2">
        <v>3.72</v>
      </c>
      <c r="E3" s="2">
        <v>2.48</v>
      </c>
      <c r="F3" s="2">
        <v>1.24</v>
      </c>
      <c r="G3" s="2">
        <v>0</v>
      </c>
      <c r="H3" s="2"/>
      <c r="I3" s="2"/>
      <c r="J3" s="2"/>
      <c r="K3" s="2"/>
      <c r="L3" s="2"/>
      <c r="M3" s="2"/>
      <c r="N3" s="2"/>
      <c r="O3" s="2"/>
      <c r="P3" s="2"/>
      <c r="Q3" s="2"/>
      <c r="R3" s="2"/>
      <c r="S3" s="2"/>
      <c r="T3" s="2"/>
      <c r="U3" s="2"/>
      <c r="V3" s="2"/>
      <c r="W3" s="2"/>
      <c r="X3" s="2"/>
      <c r="Y3" s="2"/>
      <c r="Z3" s="2"/>
    </row>
    <row r="4" spans="1:26" ht="12.75" customHeight="1">
      <c r="A4" s="2" t="s">
        <v>529</v>
      </c>
      <c r="B4" s="2" t="s">
        <v>526</v>
      </c>
      <c r="C4" s="2" t="s">
        <v>263</v>
      </c>
      <c r="D4" s="2" t="s">
        <v>478</v>
      </c>
      <c r="E4" s="2" t="s">
        <v>265</v>
      </c>
      <c r="F4" s="2" t="s">
        <v>527</v>
      </c>
      <c r="G4" s="2" t="s">
        <v>528</v>
      </c>
      <c r="H4" s="2"/>
      <c r="I4" s="2"/>
      <c r="J4" s="2"/>
      <c r="K4" s="2"/>
      <c r="L4" s="2"/>
      <c r="M4" s="2"/>
      <c r="N4" s="2"/>
      <c r="O4" s="2"/>
      <c r="P4" s="2"/>
      <c r="Q4" s="2"/>
      <c r="R4" s="2"/>
      <c r="S4" s="2"/>
      <c r="T4" s="2"/>
      <c r="U4" s="2"/>
      <c r="V4" s="2"/>
      <c r="W4" s="2"/>
      <c r="X4" s="2"/>
      <c r="Y4" s="2"/>
      <c r="Z4" s="2"/>
    </row>
    <row r="5" spans="1:26" ht="12.75" customHeight="1">
      <c r="A5" s="2"/>
      <c r="B5" s="2">
        <v>5.07</v>
      </c>
      <c r="C5" s="2">
        <v>4.05</v>
      </c>
      <c r="D5" s="2">
        <v>3.04</v>
      </c>
      <c r="E5" s="2">
        <v>2.0299999999999998</v>
      </c>
      <c r="F5" s="2">
        <v>1.01</v>
      </c>
      <c r="G5" s="2">
        <v>0</v>
      </c>
      <c r="H5" s="2"/>
      <c r="I5" s="2"/>
      <c r="J5" s="2"/>
      <c r="K5" s="2"/>
      <c r="L5" s="2"/>
      <c r="M5" s="2"/>
      <c r="N5" s="2"/>
      <c r="O5" s="2"/>
      <c r="P5" s="2"/>
      <c r="Q5" s="2"/>
      <c r="R5" s="2"/>
      <c r="S5" s="2"/>
      <c r="T5" s="2"/>
      <c r="U5" s="2"/>
      <c r="V5" s="2"/>
      <c r="W5" s="2"/>
      <c r="X5" s="2"/>
      <c r="Y5" s="2"/>
      <c r="Z5" s="2"/>
    </row>
    <row r="6" spans="1:26" ht="12.75" customHeight="1">
      <c r="A6" s="2" t="s">
        <v>530</v>
      </c>
      <c r="B6" s="2" t="s">
        <v>526</v>
      </c>
      <c r="C6" s="2" t="s">
        <v>263</v>
      </c>
      <c r="D6" s="2" t="s">
        <v>478</v>
      </c>
      <c r="E6" s="2" t="s">
        <v>265</v>
      </c>
      <c r="F6" s="2" t="s">
        <v>527</v>
      </c>
      <c r="G6" s="2" t="s">
        <v>528</v>
      </c>
      <c r="H6" s="2"/>
      <c r="I6" s="2"/>
      <c r="J6" s="2"/>
      <c r="K6" s="2"/>
      <c r="L6" s="2"/>
      <c r="M6" s="2"/>
      <c r="N6" s="2"/>
      <c r="O6" s="2"/>
      <c r="P6" s="2"/>
      <c r="Q6" s="2"/>
      <c r="R6" s="2"/>
      <c r="S6" s="2"/>
      <c r="T6" s="2"/>
      <c r="U6" s="2"/>
      <c r="V6" s="2"/>
      <c r="W6" s="2"/>
      <c r="X6" s="2"/>
      <c r="Y6" s="2"/>
      <c r="Z6" s="2"/>
    </row>
    <row r="7" spans="1:26" ht="12.75" customHeight="1">
      <c r="A7" s="2"/>
      <c r="B7" s="2">
        <v>7.07</v>
      </c>
      <c r="C7" s="2">
        <v>5.65</v>
      </c>
      <c r="D7" s="2">
        <v>4.24</v>
      </c>
      <c r="E7" s="2">
        <v>2.83</v>
      </c>
      <c r="F7" s="2">
        <v>1.41</v>
      </c>
      <c r="G7" s="2">
        <v>0</v>
      </c>
      <c r="H7" s="2"/>
      <c r="I7" s="2"/>
      <c r="J7" s="2"/>
      <c r="K7" s="2"/>
      <c r="L7" s="2"/>
      <c r="M7" s="2"/>
      <c r="N7" s="2"/>
      <c r="O7" s="2"/>
      <c r="P7" s="2"/>
      <c r="Q7" s="2"/>
      <c r="R7" s="2"/>
      <c r="S7" s="2"/>
      <c r="T7" s="2"/>
      <c r="U7" s="2"/>
      <c r="V7" s="2"/>
      <c r="W7" s="2"/>
      <c r="X7" s="2"/>
      <c r="Y7" s="2"/>
      <c r="Z7" s="2"/>
    </row>
    <row r="8" spans="1:26" ht="12.75" customHeight="1">
      <c r="A8" s="24" t="s">
        <v>522</v>
      </c>
      <c r="B8" s="24" t="s">
        <v>526</v>
      </c>
      <c r="C8" s="24" t="s">
        <v>263</v>
      </c>
      <c r="D8" s="24" t="s">
        <v>478</v>
      </c>
      <c r="E8" s="24" t="s">
        <v>265</v>
      </c>
      <c r="F8" s="24" t="s">
        <v>527</v>
      </c>
      <c r="G8" s="24" t="s">
        <v>528</v>
      </c>
      <c r="H8" s="22"/>
      <c r="I8" s="22"/>
      <c r="J8" s="22"/>
      <c r="K8" s="22"/>
      <c r="L8" s="22"/>
      <c r="M8" s="22"/>
      <c r="N8" s="22"/>
      <c r="O8" s="22"/>
      <c r="P8" s="22"/>
      <c r="Q8" s="22"/>
      <c r="R8" s="2"/>
      <c r="S8" s="2"/>
      <c r="T8" s="2"/>
      <c r="U8" s="2"/>
      <c r="V8" s="2"/>
      <c r="W8" s="2"/>
      <c r="X8" s="2"/>
      <c r="Y8" s="2"/>
      <c r="Z8" s="2"/>
    </row>
    <row r="9" spans="1:26" ht="12.75" customHeight="1">
      <c r="A9" s="2"/>
      <c r="B9" s="2">
        <v>5.48</v>
      </c>
      <c r="C9" s="2">
        <v>4.38</v>
      </c>
      <c r="D9" s="2">
        <v>3.29</v>
      </c>
      <c r="E9" s="2">
        <v>2.19</v>
      </c>
      <c r="F9" s="2">
        <v>1.1000000000000001</v>
      </c>
      <c r="G9" s="2">
        <v>0</v>
      </c>
      <c r="H9" s="2"/>
      <c r="I9" s="2"/>
      <c r="J9" s="2"/>
      <c r="K9" s="2"/>
      <c r="L9" s="2"/>
      <c r="M9" s="2"/>
      <c r="N9" s="2"/>
      <c r="O9" s="2"/>
      <c r="P9" s="2"/>
      <c r="Q9" s="2"/>
      <c r="R9" s="2"/>
      <c r="S9" s="2"/>
      <c r="T9" s="2"/>
      <c r="U9" s="2"/>
      <c r="V9" s="2"/>
      <c r="W9" s="2"/>
      <c r="X9" s="2"/>
      <c r="Y9" s="2"/>
      <c r="Z9" s="2"/>
    </row>
    <row r="10" spans="1:26" ht="12.75" customHeight="1">
      <c r="A10" s="24" t="s">
        <v>531</v>
      </c>
      <c r="B10" s="24" t="s">
        <v>526</v>
      </c>
      <c r="C10" s="24" t="s">
        <v>263</v>
      </c>
      <c r="D10" s="24" t="s">
        <v>478</v>
      </c>
      <c r="E10" s="24" t="s">
        <v>265</v>
      </c>
      <c r="F10" s="24" t="s">
        <v>527</v>
      </c>
      <c r="G10" s="24" t="s">
        <v>528</v>
      </c>
      <c r="H10" s="22"/>
      <c r="I10" s="22"/>
      <c r="J10" s="22"/>
      <c r="K10" s="22"/>
      <c r="L10" s="22"/>
      <c r="M10" s="22"/>
      <c r="N10" s="22"/>
      <c r="O10" s="22"/>
      <c r="P10" s="22"/>
      <c r="Q10" s="22"/>
      <c r="R10" s="2"/>
      <c r="S10" s="2"/>
      <c r="T10" s="2"/>
      <c r="U10" s="2"/>
      <c r="V10" s="2"/>
      <c r="W10" s="2"/>
      <c r="X10" s="2"/>
      <c r="Y10" s="2"/>
      <c r="Z10" s="2"/>
    </row>
    <row r="11" spans="1:26" ht="12.75" customHeight="1">
      <c r="A11" s="2"/>
      <c r="B11" s="2">
        <v>7.8</v>
      </c>
      <c r="C11" s="2">
        <v>6.24</v>
      </c>
      <c r="D11" s="2">
        <v>4.68</v>
      </c>
      <c r="E11" s="2">
        <v>3.12</v>
      </c>
      <c r="F11" s="2">
        <v>1.56</v>
      </c>
      <c r="G11" s="2">
        <v>0</v>
      </c>
      <c r="H11" s="2"/>
      <c r="I11" s="2"/>
      <c r="J11" s="2"/>
      <c r="K11" s="2"/>
      <c r="L11" s="2"/>
      <c r="M11" s="2"/>
      <c r="N11" s="2"/>
      <c r="O11" s="2"/>
      <c r="P11" s="2"/>
      <c r="Q11" s="2"/>
      <c r="R11" s="2"/>
      <c r="S11" s="2"/>
      <c r="T11" s="2"/>
      <c r="U11" s="2"/>
      <c r="V11" s="2"/>
      <c r="W11" s="2"/>
      <c r="X11" s="2"/>
      <c r="Y11" s="2"/>
      <c r="Z11" s="2"/>
    </row>
    <row r="12" spans="1:26" ht="12.75">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ht="12.75" customHeight="1">
      <c r="A13" s="2" t="s">
        <v>532</v>
      </c>
      <c r="B13" s="2" t="s">
        <v>526</v>
      </c>
      <c r="C13" s="2" t="s">
        <v>263</v>
      </c>
      <c r="D13" s="2" t="s">
        <v>478</v>
      </c>
      <c r="E13" s="2" t="s">
        <v>265</v>
      </c>
      <c r="F13" s="2" t="s">
        <v>527</v>
      </c>
      <c r="G13" s="2" t="s">
        <v>528</v>
      </c>
      <c r="H13" s="2"/>
      <c r="I13" s="1" t="s">
        <v>51</v>
      </c>
      <c r="J13" s="2"/>
      <c r="K13" s="2"/>
      <c r="L13" s="2"/>
      <c r="M13" s="2"/>
      <c r="N13" s="2"/>
      <c r="O13" s="2"/>
      <c r="P13" s="2"/>
      <c r="Q13" s="2"/>
      <c r="R13" s="2"/>
      <c r="S13" s="2"/>
      <c r="T13" s="2"/>
      <c r="U13" s="2"/>
      <c r="V13" s="2"/>
      <c r="W13" s="2"/>
      <c r="X13" s="2"/>
      <c r="Y13" s="2"/>
      <c r="Z13" s="2"/>
    </row>
    <row r="14" spans="1:26" ht="12.75" customHeight="1">
      <c r="A14" s="2"/>
      <c r="B14" s="52">
        <v>0.82</v>
      </c>
      <c r="C14" s="52">
        <v>0.92</v>
      </c>
      <c r="D14" s="52">
        <v>1</v>
      </c>
      <c r="E14" s="52">
        <v>1.1000000000000001</v>
      </c>
      <c r="F14" s="52">
        <v>1.26</v>
      </c>
      <c r="G14" s="2" t="s">
        <v>533</v>
      </c>
      <c r="H14" s="2"/>
      <c r="I14" s="1" t="s">
        <v>501</v>
      </c>
      <c r="J14" s="2"/>
      <c r="K14" s="2"/>
      <c r="L14" s="2"/>
      <c r="M14" s="2"/>
      <c r="N14" s="2"/>
      <c r="O14" s="2"/>
      <c r="P14" s="2"/>
      <c r="Q14" s="2"/>
      <c r="R14" s="2"/>
      <c r="S14" s="2"/>
      <c r="T14" s="2"/>
      <c r="U14" s="2"/>
      <c r="V14" s="2"/>
      <c r="W14" s="2"/>
      <c r="X14" s="2"/>
      <c r="Y14" s="2"/>
      <c r="Z14" s="2"/>
    </row>
    <row r="15" spans="1:26" ht="12.75" customHeight="1">
      <c r="A15" s="2" t="s">
        <v>534</v>
      </c>
      <c r="B15" s="2" t="s">
        <v>526</v>
      </c>
      <c r="C15" s="2" t="s">
        <v>263</v>
      </c>
      <c r="D15" s="2" t="s">
        <v>478</v>
      </c>
      <c r="E15" s="2" t="s">
        <v>265</v>
      </c>
      <c r="F15" s="2" t="s">
        <v>527</v>
      </c>
      <c r="G15" s="2" t="s">
        <v>528</v>
      </c>
      <c r="H15" s="2"/>
      <c r="I15" s="1" t="s">
        <v>59</v>
      </c>
      <c r="J15" s="2"/>
      <c r="K15" s="2"/>
      <c r="L15" s="2"/>
      <c r="M15" s="2"/>
      <c r="N15" s="2"/>
      <c r="O15" s="2"/>
      <c r="P15" s="2"/>
      <c r="Q15" s="2"/>
      <c r="R15" s="2"/>
      <c r="S15" s="2"/>
      <c r="T15" s="2"/>
      <c r="U15" s="2"/>
      <c r="V15" s="2"/>
      <c r="W15" s="2"/>
      <c r="X15" s="2"/>
      <c r="Y15" s="2"/>
      <c r="Z15" s="2"/>
    </row>
    <row r="16" spans="1:26" ht="12.75" customHeight="1">
      <c r="A16" s="2"/>
      <c r="B16" s="2" t="s">
        <v>533</v>
      </c>
      <c r="C16" s="52">
        <v>0.9</v>
      </c>
      <c r="D16" s="52">
        <v>1</v>
      </c>
      <c r="E16" s="52">
        <v>1.1399999999999999</v>
      </c>
      <c r="F16" s="52">
        <v>1.28</v>
      </c>
      <c r="G16" s="2" t="s">
        <v>533</v>
      </c>
      <c r="H16" s="2"/>
      <c r="I16" s="1" t="s">
        <v>63</v>
      </c>
      <c r="J16" s="2"/>
      <c r="K16" s="2"/>
      <c r="L16" s="2"/>
      <c r="M16" s="2"/>
      <c r="N16" s="2"/>
      <c r="O16" s="2"/>
      <c r="P16" s="2"/>
      <c r="Q16" s="2"/>
      <c r="R16" s="2"/>
      <c r="S16" s="2"/>
      <c r="T16" s="2"/>
      <c r="U16" s="2"/>
      <c r="V16" s="2"/>
      <c r="W16" s="2"/>
      <c r="X16" s="2"/>
      <c r="Y16" s="2"/>
      <c r="Z16" s="2"/>
    </row>
    <row r="17" spans="1:26" ht="12.75" customHeight="1">
      <c r="A17" s="2" t="s">
        <v>535</v>
      </c>
      <c r="B17" s="2" t="s">
        <v>526</v>
      </c>
      <c r="C17" s="2" t="s">
        <v>263</v>
      </c>
      <c r="D17" s="2" t="s">
        <v>478</v>
      </c>
      <c r="E17" s="2" t="s">
        <v>265</v>
      </c>
      <c r="F17" s="2" t="s">
        <v>527</v>
      </c>
      <c r="G17" s="2" t="s">
        <v>528</v>
      </c>
      <c r="H17" s="2"/>
      <c r="I17" s="1" t="s">
        <v>67</v>
      </c>
      <c r="J17" s="2"/>
      <c r="K17" s="2"/>
      <c r="L17" s="2"/>
      <c r="M17" s="2"/>
      <c r="N17" s="2"/>
      <c r="O17" s="2"/>
      <c r="P17" s="2"/>
      <c r="Q17" s="2"/>
      <c r="R17" s="2"/>
      <c r="S17" s="2"/>
      <c r="T17" s="2"/>
      <c r="U17" s="2"/>
      <c r="V17" s="2"/>
      <c r="W17" s="2"/>
      <c r="X17" s="2"/>
      <c r="Y17" s="2"/>
      <c r="Z17" s="2"/>
    </row>
    <row r="18" spans="1:26" ht="12.75" customHeight="1">
      <c r="A18" s="2"/>
      <c r="B18" s="52">
        <v>0.73</v>
      </c>
      <c r="C18" s="52">
        <v>0.87</v>
      </c>
      <c r="D18" s="52">
        <v>1</v>
      </c>
      <c r="E18" s="52">
        <v>1.17</v>
      </c>
      <c r="F18" s="52">
        <v>1.34</v>
      </c>
      <c r="G18" s="52">
        <v>1.74</v>
      </c>
      <c r="H18" s="2"/>
      <c r="I18" s="1" t="s">
        <v>68</v>
      </c>
      <c r="J18" s="2"/>
      <c r="K18" s="2"/>
      <c r="L18" s="2"/>
      <c r="M18" s="2"/>
      <c r="N18" s="2"/>
      <c r="O18" s="2"/>
      <c r="P18" s="2"/>
      <c r="Q18" s="2"/>
      <c r="R18" s="2"/>
      <c r="S18" s="2"/>
      <c r="T18" s="2"/>
      <c r="U18" s="2"/>
      <c r="V18" s="2"/>
      <c r="W18" s="2"/>
      <c r="X18" s="2"/>
      <c r="Y18" s="2"/>
      <c r="Z18" s="2"/>
    </row>
    <row r="19" spans="1:26" ht="12.75" customHeight="1">
      <c r="A19" s="2" t="s">
        <v>536</v>
      </c>
      <c r="B19" s="2" t="s">
        <v>526</v>
      </c>
      <c r="C19" s="2" t="s">
        <v>263</v>
      </c>
      <c r="D19" s="2" t="s">
        <v>478</v>
      </c>
      <c r="E19" s="2" t="s">
        <v>265</v>
      </c>
      <c r="F19" s="2" t="s">
        <v>527</v>
      </c>
      <c r="G19" s="2" t="s">
        <v>528</v>
      </c>
      <c r="H19" s="2"/>
      <c r="I19" s="1" t="s">
        <v>71</v>
      </c>
      <c r="J19" s="2"/>
      <c r="K19" s="2"/>
      <c r="L19" s="2"/>
      <c r="M19" s="2"/>
      <c r="N19" s="2"/>
      <c r="O19" s="2"/>
      <c r="P19" s="2"/>
      <c r="Q19" s="2"/>
      <c r="R19" s="2"/>
      <c r="S19" s="2"/>
      <c r="T19" s="2"/>
      <c r="U19" s="2"/>
      <c r="V19" s="2"/>
      <c r="W19" s="2"/>
      <c r="X19" s="2"/>
      <c r="Y19" s="2"/>
      <c r="Z19" s="2"/>
    </row>
    <row r="20" spans="1:26" ht="12.75" customHeight="1">
      <c r="A20" s="2"/>
      <c r="B20" s="2" t="s">
        <v>533</v>
      </c>
      <c r="C20" s="52">
        <v>0.95</v>
      </c>
      <c r="D20" s="52">
        <v>1</v>
      </c>
      <c r="E20" s="52">
        <v>1.07</v>
      </c>
      <c r="F20" s="52">
        <v>1.1499999999999999</v>
      </c>
      <c r="G20" s="52">
        <v>1.24</v>
      </c>
      <c r="H20" s="2"/>
      <c r="I20" s="1" t="s">
        <v>502</v>
      </c>
      <c r="J20" s="2"/>
      <c r="K20" s="2"/>
      <c r="L20" s="2"/>
      <c r="M20" s="2"/>
      <c r="N20" s="2"/>
      <c r="O20" s="2"/>
      <c r="P20" s="2"/>
      <c r="Q20" s="2"/>
      <c r="R20" s="2"/>
      <c r="S20" s="2"/>
      <c r="T20" s="2"/>
      <c r="U20" s="2"/>
      <c r="V20" s="2"/>
      <c r="W20" s="2"/>
      <c r="X20" s="2"/>
      <c r="Y20" s="2"/>
      <c r="Z20" s="2"/>
    </row>
    <row r="21" spans="1:26" ht="12.75" customHeight="1">
      <c r="A21" s="2" t="s">
        <v>537</v>
      </c>
      <c r="B21" s="2" t="s">
        <v>526</v>
      </c>
      <c r="C21" s="2" t="s">
        <v>263</v>
      </c>
      <c r="D21" s="2" t="s">
        <v>478</v>
      </c>
      <c r="E21" s="2" t="s">
        <v>265</v>
      </c>
      <c r="F21" s="2" t="s">
        <v>527</v>
      </c>
      <c r="G21" s="2" t="s">
        <v>528</v>
      </c>
      <c r="H21" s="2"/>
      <c r="I21" s="1" t="s">
        <v>74</v>
      </c>
      <c r="J21" s="2"/>
      <c r="K21" s="2"/>
      <c r="L21" s="2"/>
      <c r="M21" s="2"/>
      <c r="N21" s="2"/>
      <c r="O21" s="2"/>
      <c r="P21" s="2"/>
      <c r="Q21" s="2"/>
      <c r="R21" s="2"/>
      <c r="S21" s="2"/>
      <c r="T21" s="2"/>
      <c r="U21" s="2"/>
      <c r="V21" s="2"/>
      <c r="W21" s="2"/>
      <c r="X21" s="2"/>
      <c r="Y21" s="2"/>
      <c r="Z21" s="2"/>
    </row>
    <row r="22" spans="1:26" ht="12.75" customHeight="1">
      <c r="A22" s="2"/>
      <c r="B22" s="52">
        <v>0.81</v>
      </c>
      <c r="C22" s="52">
        <v>0.91</v>
      </c>
      <c r="D22" s="52">
        <v>1</v>
      </c>
      <c r="E22" s="52">
        <v>1.1100000000000001</v>
      </c>
      <c r="F22" s="52">
        <v>1.23</v>
      </c>
      <c r="G22" s="2" t="s">
        <v>533</v>
      </c>
      <c r="H22" s="2"/>
      <c r="I22" s="2"/>
      <c r="J22" s="2"/>
      <c r="K22" s="2"/>
      <c r="L22" s="2"/>
      <c r="M22" s="2"/>
      <c r="N22" s="2"/>
      <c r="O22" s="2"/>
      <c r="P22" s="2"/>
      <c r="Q22" s="2"/>
      <c r="R22" s="2"/>
      <c r="S22" s="2"/>
      <c r="T22" s="2"/>
      <c r="U22" s="2"/>
      <c r="V22" s="2"/>
      <c r="W22" s="2"/>
      <c r="X22" s="2"/>
      <c r="Y22" s="2"/>
      <c r="Z22" s="2"/>
    </row>
    <row r="23" spans="1:26" ht="12.75" customHeight="1">
      <c r="A23" s="2" t="s">
        <v>538</v>
      </c>
      <c r="B23" s="2" t="s">
        <v>526</v>
      </c>
      <c r="C23" s="2" t="s">
        <v>263</v>
      </c>
      <c r="D23" s="2" t="s">
        <v>478</v>
      </c>
      <c r="E23" s="2" t="s">
        <v>265</v>
      </c>
      <c r="F23" s="2" t="s">
        <v>527</v>
      </c>
      <c r="G23" s="2" t="s">
        <v>528</v>
      </c>
      <c r="H23" s="2"/>
      <c r="I23" s="2"/>
      <c r="J23" s="2"/>
      <c r="K23" s="2"/>
      <c r="L23" s="2"/>
      <c r="M23" s="2"/>
      <c r="N23" s="2"/>
      <c r="O23" s="2"/>
      <c r="P23" s="2"/>
      <c r="Q23" s="2"/>
      <c r="R23" s="2"/>
      <c r="S23" s="2"/>
      <c r="T23" s="2"/>
      <c r="U23" s="2"/>
      <c r="V23" s="2"/>
      <c r="W23" s="2"/>
      <c r="X23" s="2"/>
      <c r="Y23" s="2"/>
      <c r="Z23" s="2"/>
    </row>
    <row r="24" spans="1:26" ht="12.75" customHeight="1">
      <c r="A24" s="2"/>
      <c r="B24" s="2" t="s">
        <v>533</v>
      </c>
      <c r="C24" s="2" t="s">
        <v>533</v>
      </c>
      <c r="D24" s="52">
        <v>1</v>
      </c>
      <c r="E24" s="52">
        <v>1.1100000000000001</v>
      </c>
      <c r="F24" s="52">
        <v>0.129</v>
      </c>
      <c r="G24" s="52">
        <v>1.63</v>
      </c>
      <c r="H24" s="2"/>
      <c r="I24" s="2"/>
      <c r="J24" s="2"/>
      <c r="K24" s="2"/>
      <c r="L24" s="2"/>
      <c r="M24" s="2"/>
      <c r="N24" s="2"/>
      <c r="O24" s="2"/>
      <c r="P24" s="2"/>
      <c r="Q24" s="2"/>
      <c r="R24" s="2"/>
      <c r="S24" s="2"/>
      <c r="T24" s="2"/>
      <c r="U24" s="2"/>
      <c r="V24" s="2"/>
      <c r="W24" s="2"/>
      <c r="X24" s="2"/>
      <c r="Y24" s="2"/>
      <c r="Z24" s="2"/>
    </row>
    <row r="25" spans="1:26" ht="12.75" customHeight="1">
      <c r="A25" s="2" t="s">
        <v>539</v>
      </c>
      <c r="B25" s="2" t="s">
        <v>526</v>
      </c>
      <c r="C25" s="2" t="s">
        <v>263</v>
      </c>
      <c r="D25" s="2" t="s">
        <v>478</v>
      </c>
      <c r="E25" s="2" t="s">
        <v>265</v>
      </c>
      <c r="F25" s="2" t="s">
        <v>527</v>
      </c>
      <c r="G25" s="2" t="s">
        <v>528</v>
      </c>
      <c r="H25" s="2"/>
      <c r="I25" s="2"/>
      <c r="J25" s="2"/>
      <c r="K25" s="2"/>
      <c r="L25" s="2"/>
      <c r="M25" s="2"/>
      <c r="N25" s="2"/>
      <c r="O25" s="2"/>
      <c r="P25" s="2"/>
      <c r="Q25" s="2"/>
      <c r="R25" s="2"/>
      <c r="S25" s="2"/>
      <c r="T25" s="2"/>
      <c r="U25" s="2"/>
      <c r="V25" s="2"/>
      <c r="W25" s="2"/>
      <c r="X25" s="2"/>
      <c r="Y25" s="2"/>
      <c r="Z25" s="2"/>
    </row>
    <row r="26" spans="1:26" ht="12.75" customHeight="1">
      <c r="A26" s="2"/>
      <c r="B26" s="2" t="s">
        <v>533</v>
      </c>
      <c r="C26" s="2" t="s">
        <v>533</v>
      </c>
      <c r="D26" s="52">
        <v>1</v>
      </c>
      <c r="E26" s="52">
        <v>1.05</v>
      </c>
      <c r="F26" s="52">
        <v>1.17</v>
      </c>
      <c r="G26" s="52">
        <v>1.46</v>
      </c>
      <c r="H26" s="2"/>
      <c r="I26" s="2"/>
      <c r="J26" s="2"/>
      <c r="K26" s="2"/>
      <c r="L26" s="2"/>
      <c r="M26" s="2"/>
      <c r="N26" s="2"/>
      <c r="O26" s="2"/>
      <c r="P26" s="2"/>
      <c r="Q26" s="2"/>
      <c r="R26" s="2"/>
      <c r="S26" s="2"/>
      <c r="T26" s="2"/>
      <c r="U26" s="2"/>
      <c r="V26" s="2"/>
      <c r="W26" s="2"/>
      <c r="X26" s="2"/>
      <c r="Y26" s="2"/>
      <c r="Z26" s="2"/>
    </row>
    <row r="27" spans="1:26" ht="12.75" customHeight="1">
      <c r="A27" s="2" t="s">
        <v>540</v>
      </c>
      <c r="B27" s="2" t="s">
        <v>526</v>
      </c>
      <c r="C27" s="2" t="s">
        <v>263</v>
      </c>
      <c r="D27" s="2" t="s">
        <v>478</v>
      </c>
      <c r="E27" s="2" t="s">
        <v>265</v>
      </c>
      <c r="F27" s="2" t="s">
        <v>527</v>
      </c>
      <c r="G27" s="2" t="s">
        <v>528</v>
      </c>
      <c r="H27" s="2"/>
      <c r="I27" s="2"/>
      <c r="J27" s="2"/>
      <c r="K27" s="2"/>
      <c r="L27" s="2"/>
      <c r="M27" s="2"/>
      <c r="N27" s="2"/>
      <c r="O27" s="2"/>
      <c r="P27" s="2"/>
      <c r="Q27" s="2"/>
      <c r="R27" s="2"/>
      <c r="S27" s="2"/>
      <c r="T27" s="2"/>
      <c r="U27" s="2"/>
      <c r="V27" s="2"/>
      <c r="W27" s="2"/>
      <c r="X27" s="2"/>
      <c r="Y27" s="2"/>
      <c r="Z27" s="2"/>
    </row>
    <row r="28" spans="1:26" ht="12.75" customHeight="1">
      <c r="A28" s="2"/>
      <c r="B28" s="2" t="s">
        <v>533</v>
      </c>
      <c r="C28" s="52">
        <v>0.87</v>
      </c>
      <c r="D28" s="52">
        <v>1</v>
      </c>
      <c r="E28" s="52">
        <v>1.1499999999999999</v>
      </c>
      <c r="F28" s="52">
        <v>1.3</v>
      </c>
      <c r="G28" s="2" t="s">
        <v>533</v>
      </c>
      <c r="H28" s="2"/>
      <c r="I28" s="2"/>
      <c r="J28" s="2"/>
      <c r="K28" s="2"/>
      <c r="L28" s="2"/>
      <c r="M28" s="2"/>
      <c r="N28" s="2"/>
      <c r="O28" s="2"/>
      <c r="P28" s="2"/>
      <c r="Q28" s="2"/>
      <c r="R28" s="2"/>
      <c r="S28" s="2"/>
      <c r="T28" s="2"/>
      <c r="U28" s="2"/>
      <c r="V28" s="2"/>
      <c r="W28" s="2"/>
      <c r="X28" s="2"/>
      <c r="Y28" s="2"/>
      <c r="Z28" s="2"/>
    </row>
    <row r="29" spans="1:26" ht="12.75" customHeight="1">
      <c r="A29" s="24" t="s">
        <v>511</v>
      </c>
      <c r="B29" s="24" t="s">
        <v>526</v>
      </c>
      <c r="C29" s="24" t="s">
        <v>263</v>
      </c>
      <c r="D29" s="24" t="s">
        <v>478</v>
      </c>
      <c r="E29" s="24" t="s">
        <v>265</v>
      </c>
      <c r="F29" s="24" t="s">
        <v>527</v>
      </c>
      <c r="G29" s="24" t="s">
        <v>528</v>
      </c>
      <c r="H29" s="22"/>
      <c r="I29" s="22"/>
      <c r="J29" s="22"/>
      <c r="K29" s="22"/>
      <c r="L29" s="22"/>
      <c r="M29" s="22"/>
      <c r="N29" s="22"/>
      <c r="O29" s="22"/>
      <c r="P29" s="22"/>
      <c r="Q29" s="22"/>
      <c r="R29" s="2"/>
      <c r="S29" s="2"/>
      <c r="T29" s="2"/>
      <c r="U29" s="2"/>
      <c r="V29" s="2"/>
      <c r="W29" s="2"/>
      <c r="X29" s="2"/>
      <c r="Y29" s="2"/>
      <c r="Z29" s="2"/>
    </row>
    <row r="30" spans="1:26" ht="12.75" customHeight="1">
      <c r="A30" s="2"/>
      <c r="B30" s="52">
        <v>1.42</v>
      </c>
      <c r="C30" s="52">
        <v>1.19</v>
      </c>
      <c r="D30" s="52">
        <v>1</v>
      </c>
      <c r="E30" s="52">
        <v>0.85</v>
      </c>
      <c r="F30" s="52">
        <v>0.71</v>
      </c>
      <c r="G30" s="2" t="s">
        <v>533</v>
      </c>
      <c r="H30" s="2"/>
      <c r="I30" s="2"/>
      <c r="J30" s="2"/>
      <c r="K30" s="2"/>
      <c r="L30" s="2"/>
      <c r="M30" s="2"/>
      <c r="N30" s="2"/>
      <c r="O30" s="2"/>
      <c r="P30" s="2"/>
      <c r="Q30" s="2"/>
      <c r="R30" s="2"/>
      <c r="S30" s="2"/>
      <c r="T30" s="2"/>
      <c r="U30" s="2"/>
      <c r="V30" s="2"/>
      <c r="W30" s="2"/>
      <c r="X30" s="2"/>
      <c r="Y30" s="2"/>
      <c r="Z30" s="2"/>
    </row>
    <row r="31" spans="1:26" ht="12.75" customHeight="1">
      <c r="A31" s="24" t="s">
        <v>512</v>
      </c>
      <c r="B31" s="24" t="s">
        <v>526</v>
      </c>
      <c r="C31" s="24" t="s">
        <v>263</v>
      </c>
      <c r="D31" s="24" t="s">
        <v>478</v>
      </c>
      <c r="E31" s="24" t="s">
        <v>265</v>
      </c>
      <c r="F31" s="24" t="s">
        <v>527</v>
      </c>
      <c r="G31" s="24" t="s">
        <v>528</v>
      </c>
      <c r="H31" s="22"/>
      <c r="I31" s="22"/>
      <c r="J31" s="22"/>
      <c r="K31" s="22"/>
      <c r="L31" s="22"/>
      <c r="M31" s="22"/>
      <c r="N31" s="22"/>
      <c r="O31" s="22"/>
      <c r="P31" s="22"/>
      <c r="Q31" s="22"/>
      <c r="R31" s="2"/>
      <c r="S31" s="2"/>
      <c r="T31" s="2"/>
      <c r="U31" s="2"/>
      <c r="V31" s="2"/>
      <c r="W31" s="2"/>
      <c r="X31" s="2"/>
      <c r="Y31" s="2"/>
      <c r="Z31" s="2"/>
    </row>
    <row r="32" spans="1:26" ht="12.75" customHeight="1">
      <c r="A32" s="2"/>
      <c r="B32" s="52">
        <v>1.34</v>
      </c>
      <c r="C32" s="52">
        <v>1.1499999999999999</v>
      </c>
      <c r="D32" s="52">
        <v>1</v>
      </c>
      <c r="E32" s="52">
        <v>0.88</v>
      </c>
      <c r="F32" s="52">
        <v>0.76</v>
      </c>
      <c r="G32" s="2" t="s">
        <v>533</v>
      </c>
      <c r="H32" s="2"/>
      <c r="I32" s="2"/>
      <c r="J32" s="2"/>
      <c r="K32" s="2"/>
      <c r="L32" s="2"/>
      <c r="M32" s="2"/>
      <c r="N32" s="2"/>
      <c r="O32" s="2"/>
      <c r="P32" s="2"/>
      <c r="Q32" s="2"/>
      <c r="R32" s="2"/>
      <c r="S32" s="2"/>
      <c r="T32" s="2"/>
      <c r="U32" s="2"/>
      <c r="V32" s="2"/>
      <c r="W32" s="2"/>
      <c r="X32" s="2"/>
      <c r="Y32" s="2"/>
      <c r="Z32" s="2"/>
    </row>
    <row r="33" spans="1:26" ht="12.75" customHeight="1">
      <c r="A33" s="24" t="s">
        <v>513</v>
      </c>
      <c r="B33" s="24" t="s">
        <v>526</v>
      </c>
      <c r="C33" s="24" t="s">
        <v>263</v>
      </c>
      <c r="D33" s="24" t="s">
        <v>478</v>
      </c>
      <c r="E33" s="24" t="s">
        <v>265</v>
      </c>
      <c r="F33" s="24" t="s">
        <v>527</v>
      </c>
      <c r="G33" s="24" t="s">
        <v>528</v>
      </c>
      <c r="H33" s="22"/>
      <c r="I33" s="22"/>
      <c r="J33" s="22"/>
      <c r="K33" s="22"/>
      <c r="L33" s="22"/>
      <c r="M33" s="22"/>
      <c r="N33" s="22"/>
      <c r="O33" s="22"/>
      <c r="P33" s="22"/>
      <c r="Q33" s="22"/>
      <c r="R33" s="2"/>
      <c r="S33" s="2"/>
      <c r="T33" s="2"/>
      <c r="U33" s="2"/>
      <c r="V33" s="2"/>
      <c r="W33" s="2"/>
      <c r="X33" s="2"/>
      <c r="Y33" s="2"/>
      <c r="Z33" s="2"/>
    </row>
    <row r="34" spans="1:26" ht="12.75" customHeight="1">
      <c r="A34" s="2"/>
      <c r="B34" s="52">
        <v>1.29</v>
      </c>
      <c r="C34" s="52">
        <v>1.1200000000000001</v>
      </c>
      <c r="D34" s="52">
        <v>1</v>
      </c>
      <c r="E34" s="52">
        <v>0.9</v>
      </c>
      <c r="F34" s="52">
        <v>0.81</v>
      </c>
      <c r="G34" s="2"/>
      <c r="H34" s="2"/>
      <c r="I34" s="2"/>
      <c r="J34" s="2"/>
      <c r="K34" s="2"/>
      <c r="L34" s="2"/>
      <c r="M34" s="2"/>
      <c r="N34" s="2"/>
      <c r="O34" s="2"/>
      <c r="P34" s="2"/>
      <c r="Q34" s="2"/>
      <c r="R34" s="2"/>
      <c r="S34" s="2"/>
      <c r="T34" s="2"/>
      <c r="U34" s="2"/>
      <c r="V34" s="2"/>
      <c r="W34" s="2"/>
      <c r="X34" s="2"/>
      <c r="Y34" s="2"/>
      <c r="Z34" s="2"/>
    </row>
    <row r="35" spans="1:26" ht="12.75" customHeight="1">
      <c r="A35" s="24" t="s">
        <v>514</v>
      </c>
      <c r="B35" s="24" t="s">
        <v>526</v>
      </c>
      <c r="C35" s="24" t="s">
        <v>263</v>
      </c>
      <c r="D35" s="24" t="s">
        <v>478</v>
      </c>
      <c r="E35" s="24" t="s">
        <v>265</v>
      </c>
      <c r="F35" s="24" t="s">
        <v>527</v>
      </c>
      <c r="G35" s="24" t="s">
        <v>528</v>
      </c>
      <c r="H35" s="22"/>
      <c r="I35" s="22"/>
      <c r="J35" s="22"/>
      <c r="K35" s="22"/>
      <c r="L35" s="22"/>
      <c r="M35" s="22"/>
      <c r="N35" s="22"/>
      <c r="O35" s="22"/>
      <c r="P35" s="22"/>
      <c r="Q35" s="22"/>
      <c r="R35" s="2"/>
      <c r="S35" s="2"/>
      <c r="T35" s="2"/>
      <c r="U35" s="2"/>
      <c r="V35" s="2"/>
      <c r="W35" s="2"/>
      <c r="X35" s="2"/>
      <c r="Y35" s="2"/>
      <c r="Z35" s="2"/>
    </row>
    <row r="36" spans="1:26" ht="12.75" customHeight="1">
      <c r="A36" s="2"/>
      <c r="B36" s="52">
        <v>1.22</v>
      </c>
      <c r="C36" s="52">
        <v>1.1000000000000001</v>
      </c>
      <c r="D36" s="52">
        <v>1</v>
      </c>
      <c r="E36" s="52">
        <v>0.88</v>
      </c>
      <c r="F36" s="52">
        <v>0.81</v>
      </c>
      <c r="G36" s="2" t="s">
        <v>533</v>
      </c>
      <c r="H36" s="2"/>
      <c r="I36" s="2"/>
      <c r="J36" s="2"/>
      <c r="K36" s="2"/>
      <c r="L36" s="2"/>
      <c r="M36" s="2"/>
      <c r="N36" s="2"/>
      <c r="O36" s="2"/>
      <c r="P36" s="2"/>
      <c r="Q36" s="2"/>
      <c r="R36" s="2"/>
      <c r="S36" s="2"/>
      <c r="T36" s="2"/>
      <c r="U36" s="2"/>
      <c r="V36" s="2"/>
      <c r="W36" s="2"/>
      <c r="X36" s="2"/>
      <c r="Y36" s="2"/>
      <c r="Z36" s="2"/>
    </row>
    <row r="37" spans="1:26" ht="12.75" customHeight="1">
      <c r="A37" s="24" t="s">
        <v>515</v>
      </c>
      <c r="B37" s="24" t="s">
        <v>526</v>
      </c>
      <c r="C37" s="24" t="s">
        <v>263</v>
      </c>
      <c r="D37" s="24" t="s">
        <v>478</v>
      </c>
      <c r="E37" s="24" t="s">
        <v>265</v>
      </c>
      <c r="F37" s="24" t="s">
        <v>527</v>
      </c>
      <c r="G37" s="24" t="s">
        <v>528</v>
      </c>
      <c r="H37" s="22"/>
      <c r="I37" s="22"/>
      <c r="J37" s="22"/>
      <c r="K37" s="22"/>
      <c r="L37" s="22"/>
      <c r="M37" s="22"/>
      <c r="N37" s="22"/>
      <c r="O37" s="22"/>
      <c r="P37" s="22"/>
      <c r="Q37" s="22"/>
      <c r="R37" s="2"/>
      <c r="S37" s="2"/>
      <c r="T37" s="2"/>
      <c r="U37" s="2"/>
      <c r="V37" s="2"/>
      <c r="W37" s="2"/>
      <c r="X37" s="2"/>
      <c r="Y37" s="2"/>
      <c r="Z37" s="2"/>
    </row>
    <row r="38" spans="1:26" ht="12.75" customHeight="1">
      <c r="A38" s="2"/>
      <c r="B38" s="52">
        <v>1.19</v>
      </c>
      <c r="C38" s="52">
        <v>1.0900000000000001</v>
      </c>
      <c r="D38" s="52">
        <v>1</v>
      </c>
      <c r="E38" s="52">
        <v>0.91</v>
      </c>
      <c r="F38" s="52">
        <v>0.85</v>
      </c>
      <c r="G38" s="2" t="s">
        <v>533</v>
      </c>
      <c r="H38" s="2"/>
      <c r="I38" s="2"/>
      <c r="J38" s="2"/>
      <c r="K38" s="2"/>
      <c r="L38" s="2"/>
      <c r="M38" s="2"/>
      <c r="N38" s="2"/>
      <c r="O38" s="2"/>
      <c r="P38" s="2"/>
      <c r="Q38" s="2"/>
      <c r="R38" s="2"/>
      <c r="S38" s="2"/>
      <c r="T38" s="2"/>
      <c r="U38" s="2"/>
      <c r="V38" s="2"/>
      <c r="W38" s="2"/>
      <c r="X38" s="2"/>
      <c r="Y38" s="2"/>
      <c r="Z38" s="2"/>
    </row>
    <row r="39" spans="1:26" ht="12.75" customHeight="1">
      <c r="A39" s="24" t="s">
        <v>541</v>
      </c>
      <c r="B39" s="24" t="s">
        <v>526</v>
      </c>
      <c r="C39" s="24" t="s">
        <v>263</v>
      </c>
      <c r="D39" s="24" t="s">
        <v>478</v>
      </c>
      <c r="E39" s="24" t="s">
        <v>265</v>
      </c>
      <c r="F39" s="24" t="s">
        <v>527</v>
      </c>
      <c r="G39" s="24" t="s">
        <v>528</v>
      </c>
      <c r="H39" s="22"/>
      <c r="I39" s="22"/>
      <c r="J39" s="22"/>
      <c r="K39" s="22"/>
      <c r="L39" s="22"/>
      <c r="M39" s="22"/>
      <c r="N39" s="22"/>
      <c r="O39" s="22"/>
      <c r="P39" s="22"/>
      <c r="Q39" s="22"/>
      <c r="R39" s="2"/>
      <c r="S39" s="2"/>
      <c r="T39" s="2"/>
      <c r="U39" s="2"/>
      <c r="V39" s="2"/>
      <c r="W39" s="2"/>
      <c r="X39" s="2"/>
      <c r="Y39" s="2"/>
      <c r="Z39" s="2"/>
    </row>
    <row r="40" spans="1:26" ht="12.75" customHeight="1">
      <c r="A40" s="2"/>
      <c r="B40" s="52">
        <v>1.2</v>
      </c>
      <c r="C40" s="52">
        <v>1.0900000000000001</v>
      </c>
      <c r="D40" s="52">
        <v>1</v>
      </c>
      <c r="E40" s="52">
        <v>0.91</v>
      </c>
      <c r="F40" s="52">
        <v>0.84</v>
      </c>
      <c r="G40" s="2"/>
      <c r="H40" s="2"/>
      <c r="I40" s="2"/>
      <c r="J40" s="2"/>
      <c r="K40" s="2"/>
      <c r="L40" s="2"/>
      <c r="M40" s="2"/>
      <c r="N40" s="2"/>
      <c r="O40" s="2"/>
      <c r="P40" s="2"/>
      <c r="Q40" s="2"/>
      <c r="R40" s="2"/>
      <c r="S40" s="2"/>
      <c r="T40" s="2"/>
      <c r="U40" s="2"/>
      <c r="V40" s="2"/>
      <c r="W40" s="2"/>
      <c r="X40" s="2"/>
      <c r="Y40" s="2"/>
      <c r="Z40" s="2"/>
    </row>
    <row r="41" spans="1:26" ht="12.75" customHeight="1">
      <c r="A41" s="24" t="s">
        <v>517</v>
      </c>
      <c r="B41" s="24" t="s">
        <v>526</v>
      </c>
      <c r="C41" s="24" t="s">
        <v>263</v>
      </c>
      <c r="D41" s="24" t="s">
        <v>478</v>
      </c>
      <c r="E41" s="24" t="s">
        <v>265</v>
      </c>
      <c r="F41" s="24" t="s">
        <v>527</v>
      </c>
      <c r="G41" s="24" t="s">
        <v>528</v>
      </c>
      <c r="H41" s="22"/>
      <c r="I41" s="22"/>
      <c r="J41" s="22"/>
      <c r="K41" s="22"/>
      <c r="L41" s="22"/>
      <c r="M41" s="22"/>
      <c r="N41" s="22"/>
      <c r="O41" s="22"/>
      <c r="P41" s="22"/>
      <c r="Q41" s="22"/>
      <c r="R41" s="2"/>
      <c r="S41" s="2"/>
      <c r="T41" s="2"/>
      <c r="U41" s="2"/>
      <c r="V41" s="2"/>
      <c r="W41" s="2"/>
      <c r="X41" s="2"/>
      <c r="Y41" s="2"/>
      <c r="Z41" s="2"/>
    </row>
    <row r="42" spans="1:26" ht="12.75" customHeight="1">
      <c r="A42" s="2"/>
      <c r="B42" s="52">
        <v>1.17</v>
      </c>
      <c r="C42" s="52">
        <v>1.0900000000000001</v>
      </c>
      <c r="D42" s="52">
        <v>1</v>
      </c>
      <c r="E42" s="52">
        <v>0.9</v>
      </c>
      <c r="F42" s="52">
        <v>0.78</v>
      </c>
      <c r="G42" s="2" t="s">
        <v>533</v>
      </c>
      <c r="H42" s="2"/>
      <c r="I42" s="2"/>
      <c r="J42" s="2"/>
      <c r="K42" s="2"/>
      <c r="L42" s="2"/>
      <c r="M42" s="2"/>
      <c r="N42" s="2"/>
      <c r="O42" s="2"/>
      <c r="P42" s="2"/>
      <c r="Q42" s="2"/>
      <c r="R42" s="2"/>
      <c r="S42" s="2"/>
      <c r="T42" s="2"/>
      <c r="U42" s="2"/>
      <c r="V42" s="2"/>
      <c r="W42" s="2"/>
      <c r="X42" s="2"/>
      <c r="Y42" s="2"/>
      <c r="Z42" s="2"/>
    </row>
    <row r="43" spans="1:26" ht="12.75" customHeight="1">
      <c r="A43" s="24" t="s">
        <v>518</v>
      </c>
      <c r="B43" s="24" t="s">
        <v>526</v>
      </c>
      <c r="C43" s="24" t="s">
        <v>263</v>
      </c>
      <c r="D43" s="24" t="s">
        <v>478</v>
      </c>
      <c r="E43" s="24" t="s">
        <v>265</v>
      </c>
      <c r="F43" s="24" t="s">
        <v>527</v>
      </c>
      <c r="G43" s="24" t="s">
        <v>528</v>
      </c>
      <c r="H43" s="22"/>
      <c r="I43" s="22"/>
      <c r="J43" s="22"/>
      <c r="K43" s="22"/>
      <c r="L43" s="22"/>
      <c r="M43" s="22"/>
      <c r="N43" s="22"/>
      <c r="O43" s="22"/>
      <c r="P43" s="22"/>
      <c r="Q43" s="22"/>
      <c r="R43" s="2"/>
      <c r="S43" s="2"/>
      <c r="T43" s="2"/>
      <c r="U43" s="2"/>
      <c r="V43" s="2"/>
      <c r="W43" s="2"/>
      <c r="X43" s="2"/>
      <c r="Y43" s="2"/>
      <c r="Z43" s="2"/>
    </row>
    <row r="44" spans="1:26" ht="12.75" customHeight="1">
      <c r="A44" s="2"/>
      <c r="B44" s="52">
        <v>1.22</v>
      </c>
      <c r="C44" s="52">
        <v>1.0900000000000001</v>
      </c>
      <c r="D44" s="52">
        <v>1</v>
      </c>
      <c r="E44" s="52">
        <v>0.93</v>
      </c>
      <c r="F44" s="52">
        <v>0.86</v>
      </c>
      <c r="G44" s="52">
        <v>0.8</v>
      </c>
      <c r="H44" s="2"/>
      <c r="I44" s="2"/>
      <c r="J44" s="2"/>
      <c r="K44" s="2"/>
      <c r="L44" s="2"/>
      <c r="M44" s="2"/>
      <c r="N44" s="2"/>
      <c r="O44" s="2"/>
      <c r="P44" s="2"/>
      <c r="Q44" s="2"/>
      <c r="R44" s="2"/>
      <c r="S44" s="2"/>
      <c r="T44" s="2"/>
      <c r="U44" s="2"/>
      <c r="V44" s="2"/>
      <c r="W44" s="2"/>
      <c r="X44" s="2"/>
      <c r="Y44" s="2"/>
      <c r="Z44" s="2"/>
    </row>
    <row r="45" spans="1:26" ht="12.75" customHeight="1">
      <c r="A45" s="24" t="s">
        <v>519</v>
      </c>
      <c r="B45" s="24" t="s">
        <v>526</v>
      </c>
      <c r="C45" s="24" t="s">
        <v>263</v>
      </c>
      <c r="D45" s="24" t="s">
        <v>478</v>
      </c>
      <c r="E45" s="24" t="s">
        <v>265</v>
      </c>
      <c r="F45" s="24" t="s">
        <v>527</v>
      </c>
      <c r="G45" s="24" t="s">
        <v>528</v>
      </c>
      <c r="H45" s="22"/>
      <c r="I45" s="22"/>
      <c r="J45" s="22"/>
      <c r="K45" s="22"/>
      <c r="L45" s="22"/>
      <c r="M45" s="22"/>
      <c r="N45" s="22"/>
      <c r="O45" s="22"/>
      <c r="P45" s="22"/>
      <c r="Q45" s="22"/>
      <c r="R45" s="2"/>
      <c r="S45" s="2"/>
      <c r="T45" s="2"/>
      <c r="U45" s="2"/>
      <c r="V45" s="2"/>
      <c r="W45" s="2"/>
      <c r="X45" s="2"/>
      <c r="Y45" s="2"/>
      <c r="Z45" s="2"/>
    </row>
    <row r="46" spans="1:26" ht="12.75" customHeight="1">
      <c r="A46" s="2"/>
      <c r="B46" s="52">
        <v>1.43</v>
      </c>
      <c r="C46" s="52">
        <v>1.1399999999999999</v>
      </c>
      <c r="D46" s="52">
        <v>1</v>
      </c>
      <c r="E46" s="52">
        <v>1</v>
      </c>
      <c r="F46" s="52">
        <v>1</v>
      </c>
      <c r="G46" s="2" t="s">
        <v>533</v>
      </c>
      <c r="H46" s="2"/>
      <c r="I46" s="2"/>
      <c r="J46" s="2"/>
      <c r="K46" s="2"/>
      <c r="L46" s="2"/>
      <c r="M46" s="2"/>
      <c r="N46" s="2"/>
      <c r="O46" s="2"/>
      <c r="P46" s="2"/>
      <c r="Q46" s="2"/>
      <c r="R46" s="2"/>
      <c r="S46" s="2"/>
      <c r="T46" s="2"/>
      <c r="U46" s="2"/>
      <c r="V46" s="2"/>
      <c r="W46" s="2"/>
      <c r="X46" s="2"/>
      <c r="Y46" s="2"/>
      <c r="Z46" s="2"/>
    </row>
    <row r="47" spans="1:26" ht="12.75">
      <c r="A47" s="37"/>
    </row>
    <row r="48" spans="1:26" ht="12.75">
      <c r="A48" s="37"/>
    </row>
    <row r="49" spans="1:1" ht="12.75">
      <c r="A49" s="37"/>
    </row>
    <row r="50" spans="1:1" ht="12.75">
      <c r="A50" s="37"/>
    </row>
    <row r="51" spans="1:1" ht="12.75">
      <c r="A51" s="37"/>
    </row>
    <row r="52" spans="1:1" ht="12.75">
      <c r="A52" s="37"/>
    </row>
    <row r="53" spans="1:1" ht="12.75">
      <c r="A53" s="37"/>
    </row>
    <row r="54" spans="1:1" ht="12.75">
      <c r="A54" s="37"/>
    </row>
    <row r="55" spans="1:1" ht="12.75">
      <c r="A55" s="37"/>
    </row>
    <row r="56" spans="1:1" ht="12.75">
      <c r="A56" s="37"/>
    </row>
    <row r="57" spans="1:1" ht="12.75">
      <c r="A57" s="37"/>
    </row>
    <row r="58" spans="1:1" ht="12.75">
      <c r="A58" s="37"/>
    </row>
    <row r="59" spans="1:1" ht="12.75">
      <c r="A59" s="37"/>
    </row>
    <row r="60" spans="1:1" ht="12.75">
      <c r="A60" s="37"/>
    </row>
    <row r="61" spans="1:1" ht="12.75">
      <c r="A61" s="37"/>
    </row>
    <row r="62" spans="1:1" ht="12.75">
      <c r="A62" s="37"/>
    </row>
    <row r="63" spans="1:1" ht="12.75">
      <c r="A63" s="37"/>
    </row>
    <row r="64" spans="1:1" ht="12.75">
      <c r="A64" s="37"/>
    </row>
    <row r="65" spans="1:1" ht="12.75">
      <c r="A65" s="37"/>
    </row>
    <row r="66" spans="1:1" ht="12.75">
      <c r="A66" s="37"/>
    </row>
    <row r="67" spans="1:1" ht="12.75">
      <c r="A67" s="37"/>
    </row>
    <row r="68" spans="1:1" ht="12.75">
      <c r="A68" s="3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88"/>
  <sheetViews>
    <sheetView workbookViewId="0">
      <selection activeCell="E114" sqref="E114"/>
    </sheetView>
  </sheetViews>
  <sheetFormatPr defaultColWidth="17.28515625" defaultRowHeight="15" customHeight="1"/>
  <cols>
    <col min="1" max="1" width="14.42578125" customWidth="1"/>
    <col min="2" max="2" width="22.28515625" customWidth="1"/>
    <col min="3" max="3" width="20" customWidth="1"/>
    <col min="4" max="18" width="14.42578125" customWidth="1"/>
  </cols>
  <sheetData>
    <row r="1" spans="1:26" ht="15.75" customHeight="1">
      <c r="A1" s="1" t="s">
        <v>542</v>
      </c>
      <c r="B1" s="1" t="s">
        <v>543</v>
      </c>
      <c r="C1" s="1" t="s">
        <v>243</v>
      </c>
      <c r="D1" s="1" t="s">
        <v>247</v>
      </c>
      <c r="E1" s="1" t="s">
        <v>544</v>
      </c>
      <c r="F1" s="1" t="s">
        <v>545</v>
      </c>
      <c r="G1" s="3"/>
      <c r="H1" s="3"/>
      <c r="I1" s="3"/>
      <c r="J1" s="3"/>
      <c r="K1" s="3"/>
      <c r="L1" s="3"/>
      <c r="M1" s="3"/>
      <c r="N1" s="3"/>
      <c r="O1" s="3"/>
      <c r="P1" s="3"/>
      <c r="Q1" s="3"/>
      <c r="R1" s="3"/>
      <c r="S1" s="3"/>
      <c r="T1" s="3"/>
      <c r="U1" s="3"/>
      <c r="V1" s="3"/>
      <c r="W1" s="3"/>
      <c r="X1" s="3"/>
      <c r="Y1" s="3"/>
      <c r="Z1" s="3"/>
    </row>
    <row r="2" spans="1:26" ht="15.75" customHeight="1">
      <c r="A2" s="1" t="s">
        <v>546</v>
      </c>
      <c r="B2" s="1" t="s">
        <v>547</v>
      </c>
      <c r="C2" s="1">
        <v>5.8999999999999997E-2</v>
      </c>
      <c r="D2" s="1">
        <v>0.11700000000000001</v>
      </c>
      <c r="E2" s="54">
        <v>0.67</v>
      </c>
      <c r="F2" s="54">
        <v>1</v>
      </c>
      <c r="G2" s="3"/>
      <c r="H2" s="3"/>
      <c r="I2" s="3"/>
      <c r="J2" s="3"/>
      <c r="K2" s="3"/>
      <c r="L2" s="3"/>
      <c r="M2" s="3"/>
      <c r="N2" s="3"/>
      <c r="O2" s="3"/>
      <c r="P2" s="3"/>
      <c r="Q2" s="3"/>
      <c r="R2" s="3"/>
      <c r="S2" s="3"/>
      <c r="T2" s="3"/>
      <c r="U2" s="3"/>
      <c r="V2" s="3"/>
      <c r="W2" s="3"/>
      <c r="X2" s="3"/>
      <c r="Y2" s="3"/>
      <c r="Z2" s="3"/>
    </row>
    <row r="3" spans="1:26" ht="15.75" customHeight="1">
      <c r="A3" s="1" t="s">
        <v>548</v>
      </c>
      <c r="B3" s="1" t="s">
        <v>549</v>
      </c>
      <c r="C3" s="1">
        <v>0.114</v>
      </c>
      <c r="D3" s="1">
        <v>0.19500000000000001</v>
      </c>
      <c r="E3" s="54">
        <v>0.67</v>
      </c>
      <c r="F3" s="54">
        <v>1</v>
      </c>
      <c r="G3" s="3"/>
      <c r="H3" s="3"/>
      <c r="I3" s="3"/>
      <c r="J3" s="3"/>
      <c r="K3" s="3"/>
      <c r="L3" s="3"/>
      <c r="M3" s="3"/>
      <c r="N3" s="3"/>
      <c r="O3" s="3"/>
      <c r="P3" s="3"/>
      <c r="Q3" s="3"/>
      <c r="R3" s="3"/>
      <c r="S3" s="3"/>
      <c r="T3" s="3"/>
      <c r="U3" s="3"/>
      <c r="V3" s="3"/>
      <c r="W3" s="3"/>
      <c r="X3" s="3"/>
      <c r="Y3" s="3"/>
      <c r="Z3" s="3"/>
    </row>
    <row r="4" spans="1:26" ht="15.75" customHeight="1">
      <c r="A4" s="1" t="s">
        <v>550</v>
      </c>
      <c r="B4" s="1" t="s">
        <v>551</v>
      </c>
      <c r="C4" s="2">
        <v>9.2999999999999999E-2</v>
      </c>
      <c r="D4" s="1">
        <v>0.20300000000000001</v>
      </c>
      <c r="E4" s="54">
        <v>0.67</v>
      </c>
      <c r="F4" s="54">
        <v>1</v>
      </c>
      <c r="G4" s="3"/>
      <c r="H4" s="3"/>
      <c r="I4" s="3"/>
      <c r="J4" s="3"/>
      <c r="K4" s="3"/>
      <c r="L4" s="3"/>
      <c r="M4" s="3"/>
      <c r="N4" s="3"/>
      <c r="O4" s="3"/>
      <c r="P4" s="3"/>
      <c r="Q4" s="3"/>
      <c r="R4" s="3"/>
      <c r="S4" s="3"/>
      <c r="T4" s="3"/>
      <c r="U4" s="3"/>
      <c r="V4" s="3"/>
      <c r="W4" s="3"/>
      <c r="X4" s="3"/>
      <c r="Y4" s="3"/>
      <c r="Z4" s="3"/>
    </row>
    <row r="5" spans="1:26" ht="15.75" customHeight="1">
      <c r="A5" s="3"/>
      <c r="B5" s="3"/>
      <c r="C5" s="3"/>
      <c r="D5" s="3"/>
      <c r="E5" s="3"/>
      <c r="F5" s="3"/>
      <c r="G5" s="3"/>
      <c r="H5" s="3"/>
      <c r="I5" s="3"/>
      <c r="J5" s="3"/>
      <c r="K5" s="3"/>
      <c r="L5" s="3"/>
      <c r="M5" s="3"/>
      <c r="N5" s="3"/>
      <c r="O5" s="3"/>
      <c r="P5" s="3"/>
      <c r="Q5" s="3"/>
      <c r="R5" s="3"/>
      <c r="S5" s="3"/>
      <c r="T5" s="3"/>
      <c r="U5" s="3"/>
      <c r="V5" s="3"/>
      <c r="W5" s="3"/>
      <c r="X5" s="3"/>
      <c r="Y5" s="3"/>
      <c r="Z5" s="3"/>
    </row>
    <row r="6" spans="1:26" ht="15.75" customHeight="1">
      <c r="A6" s="1" t="s">
        <v>95</v>
      </c>
      <c r="B6" s="1" t="s">
        <v>552</v>
      </c>
      <c r="C6" s="1" t="s">
        <v>495</v>
      </c>
      <c r="D6" s="1" t="s">
        <v>553</v>
      </c>
      <c r="E6" s="1" t="s">
        <v>219</v>
      </c>
      <c r="F6" s="3"/>
      <c r="G6" s="3"/>
      <c r="H6" s="3"/>
      <c r="I6" s="3"/>
      <c r="J6" s="3"/>
      <c r="K6" s="3"/>
      <c r="L6" s="3"/>
      <c r="M6" s="3"/>
      <c r="N6" s="3"/>
      <c r="O6" s="3"/>
      <c r="P6" s="3"/>
      <c r="Q6" s="3"/>
      <c r="R6" s="3"/>
      <c r="S6" s="3"/>
      <c r="T6" s="3"/>
      <c r="U6" s="3"/>
      <c r="V6" s="3"/>
      <c r="W6" s="3"/>
      <c r="X6" s="3"/>
      <c r="Y6" s="3"/>
      <c r="Z6" s="3"/>
    </row>
    <row r="7" spans="1:26" ht="15.75" customHeight="1">
      <c r="A7" s="22" t="s">
        <v>246</v>
      </c>
      <c r="B7" s="1" t="s">
        <v>418</v>
      </c>
      <c r="C7" s="18">
        <v>407.15999999999997</v>
      </c>
      <c r="D7" s="18">
        <v>1132.6943202698942</v>
      </c>
      <c r="E7" s="18">
        <v>1200</v>
      </c>
      <c r="F7" s="3"/>
      <c r="G7" s="3"/>
      <c r="H7" s="3"/>
      <c r="I7" s="3"/>
      <c r="J7" s="3"/>
      <c r="K7" s="3"/>
      <c r="L7" s="3"/>
      <c r="M7" s="3"/>
      <c r="N7" s="3"/>
      <c r="O7" s="3"/>
      <c r="P7" s="3"/>
      <c r="Q7" s="3"/>
      <c r="R7" s="3"/>
      <c r="S7" s="3"/>
      <c r="T7" s="3"/>
      <c r="U7" s="3"/>
      <c r="V7" s="3"/>
      <c r="W7" s="3"/>
      <c r="X7" s="3"/>
      <c r="Y7" s="3"/>
      <c r="Z7" s="3"/>
    </row>
    <row r="8" spans="1:26" ht="15.75" customHeight="1">
      <c r="A8" s="1"/>
      <c r="B8" s="1" t="s">
        <v>278</v>
      </c>
      <c r="C8" s="18">
        <v>104.83439999999997</v>
      </c>
      <c r="D8" s="18">
        <v>1202.4296682268607</v>
      </c>
      <c r="E8" s="18">
        <v>1200</v>
      </c>
      <c r="F8" s="3"/>
      <c r="G8" s="3"/>
      <c r="H8" s="3"/>
      <c r="I8" s="3"/>
      <c r="J8" s="3"/>
      <c r="K8" s="3"/>
      <c r="L8" s="3"/>
      <c r="M8" s="3"/>
      <c r="N8" s="3"/>
      <c r="O8" s="3"/>
      <c r="P8" s="3"/>
      <c r="Q8" s="3"/>
      <c r="R8" s="3"/>
      <c r="S8" s="3"/>
      <c r="T8" s="3"/>
      <c r="U8" s="3"/>
      <c r="V8" s="3"/>
      <c r="W8" s="3"/>
      <c r="X8" s="3"/>
      <c r="Y8" s="3"/>
      <c r="Z8" s="3"/>
    </row>
    <row r="9" spans="1:26" ht="15.75" customHeight="1">
      <c r="A9" s="1"/>
      <c r="B9" s="1" t="s">
        <v>103</v>
      </c>
      <c r="C9" s="18">
        <v>191.73659999999998</v>
      </c>
      <c r="D9" s="18">
        <v>1411.4626705228916</v>
      </c>
      <c r="E9" s="18">
        <v>1200</v>
      </c>
      <c r="F9" s="3"/>
      <c r="G9" s="3"/>
      <c r="H9" s="3"/>
      <c r="I9" s="3"/>
      <c r="J9" s="3"/>
      <c r="K9" s="3"/>
      <c r="L9" s="15" t="s">
        <v>554</v>
      </c>
      <c r="M9" s="3"/>
      <c r="N9" s="3"/>
      <c r="O9" s="3"/>
      <c r="P9" s="3"/>
      <c r="Q9" s="3"/>
      <c r="R9" s="3"/>
      <c r="S9" s="3"/>
      <c r="T9" s="3"/>
      <c r="U9" s="3"/>
      <c r="V9" s="3"/>
      <c r="W9" s="3"/>
      <c r="X9" s="3"/>
      <c r="Y9" s="3"/>
      <c r="Z9" s="3"/>
    </row>
    <row r="10" spans="1:26" ht="15.75" customHeight="1">
      <c r="A10" s="1"/>
      <c r="B10" s="1"/>
      <c r="C10" s="1" t="s">
        <v>555</v>
      </c>
      <c r="D10" s="18">
        <f>AVERAGE(D7:D9)</f>
        <v>1248.8622196732156</v>
      </c>
      <c r="E10" s="1"/>
      <c r="F10" s="3"/>
      <c r="G10" s="3"/>
      <c r="H10" s="3"/>
      <c r="I10" s="3"/>
      <c r="J10" s="3"/>
      <c r="K10" s="3"/>
      <c r="L10" s="15" t="s">
        <v>556</v>
      </c>
      <c r="M10" s="3"/>
      <c r="N10" s="3"/>
      <c r="O10" s="3"/>
      <c r="P10" s="3"/>
      <c r="Q10" s="3"/>
      <c r="R10" s="3"/>
      <c r="S10" s="3"/>
      <c r="T10" s="3"/>
      <c r="U10" s="3"/>
      <c r="V10" s="3"/>
      <c r="W10" s="3"/>
      <c r="X10" s="3"/>
      <c r="Y10" s="3"/>
      <c r="Z10" s="3"/>
    </row>
    <row r="11" spans="1:26" ht="15.75" customHeight="1">
      <c r="A11" s="1"/>
      <c r="B11" s="1"/>
      <c r="C11" s="1" t="s">
        <v>251</v>
      </c>
      <c r="D11" s="18">
        <f>(1268-1200)/1200</f>
        <v>5.6666666666666664E-2</v>
      </c>
      <c r="E11" s="1"/>
      <c r="F11" s="3"/>
      <c r="G11" s="3"/>
      <c r="H11" s="3"/>
      <c r="I11" s="3"/>
      <c r="J11" s="3"/>
      <c r="K11" s="3"/>
      <c r="L11" s="3"/>
      <c r="M11" s="3"/>
      <c r="N11" s="3"/>
      <c r="O11" s="3"/>
      <c r="P11" s="3"/>
      <c r="Q11" s="3"/>
      <c r="R11" s="3"/>
      <c r="S11" s="3"/>
      <c r="T11" s="3"/>
      <c r="U11" s="3"/>
      <c r="V11" s="3"/>
      <c r="W11" s="3"/>
      <c r="X11" s="3"/>
      <c r="Y11" s="3"/>
      <c r="Z11" s="3"/>
    </row>
    <row r="12" spans="1:26" ht="15.75" customHeight="1">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5.75" customHeight="1">
      <c r="A13" s="1" t="s">
        <v>95</v>
      </c>
      <c r="B13" s="1" t="s">
        <v>98</v>
      </c>
      <c r="C13" s="1" t="s">
        <v>119</v>
      </c>
      <c r="D13" s="1" t="s">
        <v>101</v>
      </c>
      <c r="E13" s="1" t="s">
        <v>102</v>
      </c>
      <c r="F13" s="1" t="s">
        <v>103</v>
      </c>
      <c r="G13" s="1" t="s">
        <v>557</v>
      </c>
      <c r="H13" s="1" t="s">
        <v>558</v>
      </c>
      <c r="I13" s="3"/>
      <c r="J13" s="3"/>
      <c r="K13" s="3"/>
      <c r="L13" s="15" t="s">
        <v>559</v>
      </c>
      <c r="M13" s="3"/>
      <c r="N13" s="3"/>
      <c r="O13" s="3"/>
      <c r="P13" s="3"/>
      <c r="Q13" s="3"/>
      <c r="R13" s="3"/>
      <c r="S13" s="3"/>
      <c r="T13" s="3"/>
      <c r="U13" s="3"/>
      <c r="V13" s="3"/>
      <c r="W13" s="3"/>
      <c r="X13" s="3"/>
      <c r="Y13" s="3"/>
      <c r="Z13" s="3"/>
    </row>
    <row r="14" spans="1:26" ht="15.75" customHeight="1">
      <c r="A14" s="1" t="s">
        <v>104</v>
      </c>
      <c r="B14" s="2">
        <v>125</v>
      </c>
      <c r="C14" s="1">
        <v>14</v>
      </c>
      <c r="D14" s="1">
        <v>1.1399999999999999</v>
      </c>
      <c r="E14" s="1">
        <v>1.21</v>
      </c>
      <c r="F14" s="1">
        <v>191.74</v>
      </c>
      <c r="G14" s="1">
        <v>1411.46</v>
      </c>
      <c r="H14" s="1">
        <v>1200</v>
      </c>
      <c r="I14" s="3"/>
      <c r="J14" s="3"/>
      <c r="K14" s="3"/>
      <c r="L14" s="15" t="s">
        <v>560</v>
      </c>
      <c r="M14" s="3"/>
      <c r="N14" s="3"/>
      <c r="O14" s="3"/>
      <c r="P14" s="3"/>
      <c r="Q14" s="3"/>
      <c r="R14" s="3"/>
      <c r="S14" s="3"/>
      <c r="T14" s="3"/>
      <c r="U14" s="3"/>
      <c r="V14" s="3"/>
      <c r="W14" s="3"/>
      <c r="X14" s="3"/>
      <c r="Y14" s="3"/>
      <c r="Z14" s="3"/>
    </row>
    <row r="15" spans="1:26" ht="15.75" customHeight="1">
      <c r="A15" s="1" t="s">
        <v>132</v>
      </c>
      <c r="B15" s="1">
        <v>200</v>
      </c>
      <c r="C15" s="1">
        <v>8</v>
      </c>
      <c r="D15" s="1">
        <v>1.06</v>
      </c>
      <c r="E15" s="1">
        <v>1.03</v>
      </c>
      <c r="F15" s="1">
        <v>227.09</v>
      </c>
      <c r="G15" s="1">
        <v>1627.87</v>
      </c>
      <c r="H15" s="1">
        <v>2016</v>
      </c>
      <c r="I15" s="3"/>
      <c r="J15" s="3"/>
      <c r="K15" s="3"/>
      <c r="L15" s="3"/>
      <c r="M15" s="3"/>
      <c r="N15" s="3"/>
      <c r="O15" s="3"/>
      <c r="P15" s="3"/>
      <c r="Q15" s="3"/>
      <c r="R15" s="3"/>
      <c r="S15" s="3"/>
      <c r="T15" s="3"/>
      <c r="U15" s="3"/>
      <c r="V15" s="3"/>
      <c r="W15" s="3"/>
      <c r="X15" s="3"/>
      <c r="Y15" s="3"/>
      <c r="Z15" s="3"/>
    </row>
    <row r="16" spans="1:26" ht="15.75" customHeight="1">
      <c r="A16" s="20" t="s">
        <v>164</v>
      </c>
      <c r="B16" s="1">
        <v>385</v>
      </c>
      <c r="C16" s="1">
        <v>12</v>
      </c>
      <c r="D16" s="1">
        <v>1.1200000000000001</v>
      </c>
      <c r="E16" s="1">
        <v>1.32</v>
      </c>
      <c r="F16" s="1">
        <v>586.91999999999996</v>
      </c>
      <c r="G16" s="1">
        <v>3830.18</v>
      </c>
      <c r="H16" s="1">
        <v>3680</v>
      </c>
      <c r="I16" s="3"/>
      <c r="J16" s="3"/>
      <c r="K16" s="3"/>
      <c r="L16" s="15" t="s">
        <v>561</v>
      </c>
      <c r="M16" s="3"/>
      <c r="N16" s="3"/>
      <c r="O16" s="3"/>
      <c r="P16" s="3"/>
      <c r="Q16" s="3"/>
      <c r="R16" s="3"/>
      <c r="S16" s="3"/>
      <c r="T16" s="3"/>
      <c r="U16" s="3"/>
      <c r="V16" s="3"/>
      <c r="W16" s="3"/>
      <c r="X16" s="3"/>
      <c r="Y16" s="3"/>
      <c r="Z16" s="3"/>
    </row>
    <row r="17" spans="1:26" ht="15.75" customHeight="1">
      <c r="A17" s="3"/>
      <c r="B17" s="3"/>
      <c r="C17" s="3"/>
      <c r="D17" s="3"/>
      <c r="E17" s="3"/>
      <c r="F17" s="3"/>
      <c r="G17" s="3"/>
      <c r="H17" s="3"/>
      <c r="I17" s="3"/>
      <c r="J17" s="3"/>
      <c r="K17" s="3"/>
      <c r="L17" s="15" t="s">
        <v>562</v>
      </c>
      <c r="M17" s="3"/>
      <c r="N17" s="3"/>
      <c r="O17" s="3"/>
      <c r="P17" s="3"/>
      <c r="Q17" s="3"/>
      <c r="R17" s="3"/>
      <c r="S17" s="3"/>
      <c r="T17" s="3"/>
      <c r="U17" s="3"/>
      <c r="V17" s="3"/>
      <c r="W17" s="3"/>
      <c r="X17" s="3"/>
      <c r="Y17" s="3"/>
      <c r="Z17" s="3"/>
    </row>
    <row r="18" spans="1:26" ht="15.75" customHeight="1">
      <c r="A18" s="1" t="s">
        <v>95</v>
      </c>
      <c r="B18" s="1" t="s">
        <v>276</v>
      </c>
      <c r="C18" s="1" t="s">
        <v>119</v>
      </c>
      <c r="D18" s="1" t="s">
        <v>101</v>
      </c>
      <c r="E18" s="1" t="s">
        <v>102</v>
      </c>
      <c r="F18" s="1" t="s">
        <v>278</v>
      </c>
      <c r="G18" s="1" t="s">
        <v>557</v>
      </c>
      <c r="H18" s="1" t="s">
        <v>558</v>
      </c>
      <c r="I18" s="3"/>
      <c r="J18" s="3"/>
      <c r="K18" s="3"/>
      <c r="L18" s="15" t="s">
        <v>563</v>
      </c>
      <c r="M18" s="3"/>
      <c r="N18" s="3"/>
      <c r="O18" s="3"/>
      <c r="P18" s="3"/>
      <c r="Q18" s="3"/>
      <c r="R18" s="3"/>
      <c r="S18" s="3"/>
      <c r="T18" s="3"/>
      <c r="U18" s="3"/>
      <c r="V18" s="3"/>
      <c r="W18" s="3"/>
      <c r="X18" s="3"/>
      <c r="Y18" s="3"/>
      <c r="Z18" s="3"/>
    </row>
    <row r="19" spans="1:26" ht="15.75" customHeight="1">
      <c r="A19" s="1" t="s">
        <v>104</v>
      </c>
      <c r="B19" s="2">
        <v>62</v>
      </c>
      <c r="C19" s="1">
        <v>14</v>
      </c>
      <c r="D19" s="1">
        <v>1.1399999999999999</v>
      </c>
      <c r="E19" s="1">
        <v>1.21</v>
      </c>
      <c r="F19" s="2">
        <v>104.83</v>
      </c>
      <c r="G19" s="52">
        <v>1202.43</v>
      </c>
      <c r="H19" s="1">
        <v>1200</v>
      </c>
      <c r="I19" s="3"/>
      <c r="J19" s="3"/>
      <c r="K19" s="3"/>
      <c r="L19" s="15" t="s">
        <v>564</v>
      </c>
      <c r="M19" s="3"/>
      <c r="N19" s="3"/>
      <c r="O19" s="3"/>
      <c r="P19" s="3"/>
      <c r="Q19" s="3"/>
      <c r="R19" s="3"/>
      <c r="S19" s="3"/>
      <c r="T19" s="3"/>
      <c r="U19" s="3"/>
      <c r="V19" s="3"/>
      <c r="W19" s="3"/>
      <c r="X19" s="3"/>
      <c r="Y19" s="3"/>
      <c r="Z19" s="3"/>
    </row>
    <row r="20" spans="1:26" ht="15.75" customHeight="1">
      <c r="A20" s="1" t="s">
        <v>132</v>
      </c>
      <c r="B20" s="1">
        <v>105</v>
      </c>
      <c r="C20" s="1">
        <v>8</v>
      </c>
      <c r="D20" s="1">
        <v>1.06</v>
      </c>
      <c r="E20" s="1">
        <v>1.03</v>
      </c>
      <c r="F20" s="1">
        <v>123.37</v>
      </c>
      <c r="G20" s="52">
        <v>1321.64</v>
      </c>
      <c r="H20" s="1">
        <v>2016</v>
      </c>
      <c r="I20" s="3"/>
      <c r="J20" s="3"/>
      <c r="K20" s="3"/>
      <c r="L20" s="15" t="s">
        <v>565</v>
      </c>
      <c r="M20" s="3"/>
      <c r="N20" s="3"/>
      <c r="O20" s="3"/>
      <c r="P20" s="3"/>
      <c r="Q20" s="3"/>
      <c r="R20" s="3"/>
      <c r="S20" s="3"/>
      <c r="T20" s="3"/>
      <c r="U20" s="3"/>
      <c r="V20" s="3"/>
      <c r="W20" s="3"/>
      <c r="X20" s="3"/>
      <c r="Y20" s="3"/>
      <c r="Z20" s="3"/>
    </row>
    <row r="21" spans="1:26" ht="15.75" customHeight="1">
      <c r="A21" s="20" t="s">
        <v>164</v>
      </c>
      <c r="B21" s="1">
        <v>337</v>
      </c>
      <c r="C21" s="1">
        <v>12</v>
      </c>
      <c r="D21" s="1">
        <v>1.1200000000000001</v>
      </c>
      <c r="E21" s="1">
        <v>1.32</v>
      </c>
      <c r="F21" s="1">
        <v>515.96</v>
      </c>
      <c r="G21" s="52">
        <v>3846.03</v>
      </c>
      <c r="H21" s="1">
        <v>3680</v>
      </c>
      <c r="I21" s="3"/>
      <c r="J21" s="3"/>
      <c r="K21" s="3"/>
      <c r="L21" s="3"/>
      <c r="M21" s="3"/>
      <c r="N21" s="3"/>
      <c r="O21" s="3"/>
      <c r="P21" s="3"/>
      <c r="Q21" s="3"/>
      <c r="R21" s="3"/>
      <c r="S21" s="3"/>
      <c r="T21" s="3"/>
      <c r="U21" s="3"/>
      <c r="V21" s="3"/>
      <c r="W21" s="3"/>
      <c r="X21" s="3"/>
      <c r="Y21" s="3"/>
      <c r="Z21" s="3"/>
    </row>
    <row r="22" spans="1:26" ht="15.75" customHeight="1">
      <c r="A22" s="3"/>
      <c r="B22" s="3"/>
      <c r="C22" s="3"/>
      <c r="D22" s="3"/>
      <c r="E22" s="3"/>
      <c r="F22" s="3"/>
      <c r="G22" s="3"/>
      <c r="H22" s="3"/>
      <c r="I22" s="3"/>
      <c r="J22" s="3"/>
      <c r="K22" s="3"/>
      <c r="L22" s="15" t="s">
        <v>566</v>
      </c>
      <c r="M22" s="3"/>
      <c r="N22" s="3"/>
      <c r="O22" s="3"/>
      <c r="P22" s="3"/>
      <c r="Q22" s="3"/>
      <c r="R22" s="3"/>
      <c r="S22" s="3"/>
      <c r="T22" s="3"/>
      <c r="U22" s="3"/>
      <c r="V22" s="3"/>
      <c r="W22" s="3"/>
      <c r="X22" s="3"/>
      <c r="Y22" s="3"/>
      <c r="Z22" s="3"/>
    </row>
    <row r="23" spans="1:26" ht="15.75" customHeight="1">
      <c r="A23" s="1" t="s">
        <v>95</v>
      </c>
      <c r="B23" s="1" t="s">
        <v>421</v>
      </c>
      <c r="C23" s="3" t="s">
        <v>419</v>
      </c>
      <c r="D23" s="3" t="s">
        <v>420</v>
      </c>
      <c r="E23" s="1" t="s">
        <v>557</v>
      </c>
      <c r="F23" s="1" t="s">
        <v>558</v>
      </c>
      <c r="G23" s="3"/>
      <c r="H23" s="3"/>
      <c r="I23" s="3"/>
      <c r="J23" s="3"/>
      <c r="K23" s="3"/>
      <c r="L23" s="15" t="s">
        <v>567</v>
      </c>
      <c r="M23" s="3"/>
      <c r="N23" s="3"/>
      <c r="O23" s="3"/>
      <c r="P23" s="3"/>
      <c r="Q23" s="3"/>
      <c r="R23" s="3"/>
      <c r="S23" s="3"/>
      <c r="T23" s="3"/>
      <c r="U23" s="3"/>
      <c r="V23" s="3"/>
      <c r="W23" s="3"/>
      <c r="X23" s="3"/>
      <c r="Y23" s="3"/>
      <c r="Z23" s="3"/>
    </row>
    <row r="24" spans="1:26" ht="15.75" customHeight="1">
      <c r="A24" s="1" t="s">
        <v>104</v>
      </c>
      <c r="B24" s="1">
        <v>403</v>
      </c>
      <c r="C24" s="1">
        <v>1.1599999999999999</v>
      </c>
      <c r="D24" s="1">
        <v>467.48</v>
      </c>
      <c r="E24" s="1">
        <v>1132.6943200000001</v>
      </c>
      <c r="F24" s="18">
        <v>1200</v>
      </c>
      <c r="G24" s="3"/>
      <c r="H24" s="3"/>
      <c r="I24" s="3"/>
      <c r="J24" s="3"/>
      <c r="K24" s="3"/>
      <c r="L24" s="15" t="s">
        <v>568</v>
      </c>
      <c r="M24" s="3"/>
      <c r="N24" s="3"/>
      <c r="O24" s="3"/>
      <c r="P24" s="3"/>
      <c r="Q24" s="3"/>
      <c r="R24" s="3"/>
      <c r="S24" s="3"/>
      <c r="T24" s="3"/>
      <c r="U24" s="3"/>
      <c r="V24" s="3"/>
      <c r="W24" s="3"/>
      <c r="X24" s="3"/>
      <c r="Y24" s="3"/>
      <c r="Z24" s="3"/>
    </row>
    <row r="25" spans="1:26" ht="15.75" customHeight="1">
      <c r="A25" s="1" t="s">
        <v>132</v>
      </c>
      <c r="B25" s="1">
        <v>889</v>
      </c>
      <c r="C25" s="18">
        <v>1.1399999999999999</v>
      </c>
      <c r="D25" s="52">
        <v>1013.46</v>
      </c>
      <c r="E25" s="1">
        <v>2582.6489539999998</v>
      </c>
      <c r="F25" s="18">
        <v>2016</v>
      </c>
      <c r="G25" s="3"/>
      <c r="H25" s="3"/>
      <c r="I25" s="3"/>
      <c r="J25" s="3"/>
      <c r="K25" s="3"/>
      <c r="L25" s="15" t="s">
        <v>569</v>
      </c>
      <c r="M25" s="3"/>
      <c r="N25" s="3"/>
      <c r="O25" s="3"/>
      <c r="P25" s="3"/>
      <c r="Q25" s="3"/>
      <c r="R25" s="3"/>
      <c r="S25" s="3"/>
      <c r="T25" s="3"/>
      <c r="U25" s="3"/>
      <c r="V25" s="3"/>
      <c r="W25" s="3"/>
      <c r="X25" s="3"/>
      <c r="Y25" s="3"/>
      <c r="Z25" s="3"/>
    </row>
    <row r="26" spans="1:26" ht="15.75" customHeight="1">
      <c r="A26" s="20" t="s">
        <v>164</v>
      </c>
      <c r="B26" s="1">
        <v>1054</v>
      </c>
      <c r="C26" s="1">
        <v>1.19</v>
      </c>
      <c r="D26" s="1">
        <v>1254.26</v>
      </c>
      <c r="E26" s="1">
        <v>3222.1395499999999</v>
      </c>
      <c r="F26" s="52">
        <v>3680</v>
      </c>
      <c r="G26" s="3"/>
      <c r="H26" s="3"/>
      <c r="I26" s="3"/>
      <c r="J26" s="3"/>
      <c r="K26" s="3"/>
      <c r="L26" s="15" t="s">
        <v>570</v>
      </c>
      <c r="M26" s="3"/>
      <c r="N26" s="3"/>
      <c r="O26" s="3"/>
      <c r="P26" s="3"/>
      <c r="Q26" s="3"/>
      <c r="R26" s="3"/>
      <c r="S26" s="3"/>
      <c r="T26" s="3"/>
      <c r="U26" s="3"/>
      <c r="V26" s="3"/>
      <c r="W26" s="3"/>
      <c r="X26" s="3"/>
      <c r="Y26" s="3"/>
      <c r="Z26" s="3"/>
    </row>
    <row r="27" spans="1:26" ht="15.75" customHeight="1">
      <c r="A27" s="3"/>
      <c r="B27" s="3"/>
      <c r="C27" s="3"/>
      <c r="D27" s="3"/>
      <c r="E27" s="3"/>
      <c r="F27" s="3"/>
      <c r="G27" s="3"/>
      <c r="H27" s="3"/>
      <c r="I27" s="3"/>
      <c r="J27" s="3"/>
      <c r="K27" s="3"/>
      <c r="L27" s="15" t="s">
        <v>571</v>
      </c>
      <c r="M27" s="3"/>
      <c r="N27" s="3"/>
      <c r="O27" s="3"/>
      <c r="P27" s="3"/>
      <c r="Q27" s="3"/>
      <c r="R27" s="3"/>
      <c r="S27" s="3"/>
      <c r="T27" s="3"/>
      <c r="U27" s="3"/>
      <c r="V27" s="3"/>
      <c r="W27" s="3"/>
      <c r="X27" s="3"/>
      <c r="Y27" s="3"/>
      <c r="Z27" s="3"/>
    </row>
    <row r="28" spans="1:26" ht="15.75" customHeight="1">
      <c r="A28" s="1" t="s">
        <v>95</v>
      </c>
      <c r="B28" s="1" t="s">
        <v>131</v>
      </c>
      <c r="C28" s="1" t="s">
        <v>291</v>
      </c>
      <c r="D28" s="1" t="s">
        <v>421</v>
      </c>
      <c r="E28" s="1" t="s">
        <v>558</v>
      </c>
      <c r="F28" s="3"/>
      <c r="G28" s="3"/>
      <c r="H28" s="3"/>
      <c r="I28" s="3"/>
      <c r="J28" s="3"/>
      <c r="K28" s="3"/>
      <c r="L28" s="15" t="s">
        <v>572</v>
      </c>
      <c r="M28" s="3"/>
      <c r="N28" s="3"/>
      <c r="O28" s="3"/>
      <c r="P28" s="3"/>
      <c r="Q28" s="3"/>
      <c r="R28" s="3"/>
      <c r="S28" s="3"/>
      <c r="T28" s="3"/>
      <c r="U28" s="3"/>
      <c r="V28" s="3"/>
      <c r="W28" s="3"/>
      <c r="X28" s="3"/>
      <c r="Y28" s="3"/>
      <c r="Z28" s="3"/>
    </row>
    <row r="29" spans="1:26" ht="15.75" customHeight="1">
      <c r="A29" s="1" t="s">
        <v>104</v>
      </c>
      <c r="B29" s="2">
        <v>125</v>
      </c>
      <c r="C29" s="2">
        <v>62</v>
      </c>
      <c r="D29" s="1">
        <v>403</v>
      </c>
      <c r="E29" s="18">
        <v>1200</v>
      </c>
      <c r="F29" s="3"/>
      <c r="G29" s="3"/>
      <c r="H29" s="3"/>
      <c r="I29" s="3"/>
      <c r="J29" s="3"/>
      <c r="K29" s="3"/>
      <c r="L29" s="15" t="s">
        <v>573</v>
      </c>
      <c r="M29" s="3"/>
      <c r="N29" s="3"/>
      <c r="O29" s="3"/>
      <c r="P29" s="3"/>
      <c r="Q29" s="3"/>
      <c r="R29" s="3"/>
      <c r="S29" s="3"/>
      <c r="T29" s="3"/>
      <c r="U29" s="3"/>
      <c r="V29" s="3"/>
      <c r="W29" s="3"/>
      <c r="X29" s="3"/>
      <c r="Y29" s="3"/>
      <c r="Z29" s="3"/>
    </row>
    <row r="30" spans="1:26" ht="15.75" customHeight="1">
      <c r="A30" s="1" t="s">
        <v>132</v>
      </c>
      <c r="B30" s="1">
        <v>200</v>
      </c>
      <c r="C30" s="1">
        <v>105</v>
      </c>
      <c r="D30" s="1">
        <v>889</v>
      </c>
      <c r="E30" s="18">
        <v>2016</v>
      </c>
      <c r="F30" s="3"/>
      <c r="G30" s="3"/>
      <c r="H30" s="3"/>
      <c r="I30" s="3"/>
      <c r="J30" s="3"/>
      <c r="K30" s="3"/>
      <c r="L30" s="15" t="s">
        <v>574</v>
      </c>
      <c r="M30" s="3"/>
      <c r="N30" s="3"/>
      <c r="O30" s="3"/>
      <c r="P30" s="3"/>
      <c r="Q30" s="3"/>
      <c r="R30" s="3"/>
      <c r="S30" s="3"/>
      <c r="T30" s="3"/>
      <c r="U30" s="3"/>
      <c r="V30" s="3"/>
      <c r="W30" s="3"/>
      <c r="X30" s="3"/>
      <c r="Y30" s="3"/>
      <c r="Z30" s="3"/>
    </row>
    <row r="31" spans="1:26" ht="15.75" customHeight="1">
      <c r="A31" s="1" t="s">
        <v>575</v>
      </c>
      <c r="B31" s="1">
        <v>385</v>
      </c>
      <c r="C31" s="1">
        <v>337</v>
      </c>
      <c r="D31" s="1">
        <v>1054</v>
      </c>
      <c r="E31" s="52">
        <v>3680</v>
      </c>
      <c r="F31" s="3"/>
      <c r="G31" s="3"/>
      <c r="H31" s="3"/>
      <c r="I31" s="3"/>
      <c r="J31" s="3"/>
      <c r="K31" s="3"/>
      <c r="L31" s="15" t="s">
        <v>576</v>
      </c>
      <c r="M31" s="3"/>
      <c r="N31" s="3"/>
      <c r="O31" s="3"/>
      <c r="P31" s="3"/>
      <c r="Q31" s="3"/>
      <c r="R31" s="3"/>
      <c r="S31" s="3"/>
      <c r="T31" s="3"/>
      <c r="U31" s="3"/>
      <c r="V31" s="3"/>
      <c r="W31" s="3"/>
      <c r="X31" s="3"/>
      <c r="Y31" s="3"/>
      <c r="Z31" s="3"/>
    </row>
    <row r="32" spans="1:26" ht="15.75" customHeight="1">
      <c r="A32" s="3"/>
      <c r="B32" s="3"/>
      <c r="C32" s="3"/>
      <c r="D32" s="3"/>
      <c r="E32" s="3"/>
      <c r="F32" s="3"/>
      <c r="G32" s="3"/>
      <c r="H32" s="3"/>
      <c r="I32" s="3"/>
      <c r="J32" s="3"/>
      <c r="K32" s="3"/>
      <c r="L32" s="15" t="s">
        <v>577</v>
      </c>
      <c r="M32" s="3"/>
      <c r="N32" s="3"/>
      <c r="O32" s="3"/>
      <c r="P32" s="3"/>
      <c r="Q32" s="3"/>
      <c r="R32" s="3"/>
      <c r="S32" s="3"/>
      <c r="T32" s="3"/>
      <c r="U32" s="3"/>
      <c r="V32" s="3"/>
      <c r="W32" s="3"/>
      <c r="X32" s="3"/>
      <c r="Y32" s="3"/>
      <c r="Z32" s="3"/>
    </row>
    <row r="33" spans="1:26" ht="15.75" customHeight="1">
      <c r="A33" s="1" t="s">
        <v>578</v>
      </c>
      <c r="B33" s="3">
        <f>CORREL(B29:B31,C29:C31)</f>
        <v>0.99046973294359442</v>
      </c>
      <c r="C33" s="3"/>
      <c r="D33" s="3"/>
      <c r="E33" s="3"/>
      <c r="F33" s="3"/>
      <c r="G33" s="3"/>
      <c r="H33" s="3"/>
      <c r="I33" s="3"/>
      <c r="J33" s="3"/>
      <c r="K33" s="3"/>
      <c r="L33" s="15" t="s">
        <v>579</v>
      </c>
      <c r="M33" s="3"/>
      <c r="N33" s="3"/>
      <c r="O33" s="3"/>
      <c r="P33" s="3"/>
      <c r="Q33" s="3"/>
      <c r="R33" s="3"/>
      <c r="S33" s="3"/>
      <c r="T33" s="3"/>
      <c r="U33" s="3"/>
      <c r="V33" s="3"/>
      <c r="W33" s="3"/>
      <c r="X33" s="3"/>
      <c r="Y33" s="3"/>
      <c r="Z33" s="3"/>
    </row>
    <row r="34" spans="1:26" ht="15.75" customHeight="1">
      <c r="A34" s="3"/>
      <c r="B34" s="3">
        <f>CORREL(C29:C31,D29:D31)</f>
        <v>0.79299353083849677</v>
      </c>
      <c r="C34" s="3"/>
      <c r="D34" s="3"/>
      <c r="E34" s="3"/>
      <c r="F34" s="3"/>
      <c r="G34" s="3"/>
      <c r="H34" s="3"/>
      <c r="I34" s="3"/>
      <c r="J34" s="3"/>
      <c r="K34" s="3"/>
      <c r="L34" s="15" t="s">
        <v>580</v>
      </c>
      <c r="M34" s="3"/>
      <c r="N34" s="3"/>
      <c r="O34" s="3"/>
      <c r="P34" s="3"/>
      <c r="Q34" s="3"/>
      <c r="R34" s="3"/>
      <c r="S34" s="3"/>
      <c r="T34" s="3"/>
      <c r="U34" s="3"/>
      <c r="V34" s="3"/>
      <c r="W34" s="3"/>
      <c r="X34" s="3"/>
      <c r="Y34" s="3"/>
      <c r="Z34" s="3"/>
    </row>
    <row r="35" spans="1:26" ht="15.75" customHeight="1">
      <c r="A35" s="3"/>
      <c r="B35" s="3">
        <f>CORREL(B29:B31,D29:D31)</f>
        <v>0.86934568950828794</v>
      </c>
      <c r="C35" s="3"/>
      <c r="D35" s="3"/>
      <c r="E35" s="3"/>
      <c r="F35" s="3"/>
      <c r="G35" s="3"/>
      <c r="H35" s="3"/>
      <c r="I35" s="3"/>
      <c r="J35" s="3"/>
      <c r="K35" s="3"/>
      <c r="L35" s="15" t="s">
        <v>581</v>
      </c>
      <c r="M35" s="3"/>
      <c r="N35" s="3"/>
      <c r="O35" s="3"/>
      <c r="P35" s="3"/>
      <c r="Q35" s="3"/>
      <c r="R35" s="3"/>
      <c r="S35" s="3"/>
      <c r="T35" s="3"/>
      <c r="U35" s="3"/>
      <c r="V35" s="3"/>
      <c r="W35" s="3"/>
      <c r="X35" s="3"/>
      <c r="Y35" s="3"/>
      <c r="Z35" s="3"/>
    </row>
    <row r="36" spans="1:2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2.75">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2.75">
      <c r="A38" s="3" t="s">
        <v>712</v>
      </c>
      <c r="B38" s="3"/>
      <c r="C38" s="3"/>
      <c r="D38" s="3"/>
      <c r="E38" s="3"/>
      <c r="F38" s="3"/>
      <c r="G38" s="3"/>
      <c r="H38" s="3"/>
      <c r="I38" s="3"/>
      <c r="J38" s="3"/>
      <c r="K38" s="3"/>
      <c r="L38" s="3"/>
      <c r="M38" s="3"/>
      <c r="N38" s="3"/>
      <c r="O38" s="3"/>
      <c r="P38" s="3"/>
      <c r="Q38" s="3"/>
      <c r="R38" s="3"/>
      <c r="S38" s="3"/>
      <c r="T38" s="3"/>
      <c r="U38" s="3"/>
      <c r="V38" s="3"/>
      <c r="W38" s="3"/>
      <c r="X38" s="3"/>
      <c r="Y38" s="3"/>
      <c r="Z38" s="3"/>
    </row>
    <row r="39" spans="1:26" ht="12.75">
      <c r="A39" s="1" t="s">
        <v>95</v>
      </c>
      <c r="B39" s="1" t="s">
        <v>98</v>
      </c>
      <c r="C39" s="1" t="s">
        <v>119</v>
      </c>
      <c r="D39" s="1" t="s">
        <v>101</v>
      </c>
      <c r="E39" s="1" t="s">
        <v>102</v>
      </c>
      <c r="F39" s="1" t="s">
        <v>103</v>
      </c>
      <c r="G39" s="1" t="s">
        <v>557</v>
      </c>
      <c r="H39" s="1" t="s">
        <v>558</v>
      </c>
      <c r="I39" s="3"/>
      <c r="J39" s="3"/>
      <c r="K39" s="3"/>
      <c r="L39" s="3"/>
      <c r="M39" s="3"/>
      <c r="N39" s="3"/>
      <c r="O39" s="3"/>
      <c r="P39" s="3"/>
      <c r="Q39" s="3"/>
      <c r="R39" s="3"/>
      <c r="S39" s="3"/>
      <c r="T39" s="3"/>
      <c r="U39" s="3"/>
      <c r="V39" s="3"/>
      <c r="W39" s="3"/>
      <c r="X39" s="3"/>
      <c r="Y39" s="3"/>
      <c r="Z39" s="3"/>
    </row>
    <row r="40" spans="1:26" ht="12.75">
      <c r="A40" s="1" t="s">
        <v>104</v>
      </c>
      <c r="B40" s="3">
        <v>125</v>
      </c>
      <c r="C40" s="1">
        <v>14</v>
      </c>
      <c r="D40" s="1">
        <v>1.1399999999999999</v>
      </c>
      <c r="E40" s="1">
        <v>1.21</v>
      </c>
      <c r="F40" s="1">
        <v>191.74</v>
      </c>
      <c r="G40" s="1">
        <f>$B$61+$C$61*F40</f>
        <v>1406.8262</v>
      </c>
      <c r="H40" s="1">
        <v>1392</v>
      </c>
      <c r="I40" s="3"/>
      <c r="J40" s="3"/>
      <c r="K40" s="3"/>
      <c r="L40" s="3"/>
      <c r="M40" s="3"/>
      <c r="N40" s="3"/>
      <c r="O40" s="3"/>
      <c r="P40" s="3"/>
      <c r="Q40" s="3"/>
      <c r="R40" s="3"/>
      <c r="S40" s="3"/>
      <c r="T40" s="3"/>
      <c r="U40" s="3"/>
      <c r="V40" s="3"/>
      <c r="W40" s="3"/>
      <c r="X40" s="3"/>
      <c r="Y40" s="3"/>
      <c r="Z40" s="3"/>
    </row>
    <row r="41" spans="1:26" ht="12.75">
      <c r="A41" s="1" t="s">
        <v>132</v>
      </c>
      <c r="B41" s="1">
        <v>200</v>
      </c>
      <c r="C41" s="1">
        <v>8</v>
      </c>
      <c r="D41" s="1">
        <v>1.06</v>
      </c>
      <c r="E41" s="1">
        <v>1.03</v>
      </c>
      <c r="F41" s="1">
        <v>227.09</v>
      </c>
      <c r="G41" s="1">
        <f>$B$61+$C$61*F41</f>
        <v>1623.5217</v>
      </c>
      <c r="H41" s="1">
        <v>2016</v>
      </c>
      <c r="I41" s="3"/>
      <c r="J41" s="3"/>
      <c r="K41" s="3"/>
      <c r="L41" s="3"/>
      <c r="M41" s="3"/>
      <c r="N41" s="3"/>
      <c r="O41" s="3"/>
      <c r="P41" s="3"/>
      <c r="Q41" s="3"/>
      <c r="R41" s="3"/>
      <c r="S41" s="3"/>
      <c r="T41" s="3"/>
      <c r="U41" s="3"/>
      <c r="V41" s="3"/>
      <c r="W41" s="3"/>
      <c r="X41" s="3"/>
      <c r="Y41" s="3"/>
      <c r="Z41" s="3"/>
    </row>
    <row r="42" spans="1:26" ht="12.75">
      <c r="A42" s="20" t="s">
        <v>164</v>
      </c>
      <c r="B42" s="1">
        <v>385</v>
      </c>
      <c r="C42" s="1">
        <v>12</v>
      </c>
      <c r="D42" s="1">
        <v>1.1200000000000001</v>
      </c>
      <c r="E42" s="1">
        <v>1.32</v>
      </c>
      <c r="F42" s="1">
        <v>586.91999999999996</v>
      </c>
      <c r="G42" s="1">
        <f>$B$61+$C$61*F42</f>
        <v>3829.2795999999998</v>
      </c>
      <c r="H42" s="1">
        <v>3680</v>
      </c>
      <c r="I42" s="3"/>
      <c r="J42" s="3"/>
      <c r="K42" s="3"/>
      <c r="L42" s="3"/>
      <c r="M42" s="3"/>
      <c r="N42" s="3"/>
      <c r="O42" s="3"/>
      <c r="P42" s="3"/>
      <c r="Q42" s="3"/>
      <c r="R42" s="3"/>
      <c r="S42" s="3"/>
      <c r="T42" s="3"/>
      <c r="U42" s="3"/>
      <c r="V42" s="3"/>
      <c r="W42" s="3"/>
      <c r="X42" s="3"/>
      <c r="Y42" s="3"/>
      <c r="Z42" s="3"/>
    </row>
    <row r="43" spans="1:26" ht="12.7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2.75">
      <c r="A44" s="1" t="s">
        <v>95</v>
      </c>
      <c r="B44" s="1" t="s">
        <v>276</v>
      </c>
      <c r="C44" s="1" t="s">
        <v>119</v>
      </c>
      <c r="D44" s="1" t="s">
        <v>101</v>
      </c>
      <c r="E44" s="1" t="s">
        <v>102</v>
      </c>
      <c r="F44" s="1" t="s">
        <v>278</v>
      </c>
      <c r="G44" s="1" t="s">
        <v>557</v>
      </c>
      <c r="H44" s="1" t="s">
        <v>558</v>
      </c>
      <c r="I44" s="3"/>
      <c r="J44" s="3"/>
      <c r="K44" s="3"/>
      <c r="L44" s="3"/>
      <c r="M44" s="3"/>
      <c r="N44" s="3"/>
      <c r="O44" s="3"/>
      <c r="P44" s="3"/>
      <c r="Q44" s="3"/>
      <c r="R44" s="3"/>
      <c r="S44" s="3"/>
      <c r="T44" s="3"/>
      <c r="U44" s="3"/>
      <c r="V44" s="3"/>
      <c r="W44" s="3"/>
      <c r="X44" s="3"/>
      <c r="Y44" s="3"/>
      <c r="Z44" s="3"/>
    </row>
    <row r="45" spans="1:26" ht="12.75">
      <c r="A45" s="1" t="s">
        <v>104</v>
      </c>
      <c r="B45" s="3">
        <v>62</v>
      </c>
      <c r="C45" s="1">
        <v>14</v>
      </c>
      <c r="D45" s="1">
        <v>1.1399999999999999</v>
      </c>
      <c r="E45" s="1">
        <v>1.21</v>
      </c>
      <c r="F45" s="3">
        <v>104.83</v>
      </c>
      <c r="G45" s="1">
        <f>$B$62+$C$62*F45</f>
        <v>1257.9139</v>
      </c>
      <c r="H45" s="1">
        <v>1392</v>
      </c>
      <c r="I45" s="3"/>
      <c r="J45" s="3"/>
      <c r="K45" s="3"/>
      <c r="L45" s="3"/>
      <c r="M45" s="3"/>
      <c r="N45" s="3"/>
      <c r="O45" s="3"/>
      <c r="P45" s="3"/>
      <c r="Q45" s="3"/>
      <c r="R45" s="3"/>
      <c r="S45" s="3"/>
      <c r="T45" s="3"/>
      <c r="U45" s="3"/>
      <c r="V45" s="3"/>
      <c r="W45" s="3"/>
      <c r="X45" s="3"/>
      <c r="Y45" s="3"/>
      <c r="Z45" s="3"/>
    </row>
    <row r="46" spans="1:26" ht="12.75">
      <c r="A46" s="1" t="s">
        <v>132</v>
      </c>
      <c r="B46" s="1">
        <v>105</v>
      </c>
      <c r="C46" s="1">
        <v>8</v>
      </c>
      <c r="D46" s="1">
        <v>1.06</v>
      </c>
      <c r="E46" s="1">
        <v>1.03</v>
      </c>
      <c r="F46" s="1">
        <v>123.37</v>
      </c>
      <c r="G46" s="1">
        <f>$B$62+$C$62*F46</f>
        <v>1375.2721000000001</v>
      </c>
      <c r="H46" s="1">
        <v>2016</v>
      </c>
      <c r="I46" s="3"/>
      <c r="J46" s="3"/>
      <c r="K46" s="3"/>
      <c r="L46" s="3"/>
      <c r="M46" s="3"/>
      <c r="N46" s="3"/>
      <c r="O46" s="3"/>
      <c r="P46" s="3"/>
      <c r="Q46" s="3"/>
      <c r="R46" s="3"/>
      <c r="S46" s="3"/>
      <c r="T46" s="3"/>
      <c r="U46" s="3"/>
      <c r="V46" s="3"/>
      <c r="W46" s="3"/>
      <c r="X46" s="3"/>
      <c r="Y46" s="3"/>
      <c r="Z46" s="3"/>
    </row>
    <row r="47" spans="1:26" ht="12.75">
      <c r="A47" s="20" t="s">
        <v>164</v>
      </c>
      <c r="B47" s="1">
        <v>337</v>
      </c>
      <c r="C47" s="1">
        <v>12</v>
      </c>
      <c r="D47" s="1">
        <v>1.1200000000000001</v>
      </c>
      <c r="E47" s="1">
        <v>1.32</v>
      </c>
      <c r="F47" s="1">
        <v>515.96</v>
      </c>
      <c r="G47" s="1">
        <f>$B$62+$C$62*F47</f>
        <v>3860.3668000000002</v>
      </c>
      <c r="H47" s="1">
        <v>3680</v>
      </c>
      <c r="I47" s="3"/>
      <c r="J47" s="3"/>
      <c r="K47" s="3"/>
      <c r="L47" s="3"/>
      <c r="M47" s="3"/>
      <c r="N47" s="3"/>
      <c r="O47" s="3"/>
      <c r="P47" s="3"/>
      <c r="Q47" s="3"/>
      <c r="R47" s="3"/>
      <c r="S47" s="3"/>
      <c r="T47" s="3"/>
      <c r="U47" s="3"/>
      <c r="V47" s="3"/>
      <c r="W47" s="3"/>
      <c r="X47" s="3"/>
      <c r="Y47" s="3"/>
      <c r="Z47" s="3"/>
    </row>
    <row r="48" spans="1:26" ht="12.7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 r="A49" s="1" t="s">
        <v>95</v>
      </c>
      <c r="B49" s="1" t="s">
        <v>421</v>
      </c>
      <c r="C49" s="3" t="s">
        <v>419</v>
      </c>
      <c r="D49" s="3" t="s">
        <v>420</v>
      </c>
      <c r="E49" s="1" t="s">
        <v>557</v>
      </c>
      <c r="F49" s="1" t="s">
        <v>558</v>
      </c>
      <c r="G49" s="3"/>
      <c r="H49" s="3"/>
      <c r="I49" s="3"/>
      <c r="J49" s="3"/>
      <c r="K49" s="3"/>
      <c r="L49" s="3"/>
      <c r="M49" s="3"/>
      <c r="N49" s="3"/>
      <c r="O49" s="3"/>
      <c r="P49" s="3"/>
      <c r="Q49" s="3"/>
      <c r="R49" s="3"/>
      <c r="S49" s="3"/>
      <c r="T49" s="3"/>
      <c r="U49" s="3"/>
      <c r="V49" s="3"/>
      <c r="W49" s="3"/>
      <c r="X49" s="3"/>
      <c r="Y49" s="3"/>
      <c r="Z49" s="3"/>
    </row>
    <row r="50" spans="1:26" ht="12.75">
      <c r="A50" s="1" t="s">
        <v>104</v>
      </c>
      <c r="B50" s="1">
        <v>403</v>
      </c>
      <c r="C50" s="1">
        <v>1.1599999999999999</v>
      </c>
      <c r="D50" s="1">
        <v>467.48</v>
      </c>
      <c r="E50" s="1">
        <f>$B$63+$C$63*D50</f>
        <v>1297.1479999999999</v>
      </c>
      <c r="F50" s="18">
        <v>1392</v>
      </c>
      <c r="G50" s="3"/>
      <c r="H50" s="3"/>
      <c r="I50" s="3"/>
      <c r="J50" s="3"/>
      <c r="K50" s="3"/>
      <c r="L50" s="3"/>
      <c r="M50" s="3"/>
      <c r="N50" s="3"/>
      <c r="O50" s="3"/>
      <c r="P50" s="3"/>
      <c r="Q50" s="3"/>
      <c r="R50" s="3"/>
      <c r="S50" s="3"/>
      <c r="T50" s="3"/>
      <c r="U50" s="3"/>
      <c r="V50" s="3"/>
      <c r="W50" s="3"/>
      <c r="X50" s="3"/>
      <c r="Y50" s="3"/>
      <c r="Z50" s="3"/>
    </row>
    <row r="51" spans="1:26" ht="12.75">
      <c r="A51" s="1" t="s">
        <v>132</v>
      </c>
      <c r="B51" s="1">
        <v>714</v>
      </c>
      <c r="C51" s="18">
        <v>1.1399999999999999</v>
      </c>
      <c r="D51" s="52">
        <f>B51*C51</f>
        <v>813.95999999999992</v>
      </c>
      <c r="E51" s="1">
        <f>$B$63+$C$63*D51</f>
        <v>2284.616</v>
      </c>
      <c r="F51" s="18">
        <v>2016</v>
      </c>
      <c r="G51" s="3"/>
      <c r="H51" s="3"/>
      <c r="I51" s="3"/>
      <c r="J51" s="3"/>
      <c r="K51" s="3"/>
      <c r="L51" s="3"/>
      <c r="M51" s="3"/>
      <c r="N51" s="3"/>
      <c r="O51" s="3"/>
      <c r="P51" s="3"/>
      <c r="Q51" s="3"/>
      <c r="R51" s="3"/>
      <c r="S51" s="3"/>
      <c r="T51" s="3"/>
      <c r="U51" s="3"/>
      <c r="V51" s="3"/>
      <c r="W51" s="3"/>
      <c r="X51" s="3"/>
      <c r="Y51" s="3"/>
      <c r="Z51" s="3"/>
    </row>
    <row r="52" spans="1:26" ht="12.75">
      <c r="A52" s="20" t="s">
        <v>164</v>
      </c>
      <c r="B52" s="1">
        <v>1054</v>
      </c>
      <c r="C52" s="1">
        <v>1.19</v>
      </c>
      <c r="D52" s="1">
        <v>1254.26</v>
      </c>
      <c r="E52" s="1">
        <f>$B$63+$C$63*D52</f>
        <v>3539.471</v>
      </c>
      <c r="F52" s="52">
        <v>3680</v>
      </c>
      <c r="G52" s="3"/>
      <c r="H52" s="3"/>
      <c r="I52" s="3"/>
      <c r="J52" s="3"/>
      <c r="K52" s="3"/>
      <c r="L52" s="3"/>
      <c r="M52" s="3"/>
      <c r="N52" s="3"/>
      <c r="O52" s="3"/>
      <c r="P52" s="3"/>
      <c r="Q52" s="3"/>
      <c r="R52" s="3"/>
      <c r="S52" s="3"/>
      <c r="T52" s="3"/>
      <c r="U52" s="3"/>
      <c r="V52" s="3"/>
      <c r="W52" s="3"/>
      <c r="X52" s="3"/>
      <c r="Y52" s="3"/>
      <c r="Z52" s="3"/>
    </row>
    <row r="53" spans="1:26" ht="12.7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2.75">
      <c r="A54" s="1" t="s">
        <v>95</v>
      </c>
      <c r="B54" s="76" t="s">
        <v>103</v>
      </c>
      <c r="C54" s="76" t="s">
        <v>278</v>
      </c>
      <c r="D54" s="76" t="s">
        <v>420</v>
      </c>
      <c r="E54" s="77" t="s">
        <v>716</v>
      </c>
      <c r="F54" s="77" t="s">
        <v>715</v>
      </c>
      <c r="G54" s="77" t="s">
        <v>717</v>
      </c>
      <c r="H54" s="1" t="s">
        <v>558</v>
      </c>
      <c r="I54" s="3"/>
      <c r="J54" s="3"/>
      <c r="K54" s="3"/>
      <c r="L54" s="3"/>
      <c r="M54" s="3"/>
      <c r="N54" s="3"/>
      <c r="O54" s="3"/>
      <c r="P54" s="3"/>
      <c r="Q54" s="3"/>
      <c r="R54" s="3"/>
      <c r="S54" s="3"/>
      <c r="T54" s="3"/>
      <c r="U54" s="3"/>
      <c r="V54" s="3"/>
      <c r="W54" s="3"/>
      <c r="X54" s="3"/>
      <c r="Y54" s="3"/>
      <c r="Z54" s="3"/>
    </row>
    <row r="55" spans="1:26" ht="12.75">
      <c r="A55" s="1" t="s">
        <v>104</v>
      </c>
      <c r="B55" s="3">
        <v>191.74</v>
      </c>
      <c r="C55" s="3">
        <v>104.83</v>
      </c>
      <c r="D55" s="1">
        <v>467.48</v>
      </c>
      <c r="E55">
        <v>1406.8262</v>
      </c>
      <c r="F55" s="3">
        <v>1257.9139</v>
      </c>
      <c r="G55" s="3">
        <v>1297.1479999999999</v>
      </c>
      <c r="H55" s="18">
        <v>1392</v>
      </c>
      <c r="I55" s="3"/>
      <c r="J55" s="3"/>
      <c r="K55" s="3"/>
      <c r="L55" s="3"/>
      <c r="M55" s="3"/>
      <c r="N55" s="3"/>
      <c r="O55" s="3"/>
      <c r="P55" s="3"/>
      <c r="Q55" s="3"/>
      <c r="R55" s="3"/>
      <c r="S55" s="3"/>
      <c r="T55" s="3"/>
      <c r="U55" s="3"/>
      <c r="V55" s="3"/>
      <c r="W55" s="3"/>
      <c r="X55" s="3"/>
      <c r="Y55" s="3"/>
      <c r="Z55" s="3"/>
    </row>
    <row r="56" spans="1:26" ht="12.75">
      <c r="A56" s="1" t="s">
        <v>132</v>
      </c>
      <c r="B56" s="1">
        <v>227.09</v>
      </c>
      <c r="C56" s="1">
        <v>123.37</v>
      </c>
      <c r="D56" s="1">
        <v>813.95999999999992</v>
      </c>
      <c r="E56">
        <v>1623.5217</v>
      </c>
      <c r="F56" s="3">
        <v>1375.2721000000001</v>
      </c>
      <c r="G56" s="3">
        <v>2284.616</v>
      </c>
      <c r="H56" s="18">
        <v>2016</v>
      </c>
      <c r="I56" s="3"/>
      <c r="J56" s="3"/>
      <c r="K56" s="3"/>
      <c r="L56" s="3"/>
      <c r="M56" s="3"/>
      <c r="N56" s="3"/>
      <c r="O56" s="3"/>
      <c r="P56" s="3"/>
      <c r="Q56" s="3"/>
      <c r="R56" s="3"/>
      <c r="S56" s="3"/>
      <c r="T56" s="3"/>
      <c r="U56" s="3"/>
      <c r="V56" s="3"/>
      <c r="W56" s="3"/>
      <c r="X56" s="3"/>
      <c r="Y56" s="3"/>
      <c r="Z56" s="3"/>
    </row>
    <row r="57" spans="1:26" ht="12.75">
      <c r="A57" s="1" t="s">
        <v>575</v>
      </c>
      <c r="B57" s="1">
        <v>586.91999999999996</v>
      </c>
      <c r="C57" s="1">
        <v>515.96</v>
      </c>
      <c r="D57" s="1">
        <v>1254.26</v>
      </c>
      <c r="E57">
        <v>3829.2795999999998</v>
      </c>
      <c r="F57" s="3">
        <v>3860.3668000000002</v>
      </c>
      <c r="G57" s="3">
        <v>3539.471</v>
      </c>
      <c r="H57" s="52">
        <v>3680</v>
      </c>
      <c r="I57" s="3"/>
      <c r="J57" s="3"/>
      <c r="K57" s="3"/>
      <c r="L57" s="3"/>
      <c r="M57" s="3"/>
      <c r="N57" s="3"/>
      <c r="O57" s="3"/>
      <c r="P57" s="3"/>
      <c r="Q57" s="3"/>
      <c r="R57" s="3"/>
      <c r="S57" s="3"/>
      <c r="T57" s="3"/>
      <c r="U57" s="3"/>
      <c r="V57" s="3"/>
      <c r="W57" s="3"/>
      <c r="X57" s="3"/>
      <c r="Y57" s="3"/>
      <c r="Z57" s="3"/>
    </row>
    <row r="58" spans="1:26" ht="12.7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2.7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2.75">
      <c r="A60" s="3" t="s">
        <v>543</v>
      </c>
      <c r="B60" s="63" t="s">
        <v>713</v>
      </c>
      <c r="C60" s="3" t="s">
        <v>714</v>
      </c>
      <c r="D60" s="3"/>
      <c r="E60" s="3"/>
      <c r="F60" s="3"/>
      <c r="G60" s="3"/>
      <c r="H60" s="3"/>
      <c r="I60" s="3"/>
      <c r="J60" s="3"/>
      <c r="K60" s="3"/>
      <c r="L60" s="3"/>
      <c r="M60" s="3"/>
      <c r="N60" s="3"/>
      <c r="O60" s="3"/>
      <c r="P60" s="3"/>
      <c r="Q60" s="3"/>
      <c r="R60" s="3"/>
      <c r="S60" s="3"/>
      <c r="T60" s="3"/>
      <c r="U60" s="3"/>
      <c r="V60" s="3"/>
      <c r="W60" s="3"/>
      <c r="X60" s="3"/>
      <c r="Y60" s="3"/>
      <c r="Z60" s="3"/>
    </row>
    <row r="61" spans="1:26" ht="12.75">
      <c r="A61" s="3" t="s">
        <v>688</v>
      </c>
      <c r="B61" s="3">
        <v>231.46</v>
      </c>
      <c r="C61" s="3">
        <v>6.13</v>
      </c>
      <c r="D61" s="3"/>
      <c r="E61" s="3"/>
      <c r="F61" s="3"/>
      <c r="G61" s="3"/>
      <c r="H61" s="3"/>
      <c r="I61" s="3"/>
      <c r="J61" s="3"/>
      <c r="K61" s="3"/>
      <c r="L61" s="3"/>
      <c r="M61" s="3"/>
      <c r="N61" s="3"/>
      <c r="O61" s="3"/>
      <c r="P61" s="3"/>
      <c r="Q61" s="3"/>
      <c r="R61" s="3"/>
      <c r="S61" s="3"/>
      <c r="T61" s="3"/>
      <c r="U61" s="3"/>
      <c r="V61" s="3"/>
      <c r="W61" s="3"/>
      <c r="X61" s="3"/>
      <c r="Y61" s="3"/>
      <c r="Z61" s="3"/>
    </row>
    <row r="62" spans="1:26" ht="12.75">
      <c r="A62" s="3" t="s">
        <v>689</v>
      </c>
      <c r="B62" s="3">
        <v>594.34</v>
      </c>
      <c r="C62" s="3">
        <v>6.33</v>
      </c>
      <c r="D62" s="3"/>
      <c r="E62" s="3"/>
      <c r="F62" s="3"/>
      <c r="G62" s="3"/>
      <c r="H62" s="3"/>
      <c r="I62" s="3"/>
      <c r="J62" s="3"/>
      <c r="K62" s="3"/>
      <c r="L62" s="3"/>
      <c r="M62" s="3"/>
      <c r="N62" s="3"/>
      <c r="O62" s="3"/>
      <c r="P62" s="3"/>
      <c r="Q62" s="3"/>
      <c r="R62" s="3"/>
      <c r="S62" s="3"/>
      <c r="T62" s="3"/>
      <c r="U62" s="3"/>
      <c r="V62" s="3"/>
      <c r="W62" s="3"/>
      <c r="X62" s="3"/>
      <c r="Y62" s="3"/>
      <c r="Z62" s="3"/>
    </row>
    <row r="63" spans="1:26" ht="12.75">
      <c r="A63" s="3" t="s">
        <v>690</v>
      </c>
      <c r="B63" s="3">
        <v>-35.17</v>
      </c>
      <c r="C63" s="3">
        <v>2.85</v>
      </c>
      <c r="D63" s="3"/>
      <c r="E63" s="3"/>
      <c r="F63" s="3"/>
      <c r="G63" s="3"/>
      <c r="H63" s="3"/>
      <c r="I63" s="3"/>
      <c r="J63" s="3"/>
      <c r="K63" s="3"/>
      <c r="L63" s="3"/>
      <c r="M63" s="3"/>
      <c r="N63" s="3"/>
      <c r="O63" s="3"/>
      <c r="P63" s="3"/>
      <c r="Q63" s="3"/>
      <c r="R63" s="3"/>
      <c r="S63" s="3"/>
      <c r="T63" s="3"/>
      <c r="U63" s="3"/>
      <c r="V63" s="3"/>
      <c r="W63" s="3"/>
      <c r="X63" s="3"/>
      <c r="Y63" s="3"/>
      <c r="Z63" s="3"/>
    </row>
    <row r="64" spans="1:26" ht="12.7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2.7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s="108" customFormat="1" ht="12.75">
      <c r="A66" s="107"/>
      <c r="B66" s="107"/>
      <c r="C66" s="107"/>
      <c r="D66" s="107"/>
      <c r="E66" s="107"/>
      <c r="F66" s="107"/>
      <c r="G66" s="107"/>
      <c r="H66" s="107"/>
      <c r="I66" s="107"/>
      <c r="J66" s="107"/>
      <c r="K66" s="107"/>
      <c r="L66" s="107"/>
      <c r="M66" s="107"/>
      <c r="N66" s="107"/>
      <c r="O66" s="107"/>
      <c r="P66" s="107"/>
      <c r="Q66" s="107"/>
      <c r="R66" s="107"/>
      <c r="S66" s="107"/>
      <c r="T66" s="107"/>
      <c r="U66" s="107"/>
      <c r="V66" s="107"/>
      <c r="W66" s="107"/>
      <c r="X66" s="107"/>
      <c r="Y66" s="107"/>
      <c r="Z66" s="107"/>
    </row>
    <row r="67" spans="1:26" ht="13.5" thickBot="1">
      <c r="A67" s="84">
        <v>42847</v>
      </c>
      <c r="B67" s="3"/>
      <c r="C67" s="3"/>
      <c r="D67" s="3"/>
      <c r="E67" s="3"/>
      <c r="F67" s="3"/>
      <c r="G67" s="3"/>
      <c r="H67" s="3"/>
      <c r="I67" s="3"/>
      <c r="J67" s="3"/>
      <c r="K67" s="3"/>
      <c r="L67" s="3"/>
      <c r="M67" s="3"/>
      <c r="N67" s="3"/>
      <c r="O67" s="3"/>
      <c r="P67" s="3"/>
      <c r="Q67" s="3"/>
      <c r="R67" s="3"/>
      <c r="S67" s="3"/>
      <c r="T67" s="3"/>
      <c r="U67" s="3"/>
      <c r="V67" s="3"/>
      <c r="W67" s="3"/>
      <c r="X67" s="3"/>
      <c r="Y67" s="3"/>
      <c r="Z67" s="3"/>
    </row>
    <row r="68" spans="1:26" ht="13.5" thickBot="1">
      <c r="A68" s="74" t="s">
        <v>95</v>
      </c>
      <c r="B68" s="74" t="s">
        <v>103</v>
      </c>
      <c r="C68" s="74" t="s">
        <v>278</v>
      </c>
      <c r="D68" s="74" t="s">
        <v>420</v>
      </c>
      <c r="E68" s="74"/>
      <c r="F68" s="74"/>
      <c r="G68" s="71" t="s">
        <v>751</v>
      </c>
      <c r="H68" s="71" t="s">
        <v>752</v>
      </c>
      <c r="I68" s="71" t="s">
        <v>247</v>
      </c>
      <c r="J68" s="71" t="s">
        <v>753</v>
      </c>
      <c r="K68" s="71" t="s">
        <v>545</v>
      </c>
      <c r="L68" s="3"/>
      <c r="M68" s="3"/>
      <c r="N68" s="3"/>
      <c r="O68" s="3"/>
      <c r="P68" s="3"/>
      <c r="Q68" s="3"/>
      <c r="R68" s="3"/>
      <c r="S68" s="3"/>
      <c r="T68" s="3"/>
      <c r="U68" s="3"/>
      <c r="V68" s="3"/>
      <c r="W68" s="3"/>
      <c r="X68" s="3"/>
      <c r="Y68" s="3"/>
      <c r="Z68" s="3"/>
    </row>
    <row r="69" spans="1:26" ht="12.75">
      <c r="A69" s="66" t="s">
        <v>748</v>
      </c>
      <c r="B69" s="66">
        <v>191.74</v>
      </c>
      <c r="C69" s="66">
        <v>104.83</v>
      </c>
      <c r="D69" s="66">
        <v>467.48</v>
      </c>
      <c r="E69" s="66">
        <v>1200</v>
      </c>
      <c r="F69" s="66">
        <v>1242.76</v>
      </c>
      <c r="G69" s="3">
        <v>1373.7352000000001</v>
      </c>
      <c r="H69" s="3">
        <v>1319.1016</v>
      </c>
      <c r="I69" s="3"/>
      <c r="J69" s="3">
        <v>100</v>
      </c>
      <c r="K69" s="3"/>
      <c r="L69" s="3"/>
      <c r="M69" s="3"/>
      <c r="N69" s="3"/>
      <c r="O69" s="3"/>
      <c r="P69" s="3"/>
      <c r="Q69" s="3"/>
      <c r="R69" s="3"/>
      <c r="S69" s="3"/>
      <c r="T69" s="3"/>
      <c r="U69" s="3"/>
      <c r="V69" s="3"/>
      <c r="W69" s="3"/>
      <c r="X69" s="3"/>
      <c r="Y69" s="3"/>
      <c r="Z69" s="3"/>
    </row>
    <row r="70" spans="1:26" ht="12.75">
      <c r="A70" s="66" t="s">
        <v>749</v>
      </c>
      <c r="B70" s="66">
        <v>227.09</v>
      </c>
      <c r="C70" s="66">
        <v>152.85</v>
      </c>
      <c r="D70" s="66">
        <v>813.95999999999992</v>
      </c>
      <c r="E70" s="66">
        <v>2016</v>
      </c>
      <c r="F70" s="66">
        <v>1675.62</v>
      </c>
      <c r="G70" s="3">
        <v>1532.1032</v>
      </c>
      <c r="H70" s="3">
        <v>1584.172</v>
      </c>
      <c r="I70" s="3"/>
      <c r="J70" s="3">
        <v>100</v>
      </c>
      <c r="K70" s="3"/>
      <c r="L70" s="3"/>
      <c r="M70" s="3"/>
      <c r="N70" s="3"/>
      <c r="O70" s="3"/>
      <c r="P70" s="3"/>
      <c r="Q70" s="3"/>
      <c r="R70" s="3"/>
      <c r="S70" s="3"/>
      <c r="T70" s="3"/>
      <c r="U70" s="3"/>
      <c r="V70" s="3"/>
      <c r="W70" s="3"/>
      <c r="X70" s="3"/>
      <c r="Y70" s="3"/>
      <c r="Z70" s="3"/>
    </row>
    <row r="71" spans="1:26" ht="13.5" thickBot="1">
      <c r="A71" s="70" t="s">
        <v>750</v>
      </c>
      <c r="B71" s="70">
        <v>564.75</v>
      </c>
      <c r="C71" s="70">
        <v>416.91</v>
      </c>
      <c r="D71" s="70">
        <v>1254.26</v>
      </c>
      <c r="E71" s="70">
        <v>3680</v>
      </c>
      <c r="F71" s="70">
        <v>3029.65</v>
      </c>
      <c r="G71" s="3">
        <v>3044.8200000000006</v>
      </c>
      <c r="H71" s="3">
        <v>3041.7831999999999</v>
      </c>
      <c r="I71" s="3"/>
      <c r="J71" s="3">
        <v>100</v>
      </c>
      <c r="K71" s="3"/>
      <c r="L71" s="3"/>
      <c r="M71" s="3"/>
      <c r="N71" s="3"/>
      <c r="O71" s="3"/>
      <c r="P71" s="3"/>
      <c r="Q71" s="3"/>
      <c r="R71" s="3"/>
      <c r="S71" s="3"/>
      <c r="T71" s="3"/>
      <c r="U71" s="3"/>
      <c r="V71" s="3"/>
      <c r="W71" s="3"/>
      <c r="X71" s="3"/>
      <c r="Y71" s="3"/>
      <c r="Z71" s="3"/>
    </row>
    <row r="72" spans="1:26" ht="13.5" thickBot="1">
      <c r="A72" s="3"/>
      <c r="B72" s="63" t="s">
        <v>769</v>
      </c>
      <c r="C72" s="3"/>
      <c r="D72" s="3"/>
      <c r="E72" s="3"/>
      <c r="F72" s="3"/>
      <c r="G72" s="3"/>
      <c r="H72" s="3"/>
      <c r="I72" s="3"/>
      <c r="J72" s="3"/>
      <c r="K72" s="3"/>
      <c r="L72" s="3"/>
      <c r="M72" s="3"/>
      <c r="N72" s="3"/>
      <c r="O72" s="3"/>
      <c r="P72" s="3"/>
      <c r="Q72" s="3"/>
      <c r="R72" s="3"/>
      <c r="S72" s="3"/>
      <c r="T72" s="3"/>
      <c r="U72" s="3"/>
      <c r="V72" s="3"/>
      <c r="W72" s="3"/>
      <c r="X72" s="3"/>
      <c r="Y72" s="3"/>
      <c r="Z72" s="3"/>
    </row>
    <row r="73" spans="1:26" ht="13.5" thickBot="1">
      <c r="A73" s="74" t="s">
        <v>543</v>
      </c>
      <c r="B73" s="85"/>
      <c r="C73" s="85"/>
      <c r="D73" s="63" t="s">
        <v>748</v>
      </c>
      <c r="E73" s="63" t="s">
        <v>749</v>
      </c>
      <c r="F73" s="63" t="s">
        <v>750</v>
      </c>
      <c r="G73" s="3"/>
      <c r="H73" s="3"/>
      <c r="I73" s="3"/>
      <c r="J73" s="3"/>
      <c r="K73" s="3"/>
      <c r="L73" s="3"/>
      <c r="M73" s="3"/>
    </row>
    <row r="74" spans="1:26" ht="12.75">
      <c r="A74" s="66" t="s">
        <v>688</v>
      </c>
      <c r="B74" s="86">
        <v>514.74</v>
      </c>
      <c r="C74" s="66">
        <v>4.4800000000000004</v>
      </c>
      <c r="D74" s="3">
        <f>$B74+$C74*B69</f>
        <v>1373.7352000000001</v>
      </c>
      <c r="E74" s="3">
        <f>$B74+$C74*B70</f>
        <v>1532.1032</v>
      </c>
      <c r="F74" s="3">
        <f>$B74+$C74*B71</f>
        <v>3044.8200000000006</v>
      </c>
      <c r="G74" s="3"/>
      <c r="H74" s="3"/>
      <c r="I74" s="3"/>
      <c r="J74" s="3"/>
      <c r="K74" s="3"/>
      <c r="L74" s="3"/>
      <c r="M74" s="3"/>
    </row>
    <row r="75" spans="1:26" ht="13.5" thickBot="1">
      <c r="A75" s="70" t="s">
        <v>689</v>
      </c>
      <c r="B75" s="87">
        <v>740.44</v>
      </c>
      <c r="C75" s="88">
        <v>5.52</v>
      </c>
      <c r="D75" s="3">
        <f>$B75+$C75*C69</f>
        <v>1319.1016</v>
      </c>
      <c r="E75" s="3">
        <f>$B75+$C75*C70</f>
        <v>1584.172</v>
      </c>
      <c r="F75" s="3">
        <f>$B75+$C75*C71</f>
        <v>3041.7831999999999</v>
      </c>
      <c r="G75" s="3"/>
      <c r="H75" s="63" t="s">
        <v>247</v>
      </c>
      <c r="I75" s="3"/>
      <c r="J75" s="3"/>
      <c r="K75" s="3"/>
      <c r="L75" s="3"/>
      <c r="M75" s="3"/>
    </row>
    <row r="76" spans="1:26" ht="12.75">
      <c r="A76" s="3"/>
      <c r="B76" s="3"/>
      <c r="C76" s="63" t="s">
        <v>245</v>
      </c>
      <c r="D76" s="3">
        <f>ABS(D74-$F69)/D74</f>
        <v>9.5342392041785115E-2</v>
      </c>
      <c r="E76" s="3">
        <f>ABS(E74-$F70)/E74</f>
        <v>9.3673063276677362E-2</v>
      </c>
      <c r="F76" s="3">
        <f>ABS(F74-$F71)/F74</f>
        <v>4.9822321188117934E-3</v>
      </c>
      <c r="G76" s="3"/>
      <c r="H76" s="3">
        <f>AVERAGE(D76:F76)</f>
        <v>6.4665895812424753E-2</v>
      </c>
      <c r="I76" s="3"/>
      <c r="J76" s="3"/>
      <c r="K76" s="3"/>
      <c r="L76" s="3"/>
      <c r="M76" s="3"/>
    </row>
    <row r="77" spans="1:26" ht="12.75">
      <c r="A77" s="3"/>
      <c r="B77" s="3"/>
      <c r="C77" s="3"/>
      <c r="D77" s="3">
        <f>ABS(D75-$F69)/D75</f>
        <v>5.7873934805325059E-2</v>
      </c>
      <c r="E77" s="3">
        <f>ABS(E75-$F70)/E75</f>
        <v>5.7726054999078298E-2</v>
      </c>
      <c r="F77" s="3">
        <f>ABS(F75-$F71)/F75</f>
        <v>3.9888444383543711E-3</v>
      </c>
      <c r="G77" s="3"/>
      <c r="H77" s="3">
        <f>AVERAGE(D77:F77)</f>
        <v>3.9862944747585914E-2</v>
      </c>
      <c r="I77" s="3"/>
      <c r="J77" s="3"/>
      <c r="K77" s="3"/>
      <c r="L77" s="3"/>
      <c r="M77" s="3"/>
    </row>
    <row r="78" spans="1:26" ht="12.75">
      <c r="A78" s="3"/>
      <c r="B78" s="3"/>
      <c r="C78" s="89">
        <v>0.25</v>
      </c>
      <c r="D78" s="63" t="s">
        <v>754</v>
      </c>
      <c r="E78" s="63" t="s">
        <v>755</v>
      </c>
      <c r="F78" s="63" t="s">
        <v>754</v>
      </c>
      <c r="G78" s="3"/>
      <c r="H78" s="3"/>
      <c r="I78" s="3"/>
      <c r="J78" s="3"/>
      <c r="K78" s="3"/>
      <c r="L78" s="3"/>
      <c r="M78" s="3"/>
    </row>
    <row r="79" spans="1:26" ht="12.75">
      <c r="A79" s="3"/>
      <c r="B79" s="3"/>
      <c r="C79" s="3"/>
      <c r="D79" s="3"/>
      <c r="E79" s="3"/>
      <c r="F79" s="3"/>
      <c r="G79" s="3"/>
      <c r="H79" s="3"/>
      <c r="I79" s="3"/>
      <c r="J79" s="3"/>
      <c r="K79" s="3"/>
      <c r="L79" s="3"/>
      <c r="M79" s="3"/>
    </row>
    <row r="80" spans="1:26" ht="13.5" thickBot="1">
      <c r="A80" s="3" t="s">
        <v>756</v>
      </c>
      <c r="B80" s="3"/>
      <c r="C80" s="3"/>
      <c r="D80" s="3"/>
      <c r="E80" s="3"/>
      <c r="F80" s="3"/>
      <c r="G80" s="3"/>
      <c r="H80" s="3"/>
      <c r="I80" s="3"/>
      <c r="J80" s="3"/>
      <c r="K80" s="3"/>
      <c r="L80" s="3"/>
      <c r="M80" s="3"/>
    </row>
    <row r="81" spans="1:26" ht="13.5" thickBot="1">
      <c r="A81" s="74" t="s">
        <v>543</v>
      </c>
      <c r="B81" s="85"/>
      <c r="C81" s="85"/>
      <c r="D81" s="63" t="s">
        <v>748</v>
      </c>
      <c r="E81" s="63" t="s">
        <v>749</v>
      </c>
      <c r="F81" s="63" t="s">
        <v>750</v>
      </c>
      <c r="G81" s="3"/>
      <c r="H81" s="3"/>
      <c r="I81" s="3"/>
      <c r="J81" s="3"/>
      <c r="K81" s="3"/>
      <c r="L81" s="3"/>
      <c r="M81" s="3"/>
    </row>
    <row r="82" spans="1:26" ht="12.75">
      <c r="A82" s="3" t="s">
        <v>688</v>
      </c>
      <c r="B82" s="3">
        <v>510.25</v>
      </c>
      <c r="C82" s="3">
        <v>5.65</v>
      </c>
      <c r="D82" s="3">
        <f>$B82+$C82*B69</f>
        <v>1593.5810000000001</v>
      </c>
      <c r="E82" s="3">
        <f>$B82+$C82*B70</f>
        <v>1793.3085000000001</v>
      </c>
      <c r="F82" s="3">
        <f>$B82+$C82*B71</f>
        <v>3701.0875000000001</v>
      </c>
      <c r="G82" s="3"/>
      <c r="H82" s="3"/>
      <c r="I82" s="3"/>
      <c r="J82" s="3"/>
      <c r="K82" s="3"/>
      <c r="L82" s="3"/>
      <c r="M82" s="3"/>
    </row>
    <row r="83" spans="1:26" s="79" customFormat="1" ht="12.75">
      <c r="A83" s="3" t="s">
        <v>689</v>
      </c>
      <c r="B83" s="3">
        <v>792.07</v>
      </c>
      <c r="C83" s="3">
        <v>6.98</v>
      </c>
      <c r="D83" s="3">
        <f>$B83+$C83*C69</f>
        <v>1523.7834</v>
      </c>
      <c r="E83" s="3">
        <f>$B83+$C83*C70</f>
        <v>1858.9630000000002</v>
      </c>
      <c r="F83" s="3">
        <f>$B83+$C83*C71</f>
        <v>3702.1018000000004</v>
      </c>
      <c r="G83" s="3"/>
      <c r="H83" s="3"/>
      <c r="I83" s="3"/>
      <c r="J83" s="3"/>
      <c r="K83" s="3"/>
      <c r="L83" s="3"/>
      <c r="M83" s="3"/>
    </row>
    <row r="84" spans="1:26" s="79" customFormat="1" ht="12.75">
      <c r="A84" s="3" t="s">
        <v>690</v>
      </c>
      <c r="B84" s="3">
        <v>-127.92</v>
      </c>
      <c r="C84" s="3">
        <v>2.95</v>
      </c>
      <c r="D84" s="3">
        <f>$B84+$C84*D69</f>
        <v>1251.146</v>
      </c>
      <c r="E84" s="3">
        <f>$B84+$C84*D70</f>
        <v>2273.2619999999997</v>
      </c>
      <c r="F84" s="3">
        <f>$B84+$C84*D71</f>
        <v>3572.1469999999999</v>
      </c>
      <c r="G84" s="3"/>
      <c r="H84" s="3"/>
      <c r="I84" s="3"/>
      <c r="J84" s="3"/>
      <c r="K84" s="3"/>
      <c r="L84" s="3"/>
      <c r="M84" s="3"/>
    </row>
    <row r="85" spans="1:26" ht="12.75">
      <c r="G85" s="3"/>
      <c r="H85" s="3"/>
      <c r="I85" s="3"/>
      <c r="J85" s="3"/>
      <c r="K85" s="3"/>
      <c r="L85" s="3"/>
      <c r="M85" s="3"/>
    </row>
    <row r="86" spans="1:26" ht="13.5" thickBot="1">
      <c r="A86" s="3"/>
      <c r="B86" s="3"/>
      <c r="C86" s="3"/>
      <c r="D86" s="3"/>
      <c r="E86" s="3"/>
      <c r="F86" s="59"/>
      <c r="G86" s="3"/>
      <c r="H86" s="3"/>
      <c r="I86" s="3"/>
      <c r="J86" s="3"/>
      <c r="K86" s="3"/>
      <c r="L86" s="3"/>
      <c r="M86" s="3"/>
    </row>
    <row r="87" spans="1:26" ht="13.5" thickBot="1">
      <c r="A87" s="91" t="s">
        <v>95</v>
      </c>
      <c r="B87" s="92" t="s">
        <v>757</v>
      </c>
      <c r="C87" s="93" t="s">
        <v>758</v>
      </c>
      <c r="D87" s="92" t="s">
        <v>759</v>
      </c>
      <c r="E87" s="92" t="s">
        <v>760</v>
      </c>
      <c r="F87" s="103" t="s">
        <v>766</v>
      </c>
      <c r="G87" s="91" t="s">
        <v>761</v>
      </c>
      <c r="H87" s="91" t="s">
        <v>762</v>
      </c>
      <c r="I87" s="3"/>
      <c r="J87" s="3"/>
      <c r="K87" s="3"/>
      <c r="L87" s="3"/>
      <c r="M87" s="3"/>
    </row>
    <row r="88" spans="1:26" ht="12.75">
      <c r="A88" s="94" t="s">
        <v>748</v>
      </c>
      <c r="B88" s="95">
        <v>125</v>
      </c>
      <c r="C88" s="95">
        <v>14</v>
      </c>
      <c r="D88" s="94">
        <v>1.1399999999999999</v>
      </c>
      <c r="E88" s="94">
        <v>1.21</v>
      </c>
      <c r="F88" s="104">
        <v>191.74</v>
      </c>
      <c r="G88" s="94">
        <v>1593.58</v>
      </c>
      <c r="H88" s="94">
        <v>1392</v>
      </c>
      <c r="I88" s="3"/>
      <c r="J88" s="3"/>
      <c r="K88" s="3"/>
      <c r="L88" s="3"/>
      <c r="M88" s="3"/>
    </row>
    <row r="89" spans="1:26" ht="12.75">
      <c r="A89" s="94" t="s">
        <v>132</v>
      </c>
      <c r="B89" s="94">
        <v>200</v>
      </c>
      <c r="C89" s="94">
        <v>8</v>
      </c>
      <c r="D89" s="94">
        <v>1.06</v>
      </c>
      <c r="E89" s="94">
        <v>1.03</v>
      </c>
      <c r="F89" s="104">
        <v>227.09</v>
      </c>
      <c r="G89" s="94">
        <v>1793.31</v>
      </c>
      <c r="H89" s="94">
        <v>2016</v>
      </c>
      <c r="I89" s="3"/>
      <c r="J89" s="3"/>
      <c r="K89" s="3"/>
      <c r="L89" s="3"/>
      <c r="M89" s="3"/>
    </row>
    <row r="90" spans="1:26" ht="13.5" thickBot="1">
      <c r="A90" s="96" t="s">
        <v>750</v>
      </c>
      <c r="B90" s="97">
        <v>370</v>
      </c>
      <c r="C90" s="97">
        <v>12</v>
      </c>
      <c r="D90" s="97">
        <v>1.1200000000000001</v>
      </c>
      <c r="E90" s="97">
        <v>1.32</v>
      </c>
      <c r="F90" s="105">
        <v>564.75</v>
      </c>
      <c r="G90" s="97">
        <v>3701.09</v>
      </c>
      <c r="H90" s="97">
        <v>3680</v>
      </c>
      <c r="I90" s="3"/>
      <c r="J90" s="3"/>
      <c r="K90" s="3"/>
      <c r="L90" s="3"/>
      <c r="M90" s="3"/>
    </row>
    <row r="91" spans="1:26" ht="13.5" thickBot="1">
      <c r="F91" s="61"/>
      <c r="I91" s="3"/>
      <c r="J91" s="3"/>
      <c r="K91" s="3"/>
      <c r="L91" s="3"/>
      <c r="M91" s="3"/>
    </row>
    <row r="92" spans="1:26" s="79" customFormat="1" ht="13.5" thickBot="1">
      <c r="A92" s="98" t="s">
        <v>95</v>
      </c>
      <c r="B92" s="92" t="s">
        <v>765</v>
      </c>
      <c r="C92" s="101" t="s">
        <v>119</v>
      </c>
      <c r="D92" s="100" t="s">
        <v>101</v>
      </c>
      <c r="E92" s="100" t="s">
        <v>102</v>
      </c>
      <c r="F92" s="103" t="s">
        <v>767</v>
      </c>
      <c r="G92" s="91" t="s">
        <v>761</v>
      </c>
      <c r="H92" s="91" t="s">
        <v>762</v>
      </c>
      <c r="I92" s="3"/>
      <c r="J92" s="3"/>
      <c r="K92" s="3"/>
      <c r="L92" s="3"/>
      <c r="M92" s="3"/>
    </row>
    <row r="93" spans="1:26" s="79" customFormat="1" ht="12.75">
      <c r="A93" s="94" t="s">
        <v>748</v>
      </c>
      <c r="B93" s="95">
        <v>62</v>
      </c>
      <c r="C93" s="95">
        <v>14</v>
      </c>
      <c r="D93" s="94">
        <v>1.1399999999999999</v>
      </c>
      <c r="E93" s="94">
        <v>1.21</v>
      </c>
      <c r="F93" s="104">
        <v>104.83</v>
      </c>
      <c r="G93" s="94">
        <v>1523.78</v>
      </c>
      <c r="H93" s="94">
        <v>1392</v>
      </c>
      <c r="I93" s="3"/>
      <c r="J93" s="3"/>
      <c r="K93" s="3"/>
      <c r="L93" s="3"/>
      <c r="M93" s="3"/>
    </row>
    <row r="94" spans="1:26" s="79" customFormat="1" ht="12.75">
      <c r="A94" s="94" t="s">
        <v>132</v>
      </c>
      <c r="B94" s="94">
        <v>132</v>
      </c>
      <c r="C94" s="94">
        <v>8</v>
      </c>
      <c r="D94" s="94">
        <v>1.06</v>
      </c>
      <c r="E94" s="94">
        <v>1.03</v>
      </c>
      <c r="F94" s="104">
        <v>152.85</v>
      </c>
      <c r="G94" s="94">
        <v>1858.96</v>
      </c>
      <c r="H94" s="94">
        <v>2016</v>
      </c>
      <c r="I94" s="3"/>
      <c r="J94" s="3"/>
      <c r="K94" s="3"/>
      <c r="L94" s="3"/>
      <c r="M94" s="3"/>
      <c r="N94" s="3"/>
      <c r="O94" s="3"/>
      <c r="P94" s="3"/>
      <c r="Q94" s="3"/>
      <c r="R94" s="3"/>
      <c r="S94" s="3"/>
      <c r="T94" s="3"/>
      <c r="U94" s="3"/>
      <c r="V94" s="3"/>
      <c r="W94" s="3"/>
      <c r="X94" s="3"/>
      <c r="Y94" s="3"/>
      <c r="Z94" s="3"/>
    </row>
    <row r="95" spans="1:26" s="79" customFormat="1" ht="13.5" thickBot="1">
      <c r="A95" s="96" t="s">
        <v>750</v>
      </c>
      <c r="B95" s="97">
        <v>270</v>
      </c>
      <c r="C95" s="97">
        <v>12</v>
      </c>
      <c r="D95" s="97">
        <v>1.1200000000000001</v>
      </c>
      <c r="E95" s="97">
        <v>1.32</v>
      </c>
      <c r="F95" s="105">
        <v>416.91</v>
      </c>
      <c r="G95" s="102">
        <v>3702.1</v>
      </c>
      <c r="H95" s="97">
        <v>3680</v>
      </c>
      <c r="I95" s="3"/>
      <c r="J95" s="3"/>
      <c r="K95" s="3"/>
      <c r="L95" s="3"/>
      <c r="M95" s="3"/>
      <c r="N95" s="3"/>
      <c r="O95" s="3"/>
      <c r="P95" s="3"/>
      <c r="Q95" s="3"/>
      <c r="R95" s="3"/>
      <c r="S95" s="3"/>
      <c r="T95" s="3"/>
      <c r="U95" s="3"/>
      <c r="V95" s="3"/>
      <c r="W95" s="3"/>
      <c r="X95" s="3"/>
      <c r="Y95" s="3"/>
      <c r="Z95" s="3"/>
    </row>
    <row r="96" spans="1:26" s="79" customFormat="1" ht="12.75">
      <c r="A96"/>
      <c r="B96"/>
      <c r="C96"/>
      <c r="D96"/>
      <c r="E96"/>
      <c r="F96" s="61"/>
      <c r="G96"/>
      <c r="H96"/>
      <c r="I96" s="3"/>
      <c r="J96" s="3"/>
      <c r="K96" s="3"/>
      <c r="L96" s="3"/>
      <c r="M96" s="3"/>
      <c r="N96" s="3"/>
      <c r="O96" s="3"/>
      <c r="P96" s="3"/>
      <c r="Q96" s="3"/>
      <c r="R96" s="3"/>
      <c r="S96" s="3"/>
      <c r="T96" s="3"/>
      <c r="U96" s="3"/>
      <c r="V96" s="3"/>
      <c r="W96" s="3"/>
      <c r="X96" s="3"/>
      <c r="Y96" s="3"/>
      <c r="Z96" s="3"/>
    </row>
    <row r="97" spans="1:26" ht="13.5" thickBot="1">
      <c r="D97" s="61"/>
      <c r="I97" s="3"/>
      <c r="J97" s="3"/>
      <c r="K97" s="3"/>
      <c r="L97" s="3"/>
      <c r="M97" s="3"/>
      <c r="N97" s="3"/>
      <c r="O97" s="3"/>
      <c r="P97" s="3"/>
      <c r="Q97" s="3"/>
      <c r="R97" s="3"/>
      <c r="S97" s="3"/>
      <c r="T97" s="3"/>
      <c r="U97" s="3"/>
      <c r="V97" s="3"/>
      <c r="W97" s="3"/>
      <c r="X97" s="3"/>
      <c r="Y97" s="3"/>
      <c r="Z97" s="3"/>
    </row>
    <row r="98" spans="1:26" ht="24.75" thickBot="1">
      <c r="A98" s="98" t="s">
        <v>95</v>
      </c>
      <c r="B98" s="93" t="s">
        <v>763</v>
      </c>
      <c r="C98" s="92" t="s">
        <v>764</v>
      </c>
      <c r="D98" s="103" t="s">
        <v>768</v>
      </c>
      <c r="E98" s="98" t="s">
        <v>557</v>
      </c>
      <c r="F98" s="98" t="s">
        <v>558</v>
      </c>
      <c r="I98" s="3"/>
      <c r="J98" s="3"/>
      <c r="K98" s="3"/>
      <c r="L98" s="3"/>
      <c r="M98" s="3"/>
      <c r="N98" s="3"/>
      <c r="O98" s="3"/>
      <c r="P98" s="3"/>
      <c r="Q98" s="3"/>
      <c r="R98" s="3"/>
      <c r="S98" s="3"/>
      <c r="T98" s="3"/>
      <c r="U98" s="3"/>
      <c r="V98" s="3"/>
      <c r="W98" s="3"/>
      <c r="X98" s="3"/>
      <c r="Y98" s="3"/>
      <c r="Z98" s="3"/>
    </row>
    <row r="99" spans="1:26" ht="12.75">
      <c r="A99" s="94" t="s">
        <v>748</v>
      </c>
      <c r="B99" s="95">
        <v>403</v>
      </c>
      <c r="C99" s="94">
        <v>1.1599999999999999</v>
      </c>
      <c r="D99" s="104">
        <v>467.48</v>
      </c>
      <c r="E99" s="94">
        <v>1251.1500000000001</v>
      </c>
      <c r="F99" s="95">
        <v>1392</v>
      </c>
      <c r="G99" s="3"/>
      <c r="H99" s="3"/>
      <c r="I99" s="3"/>
      <c r="J99" s="3"/>
      <c r="K99" s="3"/>
      <c r="L99" s="3"/>
      <c r="M99" s="3"/>
      <c r="N99" s="3"/>
      <c r="O99" s="3"/>
      <c r="P99" s="3"/>
      <c r="Q99" s="3"/>
      <c r="R99" s="3"/>
      <c r="S99" s="3"/>
      <c r="T99" s="3"/>
      <c r="U99" s="3"/>
      <c r="V99" s="3"/>
      <c r="W99" s="3"/>
      <c r="X99" s="3"/>
      <c r="Y99" s="3"/>
      <c r="Z99" s="3"/>
    </row>
    <row r="100" spans="1:26" ht="12.75">
      <c r="A100" s="94" t="s">
        <v>132</v>
      </c>
      <c r="B100" s="94">
        <v>714</v>
      </c>
      <c r="C100" s="95">
        <v>1.1399999999999999</v>
      </c>
      <c r="D100" s="106">
        <v>813.96</v>
      </c>
      <c r="E100" s="94">
        <v>2273.2600000000002</v>
      </c>
      <c r="F100" s="95">
        <v>2016</v>
      </c>
      <c r="G100" s="3"/>
      <c r="H100" s="3"/>
      <c r="I100" s="3"/>
      <c r="J100" s="3"/>
      <c r="K100" s="3"/>
      <c r="L100" s="3"/>
      <c r="M100" s="3"/>
      <c r="N100" s="3"/>
      <c r="O100" s="3"/>
      <c r="P100" s="3"/>
      <c r="Q100" s="3"/>
      <c r="R100" s="3"/>
      <c r="S100" s="3"/>
      <c r="T100" s="3"/>
      <c r="U100" s="3"/>
      <c r="V100" s="3"/>
      <c r="W100" s="3"/>
      <c r="X100" s="3"/>
      <c r="Y100" s="3"/>
      <c r="Z100" s="3"/>
    </row>
    <row r="101" spans="1:26" ht="13.5" thickBot="1">
      <c r="A101" s="96" t="s">
        <v>750</v>
      </c>
      <c r="B101" s="97">
        <v>1054</v>
      </c>
      <c r="C101" s="97">
        <v>1.19</v>
      </c>
      <c r="D101" s="105">
        <v>1254.26</v>
      </c>
      <c r="E101" s="97">
        <v>3572.15</v>
      </c>
      <c r="F101" s="99">
        <v>3680</v>
      </c>
      <c r="G101" s="3"/>
      <c r="H101" s="3"/>
      <c r="I101" s="3"/>
      <c r="J101" s="3"/>
      <c r="K101" s="3"/>
      <c r="L101" s="3"/>
      <c r="M101" s="3"/>
      <c r="N101" s="3"/>
      <c r="O101" s="3"/>
      <c r="P101" s="3"/>
      <c r="Q101" s="3"/>
      <c r="R101" s="3"/>
      <c r="S101" s="3"/>
      <c r="T101" s="3"/>
      <c r="U101" s="3"/>
      <c r="V101" s="3"/>
      <c r="W101" s="3"/>
      <c r="X101" s="3"/>
      <c r="Y101" s="3"/>
      <c r="Z101" s="3"/>
    </row>
    <row r="102" spans="1:26" ht="12.75">
      <c r="D102" s="61"/>
      <c r="G102" s="3"/>
      <c r="H102" s="3"/>
      <c r="I102" s="3"/>
      <c r="J102" s="3"/>
      <c r="K102" s="3"/>
      <c r="L102" s="3"/>
      <c r="M102" s="3"/>
      <c r="N102" s="3"/>
      <c r="O102" s="3"/>
      <c r="P102" s="3"/>
      <c r="Q102" s="3"/>
      <c r="R102" s="3"/>
      <c r="S102" s="3"/>
      <c r="T102" s="3"/>
      <c r="U102" s="3"/>
      <c r="V102" s="3"/>
      <c r="W102" s="3"/>
      <c r="X102" s="3"/>
      <c r="Y102" s="3"/>
      <c r="Z102" s="3"/>
    </row>
    <row r="103" spans="1:26" ht="12.75">
      <c r="A103" s="3"/>
      <c r="B103" s="3"/>
      <c r="C103" s="3"/>
      <c r="D103" s="59"/>
      <c r="E103" s="3"/>
      <c r="F103" s="3"/>
      <c r="G103" s="3"/>
      <c r="H103" s="3"/>
      <c r="I103" s="3"/>
      <c r="J103" s="3"/>
      <c r="K103" s="3"/>
      <c r="L103" s="3"/>
      <c r="M103" s="3"/>
      <c r="N103" s="3"/>
      <c r="O103" s="3"/>
      <c r="P103" s="3"/>
      <c r="Q103" s="3"/>
      <c r="R103" s="3"/>
      <c r="S103" s="3"/>
      <c r="T103" s="3"/>
      <c r="U103" s="3"/>
      <c r="V103" s="3"/>
      <c r="W103" s="3"/>
      <c r="X103" s="3"/>
      <c r="Y103" s="3"/>
      <c r="Z103" s="3"/>
    </row>
    <row r="104" spans="1:26" ht="13.5" thickBot="1">
      <c r="A104" s="63" t="s">
        <v>770</v>
      </c>
      <c r="B104" s="3"/>
      <c r="C104" s="3"/>
      <c r="D104" s="3"/>
      <c r="E104" s="3"/>
      <c r="F104" s="3"/>
      <c r="G104" s="3"/>
      <c r="H104" s="3"/>
      <c r="I104" s="3"/>
      <c r="J104" s="3"/>
      <c r="L104" s="3"/>
      <c r="M104" s="3"/>
      <c r="N104" s="3"/>
      <c r="O104" s="3"/>
      <c r="P104" s="3"/>
      <c r="Q104" s="3"/>
      <c r="R104" s="3"/>
      <c r="S104" s="3"/>
      <c r="T104" s="3"/>
      <c r="U104" s="3"/>
      <c r="V104" s="3"/>
      <c r="W104" s="3"/>
      <c r="X104" s="3"/>
      <c r="Y104" s="3"/>
      <c r="Z104" s="3"/>
    </row>
    <row r="105" spans="1:26" ht="13.5" thickBot="1">
      <c r="A105" s="85"/>
      <c r="B105" s="85"/>
      <c r="C105" s="63" t="s">
        <v>748</v>
      </c>
      <c r="D105" s="63" t="s">
        <v>749</v>
      </c>
      <c r="E105" s="63" t="s">
        <v>750</v>
      </c>
      <c r="F105" s="3"/>
      <c r="G105" s="3"/>
      <c r="H105" s="3"/>
      <c r="I105" s="3"/>
      <c r="J105" s="3"/>
      <c r="L105" s="3"/>
      <c r="M105" s="3"/>
      <c r="N105" s="3"/>
      <c r="O105" s="3"/>
      <c r="P105" s="3"/>
      <c r="Q105" s="3"/>
      <c r="R105" s="3"/>
      <c r="S105" s="3"/>
      <c r="T105" s="3"/>
      <c r="U105" s="3"/>
      <c r="V105" s="3"/>
      <c r="W105" s="3"/>
      <c r="X105" s="3"/>
      <c r="Y105" s="3"/>
      <c r="Z105" s="3"/>
    </row>
    <row r="106" spans="1:26" ht="13.5" thickBot="1">
      <c r="A106" s="86">
        <v>510.245</v>
      </c>
      <c r="B106" s="66">
        <v>5.65</v>
      </c>
      <c r="C106" s="94">
        <v>1593.58</v>
      </c>
      <c r="D106" s="94">
        <v>1793.31</v>
      </c>
      <c r="E106" s="97">
        <v>3701.09</v>
      </c>
      <c r="F106" s="3"/>
      <c r="G106" s="3"/>
      <c r="H106" s="3"/>
      <c r="I106" s="3"/>
      <c r="J106" s="3"/>
      <c r="L106" s="3"/>
      <c r="M106" s="3"/>
      <c r="N106" s="3"/>
      <c r="O106" s="3"/>
      <c r="P106" s="3"/>
      <c r="Q106" s="3"/>
      <c r="R106" s="3"/>
      <c r="S106" s="3"/>
      <c r="T106" s="3"/>
      <c r="U106" s="3"/>
      <c r="V106" s="3"/>
      <c r="W106" s="3"/>
      <c r="X106" s="3"/>
      <c r="Y106" s="3"/>
      <c r="Z106" s="3"/>
    </row>
    <row r="107" spans="1:26" ht="13.5" thickBot="1">
      <c r="A107" s="3">
        <v>792.06500000000005</v>
      </c>
      <c r="B107" s="3">
        <v>6.9850000000000003</v>
      </c>
      <c r="C107" s="94">
        <v>1523.78</v>
      </c>
      <c r="D107" s="94">
        <v>1858.96</v>
      </c>
      <c r="E107" s="102">
        <v>3702.1</v>
      </c>
      <c r="F107" s="3"/>
      <c r="G107" s="63" t="s">
        <v>247</v>
      </c>
      <c r="H107" s="3"/>
      <c r="I107" s="3"/>
      <c r="J107" s="3"/>
      <c r="L107" s="3"/>
      <c r="M107" s="3"/>
      <c r="N107" s="3"/>
      <c r="O107" s="3"/>
      <c r="P107" s="3"/>
      <c r="Q107" s="3"/>
      <c r="R107" s="3"/>
      <c r="S107" s="3"/>
      <c r="T107" s="3"/>
      <c r="U107" s="3"/>
      <c r="V107" s="3"/>
      <c r="W107" s="3"/>
      <c r="X107" s="3"/>
      <c r="Y107" s="3"/>
      <c r="Z107" s="3"/>
    </row>
    <row r="108" spans="1:26" s="90" customFormat="1" ht="13.5" thickBot="1">
      <c r="A108" s="87">
        <v>-127.92400000000001</v>
      </c>
      <c r="B108" s="88">
        <v>2.9470000000000001</v>
      </c>
      <c r="C108" s="94">
        <v>1251.1500000000001</v>
      </c>
      <c r="D108" s="94">
        <v>2273.2600000000002</v>
      </c>
      <c r="E108" s="97">
        <v>3572.15</v>
      </c>
      <c r="F108" s="3"/>
      <c r="G108" s="63"/>
      <c r="H108" s="3"/>
      <c r="I108" s="3"/>
      <c r="J108" s="3"/>
      <c r="L108" s="3"/>
      <c r="M108" s="3"/>
      <c r="N108" s="3"/>
      <c r="O108" s="3"/>
      <c r="P108" s="3"/>
      <c r="Q108" s="3"/>
      <c r="R108" s="3"/>
      <c r="S108" s="3"/>
      <c r="T108" s="3"/>
      <c r="U108" s="3"/>
      <c r="V108" s="3"/>
      <c r="W108" s="3"/>
      <c r="X108" s="3"/>
      <c r="Y108" s="3"/>
      <c r="Z108" s="3"/>
    </row>
    <row r="109" spans="1:26" ht="12.75">
      <c r="A109" s="3"/>
      <c r="B109" s="63" t="s">
        <v>245</v>
      </c>
      <c r="C109" s="3">
        <f>ABS(F99-C106)/F99</f>
        <v>0.14481321839080455</v>
      </c>
      <c r="D109" s="3">
        <f>ABS(D106-F100)/F100</f>
        <v>0.11046130952380954</v>
      </c>
      <c r="E109" s="3">
        <f>ABS(E106-F101)/F101</f>
        <v>5.7309782608696049E-3</v>
      </c>
      <c r="F109" s="3"/>
      <c r="G109" s="3">
        <f>AVERAGE(C109:E109)</f>
        <v>8.7001835391827889E-2</v>
      </c>
      <c r="H109" s="3"/>
      <c r="I109" s="3"/>
      <c r="J109" s="3"/>
      <c r="L109" s="3"/>
      <c r="M109" s="3"/>
      <c r="N109" s="3"/>
      <c r="O109" s="3"/>
      <c r="P109" s="3"/>
      <c r="Q109" s="3"/>
      <c r="R109" s="3"/>
      <c r="S109" s="3"/>
      <c r="T109" s="3"/>
      <c r="U109" s="3"/>
      <c r="V109" s="3"/>
      <c r="W109" s="3"/>
      <c r="X109" s="3"/>
      <c r="Y109" s="3"/>
      <c r="Z109" s="3"/>
    </row>
    <row r="110" spans="1:26" ht="12.75">
      <c r="A110" s="3"/>
      <c r="B110" s="3"/>
      <c r="C110" s="3">
        <f>ABS(F99-C107)/F99</f>
        <v>9.4669540229885038E-2</v>
      </c>
      <c r="D110" s="3">
        <f>ABS(D107-F100)/F100</f>
        <v>7.7896825396825381E-2</v>
      </c>
      <c r="E110" s="3">
        <f>ABS(E107-F101)/F101</f>
        <v>6.005434782608671E-3</v>
      </c>
      <c r="F110" s="3"/>
      <c r="G110" s="3">
        <f>AVERAGE(C110:E110)</f>
        <v>5.9523933469773027E-2</v>
      </c>
      <c r="H110" s="3"/>
      <c r="I110" s="3"/>
      <c r="J110" s="3"/>
      <c r="L110" s="3"/>
      <c r="M110" s="3"/>
      <c r="N110" s="3"/>
      <c r="O110" s="3"/>
      <c r="P110" s="3"/>
      <c r="Q110" s="3"/>
      <c r="R110" s="3"/>
      <c r="S110" s="3"/>
      <c r="T110" s="3"/>
      <c r="U110" s="3"/>
      <c r="V110" s="3"/>
      <c r="W110" s="3"/>
      <c r="X110" s="3"/>
      <c r="Y110" s="3"/>
      <c r="Z110" s="3"/>
    </row>
    <row r="111" spans="1:26" ht="12.75">
      <c r="A111" s="3"/>
      <c r="C111" s="3">
        <f>ABS(F99-C108)/F99</f>
        <v>0.10118534482758614</v>
      </c>
      <c r="D111" s="3">
        <f>ABS(D108-F100)/F100</f>
        <v>0.1276091269841271</v>
      </c>
      <c r="E111" s="3">
        <f>ABS(E108-F101)/F101</f>
        <v>2.9307065217391279E-2</v>
      </c>
      <c r="G111" s="3">
        <f>AVERAGE(C111:E111)</f>
        <v>8.6033845676368181E-2</v>
      </c>
      <c r="H111" s="3"/>
      <c r="I111" s="3"/>
      <c r="J111" s="3"/>
      <c r="L111" s="3"/>
      <c r="M111" s="3"/>
      <c r="N111" s="3"/>
      <c r="O111" s="3"/>
      <c r="P111" s="3"/>
      <c r="Q111" s="3"/>
      <c r="R111" s="3"/>
      <c r="S111" s="3"/>
      <c r="T111" s="3"/>
      <c r="U111" s="3"/>
      <c r="V111" s="3"/>
      <c r="W111" s="3"/>
      <c r="X111" s="3"/>
      <c r="Y111" s="3"/>
      <c r="Z111" s="3"/>
    </row>
    <row r="112" spans="1:26" ht="12.75">
      <c r="A112" s="3"/>
      <c r="B112" s="89">
        <v>0.25</v>
      </c>
      <c r="C112" s="63" t="s">
        <v>754</v>
      </c>
      <c r="D112" s="63" t="s">
        <v>755</v>
      </c>
      <c r="E112" s="63" t="s">
        <v>754</v>
      </c>
      <c r="F112" s="3"/>
      <c r="G112" s="3"/>
      <c r="H112" s="3"/>
      <c r="I112" s="3"/>
      <c r="J112" s="3"/>
      <c r="K112" s="3"/>
      <c r="L112" s="3"/>
      <c r="M112" s="3"/>
      <c r="N112" s="3"/>
      <c r="O112" s="3"/>
      <c r="P112" s="3"/>
      <c r="Q112" s="3"/>
      <c r="R112" s="3"/>
      <c r="S112" s="3"/>
      <c r="T112" s="3"/>
      <c r="U112" s="3"/>
      <c r="V112" s="3"/>
      <c r="W112" s="3"/>
      <c r="X112" s="3"/>
      <c r="Y112" s="3"/>
      <c r="Z112" s="3"/>
    </row>
    <row r="113" spans="1:26" ht="12.75">
      <c r="A113" s="3"/>
      <c r="B113" s="3"/>
      <c r="C113" s="63" t="s">
        <v>754</v>
      </c>
      <c r="D113" s="63" t="s">
        <v>755</v>
      </c>
      <c r="E113" s="63" t="s">
        <v>754</v>
      </c>
      <c r="F113" s="3"/>
      <c r="G113" s="3"/>
      <c r="H113" s="3"/>
      <c r="I113" s="3"/>
      <c r="J113" s="3"/>
      <c r="K113" s="3"/>
      <c r="L113" s="3"/>
      <c r="M113" s="3"/>
      <c r="N113" s="3"/>
      <c r="O113" s="3"/>
      <c r="P113" s="3"/>
      <c r="Q113" s="3"/>
      <c r="R113" s="3"/>
      <c r="S113" s="3"/>
      <c r="T113" s="3"/>
      <c r="U113" s="3"/>
      <c r="V113" s="3"/>
      <c r="W113" s="3"/>
      <c r="X113" s="3"/>
      <c r="Y113" s="3"/>
      <c r="Z113" s="3"/>
    </row>
    <row r="114" spans="1:26" ht="12.75">
      <c r="A114" s="3"/>
      <c r="B114" s="3"/>
      <c r="C114" s="63" t="s">
        <v>754</v>
      </c>
      <c r="D114" s="63" t="s">
        <v>755</v>
      </c>
      <c r="E114" s="63" t="s">
        <v>754</v>
      </c>
      <c r="F114" s="3"/>
      <c r="G114" s="3"/>
      <c r="H114" s="3"/>
      <c r="I114" s="3"/>
      <c r="J114" s="3"/>
      <c r="K114" s="3"/>
      <c r="L114" s="3"/>
      <c r="M114" s="3"/>
      <c r="N114" s="3"/>
      <c r="O114" s="3"/>
      <c r="P114" s="3"/>
      <c r="Q114" s="3"/>
      <c r="R114" s="3"/>
      <c r="S114" s="3"/>
      <c r="T114" s="3"/>
      <c r="U114" s="3"/>
      <c r="V114" s="3"/>
      <c r="W114" s="3"/>
      <c r="X114" s="3"/>
      <c r="Y114" s="3"/>
      <c r="Z114" s="3"/>
    </row>
    <row r="115" spans="1:26" ht="12.7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sheetData>
  <hyperlinks>
    <hyperlink ref="B87" location="_ftn1" display="_ftn1"/>
    <hyperlink ref="C87" location="_ftn2" display="_ftn2"/>
    <hyperlink ref="D87" location="_ftn3" display="_ftn3"/>
    <hyperlink ref="E87" location="_ftn4" display="_ftn4"/>
    <hyperlink ref="F87" location="_ftn5" display="_ftn5"/>
    <hyperlink ref="D98" location="_ftn3" display="_ftn3"/>
    <hyperlink ref="C98" location="_ftn2" display="_ftn2"/>
    <hyperlink ref="B98" location="_ftn1" display="_ftn1"/>
    <hyperlink ref="B92" location="_ftn1" display="_ftn1"/>
    <hyperlink ref="F92" location="_ftn2" display="_ftn2"/>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5</vt:i4>
      </vt:variant>
    </vt:vector>
  </HeadingPairs>
  <TitlesOfParts>
    <vt:vector size="17" baseType="lpstr">
      <vt:lpstr>Estimation Phase 1</vt:lpstr>
      <vt:lpstr>Estimation Phase 2</vt:lpstr>
      <vt:lpstr>Estimation Phase 3</vt:lpstr>
      <vt:lpstr>Use Case Count Correction</vt:lpstr>
      <vt:lpstr>Factor Coverage-4-22</vt:lpstr>
      <vt:lpstr>Factor Coverage</vt:lpstr>
      <vt:lpstr>Dimension Reduction</vt:lpstr>
      <vt:lpstr>COCOMOII rating scales</vt:lpstr>
      <vt:lpstr>Cost Estimation Model Evaluatio</vt:lpstr>
      <vt:lpstr>Model Synthesis</vt:lpstr>
      <vt:lpstr>Resilient Agile Cost Estimation</vt:lpstr>
      <vt:lpstr>Data interpolation</vt:lpstr>
      <vt:lpstr>'Cost Estimation Model Evaluatio'!_ftnref1</vt:lpstr>
      <vt:lpstr>'Cost Estimation Model Evaluatio'!_ftnref2</vt:lpstr>
      <vt:lpstr>'Cost Estimation Model Evaluatio'!_ftnref3</vt:lpstr>
      <vt:lpstr>'Cost Estimation Model Evaluatio'!_ftnref4</vt:lpstr>
      <vt:lpstr>'Cost Estimation Model Evaluatio'!_ftnref5</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Kan Qi</cp:lastModifiedBy>
  <dcterms:modified xsi:type="dcterms:W3CDTF">2017-07-11T22:13:23Z</dcterms:modified>
</cp:coreProperties>
</file>