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aider/Dropbox/backup/grad school/Teaching/"/>
    </mc:Choice>
  </mc:AlternateContent>
  <xr:revisionPtr revIDLastSave="0" documentId="13_ncr:1_{8CCF9078-B31E-E249-A6A6-B80B7321945B}" xr6:coauthVersionLast="46" xr6:coauthVersionMax="46" xr10:uidLastSave="{00000000-0000-0000-0000-000000000000}"/>
  <bookViews>
    <workbookView xWindow="31900" yWindow="3060" windowWidth="25640" windowHeight="16440" firstSheet="3" activeTab="6" xr2:uid="{27A170F3-CFFB-7E41-8EE5-07475107EA89}"/>
  </bookViews>
  <sheets>
    <sheet name="Simple Regression by Hand" sheetId="1" r:id="rId1"/>
    <sheet name="Simple Regression Excel's Table" sheetId="7" r:id="rId2"/>
    <sheet name="2 Multiple Regression by Hand" sheetId="6" r:id="rId3"/>
    <sheet name="2 Mult Regression Excel's Table" sheetId="8" r:id="rId4"/>
    <sheet name="3 Multiple Regression by Hand" sheetId="2" r:id="rId5"/>
    <sheet name="3 Mult Regression Excel's Table" sheetId="9" r:id="rId6"/>
    <sheet name="3 Multiple Regression wFactors" sheetId="10" r:id="rId7"/>
    <sheet name="3 MR wFactors Excel's Table" sheetId="11" r:id="rId8"/>
  </sheets>
  <externalReferences>
    <externalReference r:id="rId9"/>
  </externalReferences>
  <definedNames>
    <definedName name="_xlchart.v1.0" hidden="1">'3 Multiple Regression wFactors'!$B$3:$B$14</definedName>
    <definedName name="_xlchart.v1.1" hidden="1">'3 Multiple Regression wFactors'!$C$2</definedName>
    <definedName name="_xlchart.v1.10" hidden="1">'3 Multiple Regression wFactors'!$C$2</definedName>
    <definedName name="_xlchart.v1.11" hidden="1">'3 Multiple Regression wFactors'!$C$3:$C$14</definedName>
    <definedName name="_xlchart.v1.12" hidden="1">'3 Multiple Regression wFactors'!$D$2</definedName>
    <definedName name="_xlchart.v1.13" hidden="1">'3 Multiple Regression wFactors'!$D$3:$D$14</definedName>
    <definedName name="_xlchart.v1.14" hidden="1">'3 Multiple Regression wFactors'!$E$2</definedName>
    <definedName name="_xlchart.v1.15" hidden="1">'3 Multiple Regression wFactors'!$E$3:$E$14</definedName>
    <definedName name="_xlchart.v1.16" hidden="1">'3 Multiple Regression wFactors'!$F$2</definedName>
    <definedName name="_xlchart.v1.17" hidden="1">'3 Multiple Regression wFactors'!$F$3:$F$14</definedName>
    <definedName name="_xlchart.v1.18" hidden="1">'3 Multiple Regression wFactors'!$B$3:$B$14</definedName>
    <definedName name="_xlchart.v1.19" hidden="1">'3 Multiple Regression wFactors'!$C$2</definedName>
    <definedName name="_xlchart.v1.2" hidden="1">'3 Multiple Regression wFactors'!$C$3:$C$14</definedName>
    <definedName name="_xlchart.v1.20" hidden="1">'3 Multiple Regression wFactors'!$C$3:$C$14</definedName>
    <definedName name="_xlchart.v1.21" hidden="1">'3 Multiple Regression wFactors'!$D$2</definedName>
    <definedName name="_xlchart.v1.22" hidden="1">'3 Multiple Regression wFactors'!$D$3:$D$14</definedName>
    <definedName name="_xlchart.v1.23" hidden="1">'3 Multiple Regression wFactors'!$E$2</definedName>
    <definedName name="_xlchart.v1.24" hidden="1">'3 Multiple Regression wFactors'!$E$3:$E$14</definedName>
    <definedName name="_xlchart.v1.25" hidden="1">'3 Multiple Regression wFactors'!$F$2</definedName>
    <definedName name="_xlchart.v1.26" hidden="1">'3 Multiple Regression wFactors'!$F$3:$F$14</definedName>
    <definedName name="_xlchart.v1.27" hidden="1">'3 Multiple Regression wFactors'!$B$3:$B$14</definedName>
    <definedName name="_xlchart.v1.28" hidden="1">'3 Multiple Regression wFactors'!$C$2</definedName>
    <definedName name="_xlchart.v1.29" hidden="1">'3 Multiple Regression wFactors'!$C$3:$C$14</definedName>
    <definedName name="_xlchart.v1.3" hidden="1">'3 Multiple Regression wFactors'!$D$2</definedName>
    <definedName name="_xlchart.v1.30" hidden="1">'3 Multiple Regression wFactors'!$D$2</definedName>
    <definedName name="_xlchart.v1.31" hidden="1">'3 Multiple Regression wFactors'!$D$3:$D$14</definedName>
    <definedName name="_xlchart.v1.32" hidden="1">'3 Multiple Regression wFactors'!$E$2</definedName>
    <definedName name="_xlchart.v1.33" hidden="1">'3 Multiple Regression wFactors'!$E$3:$E$14</definedName>
    <definedName name="_xlchart.v1.34" hidden="1">'3 Multiple Regression wFactors'!$F$2</definedName>
    <definedName name="_xlchart.v1.35" hidden="1">'3 Multiple Regression wFactors'!$F$3:$F$14</definedName>
    <definedName name="_xlchart.v1.36" hidden="1">'3 Multiple Regression wFactors'!$B$3:$B$14</definedName>
    <definedName name="_xlchart.v1.37" hidden="1">'3 Multiple Regression wFactors'!$C$2</definedName>
    <definedName name="_xlchart.v1.38" hidden="1">'3 Multiple Regression wFactors'!$C$3:$C$14</definedName>
    <definedName name="_xlchart.v1.39" hidden="1">'3 Multiple Regression wFactors'!$D$2</definedName>
    <definedName name="_xlchart.v1.4" hidden="1">'3 Multiple Regression wFactors'!$D$3:$D$14</definedName>
    <definedName name="_xlchart.v1.40" hidden="1">'3 Multiple Regression wFactors'!$D$3:$D$14</definedName>
    <definedName name="_xlchart.v1.41" hidden="1">'3 Multiple Regression wFactors'!$E$2</definedName>
    <definedName name="_xlchart.v1.42" hidden="1">'3 Multiple Regression wFactors'!$E$3:$E$14</definedName>
    <definedName name="_xlchart.v1.43" hidden="1">'3 Multiple Regression wFactors'!$F$2</definedName>
    <definedName name="_xlchart.v1.44" hidden="1">'3 Multiple Regression wFactors'!$F$3:$F$14</definedName>
    <definedName name="_xlchart.v1.45" hidden="1">'3 Multiple Regression wFactors'!$B$3:$B$14</definedName>
    <definedName name="_xlchart.v1.46" hidden="1">'3 Multiple Regression wFactors'!$C$2</definedName>
    <definedName name="_xlchart.v1.47" hidden="1">'3 Multiple Regression wFactors'!$C$3:$C$14</definedName>
    <definedName name="_xlchart.v1.48" hidden="1">'3 Multiple Regression wFactors'!$D$2</definedName>
    <definedName name="_xlchart.v1.49" hidden="1">'3 Multiple Regression wFactors'!$D$3:$D$14</definedName>
    <definedName name="_xlchart.v1.5" hidden="1">'3 Multiple Regression wFactors'!$E$2</definedName>
    <definedName name="_xlchart.v1.50" hidden="1">'3 Multiple Regression wFactors'!$E$2</definedName>
    <definedName name="_xlchart.v1.51" hidden="1">'3 Multiple Regression wFactors'!$E$3:$E$14</definedName>
    <definedName name="_xlchart.v1.52" hidden="1">'3 Multiple Regression wFactors'!$F$2</definedName>
    <definedName name="_xlchart.v1.53" hidden="1">'3 Multiple Regression wFactors'!$F$3:$F$14</definedName>
    <definedName name="_xlchart.v1.54" hidden="1">'3 Multiple Regression wFactors'!$B$3:$B$14</definedName>
    <definedName name="_xlchart.v1.55" hidden="1">'3 Multiple Regression wFactors'!$C$2</definedName>
    <definedName name="_xlchart.v1.56" hidden="1">'3 Multiple Regression wFactors'!$C$3:$C$14</definedName>
    <definedName name="_xlchart.v1.57" hidden="1">'3 Multiple Regression wFactors'!$D$2</definedName>
    <definedName name="_xlchart.v1.58" hidden="1">'3 Multiple Regression wFactors'!$D$3:$D$14</definedName>
    <definedName name="_xlchart.v1.59" hidden="1">'3 Multiple Regression wFactors'!$E$2</definedName>
    <definedName name="_xlchart.v1.6" hidden="1">'3 Multiple Regression wFactors'!$E$3:$E$14</definedName>
    <definedName name="_xlchart.v1.60" hidden="1">'3 Multiple Regression wFactors'!$E$3:$E$14</definedName>
    <definedName name="_xlchart.v1.61" hidden="1">'3 Multiple Regression wFactors'!$F$2</definedName>
    <definedName name="_xlchart.v1.62" hidden="1">'3 Multiple Regression wFactors'!$F$3:$F$14</definedName>
    <definedName name="_xlchart.v1.63" hidden="1">'3 Multiple Regression wFactors'!$B$3:$B$14</definedName>
    <definedName name="_xlchart.v1.64" hidden="1">'3 Multiple Regression wFactors'!$C$2</definedName>
    <definedName name="_xlchart.v1.65" hidden="1">'3 Multiple Regression wFactors'!$C$3:$C$14</definedName>
    <definedName name="_xlchart.v1.66" hidden="1">'3 Multiple Regression wFactors'!$D$2</definedName>
    <definedName name="_xlchart.v1.67" hidden="1">'3 Multiple Regression wFactors'!$D$3:$D$14</definedName>
    <definedName name="_xlchart.v1.68" hidden="1">'3 Multiple Regression wFactors'!$E$2</definedName>
    <definedName name="_xlchart.v1.69" hidden="1">'3 Multiple Regression wFactors'!$E$3:$E$14</definedName>
    <definedName name="_xlchart.v1.7" hidden="1">'3 Multiple Regression wFactors'!$F$2</definedName>
    <definedName name="_xlchart.v1.70" hidden="1">'3 Multiple Regression wFactors'!$F$2</definedName>
    <definedName name="_xlchart.v1.71" hidden="1">'3 Multiple Regression wFactors'!$F$3:$F$14</definedName>
    <definedName name="_xlchart.v1.72" hidden="1">'3 Multiple Regression wFactors'!$B$3:$B$14</definedName>
    <definedName name="_xlchart.v1.73" hidden="1">'3 Multiple Regression wFactors'!$C$2</definedName>
    <definedName name="_xlchart.v1.74" hidden="1">'3 Multiple Regression wFactors'!$C$3:$C$14</definedName>
    <definedName name="_xlchart.v1.75" hidden="1">'3 Multiple Regression wFactors'!$D$2</definedName>
    <definedName name="_xlchart.v1.76" hidden="1">'3 Multiple Regression wFactors'!$D$3:$D$14</definedName>
    <definedName name="_xlchart.v1.77" hidden="1">'3 Multiple Regression wFactors'!$E$2</definedName>
    <definedName name="_xlchart.v1.78" hidden="1">'3 Multiple Regression wFactors'!$E$3:$E$14</definedName>
    <definedName name="_xlchart.v1.79" hidden="1">'3 Multiple Regression wFactors'!$F$2</definedName>
    <definedName name="_xlchart.v1.8" hidden="1">'3 Multiple Regression wFactors'!$F$3:$F$14</definedName>
    <definedName name="_xlchart.v1.80" hidden="1">'3 Multiple Regression wFactors'!$F$3:$F$14</definedName>
    <definedName name="_xlchart.v1.9" hidden="1">'3 Multiple Regression wFactors'!$B$3:$B$14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 i="10" l="1"/>
  <c r="B41" i="6"/>
  <c r="B40" i="6"/>
  <c r="B33" i="1"/>
  <c r="B32" i="1"/>
  <c r="B45" i="6"/>
  <c r="D32" i="1"/>
  <c r="D45" i="6"/>
  <c r="B46" i="6" s="1"/>
  <c r="B31" i="1"/>
  <c r="B47" i="6"/>
  <c r="D47" i="6"/>
  <c r="B48" i="6" s="1"/>
  <c r="B43" i="6"/>
  <c r="B37" i="6"/>
  <c r="F17" i="1" a="1"/>
  <c r="F17" i="1" s="1"/>
  <c r="D39" i="10"/>
  <c r="D38" i="10"/>
  <c r="D37" i="10"/>
  <c r="D36" i="10"/>
  <c r="D35" i="10"/>
  <c r="D33" i="10"/>
  <c r="D34" i="10"/>
  <c r="D32" i="10"/>
  <c r="D31" i="10"/>
  <c r="D30" i="10"/>
  <c r="D29" i="10"/>
  <c r="D24" i="10"/>
  <c r="D28" i="10"/>
  <c r="D27" i="10"/>
  <c r="D26" i="10"/>
  <c r="D25" i="10"/>
  <c r="J46" i="10"/>
  <c r="H46" i="10"/>
  <c r="G46" i="10"/>
  <c r="J44" i="10"/>
  <c r="H44" i="10"/>
  <c r="G44" i="10"/>
  <c r="J43" i="10"/>
  <c r="H43" i="10"/>
  <c r="G43" i="10"/>
  <c r="J42" i="10"/>
  <c r="H42" i="10"/>
  <c r="G42" i="10"/>
  <c r="F46" i="10"/>
  <c r="F44" i="10"/>
  <c r="F43" i="10"/>
  <c r="F42" i="10"/>
  <c r="L60" i="10"/>
  <c r="K60" i="10"/>
  <c r="J60" i="10"/>
  <c r="I60" i="10"/>
  <c r="D53" i="10"/>
  <c r="D52" i="10"/>
  <c r="D51" i="10"/>
  <c r="D50" i="10"/>
  <c r="E14" i="10"/>
  <c r="E13" i="10"/>
  <c r="E12" i="10"/>
  <c r="E11" i="10"/>
  <c r="D23" i="10"/>
  <c r="D22" i="10"/>
  <c r="D21" i="10"/>
  <c r="D20" i="10"/>
  <c r="D19" i="10"/>
  <c r="D18" i="10"/>
  <c r="B17" i="10"/>
  <c r="B19" i="10" s="1"/>
  <c r="D36" i="2"/>
  <c r="D35" i="2"/>
  <c r="D34" i="2"/>
  <c r="B36" i="2"/>
  <c r="B35" i="2"/>
  <c r="B34" i="2"/>
  <c r="D33" i="2"/>
  <c r="D30" i="2"/>
  <c r="D32" i="2"/>
  <c r="D31" i="2"/>
  <c r="D29" i="2"/>
  <c r="D28" i="2"/>
  <c r="C24" i="2" a="1"/>
  <c r="C24" i="2" s="1"/>
  <c r="D24" i="2"/>
  <c r="D27" i="2"/>
  <c r="D26" i="2"/>
  <c r="D25" i="2"/>
  <c r="E45" i="2" a="1"/>
  <c r="E45" i="2" s="1"/>
  <c r="I39" i="2" s="1" a="1"/>
  <c r="I39" i="2" s="1"/>
  <c r="H42" i="2"/>
  <c r="H41" i="2"/>
  <c r="G42" i="2"/>
  <c r="G41" i="2"/>
  <c r="F42" i="2"/>
  <c r="F41" i="2"/>
  <c r="H40" i="2"/>
  <c r="G40" i="2"/>
  <c r="F40" i="2"/>
  <c r="E42" i="2"/>
  <c r="E41" i="2"/>
  <c r="E40" i="2"/>
  <c r="H39" i="2"/>
  <c r="G39" i="2"/>
  <c r="F39" i="2"/>
  <c r="E39" i="2"/>
  <c r="D23" i="2"/>
  <c r="D22" i="2"/>
  <c r="D21" i="2"/>
  <c r="D20" i="2"/>
  <c r="D19" i="2"/>
  <c r="D18" i="2"/>
  <c r="B17" i="2"/>
  <c r="D48" i="6"/>
  <c r="D46" i="6"/>
  <c r="D44" i="6"/>
  <c r="D43" i="6"/>
  <c r="D41" i="6"/>
  <c r="D40" i="6"/>
  <c r="D39" i="6"/>
  <c r="D38" i="6"/>
  <c r="D37" i="6"/>
  <c r="D36" i="6"/>
  <c r="D35" i="6"/>
  <c r="D25" i="1"/>
  <c r="D34" i="6"/>
  <c r="D33" i="6"/>
  <c r="D32" i="6"/>
  <c r="D28" i="6"/>
  <c r="D27" i="6"/>
  <c r="B17" i="6"/>
  <c r="O14" i="6"/>
  <c r="O13" i="6"/>
  <c r="O12" i="6"/>
  <c r="O11" i="6"/>
  <c r="O10" i="6"/>
  <c r="O9" i="6"/>
  <c r="O8" i="6"/>
  <c r="O7" i="6"/>
  <c r="O6" i="6"/>
  <c r="O5" i="6"/>
  <c r="O4" i="6"/>
  <c r="O3" i="6"/>
  <c r="P14" i="6"/>
  <c r="P13" i="6"/>
  <c r="P12" i="6"/>
  <c r="P11" i="6"/>
  <c r="P10" i="6"/>
  <c r="P9" i="6"/>
  <c r="P8" i="6"/>
  <c r="P7" i="6"/>
  <c r="P6" i="6"/>
  <c r="P5" i="6"/>
  <c r="P4" i="6"/>
  <c r="P3" i="6"/>
  <c r="N14" i="6"/>
  <c r="N13" i="6"/>
  <c r="N12" i="6"/>
  <c r="N11" i="6"/>
  <c r="N10" i="6"/>
  <c r="N9" i="6"/>
  <c r="N8" i="6"/>
  <c r="N7" i="6"/>
  <c r="N6" i="6"/>
  <c r="N5" i="6"/>
  <c r="N4" i="6"/>
  <c r="N3" i="6"/>
  <c r="R14" i="6"/>
  <c r="R13" i="6"/>
  <c r="R12" i="6"/>
  <c r="R11" i="6"/>
  <c r="R10" i="6"/>
  <c r="R9" i="6"/>
  <c r="R8" i="6"/>
  <c r="R7" i="6"/>
  <c r="R6" i="6"/>
  <c r="R5" i="6"/>
  <c r="R4" i="6"/>
  <c r="R3" i="6"/>
  <c r="D26" i="6"/>
  <c r="D25" i="6"/>
  <c r="D24" i="6"/>
  <c r="D23" i="6"/>
  <c r="D22" i="6"/>
  <c r="D21" i="6"/>
  <c r="D20" i="6"/>
  <c r="D18" i="6"/>
  <c r="D19" i="6"/>
  <c r="Q14" i="6"/>
  <c r="Q13" i="6"/>
  <c r="Q12" i="6"/>
  <c r="Q11" i="6"/>
  <c r="Q10" i="6"/>
  <c r="Q9" i="6"/>
  <c r="Q8" i="6"/>
  <c r="Q7" i="6"/>
  <c r="Q6" i="6"/>
  <c r="Q5" i="6"/>
  <c r="Q4" i="6"/>
  <c r="Q3" i="6"/>
  <c r="B20" i="6"/>
  <c r="D29" i="1"/>
  <c r="D33" i="1"/>
  <c r="D31" i="1"/>
  <c r="D24" i="1"/>
  <c r="D23" i="1"/>
  <c r="B17" i="1"/>
  <c r="D22" i="1"/>
  <c r="D21" i="1"/>
  <c r="B19" i="1"/>
  <c r="B18" i="1"/>
  <c r="D10" i="1" s="1"/>
  <c r="G10" i="1" s="1"/>
  <c r="D18" i="1"/>
  <c r="D20" i="1"/>
  <c r="D19" i="1"/>
  <c r="E11" i="1" s="1"/>
  <c r="H11" i="1" s="1"/>
  <c r="J13" i="1"/>
  <c r="J12" i="1"/>
  <c r="J11" i="1"/>
  <c r="J10" i="1"/>
  <c r="J9" i="1"/>
  <c r="J8" i="1"/>
  <c r="J7" i="1"/>
  <c r="J6" i="1"/>
  <c r="J5" i="1"/>
  <c r="J4" i="1"/>
  <c r="J3" i="1"/>
  <c r="I13" i="1"/>
  <c r="I12" i="1"/>
  <c r="I11" i="1"/>
  <c r="I10" i="1"/>
  <c r="I9" i="1"/>
  <c r="I8" i="1"/>
  <c r="I7" i="1"/>
  <c r="I6" i="1"/>
  <c r="I5" i="1"/>
  <c r="I4" i="1"/>
  <c r="I3" i="1"/>
  <c r="C24" i="10" l="1" a="1"/>
  <c r="C24" i="10" s="1"/>
  <c r="I46" i="10"/>
  <c r="J45" i="10"/>
  <c r="F48" i="10" a="1"/>
  <c r="F48" i="10" s="1"/>
  <c r="L42" i="10" s="1" a="1"/>
  <c r="J76" i="10" s="1"/>
  <c r="I42" i="10"/>
  <c r="I44" i="10"/>
  <c r="I45" i="10"/>
  <c r="G45" i="10"/>
  <c r="B21" i="10" s="1"/>
  <c r="H45" i="10"/>
  <c r="F45" i="10"/>
  <c r="I43" i="10"/>
  <c r="B18" i="10"/>
  <c r="B20" i="10"/>
  <c r="L72" i="2"/>
  <c r="L70" i="2"/>
  <c r="L71" i="2"/>
  <c r="M72" i="2"/>
  <c r="M70" i="2"/>
  <c r="M71" i="2"/>
  <c r="L69" i="2"/>
  <c r="M69" i="2"/>
  <c r="B71" i="2"/>
  <c r="E69" i="2"/>
  <c r="I69" i="2"/>
  <c r="F70" i="2"/>
  <c r="J70" i="2"/>
  <c r="C71" i="2"/>
  <c r="G71" i="2"/>
  <c r="K71" i="2"/>
  <c r="D72" i="2"/>
  <c r="H72" i="2"/>
  <c r="B75" i="2" a="1"/>
  <c r="B75" i="2" s="1"/>
  <c r="F82" i="2" s="1" a="1"/>
  <c r="F82" i="2" s="1"/>
  <c r="B72" i="2"/>
  <c r="F69" i="2"/>
  <c r="J69" i="2"/>
  <c r="C70" i="2"/>
  <c r="G70" i="2"/>
  <c r="K70" i="2"/>
  <c r="D71" i="2"/>
  <c r="H71" i="2"/>
  <c r="E72" i="2"/>
  <c r="I72" i="2"/>
  <c r="B69" i="2"/>
  <c r="C69" i="2"/>
  <c r="G69" i="2"/>
  <c r="K69" i="2"/>
  <c r="D70" i="2"/>
  <c r="H70" i="2"/>
  <c r="E71" i="2"/>
  <c r="I71" i="2"/>
  <c r="F72" i="2"/>
  <c r="J72" i="2"/>
  <c r="B70" i="2"/>
  <c r="D69" i="2"/>
  <c r="H69" i="2"/>
  <c r="E70" i="2"/>
  <c r="I70" i="2"/>
  <c r="F71" i="2"/>
  <c r="J71" i="2"/>
  <c r="C72" i="2"/>
  <c r="G72" i="2"/>
  <c r="K72" i="2"/>
  <c r="B19" i="2"/>
  <c r="B20" i="2"/>
  <c r="B18" i="2"/>
  <c r="B28" i="6"/>
  <c r="B27" i="6"/>
  <c r="B29" i="6"/>
  <c r="B31" i="6"/>
  <c r="B30" i="6"/>
  <c r="B19" i="6"/>
  <c r="G14" i="6"/>
  <c r="M14" i="6" s="1"/>
  <c r="B18" i="6"/>
  <c r="E3" i="6" s="1"/>
  <c r="G7" i="6"/>
  <c r="M7" i="6" s="1"/>
  <c r="G8" i="6"/>
  <c r="M8" i="6" s="1"/>
  <c r="G3" i="6"/>
  <c r="M3" i="6" s="1"/>
  <c r="G11" i="6"/>
  <c r="M11" i="6" s="1"/>
  <c r="G4" i="6"/>
  <c r="M4" i="6" s="1"/>
  <c r="G12" i="6"/>
  <c r="M12" i="6" s="1"/>
  <c r="G5" i="6"/>
  <c r="M5" i="6" s="1"/>
  <c r="G9" i="6"/>
  <c r="M9" i="6" s="1"/>
  <c r="G13" i="6"/>
  <c r="M13" i="6" s="1"/>
  <c r="G6" i="6"/>
  <c r="M6" i="6" s="1"/>
  <c r="G10" i="6"/>
  <c r="M10" i="6" s="1"/>
  <c r="D26" i="1"/>
  <c r="D28" i="1"/>
  <c r="D27" i="1"/>
  <c r="C23" i="1"/>
  <c r="E4" i="1"/>
  <c r="H4" i="1" s="1"/>
  <c r="D11" i="1"/>
  <c r="D3" i="1"/>
  <c r="E8" i="1"/>
  <c r="H8" i="1" s="1"/>
  <c r="D7" i="1"/>
  <c r="E12" i="1"/>
  <c r="H12" i="1" s="1"/>
  <c r="D4" i="1"/>
  <c r="D8" i="1"/>
  <c r="D12" i="1"/>
  <c r="E5" i="1"/>
  <c r="H5" i="1" s="1"/>
  <c r="E9" i="1"/>
  <c r="H9" i="1" s="1"/>
  <c r="E13" i="1"/>
  <c r="H13" i="1" s="1"/>
  <c r="D5" i="1"/>
  <c r="D9" i="1"/>
  <c r="D13" i="1"/>
  <c r="E6" i="1"/>
  <c r="H6" i="1" s="1"/>
  <c r="E10" i="1"/>
  <c r="H10" i="1" s="1"/>
  <c r="D6" i="1"/>
  <c r="E3" i="1"/>
  <c r="H3" i="1" s="1"/>
  <c r="E7" i="1"/>
  <c r="H7" i="1" s="1"/>
  <c r="B23" i="10" l="1"/>
  <c r="B22" i="10"/>
  <c r="E76" i="10"/>
  <c r="K75" i="10"/>
  <c r="B73" i="10"/>
  <c r="M74" i="10"/>
  <c r="J73" i="10"/>
  <c r="D75" i="10"/>
  <c r="G76" i="10"/>
  <c r="K73" i="10"/>
  <c r="E75" i="10"/>
  <c r="H76" i="10"/>
  <c r="B74" i="10"/>
  <c r="F74" i="10"/>
  <c r="L42" i="10"/>
  <c r="H72" i="10" s="1"/>
  <c r="H73" i="10"/>
  <c r="F75" i="10"/>
  <c r="I76" i="10"/>
  <c r="C74" i="10"/>
  <c r="H75" i="10"/>
  <c r="K76" i="10"/>
  <c r="D74" i="10"/>
  <c r="I75" i="10"/>
  <c r="L76" i="10"/>
  <c r="E73" i="10"/>
  <c r="J74" i="10"/>
  <c r="B76" i="10"/>
  <c r="E74" i="10"/>
  <c r="B87" i="10" s="1"/>
  <c r="B26" i="10" s="1"/>
  <c r="J75" i="10"/>
  <c r="M76" i="10"/>
  <c r="G74" i="10"/>
  <c r="L75" i="10"/>
  <c r="C73" i="10"/>
  <c r="H74" i="10"/>
  <c r="M75" i="10"/>
  <c r="D73" i="10"/>
  <c r="I73" i="10"/>
  <c r="C75" i="10"/>
  <c r="F76" i="10"/>
  <c r="I74" i="10"/>
  <c r="B75" i="10"/>
  <c r="F73" i="10"/>
  <c r="K74" i="10"/>
  <c r="C76" i="10"/>
  <c r="B89" i="10" s="1"/>
  <c r="B28" i="10" s="1"/>
  <c r="G73" i="10"/>
  <c r="L74" i="10"/>
  <c r="D76" i="10"/>
  <c r="L73" i="10"/>
  <c r="M73" i="10"/>
  <c r="G75" i="10"/>
  <c r="D72" i="10"/>
  <c r="B72" i="10"/>
  <c r="F72" i="10"/>
  <c r="C72" i="10"/>
  <c r="G72" i="10"/>
  <c r="E72" i="10"/>
  <c r="I72" i="10"/>
  <c r="K11" i="10"/>
  <c r="K7" i="10"/>
  <c r="K3" i="10"/>
  <c r="K14" i="10"/>
  <c r="K10" i="10"/>
  <c r="K6" i="10"/>
  <c r="K9" i="10"/>
  <c r="K5" i="10"/>
  <c r="K12" i="10"/>
  <c r="K8" i="10"/>
  <c r="K4" i="10"/>
  <c r="K13" i="10"/>
  <c r="K13" i="2"/>
  <c r="K9" i="2"/>
  <c r="K5" i="2"/>
  <c r="K12" i="2"/>
  <c r="K8" i="2"/>
  <c r="K4" i="2"/>
  <c r="K11" i="2"/>
  <c r="K7" i="2"/>
  <c r="K3" i="2"/>
  <c r="K14" i="2"/>
  <c r="K10" i="2"/>
  <c r="K6" i="2"/>
  <c r="B85" i="2"/>
  <c r="B27" i="2" s="1"/>
  <c r="B83" i="2"/>
  <c r="B25" i="2" s="1"/>
  <c r="B82" i="2"/>
  <c r="B24" i="2" s="1"/>
  <c r="B84" i="2"/>
  <c r="B26" i="2" s="1"/>
  <c r="B32" i="6"/>
  <c r="B33" i="6"/>
  <c r="B26" i="6"/>
  <c r="E14" i="6"/>
  <c r="K14" i="6" s="1"/>
  <c r="E10" i="6"/>
  <c r="K10" i="6" s="1"/>
  <c r="E6" i="6"/>
  <c r="K6" i="6" s="1"/>
  <c r="E12" i="6"/>
  <c r="K12" i="6" s="1"/>
  <c r="E8" i="6"/>
  <c r="K8" i="6" s="1"/>
  <c r="E4" i="6"/>
  <c r="K4" i="6" s="1"/>
  <c r="E11" i="6"/>
  <c r="K11" i="6" s="1"/>
  <c r="E7" i="6"/>
  <c r="K7" i="6" s="1"/>
  <c r="K3" i="6"/>
  <c r="E13" i="6"/>
  <c r="K13" i="6" s="1"/>
  <c r="E9" i="6"/>
  <c r="K9" i="6" s="1"/>
  <c r="E5" i="6"/>
  <c r="K5" i="6" s="1"/>
  <c r="F14" i="6"/>
  <c r="F10" i="6"/>
  <c r="F6" i="6"/>
  <c r="F12" i="6"/>
  <c r="F8" i="6"/>
  <c r="F4" i="6"/>
  <c r="F3" i="6"/>
  <c r="F13" i="6"/>
  <c r="F9" i="6"/>
  <c r="F5" i="6"/>
  <c r="F11" i="6"/>
  <c r="F7" i="6"/>
  <c r="G5" i="1"/>
  <c r="F5" i="1"/>
  <c r="G12" i="1"/>
  <c r="F12" i="1"/>
  <c r="G7" i="1"/>
  <c r="F7" i="1"/>
  <c r="G8" i="1"/>
  <c r="F8" i="1"/>
  <c r="F10" i="1"/>
  <c r="G13" i="1"/>
  <c r="F13" i="1"/>
  <c r="G4" i="1"/>
  <c r="F4" i="1"/>
  <c r="G3" i="1"/>
  <c r="F3" i="1"/>
  <c r="G6" i="1"/>
  <c r="F6" i="1"/>
  <c r="G9" i="1"/>
  <c r="F9" i="1"/>
  <c r="G11" i="1"/>
  <c r="F11" i="1"/>
  <c r="B22" i="1"/>
  <c r="M72" i="10" l="1"/>
  <c r="B78" i="10" a="1"/>
  <c r="B78" i="10" s="1"/>
  <c r="G85" i="10" s="1" a="1"/>
  <c r="G85" i="10" s="1"/>
  <c r="L72" i="10"/>
  <c r="K72" i="10"/>
  <c r="J72" i="10"/>
  <c r="B88" i="10"/>
  <c r="B27" i="10" s="1"/>
  <c r="B86" i="10"/>
  <c r="B25" i="10" s="1"/>
  <c r="B85" i="10"/>
  <c r="B24" i="10" s="1"/>
  <c r="G14" i="2"/>
  <c r="G10" i="2"/>
  <c r="G6" i="2"/>
  <c r="G13" i="2"/>
  <c r="G9" i="2"/>
  <c r="G5" i="2"/>
  <c r="G12" i="2"/>
  <c r="G8" i="2"/>
  <c r="G4" i="2"/>
  <c r="G11" i="2"/>
  <c r="G7" i="2"/>
  <c r="G3" i="2"/>
  <c r="B23" i="2"/>
  <c r="B20" i="1"/>
  <c r="B28" i="1" s="1"/>
  <c r="B34" i="6"/>
  <c r="S10" i="6" s="1"/>
  <c r="S9" i="6"/>
  <c r="S4" i="6"/>
  <c r="C27" i="6"/>
  <c r="B24" i="6"/>
  <c r="L10" i="6"/>
  <c r="J10" i="6"/>
  <c r="H10" i="6"/>
  <c r="L13" i="6"/>
  <c r="J13" i="6"/>
  <c r="H13" i="6"/>
  <c r="L12" i="6"/>
  <c r="J12" i="6"/>
  <c r="H12" i="6"/>
  <c r="L4" i="6"/>
  <c r="H4" i="6"/>
  <c r="J4" i="6"/>
  <c r="L7" i="6"/>
  <c r="J7" i="6"/>
  <c r="H7" i="6"/>
  <c r="L11" i="6"/>
  <c r="J11" i="6"/>
  <c r="H11" i="6"/>
  <c r="L3" i="6"/>
  <c r="J3" i="6"/>
  <c r="H3" i="6"/>
  <c r="L6" i="6"/>
  <c r="J6" i="6"/>
  <c r="H6" i="6"/>
  <c r="L5" i="6"/>
  <c r="J5" i="6"/>
  <c r="H5" i="6"/>
  <c r="L9" i="6"/>
  <c r="J9" i="6"/>
  <c r="H9" i="6"/>
  <c r="L8" i="6"/>
  <c r="J8" i="6"/>
  <c r="H8" i="6"/>
  <c r="L14" i="6"/>
  <c r="J14" i="6"/>
  <c r="H14" i="6"/>
  <c r="I5" i="6"/>
  <c r="I7" i="6"/>
  <c r="I12" i="6"/>
  <c r="I9" i="6"/>
  <c r="I11" i="6"/>
  <c r="I6" i="6"/>
  <c r="I13" i="6"/>
  <c r="I4" i="6"/>
  <c r="I10" i="6"/>
  <c r="I3" i="6"/>
  <c r="I8" i="6"/>
  <c r="I14" i="6"/>
  <c r="B21" i="1"/>
  <c r="G11" i="10" l="1"/>
  <c r="G7" i="10"/>
  <c r="H7" i="10" s="1"/>
  <c r="I7" i="10" s="1"/>
  <c r="G3" i="10"/>
  <c r="J3" i="10" s="1"/>
  <c r="G14" i="10"/>
  <c r="H14" i="10" s="1"/>
  <c r="I14" i="10" s="1"/>
  <c r="G10" i="10"/>
  <c r="G6" i="10"/>
  <c r="H6" i="10" s="1"/>
  <c r="I6" i="10" s="1"/>
  <c r="G8" i="10"/>
  <c r="H8" i="10" s="1"/>
  <c r="I8" i="10" s="1"/>
  <c r="G4" i="10"/>
  <c r="H4" i="10" s="1"/>
  <c r="I4" i="10" s="1"/>
  <c r="G13" i="10"/>
  <c r="G9" i="10"/>
  <c r="H9" i="10" s="1"/>
  <c r="I9" i="10" s="1"/>
  <c r="G5" i="10"/>
  <c r="J5" i="10" s="1"/>
  <c r="G12" i="10"/>
  <c r="J12" i="10" s="1"/>
  <c r="H13" i="10"/>
  <c r="I13" i="10" s="1"/>
  <c r="J11" i="10"/>
  <c r="H10" i="10"/>
  <c r="I10" i="10" s="1"/>
  <c r="J10" i="10"/>
  <c r="J7" i="10"/>
  <c r="J3" i="2"/>
  <c r="J9" i="2"/>
  <c r="H9" i="2"/>
  <c r="I9" i="2" s="1"/>
  <c r="H3" i="2"/>
  <c r="I3" i="2" s="1"/>
  <c r="H13" i="2"/>
  <c r="I13" i="2" s="1"/>
  <c r="J13" i="2"/>
  <c r="J7" i="2"/>
  <c r="H7" i="2"/>
  <c r="I7" i="2" s="1"/>
  <c r="H12" i="2"/>
  <c r="I12" i="2" s="1"/>
  <c r="J12" i="2"/>
  <c r="H6" i="2"/>
  <c r="I6" i="2" s="1"/>
  <c r="J6" i="2"/>
  <c r="J4" i="2"/>
  <c r="H4" i="2"/>
  <c r="I4" i="2" s="1"/>
  <c r="H14" i="2"/>
  <c r="I14" i="2" s="1"/>
  <c r="J14" i="2"/>
  <c r="J8" i="2"/>
  <c r="H8" i="2"/>
  <c r="I8" i="2" s="1"/>
  <c r="J11" i="2"/>
  <c r="H11" i="2"/>
  <c r="I11" i="2" s="1"/>
  <c r="J5" i="2"/>
  <c r="H5" i="2"/>
  <c r="I5" i="2" s="1"/>
  <c r="H10" i="2"/>
  <c r="I10" i="2" s="1"/>
  <c r="J10" i="2"/>
  <c r="B21" i="2"/>
  <c r="B22" i="2"/>
  <c r="S7" i="6"/>
  <c r="S6" i="6"/>
  <c r="S8" i="6"/>
  <c r="S13" i="6"/>
  <c r="V13" i="6" s="1"/>
  <c r="S3" i="6"/>
  <c r="V3" i="6" s="1"/>
  <c r="S12" i="6"/>
  <c r="S14" i="6"/>
  <c r="S11" i="6"/>
  <c r="T11" i="6" s="1"/>
  <c r="U11" i="6" s="1"/>
  <c r="S5" i="6"/>
  <c r="V5" i="6" s="1"/>
  <c r="T3" i="6"/>
  <c r="U3" i="6" s="1"/>
  <c r="V8" i="6"/>
  <c r="T8" i="6"/>
  <c r="U8" i="6" s="1"/>
  <c r="T7" i="6"/>
  <c r="U7" i="6" s="1"/>
  <c r="V7" i="6"/>
  <c r="V12" i="6"/>
  <c r="T12" i="6"/>
  <c r="U12" i="6" s="1"/>
  <c r="V6" i="6"/>
  <c r="T6" i="6"/>
  <c r="U6" i="6" s="1"/>
  <c r="T5" i="6"/>
  <c r="U5" i="6" s="1"/>
  <c r="V10" i="6"/>
  <c r="T10" i="6"/>
  <c r="U10" i="6" s="1"/>
  <c r="V4" i="6"/>
  <c r="T4" i="6"/>
  <c r="U4" i="6" s="1"/>
  <c r="V9" i="6"/>
  <c r="T9" i="6"/>
  <c r="U9" i="6" s="1"/>
  <c r="V14" i="6"/>
  <c r="T14" i="6"/>
  <c r="U14" i="6" s="1"/>
  <c r="C28" i="6"/>
  <c r="C29" i="6"/>
  <c r="C31" i="6"/>
  <c r="C30" i="6"/>
  <c r="B25" i="6"/>
  <c r="B23" i="6"/>
  <c r="B21" i="6"/>
  <c r="B22" i="6"/>
  <c r="B23" i="1"/>
  <c r="H12" i="10" l="1"/>
  <c r="I12" i="10" s="1"/>
  <c r="H3" i="10"/>
  <c r="I3" i="10" s="1"/>
  <c r="J8" i="10"/>
  <c r="J4" i="10"/>
  <c r="B35" i="10" s="1"/>
  <c r="H11" i="10"/>
  <c r="I11" i="10" s="1"/>
  <c r="J13" i="10"/>
  <c r="J9" i="10"/>
  <c r="J14" i="10"/>
  <c r="J6" i="10"/>
  <c r="H5" i="10"/>
  <c r="I5" i="10" s="1"/>
  <c r="B33" i="2"/>
  <c r="B28" i="2"/>
  <c r="T13" i="6"/>
  <c r="U13" i="6" s="1"/>
  <c r="V11" i="6"/>
  <c r="B39" i="6" s="1"/>
  <c r="B35" i="6"/>
  <c r="B24" i="1"/>
  <c r="B32" i="2" l="1"/>
  <c r="B30" i="2"/>
  <c r="B29" i="2"/>
  <c r="B31" i="2"/>
  <c r="B36" i="6"/>
  <c r="K13" i="1"/>
  <c r="C14" i="1"/>
  <c r="K12" i="1"/>
  <c r="K6" i="1"/>
  <c r="K8" i="1"/>
  <c r="K4" i="1"/>
  <c r="K9" i="1"/>
  <c r="K5" i="1"/>
  <c r="K3" i="1"/>
  <c r="N3" i="1" s="1"/>
  <c r="K11" i="1"/>
  <c r="K10" i="1"/>
  <c r="K7" i="1"/>
  <c r="L3" i="1"/>
  <c r="M3" i="1" s="1"/>
  <c r="B30" i="10" l="1"/>
  <c r="B36" i="10" s="1"/>
  <c r="B34" i="10"/>
  <c r="B32" i="10"/>
  <c r="B38" i="10" s="1"/>
  <c r="B33" i="10"/>
  <c r="B39" i="10" s="1"/>
  <c r="B31" i="10"/>
  <c r="B37" i="10" s="1"/>
  <c r="B44" i="6"/>
  <c r="L7" i="1"/>
  <c r="M7" i="1" s="1"/>
  <c r="N7" i="1"/>
  <c r="L5" i="1"/>
  <c r="M5" i="1" s="1"/>
  <c r="N5" i="1"/>
  <c r="L6" i="1"/>
  <c r="M6" i="1" s="1"/>
  <c r="N6" i="1"/>
  <c r="L10" i="1"/>
  <c r="M10" i="1" s="1"/>
  <c r="N10" i="1"/>
  <c r="L9" i="1"/>
  <c r="M9" i="1" s="1"/>
  <c r="N9" i="1"/>
  <c r="L12" i="1"/>
  <c r="M12" i="1" s="1"/>
  <c r="N12" i="1"/>
  <c r="L11" i="1"/>
  <c r="M11" i="1" s="1"/>
  <c r="N11" i="1"/>
  <c r="L4" i="1"/>
  <c r="M4" i="1" s="1"/>
  <c r="N4" i="1"/>
  <c r="L8" i="1"/>
  <c r="M8" i="1" s="1"/>
  <c r="N8" i="1"/>
  <c r="L13" i="1"/>
  <c r="M13" i="1" s="1"/>
  <c r="N13" i="1"/>
  <c r="C28" i="1" l="1"/>
  <c r="B25" i="1"/>
  <c r="C26" i="1" s="1"/>
  <c r="B26" i="1"/>
  <c r="B27" i="1" l="1"/>
  <c r="C27" i="1"/>
  <c r="B2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<sst xmlns="http://schemas.openxmlformats.org/spreadsheetml/2006/main" count="434" uniqueCount="199">
  <si>
    <t>Residual</t>
  </si>
  <si>
    <t>x^2</t>
  </si>
  <si>
    <t>Intercept</t>
  </si>
  <si>
    <t>Age</t>
  </si>
  <si>
    <t>Hours of Sleep Per Night</t>
  </si>
  <si>
    <t>Mean Age</t>
  </si>
  <si>
    <t>Mean Sleep</t>
  </si>
  <si>
    <t>correlation</t>
  </si>
  <si>
    <t>xy</t>
  </si>
  <si>
    <t>y hat</t>
  </si>
  <si>
    <t>Notes</t>
  </si>
  <si>
    <t>This row is excluded from totals:</t>
  </si>
  <si>
    <t>Independent (X) Variable</t>
  </si>
  <si>
    <t>Dependent (Y) Variable</t>
  </si>
  <si>
    <t>(x-mean(x))^2</t>
  </si>
  <si>
    <t>(y-mean(y))^2</t>
  </si>
  <si>
    <t>Multiple X and Y</t>
  </si>
  <si>
    <t>SD Age (subtract 1 from N because this is a sample)</t>
  </si>
  <si>
    <t>SD Sleep (subtract 1 from N because this is a sample)</t>
  </si>
  <si>
    <t>By Hand</t>
  </si>
  <si>
    <t>Checked with Excel</t>
  </si>
  <si>
    <t>Mean Center X</t>
  </si>
  <si>
    <t>Mean Center Y</t>
  </si>
  <si>
    <t>x-mean(x)</t>
  </si>
  <si>
    <t>y-mean(y)</t>
  </si>
  <si>
    <t>X Centered Squared</t>
  </si>
  <si>
    <t>Y Centered Squared</t>
  </si>
  <si>
    <t>(x-mean(x))*(y-mean(y))</t>
  </si>
  <si>
    <t>X Centered * Y Centered</t>
  </si>
  <si>
    <t>b (slope of the regression line)</t>
  </si>
  <si>
    <t>By Hand a Second Way</t>
  </si>
  <si>
    <t>Number of Observations</t>
  </si>
  <si>
    <t>X Squared</t>
  </si>
  <si>
    <t>a (y-intercept of the regression line)</t>
  </si>
  <si>
    <t>Predicted Hours of Sleep Based on Age</t>
  </si>
  <si>
    <t>residual error in prediction</t>
  </si>
  <si>
    <t>y - yhat</t>
  </si>
  <si>
    <t>(y-yhat)^2</t>
  </si>
  <si>
    <t>square error to drop neg sign</t>
  </si>
  <si>
    <t>SE of the Regression</t>
  </si>
  <si>
    <t>SE of B (slope)</t>
  </si>
  <si>
    <t>Slope Values</t>
  </si>
  <si>
    <t>Intercept Values</t>
  </si>
  <si>
    <t>SE of a (intercept)</t>
  </si>
  <si>
    <t>SE for yhat</t>
  </si>
  <si>
    <t>R^2</t>
  </si>
  <si>
    <t>F-Statistic</t>
  </si>
  <si>
    <t>Degrees of Freedom</t>
  </si>
  <si>
    <t>B0</t>
  </si>
  <si>
    <t>B0 SE</t>
  </si>
  <si>
    <t>B1</t>
  </si>
  <si>
    <t>B1 SE</t>
  </si>
  <si>
    <t>Regression Sum of Squares</t>
  </si>
  <si>
    <t>Residual Sum of Squares</t>
  </si>
  <si>
    <t xml:space="preserve">H_0 (null hypothesis): b = 0. This is important because the 0 is used to get the test statistic. </t>
  </si>
  <si>
    <t>Test Statistic / T Ratio</t>
  </si>
  <si>
    <t>SUMMARY OUTPUT</t>
  </si>
  <si>
    <t>Regression Statistics</t>
  </si>
  <si>
    <t>Multiple R</t>
  </si>
  <si>
    <t>R Square</t>
  </si>
  <si>
    <t>Adjusted R Square</t>
  </si>
  <si>
    <t>Standard Error</t>
  </si>
  <si>
    <t>Observations</t>
  </si>
  <si>
    <t>ANOVA</t>
  </si>
  <si>
    <t>Regression</t>
  </si>
  <si>
    <t>Total</t>
  </si>
  <si>
    <t>df</t>
  </si>
  <si>
    <t>SS</t>
  </si>
  <si>
    <t>MS</t>
  </si>
  <si>
    <t>F</t>
  </si>
  <si>
    <t>Significance F</t>
  </si>
  <si>
    <t>Coefficients</t>
  </si>
  <si>
    <t>t Stat</t>
  </si>
  <si>
    <t>P-value</t>
  </si>
  <si>
    <t>Lower 95%</t>
  </si>
  <si>
    <t>Upper 95%</t>
  </si>
  <si>
    <t>Lower 95.0%</t>
  </si>
  <si>
    <t>Upper 95.0%</t>
  </si>
  <si>
    <t>X Variable 1</t>
  </si>
  <si>
    <t>&lt;- predicted value of new data point</t>
  </si>
  <si>
    <t>I'm using this value now</t>
  </si>
  <si>
    <t>Independent (X1) Variable</t>
  </si>
  <si>
    <t>Independent (X2) Variable</t>
  </si>
  <si>
    <t>Hours of Exercise a Week</t>
  </si>
  <si>
    <t>Descriptive and Other Statistics</t>
  </si>
  <si>
    <t>Correlation between Independent Variables</t>
  </si>
  <si>
    <t>Mean Exercise</t>
  </si>
  <si>
    <t>Correlation between Age and Sleep</t>
  </si>
  <si>
    <t>Correlation Between Exercise and Sleep</t>
  </si>
  <si>
    <t>x1-mean(x1)</t>
  </si>
  <si>
    <t>Mean Center X1</t>
  </si>
  <si>
    <t>x2-mean(x2)</t>
  </si>
  <si>
    <t>(x1-mean(x1))*(y-mean(y))</t>
  </si>
  <si>
    <t>(x2-mean(x2))^2</t>
  </si>
  <si>
    <t>X2 Centered Squared</t>
  </si>
  <si>
    <t>X1 Centered * Y Centered</t>
  </si>
  <si>
    <t>Mean Center X2</t>
  </si>
  <si>
    <t>(x1-mean(x1))^2</t>
  </si>
  <si>
    <t>X1 Centered Squared</t>
  </si>
  <si>
    <t>(x2-mean(x2))*(y-mean(y))</t>
  </si>
  <si>
    <t>(x2-mean(x2))*(x1-mean(x1))</t>
  </si>
  <si>
    <t>X1 Centered * X2 Centered</t>
  </si>
  <si>
    <t>X2 Centered * Y Centered</t>
  </si>
  <si>
    <t>SD Exercise (subtract 1 from N because this is a sample)</t>
  </si>
  <si>
    <t>b1 slope of the age regression line</t>
  </si>
  <si>
    <t>b2 slope of the exercise regression</t>
  </si>
  <si>
    <t>x1^2</t>
  </si>
  <si>
    <t>x2^2</t>
  </si>
  <si>
    <t>X2 Squared</t>
  </si>
  <si>
    <t>X1 Squared</t>
  </si>
  <si>
    <t>x1y</t>
  </si>
  <si>
    <t>x1x2</t>
  </si>
  <si>
    <t>Multiply X1 and X2</t>
  </si>
  <si>
    <t>x2y</t>
  </si>
  <si>
    <t>Multiple X2 and Y</t>
  </si>
  <si>
    <t>Multiple X1 and Y</t>
  </si>
  <si>
    <t>X Variable 2</t>
  </si>
  <si>
    <t>Sum of X2^2</t>
  </si>
  <si>
    <t>I don't know how to get this automatically in excel</t>
  </si>
  <si>
    <t>SE of B1 (slope on x1)</t>
  </si>
  <si>
    <t>SE of B2 (slope on x2)</t>
  </si>
  <si>
    <t>(yhat - mean(y))^2</t>
  </si>
  <si>
    <t>square deviation of yhat from the mean</t>
  </si>
  <si>
    <t>R^2 (sum of deviation between estimated y and mean(y) / sum of deviation between actual y and mean(y))</t>
  </si>
  <si>
    <t>CI for B1 (slope) (note: because the sample size is less than 30, I used a table to get the t value for alpha = .05, two tails, and 9 df. If the sample had been greater than 0, I could have used 1.96 instead of 2.26).</t>
  </si>
  <si>
    <t>CI for B2 (slope) (note: because the sample size is less than 30, I used a table to get the t value for alpha = .05, two tails, and 9 df. If the sample had been greater than 0, I could have used 1.96 instead of 2.26).</t>
  </si>
  <si>
    <t>Test Statistic for B1</t>
  </si>
  <si>
    <t>Test Statistic for B2</t>
  </si>
  <si>
    <t>Independent (X3) Variable</t>
  </si>
  <si>
    <t>Interaction Between Age &amp; Exercise</t>
  </si>
  <si>
    <t>X Variable 3</t>
  </si>
  <si>
    <t>x value on the Intercept</t>
  </si>
  <si>
    <t>a stand-in value for the matrix to multiply by B0</t>
  </si>
  <si>
    <t>N=1</t>
  </si>
  <si>
    <t>N=2</t>
  </si>
  <si>
    <t>N=3</t>
  </si>
  <si>
    <t>N=4</t>
  </si>
  <si>
    <t>N=5</t>
  </si>
  <si>
    <t>N=6</t>
  </si>
  <si>
    <t>X Transpose Matrix (4x12)</t>
  </si>
  <si>
    <t>C=1</t>
  </si>
  <si>
    <t>C=2</t>
  </si>
  <si>
    <t>C=3</t>
  </si>
  <si>
    <t>C=4</t>
  </si>
  <si>
    <t>c=Column</t>
  </si>
  <si>
    <t>X Matrix (12x4) or (Nx(K+1)</t>
  </si>
  <si>
    <t>K = 3 (# of Independent Variables)</t>
  </si>
  <si>
    <t>N=7</t>
  </si>
  <si>
    <t>N=8</t>
  </si>
  <si>
    <t>N=9</t>
  </si>
  <si>
    <t>N=10</t>
  </si>
  <si>
    <t>N=11</t>
  </si>
  <si>
    <t>N=12</t>
  </si>
  <si>
    <t>X Transpose * X by Excel</t>
  </si>
  <si>
    <t>X Transpose * X by Hand</t>
  </si>
  <si>
    <t>Inverse of X Transpose * X by Hand is messy and complicate. The idea goes that you can take the identity matrix and perform row operations until the matrix on the left becomes the identity and the matrix on the right will be your inverse matrix. This is too complicated for me to solve by hand. there's another way too but it's not much simpler.</t>
  </si>
  <si>
    <t>Inverse Matrix * X transpose by Hand</t>
  </si>
  <si>
    <t>4 x 12 * 12 * 4</t>
  </si>
  <si>
    <t>4x4 * 4x12</t>
  </si>
  <si>
    <t>Inverse Matrix * X transpose by Excel</t>
  </si>
  <si>
    <t>(Inverse Matrix * X transpose) * y vector by hand</t>
  </si>
  <si>
    <t>4x12 * 12 x 1</t>
  </si>
  <si>
    <t>B2</t>
  </si>
  <si>
    <t>B3</t>
  </si>
  <si>
    <t>(Inverse Matrix * X transpose) * y vector by excel</t>
  </si>
  <si>
    <t>Inverse of (X Transpose * X) by Excel</t>
  </si>
  <si>
    <t>SE of B3 (Interaction of X1 and X2)</t>
  </si>
  <si>
    <t>A Second Way</t>
  </si>
  <si>
    <t>SE of intercept</t>
  </si>
  <si>
    <t>These are now just the sqrt of the SE of the regression squared*the diagonal of the inverse matrix</t>
  </si>
  <si>
    <t>Test Statistic for B3</t>
  </si>
  <si>
    <t>School Status</t>
  </si>
  <si>
    <t>Undergrad, Grad, None</t>
  </si>
  <si>
    <t>C=5</t>
  </si>
  <si>
    <t>5 x 12 * 12 * 5</t>
  </si>
  <si>
    <t>B3 (In School vs Not in School)</t>
  </si>
  <si>
    <t>B4 (Under vs Grad)</t>
  </si>
  <si>
    <t>X Variable 4</t>
  </si>
  <si>
    <t>b3 slope of the interaction</t>
  </si>
  <si>
    <t>b3 slope of the 1st contrast</t>
  </si>
  <si>
    <t>SE of B3 (Contrast 1)</t>
  </si>
  <si>
    <t>Test Statistic for B4</t>
  </si>
  <si>
    <t>SE of B4 (Contrast 2)</t>
  </si>
  <si>
    <t>Cumulative Density Function (CDF) for B1. Also called Phi: the area below (and above) the test statistic on a standardized normal distribution or in this case a t dist.</t>
  </si>
  <si>
    <t>p-value (probability the value is greater than test statistic or less than the negative of the test statistic). Here, given by 2*(1-CDF). The 2 is to account for 2 tails on the distribution.</t>
  </si>
  <si>
    <t>I don't know how to calculate this without using matrix math.</t>
  </si>
  <si>
    <t>b4 slope of the 2nd contrast</t>
  </si>
  <si>
    <t>Undergrad vs Grad</t>
  </si>
  <si>
    <t>CI for B (slope) (note: because the sample size is less than 30, I used a table to get the t value for alpha = .05, two tails, and 9 df. If the sample had been greater than 30, I could have used 1.96 instead of 2.26).</t>
  </si>
  <si>
    <t>Predicted Hours of Sleep</t>
  </si>
  <si>
    <t>Cumulative Density Function (CDF) Also called Phi: the area below (and above) the test statistic on a standardized normal distribution.</t>
  </si>
  <si>
    <t>The formula used to the left is an approximate and is incomplete. The value calculated by excel is more precise, but the also too computationally heavy to complete by hand.</t>
  </si>
  <si>
    <t>I used the real CDF for this value</t>
  </si>
  <si>
    <t>The formula used to the left is an approximate and is incomplete. It's especially bad for lower test statistics, like the one for B2. The value calculated by excel is more precise, but the also too computationally heavy to complete by hand.</t>
  </si>
  <si>
    <t>Sum of X2Y * mean(X2)*mean(Y)/N</t>
  </si>
  <si>
    <t>Sum of X1Y * mean(X1)*mean(Y)/N</t>
  </si>
  <si>
    <t>Sum of X1X2* mean(X1)*mean(X2)/N</t>
  </si>
  <si>
    <t>Sum of X1^2</t>
  </si>
  <si>
    <t>There's some rounding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</si>
</sst>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27">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0" fillId="0" borderId="0" xfId="0" applyAlignment="1">
      <alignment horizontal="right"/>
    </xf>
    <xf numFmtId="0" fontId="0" fillId="0" borderId="0" xfId="0" applyAlignment="1">
      <alignment horizontal="left"/>
    </xf>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
    </xf>
    <xf numFmtId="0" fontId="2" fillId="0" borderId="3" xfId="0" applyFont="1" applyFill="1" applyBorder="1" applyAlignment="1">
      <alignment horizontal="centerContinuous"/>
    </xf>
    <xf numFmtId="0" fontId="0" fillId="0" borderId="0" xfId="0" applyAlignment="1">
      <alignment horizontal="center" wrapText="1"/>
    </xf>
    <xf numFmtId="0" fontId="0" fillId="0" borderId="0" xfId="0" applyAlignment="1">
      <alignment horizontal="left" wrapText="1"/>
    </xf>
    <xf numFmtId="0" fontId="0" fillId="0" borderId="0" xfId="0" applyNumberFormat="1" applyAlignment="1">
      <alignment horizontal="right"/>
    </xf>
    <xf numFmtId="0" fontId="0" fillId="0" borderId="4" xfId="0" applyBorder="1"/>
    <xf numFmtId="0" fontId="0" fillId="0" borderId="4" xfId="0" applyNumberFormat="1" applyBorder="1" applyAlignment="1">
      <alignment horizontal="right"/>
    </xf>
    <xf numFmtId="0" fontId="0" fillId="0" borderId="5" xfId="0" applyNumberFormat="1" applyBorder="1" applyAlignment="1">
      <alignment horizontal="right"/>
    </xf>
    <xf numFmtId="0" fontId="0" fillId="0" borderId="6" xfId="0" applyBorder="1"/>
    <xf numFmtId="0" fontId="0" fillId="0" borderId="1"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2" xfId="0" applyBorder="1"/>
    <xf numFmtId="0" fontId="0" fillId="0" borderId="11" xfId="0" applyBorder="1"/>
    <xf numFmtId="0" fontId="1" fillId="0" borderId="6" xfId="0" applyFont="1" applyBorder="1"/>
    <xf numFmtId="0" fontId="1" fillId="0" borderId="1" xfId="0" applyFont="1" applyBorder="1"/>
    <xf numFmtId="0" fontId="1" fillId="0" borderId="7" xfId="0" applyFont="1" applyBorder="1"/>
    <xf numFmtId="0" fontId="1" fillId="0" borderId="8" xfId="0" applyFont="1" applyBorder="1"/>
    <xf numFmtId="0" fontId="1" fillId="0" borderId="0" xfId="0" applyFont="1" applyBorder="1"/>
    <xf numFmtId="0" fontId="1" fillId="0" borderId="9" xfId="0" applyFont="1" applyBorder="1"/>
    <xf numFmtId="0" fontId="0" fillId="0" borderId="13" xfId="0" applyBorder="1"/>
    <xf numFmtId="0" fontId="0" fillId="0" borderId="12"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1" fillId="0" borderId="12" xfId="0" applyFont="1" applyBorder="1" applyAlignment="1">
      <alignment horizontal="left" vertical="center" wrapText="1"/>
    </xf>
    <xf numFmtId="0" fontId="0" fillId="0" borderId="24" xfId="0" applyBorder="1"/>
    <xf numFmtId="0" fontId="0" fillId="0" borderId="25" xfId="0" applyBorder="1"/>
    <xf numFmtId="0" fontId="0" fillId="0" borderId="26" xfId="0" applyBorder="1"/>
    <xf numFmtId="0" fontId="0" fillId="0" borderId="0" xfId="0" applyFill="1" applyAlignment="1">
      <alignment wrapText="1"/>
    </xf>
    <xf numFmtId="0" fontId="0" fillId="0" borderId="0" xfId="0" applyFill="1"/>
    <xf numFmtId="0" fontId="0" fillId="0" borderId="0" xfId="0" applyAlignment="1">
      <alignment horizontal="left" vertical="center" wrapText="1"/>
    </xf>
    <xf numFmtId="2" fontId="0" fillId="0" borderId="0" xfId="0" applyNumberFormat="1" applyAlignment="1">
      <alignment horizontal="right"/>
    </xf>
    <xf numFmtId="2" fontId="0" fillId="0" borderId="4" xfId="0" applyNumberFormat="1" applyBorder="1" applyAlignment="1">
      <alignment horizontal="right"/>
    </xf>
    <xf numFmtId="0" fontId="0" fillId="0" borderId="0" xfId="0" applyNumberFormat="1" applyBorder="1" applyAlignment="1">
      <alignment horizontal="right"/>
    </xf>
    <xf numFmtId="0" fontId="0" fillId="0" borderId="0" xfId="0" applyNumberFormat="1" applyFill="1" applyBorder="1" applyAlignment="1">
      <alignment horizontal="right"/>
    </xf>
    <xf numFmtId="0" fontId="0" fillId="0" borderId="6" xfId="0" applyFont="1" applyBorder="1"/>
    <xf numFmtId="0" fontId="0" fillId="0" borderId="1"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24" xfId="0" applyFill="1" applyBorder="1"/>
    <xf numFmtId="0" fontId="0" fillId="0" borderId="25" xfId="0" applyFill="1" applyBorder="1"/>
    <xf numFmtId="0" fontId="0" fillId="0" borderId="2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impl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mpl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C2E91-954E-6047-9004-DC3E6D3C1E89}">
  <dimension ref="A1:N33"/>
  <sheetViews>
    <sheetView topLeftCell="A25" workbookViewId="0">
      <selection activeCell="B29" sqref="B29:D29"/>
    </sheetView>
  </sheetViews>
  <sheetFormatPr baseColWidth="10" defaultRowHeight="16" x14ac:dyDescent="0.2"/>
  <cols>
    <col min="1" max="1" width="27.83203125" style="2" bestFit="1" customWidth="1"/>
    <col min="2" max="2" width="21.83203125" bestFit="1" customWidth="1"/>
    <col min="3" max="3" width="21.5" bestFit="1" customWidth="1"/>
    <col min="4" max="4" width="21.5" customWidth="1"/>
    <col min="5" max="5" width="23.83203125" bestFit="1" customWidth="1"/>
    <col min="6" max="6" width="21.5" customWidth="1"/>
    <col min="7" max="7" width="17.33203125" bestFit="1" customWidth="1"/>
    <col min="8" max="8" width="21.83203125" bestFit="1" customWidth="1"/>
    <col min="9" max="9" width="16.33203125" bestFit="1" customWidth="1"/>
    <col min="11" max="11" width="33.5" bestFit="1" customWidth="1"/>
    <col min="12" max="12" width="23.1640625" bestFit="1" customWidth="1"/>
    <col min="13" max="13" width="23.1640625" customWidth="1"/>
    <col min="14" max="14" width="13" bestFit="1" customWidth="1"/>
  </cols>
  <sheetData>
    <row r="1" spans="1:14" s="1" customFormat="1" ht="17" x14ac:dyDescent="0.2">
      <c r="A1" s="3" t="s">
        <v>10</v>
      </c>
      <c r="B1" s="1" t="s">
        <v>12</v>
      </c>
      <c r="C1" s="1" t="s">
        <v>13</v>
      </c>
      <c r="D1" s="1" t="s">
        <v>23</v>
      </c>
      <c r="E1" s="1" t="s">
        <v>24</v>
      </c>
      <c r="F1" s="1" t="s">
        <v>27</v>
      </c>
      <c r="G1" s="1" t="s">
        <v>14</v>
      </c>
      <c r="H1" s="1" t="s">
        <v>15</v>
      </c>
      <c r="I1" s="1" t="s">
        <v>8</v>
      </c>
      <c r="J1" s="1" t="s">
        <v>1</v>
      </c>
      <c r="K1" s="1" t="s">
        <v>9</v>
      </c>
      <c r="L1" s="1" t="s">
        <v>36</v>
      </c>
      <c r="M1" s="1" t="s">
        <v>37</v>
      </c>
      <c r="N1" s="1" t="s">
        <v>121</v>
      </c>
    </row>
    <row r="2" spans="1:14" s="1" customFormat="1" x14ac:dyDescent="0.2">
      <c r="A2" s="3"/>
      <c r="B2" s="1" t="s">
        <v>3</v>
      </c>
      <c r="C2" s="1" t="s">
        <v>4</v>
      </c>
      <c r="D2" s="1" t="s">
        <v>21</v>
      </c>
      <c r="E2" s="1" t="s">
        <v>22</v>
      </c>
      <c r="F2" s="1" t="s">
        <v>28</v>
      </c>
      <c r="G2" s="1" t="s">
        <v>25</v>
      </c>
      <c r="H2" s="1" t="s">
        <v>26</v>
      </c>
      <c r="I2" s="1" t="s">
        <v>16</v>
      </c>
      <c r="J2" s="1" t="s">
        <v>32</v>
      </c>
      <c r="K2" s="1" t="s">
        <v>34</v>
      </c>
      <c r="L2" s="1" t="s">
        <v>35</v>
      </c>
      <c r="M2" s="1" t="s">
        <v>38</v>
      </c>
      <c r="N2" s="1" t="s">
        <v>122</v>
      </c>
    </row>
    <row r="3" spans="1:14" x14ac:dyDescent="0.2">
      <c r="B3">
        <v>49</v>
      </c>
      <c r="C3">
        <v>14</v>
      </c>
      <c r="D3">
        <f>B3-B$18</f>
        <v>6.5454545454545467</v>
      </c>
      <c r="E3">
        <f>C3-D$19</f>
        <v>3.7272727272727266</v>
      </c>
      <c r="F3">
        <f>D3*E3</f>
        <v>24.396694214876035</v>
      </c>
      <c r="G3">
        <f>D3^2</f>
        <v>42.842975206611584</v>
      </c>
      <c r="H3">
        <f>E3^2</f>
        <v>13.892561983471069</v>
      </c>
      <c r="I3">
        <f>B3*C3</f>
        <v>686</v>
      </c>
      <c r="J3">
        <f>B3^2</f>
        <v>2401</v>
      </c>
      <c r="K3">
        <f>B$24+B$23*B3</f>
        <v>11.264668367346939</v>
      </c>
      <c r="L3">
        <f>C3-K3</f>
        <v>2.735331632653061</v>
      </c>
      <c r="M3">
        <f>L3^2</f>
        <v>7.4820391405924607</v>
      </c>
      <c r="N3">
        <f>(K3-$B$19)^2</f>
        <v>0.98394713519526045</v>
      </c>
    </row>
    <row r="4" spans="1:14" x14ac:dyDescent="0.2">
      <c r="B4">
        <v>53</v>
      </c>
      <c r="C4">
        <v>12</v>
      </c>
      <c r="D4">
        <f t="shared" ref="D4:D13" si="0">B4-B$18</f>
        <v>10.545454545454547</v>
      </c>
      <c r="E4">
        <f>C4-D$19</f>
        <v>1.7272727272727266</v>
      </c>
      <c r="F4">
        <f t="shared" ref="F4:F13" si="1">D4*E4</f>
        <v>18.214876033057848</v>
      </c>
      <c r="G4">
        <f t="shared" ref="G4:G13" si="2">D4^2</f>
        <v>111.20661157024796</v>
      </c>
      <c r="H4">
        <f t="shared" ref="H4:H13" si="3">E4^2</f>
        <v>2.9834710743801631</v>
      </c>
      <c r="I4">
        <f>B4*C4</f>
        <v>636</v>
      </c>
      <c r="J4">
        <f>B4^2</f>
        <v>2809</v>
      </c>
      <c r="K4">
        <f t="shared" ref="K4:K13" si="4">B$24+B$23*B4</f>
        <v>11.870854591836736</v>
      </c>
      <c r="L4">
        <f>C4-K4</f>
        <v>0.12914540816326436</v>
      </c>
      <c r="M4">
        <f t="shared" ref="M4:M13" si="5">L4^2</f>
        <v>1.667853644965615E-2</v>
      </c>
      <c r="N4">
        <f t="shared" ref="N4:N13" si="6">(K4-$B$19)^2</f>
        <v>2.5540109280839971</v>
      </c>
    </row>
    <row r="5" spans="1:14" x14ac:dyDescent="0.2">
      <c r="B5">
        <v>28</v>
      </c>
      <c r="C5">
        <v>7</v>
      </c>
      <c r="D5">
        <f t="shared" si="0"/>
        <v>-14.454545454545453</v>
      </c>
      <c r="E5">
        <f>C5-D$19</f>
        <v>-3.2727272727272734</v>
      </c>
      <c r="F5">
        <f t="shared" si="1"/>
        <v>47.305785123966949</v>
      </c>
      <c r="G5">
        <f t="shared" si="2"/>
        <v>208.93388429752062</v>
      </c>
      <c r="H5">
        <f t="shared" si="3"/>
        <v>10.710743801652896</v>
      </c>
      <c r="I5">
        <f>B5*C5</f>
        <v>196</v>
      </c>
      <c r="J5">
        <f>B5^2</f>
        <v>784</v>
      </c>
      <c r="K5">
        <f t="shared" si="4"/>
        <v>8.0821906887755119</v>
      </c>
      <c r="L5">
        <f>C5-K5</f>
        <v>-1.0821906887755119</v>
      </c>
      <c r="M5">
        <f t="shared" si="5"/>
        <v>1.1711366868724169</v>
      </c>
      <c r="N5">
        <f t="shared" si="6"/>
        <v>4.7984505256310523</v>
      </c>
    </row>
    <row r="6" spans="1:14" x14ac:dyDescent="0.2">
      <c r="B6">
        <v>30</v>
      </c>
      <c r="C6">
        <v>13</v>
      </c>
      <c r="D6">
        <f t="shared" si="0"/>
        <v>-12.454545454545453</v>
      </c>
      <c r="E6">
        <f>C6-D$19</f>
        <v>2.7272727272727266</v>
      </c>
      <c r="F6">
        <f t="shared" si="1"/>
        <v>-33.966942148760317</v>
      </c>
      <c r="G6">
        <f t="shared" si="2"/>
        <v>155.11570247933881</v>
      </c>
      <c r="H6">
        <f t="shared" si="3"/>
        <v>7.4380165289256164</v>
      </c>
      <c r="I6">
        <f>B6*C6</f>
        <v>390</v>
      </c>
      <c r="J6">
        <f>B6^2</f>
        <v>900</v>
      </c>
      <c r="K6">
        <f t="shared" si="4"/>
        <v>8.3852838010204085</v>
      </c>
      <c r="L6">
        <f>C6-K6</f>
        <v>4.6147161989795915</v>
      </c>
      <c r="M6">
        <f t="shared" si="5"/>
        <v>21.295605597124649</v>
      </c>
      <c r="N6">
        <f t="shared" si="6"/>
        <v>3.562442858888863</v>
      </c>
    </row>
    <row r="7" spans="1:14" x14ac:dyDescent="0.2">
      <c r="B7">
        <v>34</v>
      </c>
      <c r="C7">
        <v>6</v>
      </c>
      <c r="D7">
        <f t="shared" si="0"/>
        <v>-8.4545454545454533</v>
      </c>
      <c r="E7">
        <f>C7-D$19</f>
        <v>-4.2727272727272734</v>
      </c>
      <c r="F7">
        <f t="shared" si="1"/>
        <v>36.123966942148762</v>
      </c>
      <c r="G7">
        <f t="shared" si="2"/>
        <v>71.479338842975181</v>
      </c>
      <c r="H7">
        <f t="shared" si="3"/>
        <v>18.256198347107443</v>
      </c>
      <c r="I7">
        <f>B7*C7</f>
        <v>204</v>
      </c>
      <c r="J7">
        <f>B7^2</f>
        <v>1156</v>
      </c>
      <c r="K7">
        <f t="shared" si="4"/>
        <v>8.9914700255102051</v>
      </c>
      <c r="L7">
        <f>C7-K7</f>
        <v>-2.9914700255102051</v>
      </c>
      <c r="M7">
        <f t="shared" si="5"/>
        <v>8.9488929135260271</v>
      </c>
      <c r="N7">
        <f t="shared" si="6"/>
        <v>1.6416201335462595</v>
      </c>
    </row>
    <row r="8" spans="1:14" x14ac:dyDescent="0.2">
      <c r="B8">
        <v>71</v>
      </c>
      <c r="C8">
        <v>14</v>
      </c>
      <c r="D8">
        <f t="shared" si="0"/>
        <v>28.545454545454547</v>
      </c>
      <c r="E8">
        <f>C8-D$19</f>
        <v>3.7272727272727266</v>
      </c>
      <c r="F8">
        <f t="shared" si="1"/>
        <v>106.39669421487602</v>
      </c>
      <c r="G8">
        <f t="shared" si="2"/>
        <v>814.84297520661164</v>
      </c>
      <c r="H8">
        <f t="shared" si="3"/>
        <v>13.892561983471069</v>
      </c>
      <c r="I8">
        <f>B8*C8</f>
        <v>994</v>
      </c>
      <c r="J8">
        <f>B8^2</f>
        <v>5041</v>
      </c>
      <c r="K8">
        <f t="shared" si="4"/>
        <v>14.598692602040817</v>
      </c>
      <c r="L8">
        <f>C8-K8</f>
        <v>-0.59869260204081698</v>
      </c>
      <c r="M8">
        <f t="shared" si="5"/>
        <v>0.35843283173840407</v>
      </c>
      <c r="N8">
        <f t="shared" si="6"/>
        <v>18.713976030422835</v>
      </c>
    </row>
    <row r="9" spans="1:14" x14ac:dyDescent="0.2">
      <c r="B9">
        <v>43</v>
      </c>
      <c r="C9">
        <v>14</v>
      </c>
      <c r="D9">
        <f t="shared" si="0"/>
        <v>0.54545454545454675</v>
      </c>
      <c r="E9">
        <f>C9-D$19</f>
        <v>3.7272727272727266</v>
      </c>
      <c r="F9">
        <f t="shared" si="1"/>
        <v>2.0330578512396738</v>
      </c>
      <c r="G9">
        <f t="shared" si="2"/>
        <v>0.29752066115702619</v>
      </c>
      <c r="H9">
        <f t="shared" si="3"/>
        <v>13.892561983471069</v>
      </c>
      <c r="I9">
        <f>B9*C9</f>
        <v>602</v>
      </c>
      <c r="J9">
        <f>B9^2</f>
        <v>1849</v>
      </c>
      <c r="K9">
        <f t="shared" si="4"/>
        <v>10.355389030612246</v>
      </c>
      <c r="L9">
        <f>C9-K9</f>
        <v>3.6446109693877542</v>
      </c>
      <c r="M9">
        <f t="shared" si="5"/>
        <v>13.283189118181545</v>
      </c>
      <c r="N9">
        <f t="shared" si="6"/>
        <v>6.8329662166338023E-3</v>
      </c>
    </row>
    <row r="10" spans="1:14" x14ac:dyDescent="0.2">
      <c r="B10">
        <v>35</v>
      </c>
      <c r="C10">
        <v>8</v>
      </c>
      <c r="D10">
        <f t="shared" si="0"/>
        <v>-7.4545454545454533</v>
      </c>
      <c r="E10">
        <f>C10-D$19</f>
        <v>-2.2727272727272734</v>
      </c>
      <c r="F10">
        <f t="shared" si="1"/>
        <v>16.942148760330582</v>
      </c>
      <c r="G10">
        <f t="shared" si="2"/>
        <v>55.570247933884275</v>
      </c>
      <c r="H10">
        <f t="shared" si="3"/>
        <v>5.1652892561983501</v>
      </c>
      <c r="I10">
        <f>B10*C10</f>
        <v>280</v>
      </c>
      <c r="J10">
        <f>B10^2</f>
        <v>1225</v>
      </c>
      <c r="K10">
        <f t="shared" si="4"/>
        <v>9.1430165816326543</v>
      </c>
      <c r="L10">
        <f>C10-K10</f>
        <v>-1.1430165816326543</v>
      </c>
      <c r="M10">
        <f t="shared" si="5"/>
        <v>1.3064869058871982</v>
      </c>
      <c r="N10">
        <f t="shared" si="6"/>
        <v>1.2762462455734818</v>
      </c>
    </row>
    <row r="11" spans="1:14" x14ac:dyDescent="0.2">
      <c r="B11">
        <v>63</v>
      </c>
      <c r="C11">
        <v>13</v>
      </c>
      <c r="D11">
        <f t="shared" si="0"/>
        <v>20.545454545454547</v>
      </c>
      <c r="E11">
        <f>C11-D$19</f>
        <v>2.7272727272727266</v>
      </c>
      <c r="F11">
        <f t="shared" si="1"/>
        <v>56.033057851239661</v>
      </c>
      <c r="G11">
        <f t="shared" si="2"/>
        <v>422.11570247933889</v>
      </c>
      <c r="H11">
        <f t="shared" si="3"/>
        <v>7.4380165289256164</v>
      </c>
      <c r="I11">
        <f>B11*C11</f>
        <v>819</v>
      </c>
      <c r="J11">
        <f>B11^2</f>
        <v>3969</v>
      </c>
      <c r="K11">
        <f t="shared" si="4"/>
        <v>13.386320153061224</v>
      </c>
      <c r="L11">
        <f>C11-K11</f>
        <v>-0.38632015306122369</v>
      </c>
      <c r="M11">
        <f t="shared" si="5"/>
        <v>0.1492432606612473</v>
      </c>
      <c r="N11">
        <f t="shared" si="6"/>
        <v>9.6944606244662648</v>
      </c>
    </row>
    <row r="12" spans="1:14" x14ac:dyDescent="0.2">
      <c r="B12">
        <v>23</v>
      </c>
      <c r="C12">
        <v>8</v>
      </c>
      <c r="D12">
        <f t="shared" si="0"/>
        <v>-19.454545454545453</v>
      </c>
      <c r="E12">
        <f>C12-D$19</f>
        <v>-2.2727272727272734</v>
      </c>
      <c r="F12">
        <f t="shared" si="1"/>
        <v>44.214876033057863</v>
      </c>
      <c r="G12">
        <f t="shared" si="2"/>
        <v>378.47933884297515</v>
      </c>
      <c r="H12">
        <f t="shared" si="3"/>
        <v>5.1652892561983501</v>
      </c>
      <c r="I12">
        <f>B12*C12</f>
        <v>184</v>
      </c>
      <c r="J12">
        <f>B12^2</f>
        <v>529</v>
      </c>
      <c r="K12">
        <f t="shared" si="4"/>
        <v>7.3244579081632661</v>
      </c>
      <c r="L12">
        <f>C12-K12</f>
        <v>0.67554209183673386</v>
      </c>
      <c r="M12">
        <f t="shared" si="5"/>
        <v>0.45635711784315014</v>
      </c>
      <c r="N12">
        <f t="shared" si="6"/>
        <v>8.6922922460266552</v>
      </c>
    </row>
    <row r="13" spans="1:14" x14ac:dyDescent="0.2">
      <c r="B13">
        <v>38</v>
      </c>
      <c r="C13">
        <v>4</v>
      </c>
      <c r="D13">
        <f t="shared" si="0"/>
        <v>-4.4545454545454533</v>
      </c>
      <c r="E13">
        <f>C13-D$19</f>
        <v>-6.2727272727272734</v>
      </c>
      <c r="F13">
        <f t="shared" si="1"/>
        <v>27.942148760330575</v>
      </c>
      <c r="G13">
        <f t="shared" si="2"/>
        <v>19.842975206611559</v>
      </c>
      <c r="H13">
        <f t="shared" si="3"/>
        <v>39.347107438016536</v>
      </c>
      <c r="I13">
        <f>B13*C13</f>
        <v>152</v>
      </c>
      <c r="J13">
        <f>B13^2</f>
        <v>1444</v>
      </c>
      <c r="K13">
        <f t="shared" si="4"/>
        <v>9.59765625</v>
      </c>
      <c r="L13">
        <f>C13-K13</f>
        <v>-5.59765625</v>
      </c>
      <c r="M13">
        <f t="shared" si="5"/>
        <v>31.333755493164062</v>
      </c>
      <c r="N13">
        <f t="shared" si="6"/>
        <v>0.45572088572604685</v>
      </c>
    </row>
    <row r="14" spans="1:14" ht="34" x14ac:dyDescent="0.2">
      <c r="A14" s="2" t="s">
        <v>11</v>
      </c>
      <c r="B14">
        <v>28</v>
      </c>
      <c r="C14">
        <f>B24+B23*B14</f>
        <v>8.0821906887755119</v>
      </c>
      <c r="D14" t="s">
        <v>79</v>
      </c>
    </row>
    <row r="16" spans="1:14" ht="17" x14ac:dyDescent="0.2">
      <c r="A16" s="3" t="s">
        <v>84</v>
      </c>
      <c r="B16" t="s">
        <v>19</v>
      </c>
      <c r="C16" t="s">
        <v>30</v>
      </c>
      <c r="D16" t="s">
        <v>20</v>
      </c>
      <c r="F16" t="s">
        <v>41</v>
      </c>
      <c r="G16" t="s">
        <v>42</v>
      </c>
    </row>
    <row r="17" spans="1:8" ht="17" x14ac:dyDescent="0.2">
      <c r="A17" s="4" t="s">
        <v>31</v>
      </c>
      <c r="B17">
        <f>COUNT(B3:B13)</f>
        <v>11</v>
      </c>
      <c r="E17" s="5" t="s">
        <v>50</v>
      </c>
      <c r="F17" s="6" cm="1">
        <f t="array" ref="F17:G21">LINEST(C3:C13,B3:B13,TRUE,TRUE)</f>
        <v>0.15154655612244899</v>
      </c>
      <c r="G17">
        <v>3.838887117346939</v>
      </c>
      <c r="H17" t="s">
        <v>48</v>
      </c>
    </row>
    <row r="18" spans="1:8" ht="17" x14ac:dyDescent="0.2">
      <c r="A18" s="2" t="s">
        <v>5</v>
      </c>
      <c r="B18">
        <f>SUM(B3:B13)/COUNT(B3:B13)</f>
        <v>42.454545454545453</v>
      </c>
      <c r="D18">
        <f>AVERAGE(B3:B13)</f>
        <v>42.454545454545453</v>
      </c>
      <c r="E18" s="5" t="s">
        <v>51</v>
      </c>
      <c r="F18" s="6">
        <v>6.4653242611216147E-2</v>
      </c>
      <c r="G18">
        <v>2.8984036928448065</v>
      </c>
      <c r="H18" t="s">
        <v>49</v>
      </c>
    </row>
    <row r="19" spans="1:8" ht="17" x14ac:dyDescent="0.2">
      <c r="A19" s="2" t="s">
        <v>6</v>
      </c>
      <c r="B19">
        <f>SUM(C3:C13)/COUNT(C3:C13)</f>
        <v>10.272727272727273</v>
      </c>
      <c r="D19">
        <f>AVERAGE(C3:C13)</f>
        <v>10.272727272727273</v>
      </c>
      <c r="E19" s="5" t="s">
        <v>45</v>
      </c>
      <c r="F19" s="6">
        <v>0.37906579366944149</v>
      </c>
      <c r="G19">
        <v>3.0876423512310565</v>
      </c>
      <c r="H19" t="s">
        <v>44</v>
      </c>
    </row>
    <row r="20" spans="1:8" ht="17" x14ac:dyDescent="0.2">
      <c r="A20" s="2" t="s">
        <v>7</v>
      </c>
      <c r="B20">
        <f>SUM(F3:F13)/SQRT(SUM(G3:G13)*SUM(H3:H13))</f>
        <v>0.61568319261568394</v>
      </c>
      <c r="D20">
        <f>CORREL(B3:B13,C3:C13)</f>
        <v>0.61568319261568394</v>
      </c>
      <c r="E20" s="5" t="s">
        <v>46</v>
      </c>
      <c r="F20" s="6">
        <v>5.4942892632473042</v>
      </c>
      <c r="G20">
        <v>9</v>
      </c>
      <c r="H20" t="s">
        <v>47</v>
      </c>
    </row>
    <row r="21" spans="1:8" ht="34" x14ac:dyDescent="0.2">
      <c r="A21" s="2" t="s">
        <v>17</v>
      </c>
      <c r="B21">
        <f>SQRT(SUM(G3:G13)/(COUNT(B3:B13)-1))</f>
        <v>15.102076919176623</v>
      </c>
      <c r="D21">
        <f>_xlfn.STDEV.S(B3:B13)</f>
        <v>15.102076919176621</v>
      </c>
      <c r="E21" s="5" t="s">
        <v>52</v>
      </c>
      <c r="F21" s="6">
        <v>52.380000579777374</v>
      </c>
      <c r="G21">
        <v>85.801817602040813</v>
      </c>
      <c r="H21" t="s">
        <v>53</v>
      </c>
    </row>
    <row r="22" spans="1:8" ht="34" x14ac:dyDescent="0.2">
      <c r="A22" s="2" t="s">
        <v>18</v>
      </c>
      <c r="B22">
        <f>SQRT(SUM(H3:H13)/(COUNT(C3:C13)-1))</f>
        <v>3.7172815091383407</v>
      </c>
      <c r="D22">
        <f>_xlfn.STDEV.S(C3:C13)</f>
        <v>3.7172815091383411</v>
      </c>
    </row>
    <row r="23" spans="1:8" ht="17" x14ac:dyDescent="0.2">
      <c r="A23" s="2" t="s">
        <v>29</v>
      </c>
      <c r="B23">
        <f>B20*(B22/B21)</f>
        <v>0.15154655612244897</v>
      </c>
      <c r="C23">
        <f>(B17*SUM(I3:I13)-SUM(B3:B13)*SUM(C3:C13))/(B17*SUM(J3:J13)-SUM(B3:B13)^2)</f>
        <v>0.15154655612244897</v>
      </c>
      <c r="D23">
        <f>SLOPE(C3:C13,B3:B13)</f>
        <v>0.15154655612244897</v>
      </c>
    </row>
    <row r="24" spans="1:8" ht="34" x14ac:dyDescent="0.2">
      <c r="A24" s="2" t="s">
        <v>33</v>
      </c>
      <c r="B24">
        <f>AVERAGE(C3:C13)-B23*AVERAGE(B3:B13)</f>
        <v>3.8388871173469399</v>
      </c>
      <c r="D24">
        <f>INTERCEPT(C3:C13,B3:B13)</f>
        <v>3.8388871173469399</v>
      </c>
    </row>
    <row r="25" spans="1:8" ht="17" x14ac:dyDescent="0.2">
      <c r="A25" s="2" t="s">
        <v>39</v>
      </c>
      <c r="B25">
        <f>SQRT(SUM(M3:M13)/(B17-2))</f>
        <v>3.0876423512310565</v>
      </c>
      <c r="D25">
        <f>STEYX(C3:C13,B3:B13)</f>
        <v>3.0876423512310565</v>
      </c>
    </row>
    <row r="26" spans="1:8" ht="17" x14ac:dyDescent="0.2">
      <c r="A26" s="2" t="s">
        <v>40</v>
      </c>
      <c r="B26">
        <f>SQRT((SUM(M3:M13))/((B17-2)*SUM(G3:G13)))</f>
        <v>6.4653242611216133E-2</v>
      </c>
      <c r="C26">
        <f>B25/SQRT(SUM(G3:G13)*(1-0))</f>
        <v>6.4653242611216147E-2</v>
      </c>
      <c r="D26">
        <f>F18</f>
        <v>6.4653242611216147E-2</v>
      </c>
    </row>
    <row r="27" spans="1:8" ht="17" x14ac:dyDescent="0.2">
      <c r="A27" s="2" t="s">
        <v>43</v>
      </c>
      <c r="B27">
        <f>B25*SQRT(SUM(J3:J13)/(B17*SUM(G3:G13)))</f>
        <v>2.8984036928448065</v>
      </c>
      <c r="C27">
        <f>(B25/SQRT(B17))*SQRT(1+(B18^2/(SUM(G3:G13)/(B17))))</f>
        <v>2.8984036928448065</v>
      </c>
      <c r="D27">
        <f>G18</f>
        <v>2.8984036928448065</v>
      </c>
    </row>
    <row r="28" spans="1:8" ht="17" x14ac:dyDescent="0.2">
      <c r="A28" s="2" t="s">
        <v>45</v>
      </c>
      <c r="B28">
        <f>B20^2</f>
        <v>0.37906579366944138</v>
      </c>
      <c r="C28">
        <f>SUM(N3:N13)/SUM(H3:H13)</f>
        <v>0.37906579366944138</v>
      </c>
      <c r="D28">
        <f>F19</f>
        <v>0.37906579366944149</v>
      </c>
    </row>
    <row r="29" spans="1:8" ht="119" x14ac:dyDescent="0.2">
      <c r="A29" s="2" t="s">
        <v>188</v>
      </c>
      <c r="B29" s="2" t="str">
        <f>"["&amp;B23-(2.26*B26)&amp;", "&amp;B23+(2.26*B26)&amp;"]"</f>
        <v>[0.00543022782110053, 0.297662884423797]</v>
      </c>
      <c r="C29" s="2" t="s">
        <v>198</v>
      </c>
      <c r="D29" s="2" t="str">
        <f>"["&amp;'Simple Regression Excel''s Table'!F18&amp;", "&amp;'Simple Regression Excel''s Table'!G18&amp;"]"</f>
        <v>[0.00529076025135625, 0.297802351993542]</v>
      </c>
    </row>
    <row r="30" spans="1:8" ht="51" x14ac:dyDescent="0.2">
      <c r="A30" s="2" t="s">
        <v>54</v>
      </c>
      <c r="B30">
        <v>0</v>
      </c>
    </row>
    <row r="31" spans="1:8" ht="17" x14ac:dyDescent="0.2">
      <c r="A31" s="2" t="s">
        <v>55</v>
      </c>
      <c r="B31">
        <f>(B23-B30)/B26</f>
        <v>2.3439900305349646</v>
      </c>
      <c r="D31">
        <f>'Simple Regression Excel''s Table'!D18</f>
        <v>2.3439900305349641</v>
      </c>
    </row>
    <row r="32" spans="1:8" ht="136" x14ac:dyDescent="0.2">
      <c r="A32" s="2" t="s">
        <v>190</v>
      </c>
      <c r="B32">
        <f>1-(1/SQRT(2*PI()))*EXP(-(1/2)*B31^2)</f>
        <v>0.97442354723950553</v>
      </c>
      <c r="C32" s="2" t="s">
        <v>191</v>
      </c>
      <c r="D32">
        <f>_xlfn.T.DIST(D31,9,TRUE)</f>
        <v>0.97813323745097869</v>
      </c>
    </row>
    <row r="33" spans="1:4" ht="102" x14ac:dyDescent="0.2">
      <c r="A33" s="2" t="s">
        <v>184</v>
      </c>
      <c r="B33">
        <f>2*(1-D32)</f>
        <v>4.3733525098042625E-2</v>
      </c>
      <c r="C33" s="2" t="s">
        <v>192</v>
      </c>
      <c r="D33">
        <f>'Simple Regression Excel''s Table'!F12</f>
        <v>4.3733525098042715E-2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94763-0515-1A44-8168-D07A35322A05}">
  <dimension ref="A1:I18"/>
  <sheetViews>
    <sheetView workbookViewId="0">
      <selection activeCell="B17" sqref="B17"/>
    </sheetView>
  </sheetViews>
  <sheetFormatPr baseColWidth="10" defaultRowHeight="16" x14ac:dyDescent="0.2"/>
  <cols>
    <col min="2" max="2" width="12.1640625" bestFit="1" customWidth="1"/>
    <col min="3" max="3" width="13.5" bestFit="1" customWidth="1"/>
  </cols>
  <sheetData>
    <row r="1" spans="1:9" x14ac:dyDescent="0.2">
      <c r="A1" t="s">
        <v>56</v>
      </c>
    </row>
    <row r="2" spans="1:9" ht="17" thickBot="1" x14ac:dyDescent="0.25"/>
    <row r="3" spans="1:9" x14ac:dyDescent="0.2">
      <c r="A3" s="10" t="s">
        <v>57</v>
      </c>
      <c r="B3" s="10"/>
    </row>
    <row r="4" spans="1:9" x14ac:dyDescent="0.2">
      <c r="A4" s="7" t="s">
        <v>58</v>
      </c>
      <c r="B4" s="7">
        <v>0.61568319261568405</v>
      </c>
    </row>
    <row r="5" spans="1:9" x14ac:dyDescent="0.2">
      <c r="A5" s="7" t="s">
        <v>59</v>
      </c>
      <c r="B5" s="7">
        <v>0.37906579366944149</v>
      </c>
    </row>
    <row r="6" spans="1:9" x14ac:dyDescent="0.2">
      <c r="A6" s="7" t="s">
        <v>60</v>
      </c>
      <c r="B6" s="7">
        <v>0.31007310407715721</v>
      </c>
    </row>
    <row r="7" spans="1:9" x14ac:dyDescent="0.2">
      <c r="A7" s="7" t="s">
        <v>61</v>
      </c>
      <c r="B7" s="7">
        <v>3.0876423512310565</v>
      </c>
    </row>
    <row r="8" spans="1:9" ht="17" thickBot="1" x14ac:dyDescent="0.25">
      <c r="A8" s="8" t="s">
        <v>62</v>
      </c>
      <c r="B8" s="8">
        <v>11</v>
      </c>
    </row>
    <row r="10" spans="1:9" ht="17" thickBot="1" x14ac:dyDescent="0.25">
      <c r="A10" t="s">
        <v>63</v>
      </c>
    </row>
    <row r="11" spans="1:9" x14ac:dyDescent="0.2">
      <c r="A11" s="9"/>
      <c r="B11" s="9" t="s">
        <v>66</v>
      </c>
      <c r="C11" s="9" t="s">
        <v>67</v>
      </c>
      <c r="D11" s="9" t="s">
        <v>68</v>
      </c>
      <c r="E11" s="9" t="s">
        <v>69</v>
      </c>
      <c r="F11" s="9" t="s">
        <v>70</v>
      </c>
    </row>
    <row r="12" spans="1:9" x14ac:dyDescent="0.2">
      <c r="A12" s="7" t="s">
        <v>64</v>
      </c>
      <c r="B12" s="7">
        <v>1</v>
      </c>
      <c r="C12" s="7">
        <v>52.380000579777374</v>
      </c>
      <c r="D12" s="7">
        <v>52.380000579777374</v>
      </c>
      <c r="E12" s="7">
        <v>5.4942892632473042</v>
      </c>
      <c r="F12" s="7">
        <v>4.3733525098042715E-2</v>
      </c>
    </row>
    <row r="13" spans="1:9" x14ac:dyDescent="0.2">
      <c r="A13" s="7" t="s">
        <v>0</v>
      </c>
      <c r="B13" s="7">
        <v>9</v>
      </c>
      <c r="C13" s="7">
        <v>85.801817602040813</v>
      </c>
      <c r="D13" s="7">
        <v>9.5335352891156457</v>
      </c>
      <c r="E13" s="7"/>
      <c r="F13" s="7"/>
    </row>
    <row r="14" spans="1:9" ht="17" thickBot="1" x14ac:dyDescent="0.25">
      <c r="A14" s="8" t="s">
        <v>65</v>
      </c>
      <c r="B14" s="8">
        <v>10</v>
      </c>
      <c r="C14" s="8">
        <v>138.18181818181819</v>
      </c>
      <c r="D14" s="8"/>
      <c r="E14" s="8"/>
      <c r="F14" s="8"/>
    </row>
    <row r="15" spans="1:9" ht="17" thickBot="1" x14ac:dyDescent="0.25"/>
    <row r="16" spans="1:9" x14ac:dyDescent="0.2">
      <c r="A16" s="9"/>
      <c r="B16" s="9" t="s">
        <v>71</v>
      </c>
      <c r="C16" s="9" t="s">
        <v>61</v>
      </c>
      <c r="D16" s="9" t="s">
        <v>72</v>
      </c>
      <c r="E16" s="9" t="s">
        <v>73</v>
      </c>
      <c r="F16" s="9" t="s">
        <v>74</v>
      </c>
      <c r="G16" s="9" t="s">
        <v>75</v>
      </c>
      <c r="H16" s="9" t="s">
        <v>76</v>
      </c>
      <c r="I16" s="9" t="s">
        <v>77</v>
      </c>
    </row>
    <row r="17" spans="1:9" x14ac:dyDescent="0.2">
      <c r="A17" s="7" t="s">
        <v>2</v>
      </c>
      <c r="B17" s="7">
        <v>3.838887117346939</v>
      </c>
      <c r="C17" s="7">
        <v>2.8984036928448065</v>
      </c>
      <c r="D17" s="7">
        <v>1.3244832411799201</v>
      </c>
      <c r="E17" s="7">
        <v>0.21798834421654192</v>
      </c>
      <c r="F17" s="7">
        <v>-2.7177575571027095</v>
      </c>
      <c r="G17" s="7">
        <v>10.395531791796587</v>
      </c>
      <c r="H17" s="7">
        <v>-2.7177575571027095</v>
      </c>
      <c r="I17" s="7">
        <v>10.395531791796587</v>
      </c>
    </row>
    <row r="18" spans="1:9" ht="17" thickBot="1" x14ac:dyDescent="0.25">
      <c r="A18" s="8" t="s">
        <v>78</v>
      </c>
      <c r="B18" s="8">
        <v>0.15154655612244899</v>
      </c>
      <c r="C18" s="8">
        <v>6.4653242611216147E-2</v>
      </c>
      <c r="D18" s="8">
        <v>2.3439900305349641</v>
      </c>
      <c r="E18" s="8">
        <v>4.3733525098042715E-2</v>
      </c>
      <c r="F18" s="8">
        <v>5.2907602513562468E-3</v>
      </c>
      <c r="G18" s="8">
        <v>0.29780235199354177</v>
      </c>
      <c r="H18" s="8">
        <v>5.2907602513562468E-3</v>
      </c>
      <c r="I18" s="8">
        <v>0.29780235199354177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21FA1-9800-6644-A35D-DD2E16E4E384}">
  <dimension ref="A1:V48"/>
  <sheetViews>
    <sheetView topLeftCell="A46" workbookViewId="0">
      <selection activeCell="C40" sqref="C40:C41"/>
    </sheetView>
  </sheetViews>
  <sheetFormatPr baseColWidth="10" defaultRowHeight="16" x14ac:dyDescent="0.2"/>
  <cols>
    <col min="1" max="1" width="27.6640625" customWidth="1"/>
    <col min="2" max="2" width="21.6640625" bestFit="1" customWidth="1"/>
    <col min="3" max="3" width="22" bestFit="1" customWidth="1"/>
    <col min="4" max="4" width="23" bestFit="1" customWidth="1"/>
    <col min="5" max="5" width="27.83203125" customWidth="1"/>
    <col min="6" max="6" width="14.33203125" bestFit="1" customWidth="1"/>
    <col min="7" max="7" width="13.1640625" bestFit="1" customWidth="1"/>
    <col min="8" max="8" width="24.5" customWidth="1"/>
    <col min="9" max="9" width="24.5" bestFit="1" customWidth="1"/>
    <col min="10" max="10" width="24.5" customWidth="1"/>
    <col min="11" max="12" width="18.5" bestFit="1" customWidth="1"/>
    <col min="13" max="13" width="17.33203125" bestFit="1" customWidth="1"/>
    <col min="35" max="35" width="12.83203125" bestFit="1" customWidth="1"/>
    <col min="246" max="246" width="12.83203125" bestFit="1" customWidth="1"/>
  </cols>
  <sheetData>
    <row r="1" spans="1:22" ht="17" x14ac:dyDescent="0.2">
      <c r="A1" s="3" t="s">
        <v>10</v>
      </c>
      <c r="B1" s="1" t="s">
        <v>13</v>
      </c>
      <c r="C1" s="1" t="s">
        <v>81</v>
      </c>
      <c r="D1" s="1" t="s">
        <v>82</v>
      </c>
      <c r="E1" s="1" t="s">
        <v>89</v>
      </c>
      <c r="F1" s="1" t="s">
        <v>91</v>
      </c>
      <c r="G1" s="1" t="s">
        <v>24</v>
      </c>
      <c r="H1" s="1" t="s">
        <v>100</v>
      </c>
      <c r="I1" s="1" t="s">
        <v>92</v>
      </c>
      <c r="J1" s="1" t="s">
        <v>99</v>
      </c>
      <c r="K1" s="1" t="s">
        <v>97</v>
      </c>
      <c r="L1" s="1" t="s">
        <v>93</v>
      </c>
      <c r="M1" s="1" t="s">
        <v>15</v>
      </c>
      <c r="N1" s="1" t="s">
        <v>110</v>
      </c>
      <c r="O1" s="1" t="s">
        <v>113</v>
      </c>
      <c r="P1" s="1" t="s">
        <v>111</v>
      </c>
      <c r="Q1" s="1" t="s">
        <v>106</v>
      </c>
      <c r="R1" s="1" t="s">
        <v>107</v>
      </c>
      <c r="S1" s="1" t="s">
        <v>9</v>
      </c>
      <c r="T1" s="1" t="s">
        <v>36</v>
      </c>
      <c r="U1" s="1" t="s">
        <v>37</v>
      </c>
      <c r="V1" s="1" t="s">
        <v>121</v>
      </c>
    </row>
    <row r="2" spans="1:22" x14ac:dyDescent="0.2">
      <c r="A2" s="3"/>
      <c r="B2" s="1" t="s">
        <v>4</v>
      </c>
      <c r="C2" s="1" t="s">
        <v>3</v>
      </c>
      <c r="D2" s="1" t="s">
        <v>83</v>
      </c>
      <c r="E2" s="1" t="s">
        <v>90</v>
      </c>
      <c r="F2" s="1" t="s">
        <v>96</v>
      </c>
      <c r="G2" s="1" t="s">
        <v>22</v>
      </c>
      <c r="H2" s="1" t="s">
        <v>101</v>
      </c>
      <c r="I2" s="1" t="s">
        <v>95</v>
      </c>
      <c r="J2" s="1" t="s">
        <v>102</v>
      </c>
      <c r="K2" s="1" t="s">
        <v>98</v>
      </c>
      <c r="L2" s="1" t="s">
        <v>94</v>
      </c>
      <c r="M2" s="1" t="s">
        <v>26</v>
      </c>
      <c r="N2" s="1" t="s">
        <v>115</v>
      </c>
      <c r="O2" s="1" t="s">
        <v>114</v>
      </c>
      <c r="P2" s="1" t="s">
        <v>112</v>
      </c>
      <c r="Q2" s="1" t="s">
        <v>109</v>
      </c>
      <c r="R2" s="1" t="s">
        <v>108</v>
      </c>
      <c r="S2" s="1" t="s">
        <v>34</v>
      </c>
      <c r="T2" s="1" t="s">
        <v>35</v>
      </c>
      <c r="U2" s="1" t="s">
        <v>38</v>
      </c>
      <c r="V2" s="1" t="s">
        <v>122</v>
      </c>
    </row>
    <row r="3" spans="1:22" x14ac:dyDescent="0.2">
      <c r="A3" s="2"/>
      <c r="B3">
        <v>14</v>
      </c>
      <c r="C3">
        <v>49</v>
      </c>
      <c r="D3">
        <v>11</v>
      </c>
      <c r="E3">
        <f>C3-B$18</f>
        <v>7.75</v>
      </c>
      <c r="F3">
        <f>D3-B$19</f>
        <v>1.4166666666666661</v>
      </c>
      <c r="G3">
        <f>B3-B$20</f>
        <v>3.91</v>
      </c>
      <c r="H3">
        <f>F3*E3</f>
        <v>10.979166666666663</v>
      </c>
      <c r="I3">
        <f>E3*G3</f>
        <v>30.302500000000002</v>
      </c>
      <c r="J3">
        <f>F3*G3</f>
        <v>5.5391666666666648</v>
      </c>
      <c r="K3">
        <f>E3^2</f>
        <v>60.0625</v>
      </c>
      <c r="L3">
        <f>F3^2</f>
        <v>2.0069444444444429</v>
      </c>
      <c r="M3">
        <f>G3^2</f>
        <v>15.288100000000002</v>
      </c>
      <c r="N3">
        <f>C3*B3</f>
        <v>686</v>
      </c>
      <c r="O3">
        <f>B3*D3</f>
        <v>154</v>
      </c>
      <c r="P3">
        <f>C3*D3</f>
        <v>539</v>
      </c>
      <c r="Q3">
        <f>C3^2</f>
        <v>2401</v>
      </c>
      <c r="R3">
        <f>D3^2</f>
        <v>121</v>
      </c>
      <c r="S3">
        <f>B$34+B$32*C3+B$33*D3</f>
        <v>11.400396681479743</v>
      </c>
      <c r="T3">
        <f>B3-S3</f>
        <v>2.5996033185202574</v>
      </c>
      <c r="U3">
        <f>T3^2</f>
        <v>6.7579374136615344</v>
      </c>
      <c r="V3">
        <f t="shared" ref="V3:V13" si="0">(S3-$B$20)^2</f>
        <v>1.7171394628331225</v>
      </c>
    </row>
    <row r="4" spans="1:22" x14ac:dyDescent="0.2">
      <c r="A4" s="2"/>
      <c r="B4">
        <v>12</v>
      </c>
      <c r="C4">
        <v>53</v>
      </c>
      <c r="D4">
        <v>1</v>
      </c>
      <c r="E4">
        <f t="shared" ref="E4:E14" si="1">C4-B$18</f>
        <v>11.75</v>
      </c>
      <c r="F4">
        <f t="shared" ref="F4:F14" si="2">D4-B$19</f>
        <v>-8.5833333333333339</v>
      </c>
      <c r="G4">
        <f t="shared" ref="G4:G14" si="3">B4-B$20</f>
        <v>1.9100000000000001</v>
      </c>
      <c r="H4">
        <f>F4*E4</f>
        <v>-100.85416666666667</v>
      </c>
      <c r="I4">
        <f t="shared" ref="I4:I13" si="4">E4*G4</f>
        <v>22.442500000000003</v>
      </c>
      <c r="J4">
        <f>F4*G4</f>
        <v>-16.394166666666671</v>
      </c>
      <c r="K4">
        <f t="shared" ref="K4:K14" si="5">E4^2</f>
        <v>138.0625</v>
      </c>
      <c r="L4">
        <f t="shared" ref="L4:L14" si="6">F4^2</f>
        <v>73.673611111111114</v>
      </c>
      <c r="M4">
        <f t="shared" ref="M4:M14" si="7">G4^2</f>
        <v>3.6481000000000003</v>
      </c>
      <c r="N4">
        <f t="shared" ref="N4:N14" si="8">C4*B4</f>
        <v>636</v>
      </c>
      <c r="O4">
        <f t="shared" ref="O4:O14" si="9">B4*D4</f>
        <v>12</v>
      </c>
      <c r="P4">
        <f t="shared" ref="P4:P14" si="10">C4*D4</f>
        <v>53</v>
      </c>
      <c r="Q4">
        <f>C4^2</f>
        <v>2809</v>
      </c>
      <c r="R4">
        <f t="shared" ref="R4:R14" si="11">D4^2</f>
        <v>1</v>
      </c>
      <c r="S4">
        <f t="shared" ref="S4:S14" si="12">B$34+B$32*C4+B$33*D4</f>
        <v>10.845631505743359</v>
      </c>
      <c r="T4">
        <f t="shared" ref="T4:T14" si="13">B4-S4</f>
        <v>1.1543684942566408</v>
      </c>
      <c r="U4">
        <f t="shared" ref="U4:U14" si="14">T4^2</f>
        <v>1.3325666205323441</v>
      </c>
      <c r="V4">
        <f t="shared" si="0"/>
        <v>0.57097897247197649</v>
      </c>
    </row>
    <row r="5" spans="1:22" x14ac:dyDescent="0.2">
      <c r="A5" s="2"/>
      <c r="B5">
        <v>7</v>
      </c>
      <c r="C5">
        <v>28</v>
      </c>
      <c r="D5">
        <v>17</v>
      </c>
      <c r="E5">
        <f t="shared" si="1"/>
        <v>-13.25</v>
      </c>
      <c r="F5">
        <f t="shared" si="2"/>
        <v>7.4166666666666661</v>
      </c>
      <c r="G5">
        <f t="shared" si="3"/>
        <v>-3.09</v>
      </c>
      <c r="H5">
        <f>F5*E5</f>
        <v>-98.270833333333329</v>
      </c>
      <c r="I5">
        <f t="shared" si="4"/>
        <v>40.942499999999995</v>
      </c>
      <c r="J5">
        <f>F5*G5</f>
        <v>-22.917499999999997</v>
      </c>
      <c r="K5">
        <f t="shared" si="5"/>
        <v>175.5625</v>
      </c>
      <c r="L5">
        <f t="shared" si="6"/>
        <v>55.006944444444436</v>
      </c>
      <c r="M5">
        <f t="shared" si="7"/>
        <v>9.5480999999999998</v>
      </c>
      <c r="N5">
        <f t="shared" si="8"/>
        <v>196</v>
      </c>
      <c r="O5">
        <f t="shared" si="9"/>
        <v>119</v>
      </c>
      <c r="P5">
        <f t="shared" si="10"/>
        <v>476</v>
      </c>
      <c r="Q5">
        <f>C5^2</f>
        <v>784</v>
      </c>
      <c r="R5">
        <f t="shared" si="11"/>
        <v>289</v>
      </c>
      <c r="S5">
        <f t="shared" si="12"/>
        <v>8.978357345543877</v>
      </c>
      <c r="T5">
        <f t="shared" si="13"/>
        <v>-1.978357345543877</v>
      </c>
      <c r="U5">
        <f t="shared" si="14"/>
        <v>3.9138977866674152</v>
      </c>
      <c r="V5">
        <f t="shared" si="0"/>
        <v>1.2357493912062549</v>
      </c>
    </row>
    <row r="6" spans="1:22" x14ac:dyDescent="0.2">
      <c r="A6" s="2"/>
      <c r="B6">
        <v>13</v>
      </c>
      <c r="C6">
        <v>30</v>
      </c>
      <c r="D6">
        <v>13</v>
      </c>
      <c r="E6">
        <f t="shared" si="1"/>
        <v>-11.25</v>
      </c>
      <c r="F6">
        <f t="shared" si="2"/>
        <v>3.4166666666666661</v>
      </c>
      <c r="G6">
        <f t="shared" si="3"/>
        <v>2.91</v>
      </c>
      <c r="H6">
        <f>F6*E6</f>
        <v>-38.437499999999993</v>
      </c>
      <c r="I6">
        <f t="shared" si="4"/>
        <v>-32.737500000000004</v>
      </c>
      <c r="J6">
        <f>F6*G6</f>
        <v>9.942499999999999</v>
      </c>
      <c r="K6">
        <f t="shared" si="5"/>
        <v>126.5625</v>
      </c>
      <c r="L6">
        <f t="shared" si="6"/>
        <v>11.673611111111107</v>
      </c>
      <c r="M6">
        <f t="shared" si="7"/>
        <v>8.4681000000000015</v>
      </c>
      <c r="N6">
        <f t="shared" si="8"/>
        <v>390</v>
      </c>
      <c r="O6">
        <f t="shared" si="9"/>
        <v>169</v>
      </c>
      <c r="P6">
        <f t="shared" si="10"/>
        <v>390</v>
      </c>
      <c r="Q6">
        <f>C6^2</f>
        <v>900</v>
      </c>
      <c r="R6">
        <f t="shared" si="11"/>
        <v>169</v>
      </c>
      <c r="S6">
        <f t="shared" si="12"/>
        <v>8.8156964030208886</v>
      </c>
      <c r="T6">
        <f t="shared" si="13"/>
        <v>4.1843035969791114</v>
      </c>
      <c r="U6">
        <f t="shared" si="14"/>
        <v>17.508396591692328</v>
      </c>
      <c r="V6">
        <f t="shared" si="0"/>
        <v>1.6238496572739012</v>
      </c>
    </row>
    <row r="7" spans="1:22" x14ac:dyDescent="0.2">
      <c r="A7" s="2"/>
      <c r="B7">
        <v>6</v>
      </c>
      <c r="C7">
        <v>34</v>
      </c>
      <c r="D7">
        <v>3</v>
      </c>
      <c r="E7">
        <f t="shared" si="1"/>
        <v>-7.25</v>
      </c>
      <c r="F7">
        <f t="shared" si="2"/>
        <v>-6.5833333333333339</v>
      </c>
      <c r="G7">
        <f t="shared" si="3"/>
        <v>-4.09</v>
      </c>
      <c r="H7">
        <f>F7*E7</f>
        <v>47.729166666666671</v>
      </c>
      <c r="I7">
        <f t="shared" si="4"/>
        <v>29.6525</v>
      </c>
      <c r="J7">
        <f>F7*G7</f>
        <v>26.925833333333333</v>
      </c>
      <c r="K7">
        <f t="shared" si="5"/>
        <v>52.5625</v>
      </c>
      <c r="L7">
        <f t="shared" si="6"/>
        <v>43.340277777777786</v>
      </c>
      <c r="M7">
        <f t="shared" si="7"/>
        <v>16.728099999999998</v>
      </c>
      <c r="N7">
        <f t="shared" si="8"/>
        <v>204</v>
      </c>
      <c r="O7">
        <f t="shared" si="9"/>
        <v>18</v>
      </c>
      <c r="P7">
        <f t="shared" si="10"/>
        <v>102</v>
      </c>
      <c r="Q7">
        <f>C7^2</f>
        <v>1156</v>
      </c>
      <c r="R7">
        <f t="shared" si="11"/>
        <v>9</v>
      </c>
      <c r="S7">
        <f t="shared" si="12"/>
        <v>8.2609312272845052</v>
      </c>
      <c r="T7">
        <f t="shared" si="13"/>
        <v>-2.2609312272845052</v>
      </c>
      <c r="U7">
        <f t="shared" si="14"/>
        <v>5.111810014510219</v>
      </c>
      <c r="V7">
        <f t="shared" si="0"/>
        <v>3.3454925753229658</v>
      </c>
    </row>
    <row r="8" spans="1:22" x14ac:dyDescent="0.2">
      <c r="A8" s="2"/>
      <c r="B8">
        <v>14</v>
      </c>
      <c r="C8">
        <v>71</v>
      </c>
      <c r="D8">
        <v>20</v>
      </c>
      <c r="E8">
        <f t="shared" si="1"/>
        <v>29.75</v>
      </c>
      <c r="F8">
        <f t="shared" si="2"/>
        <v>10.416666666666666</v>
      </c>
      <c r="G8">
        <f t="shared" si="3"/>
        <v>3.91</v>
      </c>
      <c r="H8">
        <f>F8*E8</f>
        <v>309.89583333333331</v>
      </c>
      <c r="I8">
        <f t="shared" si="4"/>
        <v>116.32250000000001</v>
      </c>
      <c r="J8">
        <f>F8*G8</f>
        <v>40.729166666666664</v>
      </c>
      <c r="K8">
        <f t="shared" si="5"/>
        <v>885.0625</v>
      </c>
      <c r="L8">
        <f t="shared" si="6"/>
        <v>108.50694444444443</v>
      </c>
      <c r="M8">
        <f t="shared" si="7"/>
        <v>15.288100000000002</v>
      </c>
      <c r="N8">
        <f t="shared" si="8"/>
        <v>994</v>
      </c>
      <c r="O8">
        <f t="shared" si="9"/>
        <v>280</v>
      </c>
      <c r="P8">
        <f t="shared" si="10"/>
        <v>1420</v>
      </c>
      <c r="Q8">
        <f>C8^2</f>
        <v>5041</v>
      </c>
      <c r="R8">
        <f t="shared" si="11"/>
        <v>400</v>
      </c>
      <c r="S8">
        <f t="shared" si="12"/>
        <v>15.691373517022537</v>
      </c>
      <c r="T8">
        <f t="shared" si="13"/>
        <v>-1.6913735170225372</v>
      </c>
      <c r="U8">
        <f t="shared" si="14"/>
        <v>2.8607443740851872</v>
      </c>
      <c r="V8">
        <f t="shared" si="0"/>
        <v>31.375385277201431</v>
      </c>
    </row>
    <row r="9" spans="1:22" x14ac:dyDescent="0.2">
      <c r="A9" s="2"/>
      <c r="B9">
        <v>14</v>
      </c>
      <c r="C9">
        <v>43</v>
      </c>
      <c r="D9">
        <v>19</v>
      </c>
      <c r="E9">
        <f t="shared" si="1"/>
        <v>1.75</v>
      </c>
      <c r="F9">
        <f t="shared" si="2"/>
        <v>9.4166666666666661</v>
      </c>
      <c r="G9">
        <f t="shared" si="3"/>
        <v>3.91</v>
      </c>
      <c r="H9">
        <f>F9*E9</f>
        <v>16.479166666666664</v>
      </c>
      <c r="I9">
        <f t="shared" si="4"/>
        <v>6.8425000000000002</v>
      </c>
      <c r="J9">
        <f>F9*G9</f>
        <v>36.819166666666668</v>
      </c>
      <c r="K9">
        <f t="shared" si="5"/>
        <v>3.0625</v>
      </c>
      <c r="L9">
        <f t="shared" si="6"/>
        <v>88.6736111111111</v>
      </c>
      <c r="M9">
        <f t="shared" si="7"/>
        <v>15.288100000000002</v>
      </c>
      <c r="N9">
        <f t="shared" si="8"/>
        <v>602</v>
      </c>
      <c r="O9">
        <f t="shared" si="9"/>
        <v>266</v>
      </c>
      <c r="P9">
        <f t="shared" si="10"/>
        <v>817</v>
      </c>
      <c r="Q9">
        <f>C9^2</f>
        <v>1849</v>
      </c>
      <c r="R9">
        <f t="shared" si="11"/>
        <v>361</v>
      </c>
      <c r="S9">
        <f t="shared" si="12"/>
        <v>11.429492927667905</v>
      </c>
      <c r="T9">
        <f t="shared" si="13"/>
        <v>2.5705070723320951</v>
      </c>
      <c r="U9">
        <f t="shared" si="14"/>
        <v>6.6075066089093184</v>
      </c>
      <c r="V9">
        <f t="shared" si="0"/>
        <v>1.7942413032723354</v>
      </c>
    </row>
    <row r="10" spans="1:22" x14ac:dyDescent="0.2">
      <c r="A10" s="2"/>
      <c r="B10">
        <v>8</v>
      </c>
      <c r="C10">
        <v>35</v>
      </c>
      <c r="D10">
        <v>14</v>
      </c>
      <c r="E10">
        <f t="shared" si="1"/>
        <v>-6.25</v>
      </c>
      <c r="F10">
        <f t="shared" si="2"/>
        <v>4.4166666666666661</v>
      </c>
      <c r="G10">
        <f t="shared" si="3"/>
        <v>-2.09</v>
      </c>
      <c r="H10">
        <f>F10*E10</f>
        <v>-27.604166666666664</v>
      </c>
      <c r="I10">
        <f t="shared" si="4"/>
        <v>13.0625</v>
      </c>
      <c r="J10">
        <f>F10*G10</f>
        <v>-9.2308333333333312</v>
      </c>
      <c r="K10">
        <f t="shared" si="5"/>
        <v>39.0625</v>
      </c>
      <c r="L10">
        <f t="shared" si="6"/>
        <v>19.506944444444439</v>
      </c>
      <c r="M10">
        <f t="shared" si="7"/>
        <v>4.3680999999999992</v>
      </c>
      <c r="N10">
        <f t="shared" si="8"/>
        <v>280</v>
      </c>
      <c r="O10">
        <f t="shared" si="9"/>
        <v>112</v>
      </c>
      <c r="P10">
        <f t="shared" si="10"/>
        <v>490</v>
      </c>
      <c r="Q10">
        <f>C10^2</f>
        <v>1225</v>
      </c>
      <c r="R10">
        <f t="shared" si="11"/>
        <v>196</v>
      </c>
      <c r="S10">
        <f t="shared" si="12"/>
        <v>9.6709821455106297</v>
      </c>
      <c r="T10">
        <f t="shared" si="13"/>
        <v>-1.6709821455106297</v>
      </c>
      <c r="U10">
        <f t="shared" si="14"/>
        <v>2.7921813306153074</v>
      </c>
      <c r="V10">
        <f t="shared" si="0"/>
        <v>0.17557596238087494</v>
      </c>
    </row>
    <row r="11" spans="1:22" x14ac:dyDescent="0.2">
      <c r="A11" s="2"/>
      <c r="B11">
        <v>13</v>
      </c>
      <c r="C11">
        <v>63</v>
      </c>
      <c r="D11">
        <v>0</v>
      </c>
      <c r="E11">
        <f t="shared" si="1"/>
        <v>21.75</v>
      </c>
      <c r="F11">
        <f t="shared" si="2"/>
        <v>-9.5833333333333339</v>
      </c>
      <c r="G11">
        <f t="shared" si="3"/>
        <v>2.91</v>
      </c>
      <c r="H11">
        <f>F11*E11</f>
        <v>-208.4375</v>
      </c>
      <c r="I11">
        <f t="shared" si="4"/>
        <v>63.292500000000004</v>
      </c>
      <c r="J11">
        <f>F11*G11</f>
        <v>-27.887500000000003</v>
      </c>
      <c r="K11">
        <f t="shared" si="5"/>
        <v>473.0625</v>
      </c>
      <c r="L11">
        <f t="shared" si="6"/>
        <v>91.840277777777786</v>
      </c>
      <c r="M11">
        <f t="shared" si="7"/>
        <v>8.4681000000000015</v>
      </c>
      <c r="N11">
        <f t="shared" si="8"/>
        <v>819</v>
      </c>
      <c r="O11">
        <f t="shared" si="9"/>
        <v>0</v>
      </c>
      <c r="P11">
        <f t="shared" si="10"/>
        <v>0</v>
      </c>
      <c r="Q11">
        <f>C11^2</f>
        <v>3969</v>
      </c>
      <c r="R11">
        <f t="shared" si="11"/>
        <v>0</v>
      </c>
      <c r="S11">
        <f t="shared" si="12"/>
        <v>12.212038054687239</v>
      </c>
      <c r="T11">
        <f t="shared" si="13"/>
        <v>0.78796194531276065</v>
      </c>
      <c r="U11">
        <f t="shared" si="14"/>
        <v>0.62088402726106995</v>
      </c>
      <c r="V11">
        <f t="shared" si="0"/>
        <v>4.5030455055408041</v>
      </c>
    </row>
    <row r="12" spans="1:22" x14ac:dyDescent="0.2">
      <c r="A12" s="2"/>
      <c r="B12">
        <v>8</v>
      </c>
      <c r="C12">
        <v>23</v>
      </c>
      <c r="D12">
        <v>5</v>
      </c>
      <c r="E12">
        <f t="shared" si="1"/>
        <v>-18.25</v>
      </c>
      <c r="F12">
        <f t="shared" si="2"/>
        <v>-4.5833333333333339</v>
      </c>
      <c r="G12">
        <f t="shared" si="3"/>
        <v>-2.09</v>
      </c>
      <c r="H12">
        <f>F12*E12</f>
        <v>83.645833333333343</v>
      </c>
      <c r="I12">
        <f t="shared" si="4"/>
        <v>38.142499999999998</v>
      </c>
      <c r="J12">
        <f>F12*G12</f>
        <v>9.5791666666666675</v>
      </c>
      <c r="K12">
        <f t="shared" si="5"/>
        <v>333.0625</v>
      </c>
      <c r="L12">
        <f t="shared" si="6"/>
        <v>21.00694444444445</v>
      </c>
      <c r="M12">
        <f t="shared" si="7"/>
        <v>4.3680999999999992</v>
      </c>
      <c r="N12">
        <f t="shared" si="8"/>
        <v>184</v>
      </c>
      <c r="O12">
        <f t="shared" si="9"/>
        <v>40</v>
      </c>
      <c r="P12">
        <f t="shared" si="10"/>
        <v>115</v>
      </c>
      <c r="Q12">
        <f>C12^2</f>
        <v>529</v>
      </c>
      <c r="R12">
        <f t="shared" si="11"/>
        <v>25</v>
      </c>
      <c r="S12">
        <f t="shared" si="12"/>
        <v>6.8611335042569168</v>
      </c>
      <c r="T12">
        <f t="shared" si="13"/>
        <v>1.1388664957430832</v>
      </c>
      <c r="U12">
        <f t="shared" si="14"/>
        <v>1.2970168951261301</v>
      </c>
      <c r="V12">
        <f t="shared" si="0"/>
        <v>10.425578847332217</v>
      </c>
    </row>
    <row r="13" spans="1:22" x14ac:dyDescent="0.2">
      <c r="A13" s="2"/>
      <c r="B13">
        <v>4</v>
      </c>
      <c r="C13">
        <v>38</v>
      </c>
      <c r="D13">
        <v>8</v>
      </c>
      <c r="E13">
        <f t="shared" si="1"/>
        <v>-3.25</v>
      </c>
      <c r="F13">
        <f t="shared" si="2"/>
        <v>-1.5833333333333339</v>
      </c>
      <c r="G13">
        <f t="shared" si="3"/>
        <v>-6.09</v>
      </c>
      <c r="H13">
        <f>F13*E13</f>
        <v>5.1458333333333357</v>
      </c>
      <c r="I13">
        <f t="shared" si="4"/>
        <v>19.7925</v>
      </c>
      <c r="J13">
        <f>F13*G13</f>
        <v>9.6425000000000036</v>
      </c>
      <c r="K13">
        <f t="shared" si="5"/>
        <v>10.5625</v>
      </c>
      <c r="L13">
        <f t="shared" si="6"/>
        <v>2.5069444444444464</v>
      </c>
      <c r="M13">
        <f t="shared" si="7"/>
        <v>37.088099999999997</v>
      </c>
      <c r="N13">
        <f t="shared" si="8"/>
        <v>152</v>
      </c>
      <c r="O13">
        <f t="shared" si="9"/>
        <v>32</v>
      </c>
      <c r="P13">
        <f t="shared" si="10"/>
        <v>304</v>
      </c>
      <c r="Q13">
        <f>C13^2</f>
        <v>1444</v>
      </c>
      <c r="R13">
        <f t="shared" si="11"/>
        <v>64</v>
      </c>
      <c r="S13">
        <f t="shared" si="12"/>
        <v>9.4269907317261463</v>
      </c>
      <c r="T13">
        <f t="shared" si="13"/>
        <v>-5.4269907317261463</v>
      </c>
      <c r="U13">
        <f t="shared" si="14"/>
        <v>29.452228402241492</v>
      </c>
      <c r="V13">
        <f t="shared" si="0"/>
        <v>0.43958128981703071</v>
      </c>
    </row>
    <row r="14" spans="1:22" ht="21" customHeight="1" x14ac:dyDescent="0.2">
      <c r="A14" s="2" t="s">
        <v>80</v>
      </c>
      <c r="B14">
        <v>8.08</v>
      </c>
      <c r="C14">
        <v>28</v>
      </c>
      <c r="D14">
        <v>4</v>
      </c>
      <c r="E14">
        <f t="shared" si="1"/>
        <v>-13.25</v>
      </c>
      <c r="F14">
        <f t="shared" si="2"/>
        <v>-5.5833333333333339</v>
      </c>
      <c r="G14">
        <f t="shared" si="3"/>
        <v>-2.0099999999999998</v>
      </c>
      <c r="H14">
        <f>F14*E14</f>
        <v>73.979166666666671</v>
      </c>
      <c r="I14">
        <f t="shared" ref="I14" si="15">E14*G14</f>
        <v>26.632499999999997</v>
      </c>
      <c r="J14">
        <f>F14*G14</f>
        <v>11.2225</v>
      </c>
      <c r="K14">
        <f t="shared" si="5"/>
        <v>175.5625</v>
      </c>
      <c r="L14">
        <f t="shared" si="6"/>
        <v>31.173611111111118</v>
      </c>
      <c r="M14">
        <f t="shared" si="7"/>
        <v>4.0400999999999989</v>
      </c>
      <c r="N14">
        <f t="shared" si="8"/>
        <v>226.24</v>
      </c>
      <c r="O14">
        <f t="shared" si="9"/>
        <v>32.32</v>
      </c>
      <c r="P14">
        <f t="shared" si="10"/>
        <v>112</v>
      </c>
      <c r="Q14">
        <f>C14^2</f>
        <v>784</v>
      </c>
      <c r="R14">
        <f t="shared" si="11"/>
        <v>16</v>
      </c>
      <c r="S14">
        <f t="shared" si="12"/>
        <v>7.4869759560562565</v>
      </c>
      <c r="T14">
        <f t="shared" si="13"/>
        <v>0.59302404394374353</v>
      </c>
      <c r="U14">
        <f t="shared" si="14"/>
        <v>0.35167751669539105</v>
      </c>
      <c r="V14">
        <f>(S14-$B$20)^2</f>
        <v>6.7757341733492389</v>
      </c>
    </row>
    <row r="16" spans="1:22" ht="17" x14ac:dyDescent="0.2">
      <c r="A16" s="3" t="s">
        <v>84</v>
      </c>
      <c r="B16" t="s">
        <v>19</v>
      </c>
      <c r="C16" t="s">
        <v>30</v>
      </c>
      <c r="D16" t="s">
        <v>20</v>
      </c>
    </row>
    <row r="17" spans="1:5" ht="17" x14ac:dyDescent="0.2">
      <c r="A17" s="4" t="s">
        <v>31</v>
      </c>
      <c r="B17">
        <f>COUNT(B3:B14)</f>
        <v>12</v>
      </c>
    </row>
    <row r="18" spans="1:5" ht="17" x14ac:dyDescent="0.2">
      <c r="A18" s="2" t="s">
        <v>5</v>
      </c>
      <c r="B18">
        <f>SUM(C2:C14)/B17</f>
        <v>41.25</v>
      </c>
      <c r="D18">
        <f>AVERAGE(C3:C14)</f>
        <v>41.25</v>
      </c>
    </row>
    <row r="19" spans="1:5" ht="17" x14ac:dyDescent="0.2">
      <c r="A19" s="2" t="s">
        <v>86</v>
      </c>
      <c r="B19">
        <f>SUM(D3:D14)/B17</f>
        <v>9.5833333333333339</v>
      </c>
      <c r="D19">
        <f>AVERAGE(D3:D14)</f>
        <v>9.5833333333333339</v>
      </c>
    </row>
    <row r="20" spans="1:5" ht="17" x14ac:dyDescent="0.2">
      <c r="A20" s="2" t="s">
        <v>6</v>
      </c>
      <c r="B20">
        <f>SUM(B3:B14)/B17</f>
        <v>10.09</v>
      </c>
      <c r="D20">
        <f>AVERAGE(B3:B14)</f>
        <v>10.09</v>
      </c>
    </row>
    <row r="21" spans="1:5" ht="34" x14ac:dyDescent="0.2">
      <c r="A21" s="2" t="s">
        <v>85</v>
      </c>
      <c r="B21">
        <f>SUM(H3:H14)/SQRT(SUM(L3:L14)*SUM(K3:K14))</f>
        <v>6.3737798150845112E-2</v>
      </c>
      <c r="D21">
        <f>CORREL(C3:C14,D3:D14)</f>
        <v>6.3737798150845099E-2</v>
      </c>
    </row>
    <row r="22" spans="1:5" ht="34" x14ac:dyDescent="0.2">
      <c r="A22" s="2" t="s">
        <v>87</v>
      </c>
      <c r="B22">
        <f>SUM(I3:I14)/SQRT(SUM(K3:K14)*SUM(M3:M14))</f>
        <v>0.63107735044832225</v>
      </c>
      <c r="D22">
        <f>CORREL(B3:B14,C3:C14)</f>
        <v>0.63107735044832214</v>
      </c>
    </row>
    <row r="23" spans="1:5" ht="34" x14ac:dyDescent="0.2">
      <c r="A23" s="2" t="s">
        <v>88</v>
      </c>
      <c r="B23">
        <f>SUM(J3:J14)/SQRT(SUM(L3:L14)*SUM(M3:M14))</f>
        <v>0.26439856504816883</v>
      </c>
      <c r="D23">
        <f>CORREL(B3:B14,D3:D14)</f>
        <v>0.26439856504816889</v>
      </c>
    </row>
    <row r="24" spans="1:5" ht="34" x14ac:dyDescent="0.2">
      <c r="A24" s="2" t="s">
        <v>17</v>
      </c>
      <c r="B24">
        <f>SQRT(SUM(K3:K14)/(B$17-1))</f>
        <v>14.99166435056495</v>
      </c>
      <c r="D24">
        <f>_xlfn.STDEV.S(C3:C14)</f>
        <v>14.99166435056495</v>
      </c>
    </row>
    <row r="25" spans="1:5" ht="34" x14ac:dyDescent="0.2">
      <c r="A25" s="2" t="s">
        <v>103</v>
      </c>
      <c r="B25">
        <f>SQRT(SUM(L3:L14)/(B$17-1))</f>
        <v>7.0641004488551227</v>
      </c>
      <c r="D25">
        <f>_xlfn.STDEV.S(D3:D14)</f>
        <v>7.0641004488551236</v>
      </c>
    </row>
    <row r="26" spans="1:5" ht="34" x14ac:dyDescent="0.2">
      <c r="A26" s="2" t="s">
        <v>18</v>
      </c>
      <c r="B26">
        <f>SQRT(SUM(M3:M14)/(B$17-1))</f>
        <v>3.6003686679914524</v>
      </c>
      <c r="D26">
        <f>_xlfn.STDEV.S(B3:B14)</f>
        <v>3.6003686679914542</v>
      </c>
    </row>
    <row r="27" spans="1:5" ht="17" x14ac:dyDescent="0.2">
      <c r="A27" s="2" t="s">
        <v>197</v>
      </c>
      <c r="B27">
        <f>SUM(Q3:Q14)-((SUM(C3:C14)*SUM(C3:C14))/B17)</f>
        <v>2472.25</v>
      </c>
      <c r="C27">
        <f>SUM(K3:K14)</f>
        <v>2472.25</v>
      </c>
      <c r="D27">
        <f>DEVSQ(C3:C14)</f>
        <v>2472.25</v>
      </c>
      <c r="E27" s="50"/>
    </row>
    <row r="28" spans="1:5" ht="17" x14ac:dyDescent="0.2">
      <c r="A28" s="2" t="s">
        <v>117</v>
      </c>
      <c r="B28">
        <f>SUM(R3:R14)-((SUM(D3:D14)*SUM(D3:D14))/B17)</f>
        <v>548.91666666666674</v>
      </c>
      <c r="C28">
        <f>SUM(L3:L14)</f>
        <v>548.91666666666663</v>
      </c>
      <c r="D28">
        <f>DEVSQ(D3:D14)</f>
        <v>548.91666666666663</v>
      </c>
      <c r="E28" s="50"/>
    </row>
    <row r="29" spans="1:5" ht="49" customHeight="1" x14ac:dyDescent="0.2">
      <c r="A29" s="2" t="s">
        <v>195</v>
      </c>
      <c r="B29">
        <f>SUM(N3:N14)-((SUM(C3:C14)*SUM(B3:B14))/B17)</f>
        <v>374.6899999999996</v>
      </c>
      <c r="C29">
        <f>SUM(I3:I14)</f>
        <v>374.69</v>
      </c>
      <c r="D29" s="2" t="s">
        <v>118</v>
      </c>
      <c r="E29" s="50"/>
    </row>
    <row r="30" spans="1:5" ht="49" customHeight="1" x14ac:dyDescent="0.2">
      <c r="A30" s="2" t="s">
        <v>194</v>
      </c>
      <c r="B30">
        <f>SUM(O3:O14)-((SUM(D3:D14)*SUM(B3:B14))/B17)</f>
        <v>73.970000000000027</v>
      </c>
      <c r="C30">
        <f>SUM(J3:J14)</f>
        <v>73.97</v>
      </c>
      <c r="D30" s="2" t="s">
        <v>118</v>
      </c>
      <c r="E30" s="50"/>
    </row>
    <row r="31" spans="1:5" ht="72" customHeight="1" x14ac:dyDescent="0.2">
      <c r="A31" s="2" t="s">
        <v>196</v>
      </c>
      <c r="B31">
        <f>SUM(P3:P14)-((SUM(C3:C14)*SUM(D3:D14))/B17)</f>
        <v>74.25</v>
      </c>
      <c r="C31">
        <f>SUM(H3:H14)</f>
        <v>74.249999999999972</v>
      </c>
      <c r="D31" s="2" t="s">
        <v>118</v>
      </c>
      <c r="E31" s="50"/>
    </row>
    <row r="32" spans="1:5" ht="34" x14ac:dyDescent="0.2">
      <c r="A32" s="2" t="s">
        <v>104</v>
      </c>
      <c r="B32">
        <f>((B28*B29-(B31*B30))/((B27*B28)-(B31^2)))</f>
        <v>0.14811281942890825</v>
      </c>
      <c r="D32">
        <f>'2 Mult Regression Excel''s Table'!B18</f>
        <v>0.14811281942890839</v>
      </c>
    </row>
    <row r="33" spans="1:12" ht="34" x14ac:dyDescent="0.2">
      <c r="A33" s="2" t="s">
        <v>105</v>
      </c>
      <c r="B33">
        <f>((B27*B30-(B31*B29))/((B27*B28)-(B31^2)))</f>
        <v>0.11472164534520161</v>
      </c>
      <c r="D33">
        <f>'2 Mult Regression Excel''s Table'!B19</f>
        <v>0.11472164534520153</v>
      </c>
    </row>
    <row r="34" spans="1:12" ht="34" x14ac:dyDescent="0.2">
      <c r="A34" s="2" t="s">
        <v>33</v>
      </c>
      <c r="B34">
        <f>B20-B32*B18-B33*B19</f>
        <v>2.8809304306660195</v>
      </c>
      <c r="D34">
        <f>'2 Mult Regression Excel''s Table'!B17</f>
        <v>2.8809304306660137</v>
      </c>
    </row>
    <row r="35" spans="1:12" ht="17" x14ac:dyDescent="0.2">
      <c r="A35" s="2" t="s">
        <v>39</v>
      </c>
      <c r="B35">
        <f>SQRT(SUM(U3:U14)/(B17-3))</f>
        <v>2.9553500936060901</v>
      </c>
      <c r="D35">
        <f>'2 Mult Regression Excel''s Table'!B7</f>
        <v>2.955350093606091</v>
      </c>
    </row>
    <row r="36" spans="1:12" ht="17" x14ac:dyDescent="0.2">
      <c r="A36" s="2" t="s">
        <v>119</v>
      </c>
      <c r="B36">
        <f>B35/SQRT((SUM(K3:K14)*(1-B21^2)))</f>
        <v>5.9558904557612147E-2</v>
      </c>
      <c r="D36">
        <f>'2 Mult Regression Excel''s Table'!C18</f>
        <v>5.9558904557612175E-2</v>
      </c>
    </row>
    <row r="37" spans="1:12" ht="17" x14ac:dyDescent="0.2">
      <c r="A37" s="2" t="s">
        <v>120</v>
      </c>
      <c r="B37">
        <f>B35/SQRT((SUM(L3:L14)*(1-B21^2)))</f>
        <v>0.12639784961718153</v>
      </c>
      <c r="D37">
        <f>'2 Mult Regression Excel''s Table'!C19</f>
        <v>0.12639784961718156</v>
      </c>
    </row>
    <row r="38" spans="1:12" ht="51" x14ac:dyDescent="0.2">
      <c r="A38" s="48" t="s">
        <v>43</v>
      </c>
      <c r="B38" s="48" t="s">
        <v>185</v>
      </c>
      <c r="C38" s="49"/>
      <c r="D38" s="49">
        <f>'2 Mult Regression Excel''s Table'!C17</f>
        <v>2.8020791298190892</v>
      </c>
    </row>
    <row r="39" spans="1:12" ht="68" x14ac:dyDescent="0.2">
      <c r="A39" s="2" t="s">
        <v>123</v>
      </c>
      <c r="B39">
        <f>SUM(V3:V14)/SUM(M3:M14)</f>
        <v>0.44871808256166773</v>
      </c>
      <c r="D39">
        <f>'2 Mult Regression Excel''s Table'!B5</f>
        <v>0.44871808256166829</v>
      </c>
    </row>
    <row r="40" spans="1:12" ht="119" x14ac:dyDescent="0.2">
      <c r="A40" s="2" t="s">
        <v>124</v>
      </c>
      <c r="B40" s="2" t="str">
        <f>"["&amp;B32-(2.26*B36)&amp;", "&amp;B32+(2.26*B36)&amp;"]"</f>
        <v>[0.0135096951287048, 0.282715943729112]</v>
      </c>
      <c r="C40" s="2" t="s">
        <v>198</v>
      </c>
      <c r="D40" t="str">
        <f>"["&amp;'2 Mult Regression Excel''s Table'!F18&amp;", "&amp;'2 Mult Regression Excel''s Table'!G18&amp;"]"</f>
        <v>[0.0133812168754913, 0.282844421982325]</v>
      </c>
    </row>
    <row r="41" spans="1:12" ht="119" x14ac:dyDescent="0.2">
      <c r="A41" s="2" t="s">
        <v>125</v>
      </c>
      <c r="B41" s="2" t="str">
        <f>"["&amp;B33-(2.26*B37)&amp;", "&amp;B33+(2.26*B37)&amp;"]"</f>
        <v>[-0.170937494789629, 0.400380785480032]</v>
      </c>
      <c r="C41" s="2" t="s">
        <v>198</v>
      </c>
      <c r="D41" t="str">
        <f>"["&amp;'2 Mult Regression Excel''s Table'!F19&amp;", "&amp;'2 Mult Regression Excel''s Table'!G19&amp;"]"</f>
        <v>[-0.171210155528596, 0.400653446218999]</v>
      </c>
      <c r="K41">
        <v>5</v>
      </c>
      <c r="L41">
        <v>6</v>
      </c>
    </row>
    <row r="42" spans="1:12" ht="51" x14ac:dyDescent="0.2">
      <c r="A42" s="2" t="s">
        <v>54</v>
      </c>
      <c r="B42">
        <v>0</v>
      </c>
    </row>
    <row r="43" spans="1:12" ht="17" x14ac:dyDescent="0.2">
      <c r="A43" s="2" t="s">
        <v>126</v>
      </c>
      <c r="B43">
        <f>(B32-B42)/B36</f>
        <v>2.486829140479518</v>
      </c>
      <c r="D43">
        <f>'2 Mult Regression Excel''s Table'!D18</f>
        <v>2.4868291404795189</v>
      </c>
    </row>
    <row r="44" spans="1:12" ht="17" x14ac:dyDescent="0.2">
      <c r="A44" s="2" t="s">
        <v>127</v>
      </c>
      <c r="B44">
        <f>(B33-B42)/B37</f>
        <v>0.90762339464363206</v>
      </c>
      <c r="D44">
        <f>'2 Mult Regression Excel''s Table'!D19</f>
        <v>0.90762339464363118</v>
      </c>
    </row>
    <row r="45" spans="1:12" ht="136" x14ac:dyDescent="0.2">
      <c r="A45" s="2" t="s">
        <v>183</v>
      </c>
      <c r="B45">
        <f>1-(1/SQRT(2*PI()))*EXP(-(1/2)*B43^2)</f>
        <v>0.98188650648108766</v>
      </c>
      <c r="C45" s="2" t="s">
        <v>191</v>
      </c>
      <c r="D45">
        <f>_xlfn.T.DIST(B43,9,TRUE)</f>
        <v>0.98269922074160188</v>
      </c>
      <c r="E45" s="2"/>
    </row>
    <row r="46" spans="1:12" ht="102" x14ac:dyDescent="0.2">
      <c r="A46" s="2" t="s">
        <v>184</v>
      </c>
      <c r="B46">
        <f>2*(1-D45)</f>
        <v>3.4601558516796249E-2</v>
      </c>
      <c r="C46" s="2" t="s">
        <v>192</v>
      </c>
      <c r="D46">
        <f>'2 Mult Regression Excel''s Table'!E18</f>
        <v>3.460155851679627E-2</v>
      </c>
      <c r="E46" s="2"/>
    </row>
    <row r="47" spans="1:12" ht="187" x14ac:dyDescent="0.2">
      <c r="A47" s="2" t="s">
        <v>183</v>
      </c>
      <c r="B47">
        <f>1-(1/SQRT(2*PI()))*EXP(-(1/2)*B44^2)</f>
        <v>0.73574180606844497</v>
      </c>
      <c r="C47" s="2" t="s">
        <v>193</v>
      </c>
      <c r="D47">
        <f>_xlfn.T.DIST(B44,9,TRUE)</f>
        <v>0.80613320833329749</v>
      </c>
    </row>
    <row r="48" spans="1:12" ht="102" x14ac:dyDescent="0.2">
      <c r="A48" s="2" t="s">
        <v>184</v>
      </c>
      <c r="B48">
        <f>2*(1-D47)</f>
        <v>0.38773358333340502</v>
      </c>
      <c r="C48" s="2" t="s">
        <v>192</v>
      </c>
      <c r="D48">
        <f>'2 Mult Regression Excel''s Table'!E19</f>
        <v>0.38773358333340557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D5F4-66D8-EF4A-BB66-34DE65C8FDA9}">
  <dimension ref="A1:I19"/>
  <sheetViews>
    <sheetView workbookViewId="0">
      <selection activeCell="B7" sqref="B7"/>
    </sheetView>
  </sheetViews>
  <sheetFormatPr baseColWidth="10" defaultRowHeight="16" x14ac:dyDescent="0.2"/>
  <cols>
    <col min="3" max="3" width="13.5" bestFit="1" customWidth="1"/>
    <col min="6" max="6" width="13" bestFit="1" customWidth="1"/>
  </cols>
  <sheetData>
    <row r="1" spans="1:9" x14ac:dyDescent="0.2">
      <c r="A1" t="s">
        <v>56</v>
      </c>
    </row>
    <row r="2" spans="1:9" ht="17" thickBot="1" x14ac:dyDescent="0.25"/>
    <row r="3" spans="1:9" x14ac:dyDescent="0.2">
      <c r="A3" s="10" t="s">
        <v>57</v>
      </c>
      <c r="B3" s="10"/>
    </row>
    <row r="4" spans="1:9" x14ac:dyDescent="0.2">
      <c r="A4" s="7" t="s">
        <v>58</v>
      </c>
      <c r="B4" s="7">
        <v>0.66986422696070902</v>
      </c>
    </row>
    <row r="5" spans="1:9" x14ac:dyDescent="0.2">
      <c r="A5" s="7" t="s">
        <v>59</v>
      </c>
      <c r="B5" s="7">
        <v>0.44871808256166829</v>
      </c>
    </row>
    <row r="6" spans="1:9" x14ac:dyDescent="0.2">
      <c r="A6" s="7" t="s">
        <v>60</v>
      </c>
      <c r="B6" s="7">
        <v>0.32621098979759455</v>
      </c>
    </row>
    <row r="7" spans="1:9" x14ac:dyDescent="0.2">
      <c r="A7" s="7" t="s">
        <v>61</v>
      </c>
      <c r="B7" s="7">
        <v>2.955350093606091</v>
      </c>
    </row>
    <row r="8" spans="1:9" ht="17" thickBot="1" x14ac:dyDescent="0.25">
      <c r="A8" s="8" t="s">
        <v>62</v>
      </c>
      <c r="B8" s="8">
        <v>12</v>
      </c>
    </row>
    <row r="10" spans="1:9" ht="17" thickBot="1" x14ac:dyDescent="0.25">
      <c r="A10" t="s">
        <v>63</v>
      </c>
    </row>
    <row r="11" spans="1:9" x14ac:dyDescent="0.2">
      <c r="A11" s="9"/>
      <c r="B11" s="9" t="s">
        <v>66</v>
      </c>
      <c r="C11" s="9" t="s">
        <v>67</v>
      </c>
      <c r="D11" s="9" t="s">
        <v>68</v>
      </c>
      <c r="E11" s="9" t="s">
        <v>69</v>
      </c>
      <c r="F11" s="9" t="s">
        <v>70</v>
      </c>
    </row>
    <row r="12" spans="1:9" x14ac:dyDescent="0.2">
      <c r="A12" s="7" t="s">
        <v>64</v>
      </c>
      <c r="B12" s="7">
        <v>2</v>
      </c>
      <c r="C12" s="7">
        <v>63.982352418002236</v>
      </c>
      <c r="D12" s="7">
        <v>31.991176209001118</v>
      </c>
      <c r="E12" s="7">
        <v>3.6627926794885042</v>
      </c>
      <c r="F12" s="7">
        <v>6.8577533902522705E-2</v>
      </c>
    </row>
    <row r="13" spans="1:9" x14ac:dyDescent="0.2">
      <c r="A13" s="7" t="s">
        <v>0</v>
      </c>
      <c r="B13" s="7">
        <v>9</v>
      </c>
      <c r="C13" s="7">
        <v>78.606847581997769</v>
      </c>
      <c r="D13" s="7">
        <v>8.7340941757775301</v>
      </c>
      <c r="E13" s="7"/>
      <c r="F13" s="7"/>
    </row>
    <row r="14" spans="1:9" ht="17" thickBot="1" x14ac:dyDescent="0.25">
      <c r="A14" s="8" t="s">
        <v>65</v>
      </c>
      <c r="B14" s="8">
        <v>11</v>
      </c>
      <c r="C14" s="8">
        <v>142.58920000000001</v>
      </c>
      <c r="D14" s="8"/>
      <c r="E14" s="8"/>
      <c r="F14" s="8"/>
    </row>
    <row r="15" spans="1:9" ht="17" thickBot="1" x14ac:dyDescent="0.25"/>
    <row r="16" spans="1:9" x14ac:dyDescent="0.2">
      <c r="A16" s="9"/>
      <c r="B16" s="9" t="s">
        <v>71</v>
      </c>
      <c r="C16" s="9" t="s">
        <v>61</v>
      </c>
      <c r="D16" s="9" t="s">
        <v>72</v>
      </c>
      <c r="E16" s="9" t="s">
        <v>73</v>
      </c>
      <c r="F16" s="9" t="s">
        <v>74</v>
      </c>
      <c r="G16" s="9" t="s">
        <v>75</v>
      </c>
      <c r="H16" s="9" t="s">
        <v>76</v>
      </c>
      <c r="I16" s="9" t="s">
        <v>77</v>
      </c>
    </row>
    <row r="17" spans="1:9" x14ac:dyDescent="0.2">
      <c r="A17" s="7" t="s">
        <v>2</v>
      </c>
      <c r="B17" s="7">
        <v>2.8809304306660137</v>
      </c>
      <c r="C17" s="7">
        <v>2.8020791298190892</v>
      </c>
      <c r="D17" s="7">
        <v>1.0281402834087756</v>
      </c>
      <c r="E17" s="7">
        <v>0.33072186849289353</v>
      </c>
      <c r="F17" s="7">
        <v>-3.4578129435816014</v>
      </c>
      <c r="G17" s="7">
        <v>9.2196738049136293</v>
      </c>
      <c r="H17" s="7">
        <v>-3.4578129435816014</v>
      </c>
      <c r="I17" s="7">
        <v>9.2196738049136293</v>
      </c>
    </row>
    <row r="18" spans="1:9" x14ac:dyDescent="0.2">
      <c r="A18" s="7" t="s">
        <v>78</v>
      </c>
      <c r="B18" s="7">
        <v>0.14811281942890839</v>
      </c>
      <c r="C18" s="7">
        <v>5.9558904557612175E-2</v>
      </c>
      <c r="D18" s="7">
        <v>2.4868291404795189</v>
      </c>
      <c r="E18" s="7">
        <v>3.460155851679627E-2</v>
      </c>
      <c r="F18" s="7">
        <v>1.338121687549132E-2</v>
      </c>
      <c r="G18" s="7">
        <v>0.28284442198232546</v>
      </c>
      <c r="H18" s="7">
        <v>1.338121687549132E-2</v>
      </c>
      <c r="I18" s="7">
        <v>0.28284442198232546</v>
      </c>
    </row>
    <row r="19" spans="1:9" ht="17" thickBot="1" x14ac:dyDescent="0.25">
      <c r="A19" s="8" t="s">
        <v>116</v>
      </c>
      <c r="B19" s="8">
        <v>0.11472164534520153</v>
      </c>
      <c r="C19" s="8">
        <v>0.12639784961718156</v>
      </c>
      <c r="D19" s="8">
        <v>0.90762339464363118</v>
      </c>
      <c r="E19" s="8">
        <v>0.38773358333340557</v>
      </c>
      <c r="F19" s="8">
        <v>-0.17121015552859614</v>
      </c>
      <c r="G19" s="8">
        <v>0.40065344621899918</v>
      </c>
      <c r="H19" s="8">
        <v>-0.17121015552859614</v>
      </c>
      <c r="I19" s="8">
        <v>0.40065344621899918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74C6F-76C6-B444-955C-7C7A87F39B1E}">
  <dimension ref="A1:M85"/>
  <sheetViews>
    <sheetView topLeftCell="A22" workbookViewId="0">
      <selection activeCell="E39" sqref="E39"/>
    </sheetView>
  </sheetViews>
  <sheetFormatPr baseColWidth="10" defaultRowHeight="16" x14ac:dyDescent="0.2"/>
  <cols>
    <col min="1" max="1" width="27.6640625" customWidth="1"/>
    <col min="2" max="2" width="21.6640625" bestFit="1" customWidth="1"/>
    <col min="3" max="3" width="22" bestFit="1" customWidth="1"/>
    <col min="4" max="4" width="23" bestFit="1" customWidth="1"/>
    <col min="5" max="5" width="31.1640625" bestFit="1" customWidth="1"/>
    <col min="6" max="6" width="41.83203125" bestFit="1" customWidth="1"/>
    <col min="7" max="7" width="27.6640625" customWidth="1"/>
    <col min="8" max="8" width="13.1640625" bestFit="1" customWidth="1"/>
    <col min="9" max="9" width="24.5" customWidth="1"/>
    <col min="10" max="10" width="24.5" bestFit="1" customWidth="1"/>
    <col min="11" max="11" width="24.5" customWidth="1"/>
    <col min="12" max="13" width="18.5" bestFit="1" customWidth="1"/>
    <col min="14" max="14" width="17.33203125" bestFit="1" customWidth="1"/>
  </cols>
  <sheetData>
    <row r="1" spans="1:13" ht="17" x14ac:dyDescent="0.2">
      <c r="A1" s="3" t="s">
        <v>10</v>
      </c>
      <c r="B1" s="1" t="s">
        <v>13</v>
      </c>
      <c r="C1" s="1" t="s">
        <v>81</v>
      </c>
      <c r="D1" s="1" t="s">
        <v>82</v>
      </c>
      <c r="E1" s="1" t="s">
        <v>128</v>
      </c>
      <c r="F1" s="1" t="s">
        <v>131</v>
      </c>
      <c r="G1" s="1" t="s">
        <v>9</v>
      </c>
      <c r="H1" s="1" t="s">
        <v>36</v>
      </c>
      <c r="I1" s="1" t="s">
        <v>37</v>
      </c>
      <c r="J1" s="1" t="s">
        <v>121</v>
      </c>
      <c r="K1" s="1" t="s">
        <v>15</v>
      </c>
      <c r="L1" s="1"/>
      <c r="M1" s="1"/>
    </row>
    <row r="2" spans="1:13" x14ac:dyDescent="0.2">
      <c r="A2" s="3"/>
      <c r="B2" s="1" t="s">
        <v>4</v>
      </c>
      <c r="C2" s="1" t="s">
        <v>3</v>
      </c>
      <c r="D2" s="1" t="s">
        <v>83</v>
      </c>
      <c r="E2" s="1" t="s">
        <v>129</v>
      </c>
      <c r="F2" s="1" t="s">
        <v>132</v>
      </c>
      <c r="G2" s="1" t="s">
        <v>34</v>
      </c>
      <c r="H2" s="1" t="s">
        <v>35</v>
      </c>
      <c r="I2" s="1" t="s">
        <v>38</v>
      </c>
      <c r="J2" s="1" t="s">
        <v>122</v>
      </c>
      <c r="L2" s="1"/>
    </row>
    <row r="3" spans="1:13" x14ac:dyDescent="0.2">
      <c r="A3" s="2"/>
      <c r="B3">
        <v>14</v>
      </c>
      <c r="C3">
        <v>49</v>
      </c>
      <c r="D3">
        <v>11</v>
      </c>
      <c r="E3" s="13">
        <v>4911</v>
      </c>
      <c r="F3">
        <v>1</v>
      </c>
      <c r="G3">
        <f>$B$24+$B$25*$C3+$B$26*$D3+$B$27*$E3</f>
        <v>14.497196369897063</v>
      </c>
      <c r="H3">
        <f>B3-G3</f>
        <v>-0.49719636989706295</v>
      </c>
      <c r="I3">
        <f>H3^2</f>
        <v>0.24720423023881705</v>
      </c>
      <c r="J3">
        <f>(G3-$B$20)^2</f>
        <v>19.42337984283385</v>
      </c>
      <c r="K3">
        <f>(B3-B$20)^2</f>
        <v>15.288100000000002</v>
      </c>
    </row>
    <row r="4" spans="1:13" x14ac:dyDescent="0.2">
      <c r="A4" s="2"/>
      <c r="B4">
        <v>12</v>
      </c>
      <c r="C4">
        <v>53</v>
      </c>
      <c r="D4">
        <v>1</v>
      </c>
      <c r="E4" s="13">
        <v>531</v>
      </c>
      <c r="F4">
        <v>1</v>
      </c>
      <c r="G4">
        <f>$B$24+$B$25*$C4+$B$26*$D4+$B$27*$E4</f>
        <v>10.439195417619214</v>
      </c>
      <c r="H4">
        <f t="shared" ref="H4:H14" si="0">B4-G4</f>
        <v>1.5608045823807863</v>
      </c>
      <c r="I4">
        <f t="shared" ref="I4:I14" si="1">H4^2</f>
        <v>2.4361109443808608</v>
      </c>
      <c r="J4">
        <f t="shared" ref="J4:J13" si="2">(G4-$B$20)^2</f>
        <v>0.12193743968625713</v>
      </c>
      <c r="K4">
        <f t="shared" ref="K4:K14" si="3">(B4-B$20)^2</f>
        <v>3.6481000000000003</v>
      </c>
    </row>
    <row r="5" spans="1:13" x14ac:dyDescent="0.2">
      <c r="A5" s="2"/>
      <c r="B5">
        <v>7</v>
      </c>
      <c r="C5">
        <v>28</v>
      </c>
      <c r="D5">
        <v>17</v>
      </c>
      <c r="E5" s="13">
        <v>2817</v>
      </c>
      <c r="F5">
        <v>1</v>
      </c>
      <c r="G5">
        <f>$B$24+$B$25*$C5+$B$26*$D5+$B$27*$E5</f>
        <v>7.7010660666426407</v>
      </c>
      <c r="H5">
        <f t="shared" si="0"/>
        <v>-0.70106606664264071</v>
      </c>
      <c r="I5">
        <f t="shared" si="1"/>
        <v>0.49149362979778355</v>
      </c>
      <c r="J5">
        <f t="shared" si="2"/>
        <v>5.7070053379462635</v>
      </c>
      <c r="K5">
        <f t="shared" si="3"/>
        <v>9.5480999999999998</v>
      </c>
    </row>
    <row r="6" spans="1:13" x14ac:dyDescent="0.2">
      <c r="A6" s="2"/>
      <c r="B6">
        <v>13</v>
      </c>
      <c r="C6">
        <v>30</v>
      </c>
      <c r="D6">
        <v>13</v>
      </c>
      <c r="E6" s="13">
        <v>3013</v>
      </c>
      <c r="F6">
        <v>1</v>
      </c>
      <c r="G6">
        <f>$B$24+$B$25*$C6+$B$26*$D6+$B$27*$E6</f>
        <v>9.6208323403338394</v>
      </c>
      <c r="H6">
        <f t="shared" si="0"/>
        <v>3.3791676596661606</v>
      </c>
      <c r="I6">
        <f t="shared" si="1"/>
        <v>11.418774072133678</v>
      </c>
      <c r="J6">
        <f t="shared" si="2"/>
        <v>0.22011829287662218</v>
      </c>
      <c r="K6">
        <f t="shared" si="3"/>
        <v>8.4681000000000015</v>
      </c>
    </row>
    <row r="7" spans="1:13" x14ac:dyDescent="0.2">
      <c r="A7" s="2"/>
      <c r="B7">
        <v>6</v>
      </c>
      <c r="C7">
        <v>34</v>
      </c>
      <c r="D7">
        <v>3</v>
      </c>
      <c r="E7" s="13">
        <v>343</v>
      </c>
      <c r="F7">
        <v>1</v>
      </c>
      <c r="G7">
        <f>$B$24+$B$25*$C7+$B$26*$D7+$B$27*$E7</f>
        <v>8.6601304999253443</v>
      </c>
      <c r="H7">
        <f t="shared" si="0"/>
        <v>-2.6601304999253443</v>
      </c>
      <c r="I7">
        <f t="shared" si="1"/>
        <v>7.0762942766330621</v>
      </c>
      <c r="J7">
        <f t="shared" si="2"/>
        <v>2.0445267872437451</v>
      </c>
      <c r="K7">
        <f t="shared" si="3"/>
        <v>16.728099999999998</v>
      </c>
    </row>
    <row r="8" spans="1:13" x14ac:dyDescent="0.2">
      <c r="A8" s="2"/>
      <c r="B8">
        <v>14</v>
      </c>
      <c r="C8">
        <v>71</v>
      </c>
      <c r="D8">
        <v>20</v>
      </c>
      <c r="E8" s="13">
        <v>7120</v>
      </c>
      <c r="F8">
        <v>1</v>
      </c>
      <c r="G8">
        <f>$B$24+$B$25*$C8+$B$26*$D8+$B$27*$E8</f>
        <v>15.943652457259482</v>
      </c>
      <c r="H8">
        <f t="shared" si="0"/>
        <v>-1.943652457259482</v>
      </c>
      <c r="I8">
        <f t="shared" si="1"/>
        <v>3.7777848746108225</v>
      </c>
      <c r="J8">
        <f t="shared" si="2"/>
        <v>34.265247090379972</v>
      </c>
      <c r="K8">
        <f t="shared" si="3"/>
        <v>15.288100000000002</v>
      </c>
    </row>
    <row r="9" spans="1:13" x14ac:dyDescent="0.2">
      <c r="A9" s="2"/>
      <c r="B9">
        <v>14</v>
      </c>
      <c r="C9">
        <v>43</v>
      </c>
      <c r="D9">
        <v>19</v>
      </c>
      <c r="E9" s="13">
        <v>4319</v>
      </c>
      <c r="F9">
        <v>1</v>
      </c>
      <c r="G9">
        <f>$B$24+$B$25*$C9+$B$26*$D9+$B$27*$E9</f>
        <v>10.222499278879376</v>
      </c>
      <c r="H9">
        <f t="shared" si="0"/>
        <v>3.7775007211206244</v>
      </c>
      <c r="I9">
        <f t="shared" si="1"/>
        <v>14.269511698066838</v>
      </c>
      <c r="J9">
        <f t="shared" si="2"/>
        <v>1.7556058903554585E-2</v>
      </c>
      <c r="K9">
        <f t="shared" si="3"/>
        <v>15.288100000000002</v>
      </c>
    </row>
    <row r="10" spans="1:13" x14ac:dyDescent="0.2">
      <c r="A10" s="2"/>
      <c r="B10">
        <v>8</v>
      </c>
      <c r="C10">
        <v>35</v>
      </c>
      <c r="D10">
        <v>14</v>
      </c>
      <c r="E10" s="13">
        <v>3514</v>
      </c>
      <c r="F10">
        <v>1</v>
      </c>
      <c r="G10">
        <f>$B$24+$B$25*$C10+$B$26*$D10+$B$27*$E10</f>
        <v>10.337593266908092</v>
      </c>
      <c r="H10">
        <f t="shared" si="0"/>
        <v>-2.3375932669080921</v>
      </c>
      <c r="I10">
        <f t="shared" si="1"/>
        <v>5.464342281494047</v>
      </c>
      <c r="J10">
        <f t="shared" si="2"/>
        <v>6.130242581822181E-2</v>
      </c>
      <c r="K10">
        <f t="shared" si="3"/>
        <v>4.3680999999999992</v>
      </c>
    </row>
    <row r="11" spans="1:13" x14ac:dyDescent="0.2">
      <c r="A11" s="2"/>
      <c r="B11">
        <v>13</v>
      </c>
      <c r="C11">
        <v>63</v>
      </c>
      <c r="D11">
        <v>0</v>
      </c>
      <c r="E11" s="13">
        <v>630</v>
      </c>
      <c r="F11">
        <v>1</v>
      </c>
      <c r="G11">
        <f>$B$24+$B$25*$C11+$B$26*$D11+$B$27*$E11</f>
        <v>11.356011141009988</v>
      </c>
      <c r="H11">
        <f t="shared" si="0"/>
        <v>1.6439888589900118</v>
      </c>
      <c r="I11">
        <f t="shared" si="1"/>
        <v>2.7026993684832807</v>
      </c>
      <c r="J11">
        <f t="shared" si="2"/>
        <v>1.6027842091614126</v>
      </c>
      <c r="K11">
        <f t="shared" si="3"/>
        <v>8.4681000000000015</v>
      </c>
    </row>
    <row r="12" spans="1:13" x14ac:dyDescent="0.2">
      <c r="A12" s="2"/>
      <c r="B12">
        <v>8</v>
      </c>
      <c r="C12">
        <v>23</v>
      </c>
      <c r="D12">
        <v>5</v>
      </c>
      <c r="E12" s="13">
        <v>235</v>
      </c>
      <c r="F12">
        <v>1</v>
      </c>
      <c r="G12">
        <f>$B$24+$B$25*$C12+$B$26*$D12+$B$27*$E12</f>
        <v>7.3175978149329142</v>
      </c>
      <c r="H12">
        <f t="shared" si="0"/>
        <v>0.68240218506708583</v>
      </c>
      <c r="I12">
        <f t="shared" si="1"/>
        <v>0.46567274218433324</v>
      </c>
      <c r="J12">
        <f t="shared" si="2"/>
        <v>7.6862138757647509</v>
      </c>
      <c r="K12">
        <f t="shared" si="3"/>
        <v>4.3680999999999992</v>
      </c>
    </row>
    <row r="13" spans="1:13" x14ac:dyDescent="0.2">
      <c r="A13" s="2"/>
      <c r="B13">
        <v>4</v>
      </c>
      <c r="C13">
        <v>38</v>
      </c>
      <c r="D13">
        <v>8</v>
      </c>
      <c r="E13" s="13">
        <v>388</v>
      </c>
      <c r="F13">
        <v>1</v>
      </c>
      <c r="G13">
        <f>$B$24+$B$25*$C13+$B$26*$D13+$B$27*$E13</f>
        <v>7.0226444537061798</v>
      </c>
      <c r="H13">
        <f t="shared" si="0"/>
        <v>-3.0226444537061798</v>
      </c>
      <c r="I13">
        <f t="shared" si="1"/>
        <v>9.1363794935207299</v>
      </c>
      <c r="J13">
        <f t="shared" si="2"/>
        <v>9.4086700473794593</v>
      </c>
      <c r="K13">
        <f t="shared" si="3"/>
        <v>37.088099999999997</v>
      </c>
    </row>
    <row r="14" spans="1:13" ht="21" customHeight="1" x14ac:dyDescent="0.2">
      <c r="A14" s="2" t="s">
        <v>80</v>
      </c>
      <c r="B14">
        <v>8.08</v>
      </c>
      <c r="C14">
        <v>28</v>
      </c>
      <c r="D14">
        <v>4</v>
      </c>
      <c r="E14" s="13">
        <v>284</v>
      </c>
      <c r="F14">
        <v>1</v>
      </c>
      <c r="G14">
        <f>$B$24+$B$25*$C14+$B$26*$D14+$B$27*$E14</f>
        <v>7.9615808928852889</v>
      </c>
      <c r="H14">
        <f t="shared" si="0"/>
        <v>0.11841910711471115</v>
      </c>
      <c r="I14">
        <f t="shared" si="1"/>
        <v>1.4023084929845433E-2</v>
      </c>
      <c r="J14">
        <f>(G14-$B$20)^2</f>
        <v>4.5301678955309832</v>
      </c>
      <c r="K14">
        <f t="shared" si="3"/>
        <v>4.0400999999999989</v>
      </c>
    </row>
    <row r="16" spans="1:13" ht="17" x14ac:dyDescent="0.2">
      <c r="A16" s="3" t="s">
        <v>84</v>
      </c>
      <c r="B16" t="s">
        <v>19</v>
      </c>
      <c r="C16" t="s">
        <v>167</v>
      </c>
      <c r="D16" t="s">
        <v>20</v>
      </c>
    </row>
    <row r="17" spans="1:6" ht="17" x14ac:dyDescent="0.2">
      <c r="A17" s="4" t="s">
        <v>31</v>
      </c>
      <c r="B17">
        <f>COUNT(B3:B14)</f>
        <v>12</v>
      </c>
    </row>
    <row r="18" spans="1:6" ht="17" x14ac:dyDescent="0.2">
      <c r="A18" s="2" t="s">
        <v>5</v>
      </c>
      <c r="B18">
        <f>SUM(C2:C14)/B17</f>
        <v>41.25</v>
      </c>
      <c r="D18">
        <f>AVERAGE(C3:C14)</f>
        <v>41.25</v>
      </c>
    </row>
    <row r="19" spans="1:6" ht="17" x14ac:dyDescent="0.2">
      <c r="A19" s="2" t="s">
        <v>86</v>
      </c>
      <c r="B19">
        <f>SUM(D3:D14)/B17</f>
        <v>9.5833333333333339</v>
      </c>
      <c r="D19">
        <f>AVERAGE(D3:D14)</f>
        <v>9.5833333333333339</v>
      </c>
    </row>
    <row r="20" spans="1:6" ht="17" x14ac:dyDescent="0.2">
      <c r="A20" s="2" t="s">
        <v>6</v>
      </c>
      <c r="B20">
        <f>SUM(B3:B14)/B17</f>
        <v>10.09</v>
      </c>
      <c r="D20">
        <f>AVERAGE(B3:B14)</f>
        <v>10.09</v>
      </c>
    </row>
    <row r="21" spans="1:6" ht="34" x14ac:dyDescent="0.2">
      <c r="A21" s="2" t="s">
        <v>17</v>
      </c>
      <c r="B21">
        <f>SQRT(SUM(F39:F50)/(B$17-1))</f>
        <v>497.25281661983939</v>
      </c>
      <c r="D21">
        <f>_xlfn.STDEV.S(C3:C14)</f>
        <v>14.99166435056495</v>
      </c>
    </row>
    <row r="22" spans="1:6" ht="53" customHeight="1" x14ac:dyDescent="0.2">
      <c r="A22" s="2" t="s">
        <v>103</v>
      </c>
      <c r="B22">
        <f>SQRT(SUM(G39:G50)/(B$17-1))</f>
        <v>279.05522425107574</v>
      </c>
      <c r="D22">
        <f>_xlfn.STDEV.S(D3:D14)</f>
        <v>7.0641004488551236</v>
      </c>
    </row>
    <row r="23" spans="1:6" ht="34" x14ac:dyDescent="0.2">
      <c r="A23" s="2" t="s">
        <v>18</v>
      </c>
      <c r="B23">
        <f>SQRT(SUM(H39:H50)/(B$17-1))</f>
        <v>4780.4985476032061</v>
      </c>
      <c r="D23">
        <f>_xlfn.STDEV.S(B3:B14)</f>
        <v>3.6003686679914542</v>
      </c>
    </row>
    <row r="24" spans="1:6" ht="34" x14ac:dyDescent="0.2">
      <c r="A24" s="2" t="s">
        <v>33</v>
      </c>
      <c r="B24">
        <f>B82</f>
        <v>7.9183198084861628</v>
      </c>
      <c r="C24" cm="1">
        <f t="array" ref="C24:C27">MMULT(MMULT(MINVERSE(MMULT(A54:L57,A39:D50)),A54:L57),B3:B14)</f>
        <v>7.9183198084861628</v>
      </c>
      <c r="D24">
        <f>'3 Mult Regression Excel''s Table'!B17</f>
        <v>7.9183198084861814</v>
      </c>
    </row>
    <row r="25" spans="1:6" ht="34" x14ac:dyDescent="0.2">
      <c r="A25" s="2" t="s">
        <v>104</v>
      </c>
      <c r="B25">
        <f>B83</f>
        <v>3.6453668784350211E-2</v>
      </c>
      <c r="C25">
        <v>3.6453668784350211E-2</v>
      </c>
      <c r="D25">
        <f>'3 Mult Regression Excel''s Table'!B18</f>
        <v>3.6453668784350746E-2</v>
      </c>
    </row>
    <row r="26" spans="1:6" ht="34" x14ac:dyDescent="0.2">
      <c r="A26" s="2" t="s">
        <v>105</v>
      </c>
      <c r="B26">
        <f>B84</f>
        <v>-0.37296171854430971</v>
      </c>
      <c r="C26">
        <v>-0.37296171854430971</v>
      </c>
      <c r="D26">
        <f>'3 Mult Regression Excel''s Table'!B19</f>
        <v>-0.37296171854431021</v>
      </c>
    </row>
    <row r="27" spans="1:6" ht="17" x14ac:dyDescent="0.2">
      <c r="A27" s="2" t="s">
        <v>178</v>
      </c>
      <c r="B27">
        <f>B85</f>
        <v>1.811286030332956E-3</v>
      </c>
      <c r="C27">
        <v>1.811286030332956E-3</v>
      </c>
      <c r="D27">
        <f>'3 Mult Regression Excel''s Table'!B19</f>
        <v>-0.37296171854431021</v>
      </c>
    </row>
    <row r="28" spans="1:6" ht="17" x14ac:dyDescent="0.2">
      <c r="A28" s="2" t="s">
        <v>39</v>
      </c>
      <c r="B28">
        <f>SQRT(SUM(I3:I14)/(B17-4))</f>
        <v>2.6809581005788328</v>
      </c>
      <c r="C28" s="12" t="s">
        <v>169</v>
      </c>
      <c r="D28">
        <f>'3 Mult Regression Excel''s Table'!B7</f>
        <v>2.6809581005788323</v>
      </c>
      <c r="F28" s="50"/>
    </row>
    <row r="29" spans="1:6" ht="17" x14ac:dyDescent="0.2">
      <c r="A29" s="2" t="s">
        <v>119</v>
      </c>
      <c r="B29">
        <f>SQRT(B28^2*J40)</f>
        <v>8.4645519487409518E-2</v>
      </c>
      <c r="C29" s="12"/>
      <c r="D29">
        <f>'3 Mult Regression Excel''s Table'!C18</f>
        <v>8.4645519487409643E-2</v>
      </c>
    </row>
    <row r="30" spans="1:6" ht="49" customHeight="1" x14ac:dyDescent="0.2">
      <c r="A30" s="2" t="s">
        <v>120</v>
      </c>
      <c r="B30">
        <f>SQRT(B28^2*K41)</f>
        <v>0.30682044096553451</v>
      </c>
      <c r="C30" s="12"/>
      <c r="D30">
        <f>'3 Mult Regression Excel''s Table'!C19</f>
        <v>0.30682044096553451</v>
      </c>
      <c r="F30" s="50"/>
    </row>
    <row r="31" spans="1:6" ht="49" customHeight="1" x14ac:dyDescent="0.2">
      <c r="A31" s="2" t="s">
        <v>166</v>
      </c>
      <c r="B31">
        <f>SQRT(B28^2*L42)</f>
        <v>1.0569838897542803E-3</v>
      </c>
      <c r="C31" s="12"/>
      <c r="D31">
        <f>'3 Mult Regression Excel''s Table'!C20</f>
        <v>1.0569838897542807E-3</v>
      </c>
      <c r="E31" s="2"/>
      <c r="F31" s="50"/>
    </row>
    <row r="32" spans="1:6" ht="49" customHeight="1" x14ac:dyDescent="0.2">
      <c r="A32" s="2" t="s">
        <v>168</v>
      </c>
      <c r="B32">
        <f>SQRT(B28^2*I39)</f>
        <v>3.8861984813718582</v>
      </c>
      <c r="D32">
        <f>'3 Mult Regression Excel''s Table'!C17</f>
        <v>3.8861984813718626</v>
      </c>
      <c r="F32" s="50"/>
    </row>
    <row r="33" spans="1:12" ht="68" x14ac:dyDescent="0.2">
      <c r="A33" s="2" t="s">
        <v>123</v>
      </c>
      <c r="B33">
        <f>SUM(J3:J14)/SUM(K3:K14)</f>
        <v>0.59674161369532253</v>
      </c>
      <c r="D33">
        <f>'3 Mult Regression Excel''s Table'!B5</f>
        <v>0.59674161369532841</v>
      </c>
    </row>
    <row r="34" spans="1:12" ht="17" x14ac:dyDescent="0.2">
      <c r="A34" s="2" t="s">
        <v>126</v>
      </c>
      <c r="B34">
        <f>(B25-0)/B29</f>
        <v>0.4306627096756428</v>
      </c>
      <c r="D34">
        <f>'3 Mult Regression Excel''s Table'!D18</f>
        <v>0.43066270967564851</v>
      </c>
    </row>
    <row r="35" spans="1:12" ht="17" x14ac:dyDescent="0.2">
      <c r="A35" s="2" t="s">
        <v>127</v>
      </c>
      <c r="B35">
        <f>(B26-0)/B30</f>
        <v>-1.2155699840943939</v>
      </c>
      <c r="D35">
        <f>'3 Mult Regression Excel''s Table'!D19</f>
        <v>-1.2155699840943954</v>
      </c>
    </row>
    <row r="36" spans="1:12" ht="17" x14ac:dyDescent="0.2">
      <c r="A36" s="2" t="s">
        <v>170</v>
      </c>
      <c r="B36">
        <f>(B27-0)/B31</f>
        <v>1.7136363646507708</v>
      </c>
      <c r="D36">
        <f>'3 Mult Regression Excel''s Table'!D20</f>
        <v>1.7136363646507753</v>
      </c>
    </row>
    <row r="37" spans="1:12" ht="72" customHeight="1" x14ac:dyDescent="0.2">
      <c r="A37" s="1" t="s">
        <v>145</v>
      </c>
      <c r="B37" s="1" t="s">
        <v>144</v>
      </c>
      <c r="C37" s="1" t="s">
        <v>146</v>
      </c>
      <c r="D37" s="1"/>
      <c r="E37" s="1" t="s">
        <v>154</v>
      </c>
      <c r="F37" s="1"/>
      <c r="G37" s="1"/>
      <c r="H37" s="1"/>
      <c r="I37" s="1" t="s">
        <v>165</v>
      </c>
    </row>
    <row r="38" spans="1:12" ht="17" thickBot="1" x14ac:dyDescent="0.25">
      <c r="A38" s="1" t="s">
        <v>140</v>
      </c>
      <c r="B38" s="1" t="s">
        <v>141</v>
      </c>
      <c r="C38" s="1" t="s">
        <v>142</v>
      </c>
      <c r="D38" s="1" t="s">
        <v>143</v>
      </c>
      <c r="E38" s="1" t="s">
        <v>157</v>
      </c>
      <c r="F38" s="1"/>
      <c r="G38" s="1"/>
      <c r="H38" s="1"/>
    </row>
    <row r="39" spans="1:12" x14ac:dyDescent="0.2">
      <c r="A39" s="14">
        <v>1</v>
      </c>
      <c r="B39" s="14">
        <v>49</v>
      </c>
      <c r="C39" s="14">
        <v>11</v>
      </c>
      <c r="D39" s="16">
        <v>4911</v>
      </c>
      <c r="E39" s="17">
        <f>$A$54*A39+$B$54*A40+$C$54*A41+$D$54*A42+$E$54*A43+$F$54*A44+$G$54*A45+$H$54*A46+$I$54*A47+$J$54*A48+$K$54*A49+$L$54*A50</f>
        <v>12</v>
      </c>
      <c r="F39" s="18">
        <f>$A$54*B39+$B$54*B40+$C$54*B41+$D$54*B42+$E$54*B43+$F$54*B44+$G$54*B45+$H$54*B46+$I$54*B47+$J$54*B48+$K$54*B49+$L$54*B50</f>
        <v>495</v>
      </c>
      <c r="G39" s="18">
        <f>$A$54*C39+$B$54*C40+$C$54*C41+$D$54*C42+$E$54*C43+$F$54*C44+$G$54*C45+$H$54*C46+$I$54*C47+$J$54*C48+$K$54*C49+$L$54*C50</f>
        <v>115</v>
      </c>
      <c r="H39" s="19">
        <f>$A$54*D39+$B$54*D40+$C$54*D41+$D$54*D42+$E$54*D43+$F$54*D44+$G$54*D45+$H$54*D46+$I$54*D47+$J$54*D48+$K$54*D49+$L$54*D50</f>
        <v>28105</v>
      </c>
      <c r="I39" cm="1">
        <f t="array" ref="I39:L42">MINVERSE(E45:H48)</f>
        <v>2.1012121439647635</v>
      </c>
      <c r="J39">
        <v>-4.2875879736767562E-2</v>
      </c>
      <c r="K39">
        <v>-0.13165647901301994</v>
      </c>
      <c r="L39">
        <v>4.3228997789076932E-4</v>
      </c>
    </row>
    <row r="40" spans="1:12" x14ac:dyDescent="0.2">
      <c r="A40" s="14">
        <v>1</v>
      </c>
      <c r="B40" s="14">
        <v>53</v>
      </c>
      <c r="C40" s="14">
        <v>1</v>
      </c>
      <c r="D40" s="16">
        <v>531</v>
      </c>
      <c r="E40" s="20">
        <f>$A55*A$39+$B55*A$40+$C55*A$41+$D55*A$42+$E55*A$43+$F55*A$44+$G55*A$45+$H55*A$46+$I55*A$47+$J55*A$48+$K55*A$49+$L55*A$50</f>
        <v>495</v>
      </c>
      <c r="F40" s="21">
        <f>$A55*B$39+$B55*B$40+$C55*B$41+$D55*B$42+$E55*B$43+$F55*B$44+$G55*B$45+$H55*B$46+$I55*B$47+$J55*B$48+$K55*B$49+$L55*B$50</f>
        <v>22891</v>
      </c>
      <c r="G40" s="21">
        <f>$A55*C$39+$B55*C$40+$C55*C$41+$D55*C$42+$E55*C$43+$F55*C$44+$G55*C$45+$H55*C$46+$I55*C$47+$J55*C$48+$K55*C$49+$L55*C$50</f>
        <v>4818</v>
      </c>
      <c r="H40" s="22">
        <f>$A55*D$39+$B55*D$40+$C55*D$41+$D55*D$42+$E55*D$43+$F55*D$44+$G55*D$45+$H55*D$46+$I55*D$47+$J55*D$48+$K55*D$49+$L55*D$50</f>
        <v>1331728</v>
      </c>
      <c r="I40">
        <v>-4.2875879736767548E-2</v>
      </c>
      <c r="J40">
        <v>9.9684559956254555E-4</v>
      </c>
      <c r="K40">
        <v>2.525034181484483E-3</v>
      </c>
      <c r="L40">
        <v>-9.5821720623719991E-6</v>
      </c>
    </row>
    <row r="41" spans="1:12" x14ac:dyDescent="0.2">
      <c r="A41" s="14">
        <v>1</v>
      </c>
      <c r="B41" s="14">
        <v>28</v>
      </c>
      <c r="C41" s="14">
        <v>17</v>
      </c>
      <c r="D41" s="16">
        <v>2817</v>
      </c>
      <c r="E41" s="20">
        <f>$A56*A$39+$B56*A$40+$C56*A$41+$D56*A$42+$E56*A$43+$F56*A$44+$G56*A$45+$H56*A$46+$I56*A$47+$J56*A$48+$K56*A$49+$L56*A$50</f>
        <v>115</v>
      </c>
      <c r="F41" s="21">
        <f>$A56*B$39+$B56*B$40+$C56*B$41+$D56*B$42+$E56*B$43+$F56*B$44+$G56*B$45+$H56*B$46+$I56*B$47+$J56*B$48+$K56*B$49+$L56*B$50</f>
        <v>4818</v>
      </c>
      <c r="G41" s="21">
        <f>$A56*C$39+$B56*C$40+$C56*C$41+$D56*C$42+$E56*C$43+$F56*C$44+$G56*C$45+$H56*C$46+$I56*C$47+$J56*C$48+$K56*C$49+$L56*C$50</f>
        <v>1651</v>
      </c>
      <c r="H41" s="22">
        <f>$A56*D$39+$B56*D$40+$C56*D$41+$D56*D$42+$E56*D$43+$F56*D$44+$G56*D$45+$H56*D$46+$I56*D$47+$J56*D$48+$K56*D$49+$L56*D$50</f>
        <v>421711</v>
      </c>
      <c r="I41">
        <v>-0.13165647901301991</v>
      </c>
      <c r="J41">
        <v>2.525034181484483E-3</v>
      </c>
      <c r="K41">
        <v>1.309750359228116E-2</v>
      </c>
      <c r="L41">
        <v>-4.1851168290016488E-5</v>
      </c>
    </row>
    <row r="42" spans="1:12" ht="17" thickBot="1" x14ac:dyDescent="0.25">
      <c r="A42" s="14">
        <v>1</v>
      </c>
      <c r="B42" s="14">
        <v>30</v>
      </c>
      <c r="C42" s="14">
        <v>13</v>
      </c>
      <c r="D42" s="16">
        <v>3013</v>
      </c>
      <c r="E42" s="23">
        <f>$A57*A$39+$B57*A$40+$C57*A$41+$D57*A$42+$E57*A$43+$F57*A$44+$G57*A$45+$H57*A$46+$I57*A$47+$J57*A$48+$K57*A$49+$L57*A$50</f>
        <v>28105</v>
      </c>
      <c r="F42" s="24">
        <f>$A57*B$39+$B57*B$40+$C57*B$41+$D57*B$42+$E57*B$43+$F57*B$44+$G57*B$45+$H57*B$46+$I57*B$47+$J57*B$48+$K57*B$49+$L57*B$50</f>
        <v>1331728</v>
      </c>
      <c r="G42" s="24">
        <f>$A57*C$39+$B57*C$40+$C57*C$41+$D57*C$42+$E57*C$43+$F57*C$44+$G57*C$45+$H57*C$46+$I57*C$47+$J57*C$48+$K57*C$49+$L57*C$50</f>
        <v>421711</v>
      </c>
      <c r="H42" s="25">
        <f>$A57*D$39+$B57*D$40+$C57*D$41+$D57*D$42+$E57*D$43+$F57*D$44+$G57*D$45+$H57*D$46+$I57*D$47+$J57*D$48+$K57*D$49+$L57*D$50</f>
        <v>123910871</v>
      </c>
      <c r="I42">
        <v>4.322899778907691E-4</v>
      </c>
      <c r="J42">
        <v>-9.5821720623719974E-6</v>
      </c>
      <c r="K42">
        <v>-4.1851168290016474E-5</v>
      </c>
      <c r="L42">
        <v>1.5543781496306008E-7</v>
      </c>
    </row>
    <row r="43" spans="1:12" x14ac:dyDescent="0.2">
      <c r="A43" s="14">
        <v>1</v>
      </c>
      <c r="B43" s="14">
        <v>34</v>
      </c>
      <c r="C43" s="14">
        <v>3</v>
      </c>
      <c r="D43" s="15">
        <v>343</v>
      </c>
    </row>
    <row r="44" spans="1:12" ht="17" thickBot="1" x14ac:dyDescent="0.25">
      <c r="A44" s="14">
        <v>1</v>
      </c>
      <c r="B44" s="14">
        <v>71</v>
      </c>
      <c r="C44" s="14">
        <v>20</v>
      </c>
      <c r="D44" s="15">
        <v>7120</v>
      </c>
      <c r="E44" s="1" t="s">
        <v>153</v>
      </c>
      <c r="H44" s="1"/>
    </row>
    <row r="45" spans="1:12" x14ac:dyDescent="0.2">
      <c r="A45" s="14">
        <v>1</v>
      </c>
      <c r="B45" s="14">
        <v>43</v>
      </c>
      <c r="C45" s="14">
        <v>19</v>
      </c>
      <c r="D45" s="15">
        <v>4319</v>
      </c>
      <c r="E45" s="26" cm="1">
        <f t="array" ref="E45:H48">MMULT(A54:L57,A39:D50)</f>
        <v>12</v>
      </c>
      <c r="F45" s="27">
        <v>495</v>
      </c>
      <c r="G45" s="27">
        <v>115</v>
      </c>
      <c r="H45" s="28">
        <v>28105</v>
      </c>
    </row>
    <row r="46" spans="1:12" x14ac:dyDescent="0.2">
      <c r="A46" s="14">
        <v>1</v>
      </c>
      <c r="B46" s="14">
        <v>35</v>
      </c>
      <c r="C46" s="14">
        <v>14</v>
      </c>
      <c r="D46" s="15">
        <v>3514</v>
      </c>
      <c r="E46" s="29">
        <v>495</v>
      </c>
      <c r="F46" s="30">
        <v>22891</v>
      </c>
      <c r="G46" s="30">
        <v>4818</v>
      </c>
      <c r="H46" s="31">
        <v>1331728</v>
      </c>
    </row>
    <row r="47" spans="1:12" x14ac:dyDescent="0.2">
      <c r="A47" s="14">
        <v>1</v>
      </c>
      <c r="B47" s="14">
        <v>63</v>
      </c>
      <c r="C47" s="14">
        <v>0</v>
      </c>
      <c r="D47" s="15">
        <v>630</v>
      </c>
      <c r="E47" s="20">
        <v>115</v>
      </c>
      <c r="F47" s="21">
        <v>4818</v>
      </c>
      <c r="G47" s="21">
        <v>1651</v>
      </c>
      <c r="H47" s="22">
        <v>421711</v>
      </c>
    </row>
    <row r="48" spans="1:12" ht="17" thickBot="1" x14ac:dyDescent="0.25">
      <c r="A48" s="14">
        <v>1</v>
      </c>
      <c r="B48" s="14">
        <v>23</v>
      </c>
      <c r="C48" s="14">
        <v>5</v>
      </c>
      <c r="D48" s="15">
        <v>235</v>
      </c>
      <c r="E48" s="23">
        <v>28105</v>
      </c>
      <c r="F48" s="24">
        <v>1331728</v>
      </c>
      <c r="G48" s="24">
        <v>421711</v>
      </c>
      <c r="H48" s="25">
        <v>123910871</v>
      </c>
    </row>
    <row r="49" spans="1:12" x14ac:dyDescent="0.2">
      <c r="A49" s="14">
        <v>1</v>
      </c>
      <c r="B49" s="14">
        <v>38</v>
      </c>
      <c r="C49" s="14">
        <v>8</v>
      </c>
      <c r="D49" s="15">
        <v>388</v>
      </c>
    </row>
    <row r="50" spans="1:12" x14ac:dyDescent="0.2">
      <c r="A50" s="14">
        <v>1</v>
      </c>
      <c r="B50" s="14">
        <v>28</v>
      </c>
      <c r="C50" s="14">
        <v>4</v>
      </c>
      <c r="D50" s="15">
        <v>284</v>
      </c>
    </row>
    <row r="52" spans="1:12" x14ac:dyDescent="0.2">
      <c r="A52" s="1" t="s">
        <v>139</v>
      </c>
    </row>
    <row r="53" spans="1:12" x14ac:dyDescent="0.2">
      <c r="A53" t="s">
        <v>133</v>
      </c>
      <c r="B53" t="s">
        <v>134</v>
      </c>
      <c r="C53" t="s">
        <v>135</v>
      </c>
      <c r="D53" t="s">
        <v>136</v>
      </c>
      <c r="E53" t="s">
        <v>137</v>
      </c>
      <c r="F53" t="s">
        <v>138</v>
      </c>
      <c r="G53" t="s">
        <v>147</v>
      </c>
      <c r="H53" t="s">
        <v>148</v>
      </c>
      <c r="I53" t="s">
        <v>149</v>
      </c>
      <c r="J53" t="s">
        <v>150</v>
      </c>
      <c r="K53" t="s">
        <v>151</v>
      </c>
      <c r="L53" t="s">
        <v>152</v>
      </c>
    </row>
    <row r="54" spans="1:12" x14ac:dyDescent="0.2">
      <c r="A54" s="14">
        <v>1</v>
      </c>
      <c r="B54" s="14">
        <v>1</v>
      </c>
      <c r="C54" s="14">
        <v>1</v>
      </c>
      <c r="D54" s="14">
        <v>1</v>
      </c>
      <c r="E54" s="14">
        <v>1</v>
      </c>
      <c r="F54" s="14">
        <v>1</v>
      </c>
      <c r="G54" s="14">
        <v>1</v>
      </c>
      <c r="H54" s="14">
        <v>1</v>
      </c>
      <c r="I54" s="14">
        <v>1</v>
      </c>
      <c r="J54" s="14">
        <v>1</v>
      </c>
      <c r="K54" s="14">
        <v>1</v>
      </c>
      <c r="L54" s="14">
        <v>1</v>
      </c>
    </row>
    <row r="55" spans="1:12" x14ac:dyDescent="0.2">
      <c r="A55" s="14">
        <v>49</v>
      </c>
      <c r="B55" s="14">
        <v>53</v>
      </c>
      <c r="C55" s="14">
        <v>28</v>
      </c>
      <c r="D55" s="14">
        <v>30</v>
      </c>
      <c r="E55" s="14">
        <v>34</v>
      </c>
      <c r="F55" s="14">
        <v>71</v>
      </c>
      <c r="G55" s="14">
        <v>43</v>
      </c>
      <c r="H55" s="14">
        <v>35</v>
      </c>
      <c r="I55" s="14">
        <v>63</v>
      </c>
      <c r="J55" s="14">
        <v>23</v>
      </c>
      <c r="K55" s="14">
        <v>38</v>
      </c>
      <c r="L55" s="14">
        <v>28</v>
      </c>
    </row>
    <row r="56" spans="1:12" x14ac:dyDescent="0.2">
      <c r="A56" s="14">
        <v>11</v>
      </c>
      <c r="B56" s="14">
        <v>1</v>
      </c>
      <c r="C56" s="14">
        <v>17</v>
      </c>
      <c r="D56" s="14">
        <v>13</v>
      </c>
      <c r="E56" s="14">
        <v>3</v>
      </c>
      <c r="F56" s="14">
        <v>20</v>
      </c>
      <c r="G56" s="14">
        <v>19</v>
      </c>
      <c r="H56" s="14">
        <v>14</v>
      </c>
      <c r="I56" s="14">
        <v>0</v>
      </c>
      <c r="J56" s="14">
        <v>5</v>
      </c>
      <c r="K56" s="14">
        <v>8</v>
      </c>
      <c r="L56" s="14">
        <v>4</v>
      </c>
    </row>
    <row r="57" spans="1:12" x14ac:dyDescent="0.2">
      <c r="A57" s="15">
        <v>4911</v>
      </c>
      <c r="B57" s="15">
        <v>531</v>
      </c>
      <c r="C57" s="15">
        <v>2817</v>
      </c>
      <c r="D57" s="15">
        <v>3013</v>
      </c>
      <c r="E57" s="15">
        <v>343</v>
      </c>
      <c r="F57" s="15">
        <v>7120</v>
      </c>
      <c r="G57" s="15">
        <v>4319</v>
      </c>
      <c r="H57" s="15">
        <v>3514</v>
      </c>
      <c r="I57" s="15">
        <v>630</v>
      </c>
      <c r="J57" s="15">
        <v>235</v>
      </c>
      <c r="K57" s="15">
        <v>388</v>
      </c>
      <c r="L57" s="15">
        <v>284</v>
      </c>
    </row>
    <row r="60" spans="1:12" x14ac:dyDescent="0.2">
      <c r="A60" s="44" t="s">
        <v>155</v>
      </c>
      <c r="B60" s="44"/>
      <c r="C60" s="44"/>
      <c r="D60" s="44"/>
      <c r="E60" s="44"/>
      <c r="F60" s="44"/>
      <c r="G60" s="44"/>
      <c r="H60" s="44"/>
    </row>
    <row r="61" spans="1:12" x14ac:dyDescent="0.2">
      <c r="A61" s="32">
        <v>12</v>
      </c>
      <c r="B61" s="33">
        <v>495</v>
      </c>
      <c r="C61" s="33">
        <v>115</v>
      </c>
      <c r="D61" s="34">
        <v>28105</v>
      </c>
      <c r="E61" s="35">
        <v>1</v>
      </c>
      <c r="F61" s="33">
        <v>0</v>
      </c>
      <c r="G61" s="33">
        <v>0</v>
      </c>
      <c r="H61" s="36">
        <v>0</v>
      </c>
    </row>
    <row r="62" spans="1:12" x14ac:dyDescent="0.2">
      <c r="A62" s="37">
        <v>495</v>
      </c>
      <c r="B62" s="21">
        <v>22891</v>
      </c>
      <c r="C62" s="21">
        <v>4818</v>
      </c>
      <c r="D62" s="22">
        <v>1331728</v>
      </c>
      <c r="E62" s="20">
        <v>0</v>
      </c>
      <c r="F62" s="21">
        <v>1</v>
      </c>
      <c r="G62" s="21">
        <v>0</v>
      </c>
      <c r="H62" s="38">
        <v>0</v>
      </c>
    </row>
    <row r="63" spans="1:12" x14ac:dyDescent="0.2">
      <c r="A63" s="37">
        <v>115</v>
      </c>
      <c r="B63" s="21">
        <v>4818</v>
      </c>
      <c r="C63" s="21">
        <v>1651</v>
      </c>
      <c r="D63" s="22">
        <v>421711</v>
      </c>
      <c r="E63" s="20">
        <v>0</v>
      </c>
      <c r="F63" s="21">
        <v>0</v>
      </c>
      <c r="G63" s="21">
        <v>1</v>
      </c>
      <c r="H63" s="38">
        <v>0</v>
      </c>
    </row>
    <row r="64" spans="1:12" x14ac:dyDescent="0.2">
      <c r="A64" s="39">
        <v>28105</v>
      </c>
      <c r="B64" s="40">
        <v>1331728</v>
      </c>
      <c r="C64" s="40">
        <v>421711</v>
      </c>
      <c r="D64" s="41">
        <v>123910871</v>
      </c>
      <c r="E64" s="42">
        <v>0</v>
      </c>
      <c r="F64" s="40">
        <v>0</v>
      </c>
      <c r="G64" s="40">
        <v>0</v>
      </c>
      <c r="H64" s="43">
        <v>1</v>
      </c>
    </row>
    <row r="67" spans="1:13" x14ac:dyDescent="0.2">
      <c r="A67" s="1"/>
      <c r="B67" s="1" t="s">
        <v>156</v>
      </c>
      <c r="C67" s="1"/>
      <c r="D67" s="1"/>
    </row>
    <row r="68" spans="1:13" ht="17" thickBot="1" x14ac:dyDescent="0.25">
      <c r="A68" s="1"/>
      <c r="B68" s="1" t="s">
        <v>158</v>
      </c>
      <c r="C68" s="1"/>
      <c r="D68" s="1"/>
    </row>
    <row r="69" spans="1:13" x14ac:dyDescent="0.2">
      <c r="B69" s="17">
        <f>$I39*A$54+$J39*A$55+$K39*A$56+$L39*A$57</f>
        <v>0.67504884914150165</v>
      </c>
      <c r="C69" s="18">
        <f>$I39*B$54+$J39*B$55+$K39*B$56+$L39*B$57</f>
        <v>-7.3319982836938802E-2</v>
      </c>
      <c r="D69" s="18">
        <f>$I39*C$54+$J39*C$55+$K39*C$56+$L39*C$57</f>
        <v>-0.11971176416777007</v>
      </c>
      <c r="E69" s="18">
        <f>$I39*D$54+$J39*D$55+$K39*D$56+$L39*D$57</f>
        <v>0.40589122807736522</v>
      </c>
      <c r="F69" s="18">
        <f>$I39*E$54+$J39*E$55+$K39*E$56+$L39*E$57</f>
        <v>0.39673825829214049</v>
      </c>
      <c r="G69" s="18">
        <f>$I39*F$54+$J39*F$55+$K39*F$56+$L39*F$57</f>
        <v>-0.49820025502385468</v>
      </c>
      <c r="H69" s="18">
        <f>$I39*G$54+$J39*G$55+$K39*G$56+$L39*G$57</f>
        <v>-0.37686337145338777</v>
      </c>
      <c r="I69" s="18">
        <f>$I39*H$54+$J39*H$55+$K39*H$56+$L39*H$57</f>
        <v>0.27643262930378287</v>
      </c>
      <c r="J69" s="18">
        <f>$I39*I$54+$J39*I$55+$K39*I$56+$L39*I$57</f>
        <v>-0.32762559338040836</v>
      </c>
      <c r="K69" s="18">
        <f>$I39*J$54+$J39*J$55+$K39*J$56+$L39*J$57</f>
        <v>0.55837265975834061</v>
      </c>
      <c r="L69" s="18">
        <f>$I39*K$54+$J39*K$55+$K39*K$56+$L39*K$57</f>
        <v>-0.41359460671494497</v>
      </c>
      <c r="M69" s="19">
        <f>$I39*L$54+$J39*L$55+$K39*L$56+$L39*L$57</f>
        <v>0.49683194900417044</v>
      </c>
    </row>
    <row r="70" spans="1:13" x14ac:dyDescent="0.2">
      <c r="B70" s="20">
        <f>$I40*A$54+$J40*A$55+$K40*A$56+$L40*A$57</f>
        <v>-1.3313116360182384E-2</v>
      </c>
      <c r="C70" s="21">
        <f>$I40*B$54+$J40*B$55+$K40*B$56+$L40*B$57</f>
        <v>7.3938378564123181E-3</v>
      </c>
      <c r="D70" s="21">
        <f>$I40*C$54+$J40*C$55+$K40*C$56+$L40*C$57</f>
        <v>9.6839943651801791E-4</v>
      </c>
      <c r="E70" s="21">
        <f>$I40*D$54+$J40*D$55+$K40*D$56+$L40*D$57</f>
        <v>-9.0161518145197329E-3</v>
      </c>
      <c r="F70" s="21">
        <f>$I40*E$54+$J40*E$55+$K40*E$56+$L40*E$57</f>
        <v>-4.6947118245811471E-3</v>
      </c>
      <c r="G70" s="21">
        <f>$I40*F$54+$J40*F$55+$K40*F$56+$L40*F$57</f>
        <v>1.0175776377774198E-2</v>
      </c>
      <c r="H70" s="21">
        <f>$I40*G$54+$J40*G$55+$K40*G$56+$L40*G$57</f>
        <v>6.5787293552424242E-3</v>
      </c>
      <c r="I70" s="21">
        <f>$I40*H$54+$J40*H$55+$K40*H$56+$L40*H$57</f>
        <v>-6.3075578384708952E-3</v>
      </c>
      <c r="J70" s="21">
        <f>$I40*I$54+$J40*I$55+$K40*I$56+$L40*I$57</f>
        <v>1.3888624636378459E-2</v>
      </c>
      <c r="K70" s="21">
        <f>$I40*J$54+$J40*J$55+$K40*J$56+$L40*J$57</f>
        <v>-9.5750704740640048E-3</v>
      </c>
      <c r="L70" s="21">
        <f>$I40*K$54+$J40*K$55+$K40*K$56+$L40*K$57</f>
        <v>1.1486643738284709E-2</v>
      </c>
      <c r="M70" s="22">
        <f>$I40*L$54+$J40*L$55+$K40*L$56+$L40*L$57</f>
        <v>-7.5854030887919869E-3</v>
      </c>
    </row>
    <row r="71" spans="1:13" x14ac:dyDescent="0.2">
      <c r="B71" s="20">
        <f>$I41*A$54+$J41*A$55+$K41*A$56+$L41*A$57</f>
        <v>-6.9388352077458471E-2</v>
      </c>
      <c r="C71" s="21">
        <f>$I41*B$54+$J41*B$55+$K41*B$56+$L41*B$57</f>
        <v>-6.955134164059908E-3</v>
      </c>
      <c r="D71" s="21">
        <f>$I41*C$54+$J41*C$55+$K41*C$56+$L41*C$57</f>
        <v>4.3807298064348896E-2</v>
      </c>
      <c r="E71" s="21">
        <f>$I41*D$54+$J41*D$55+$K41*D$56+$L41*D$57</f>
        <v>-1.1735476926650029E-2</v>
      </c>
      <c r="F71" s="21">
        <f>$I41*E$54+$J41*E$55+$K41*E$56+$L41*E$57</f>
        <v>-2.086775678917966E-2</v>
      </c>
      <c r="G71" s="21">
        <f>$I41*F$54+$J41*F$55+$K41*F$56+$L41*F$57</f>
        <v>1.1590701493084221E-2</v>
      </c>
      <c r="H71" s="21">
        <f>$I41*G$54+$J41*G$55+$K41*G$56+$L41*G$57</f>
        <v>4.5017363199573668E-2</v>
      </c>
      <c r="I71" s="21">
        <f>$I41*H$54+$J41*H$55+$K41*H$56+$L41*H$57</f>
        <v>-6.9802377402446991E-3</v>
      </c>
      <c r="J71" s="21">
        <f>$I41*I$54+$J41*I$55+$K41*I$56+$L41*I$57</f>
        <v>1.0544383977921408E-3</v>
      </c>
      <c r="K71" s="21">
        <f>$I41*J$54+$J41*J$55+$K41*J$56+$L41*J$57</f>
        <v>-1.7928199425624881E-2</v>
      </c>
      <c r="L71" s="21">
        <f>$I41*K$54+$J41*K$55+$K41*K$56+$L41*K$57</f>
        <v>5.2836595325113325E-2</v>
      </c>
      <c r="M71" s="22">
        <f>$I41*L$54+$J41*L$55+$K41*L$56+$L41*L$57</f>
        <v>-2.0451239356694427E-2</v>
      </c>
    </row>
    <row r="72" spans="1:13" ht="17" thickBot="1" x14ac:dyDescent="0.25">
      <c r="B72" s="23">
        <f>$I42*A$54+$J42*A$55+$K42*A$56+$L42*A$57</f>
        <v>2.6575580492794809E-4</v>
      </c>
      <c r="C72" s="24">
        <f>$I42*B$54+$J42*B$55+$K42*B$56+$L42*B$57</f>
        <v>-3.4878829959578372E-5</v>
      </c>
      <c r="D72" s="24">
        <f>$I42*C$54+$J42*C$55+$K42*C$56+$L42*C$57</f>
        <v>-1.096123760349866E-4</v>
      </c>
      <c r="E72" s="24">
        <f>$I42*D$54+$J42*D$55+$K42*D$56+$L42*D$57</f>
        <v>6.9093764733095097E-5</v>
      </c>
      <c r="F72" s="24">
        <f>$I42*E$54+$J42*E$55+$K42*E$56+$L42*E$57</f>
        <v>3.4257793432401365E-5</v>
      </c>
      <c r="G72" s="24">
        <f>$I42*F$54+$J42*F$55+$K42*F$56+$L42*F$57</f>
        <v>2.164963819901544E-5</v>
      </c>
      <c r="H72" s="24">
        <f>$I42*G$54+$J42*G$55+$K42*G$56+$L42*G$57</f>
        <v>-1.0357969547608343E-4</v>
      </c>
      <c r="I72" s="24">
        <f>$I42*H$54+$J42*H$55+$K42*H$56+$L42*H$57</f>
        <v>5.7206081427711654E-5</v>
      </c>
      <c r="J72" s="24">
        <f>$I42*I$54+$J42*I$55+$K42*I$56+$L42*I$57</f>
        <v>-7.3461038611938876E-5</v>
      </c>
      <c r="K72" s="24">
        <f>$I42*J$54+$J42*J$55+$K42*J$56+$L42*J$57</f>
        <v>3.9172065522449917E-5</v>
      </c>
      <c r="L72" s="24">
        <f>$I42*K$54+$J42*K$55+$K42*K$56+$L42*K$57</f>
        <v>-2.0633203459383126E-4</v>
      </c>
      <c r="M72" s="25">
        <f>$I42*L$54+$J42*L$55+$K42*L$56+$L42*L$57</f>
        <v>4.072882643379637E-5</v>
      </c>
    </row>
    <row r="74" spans="1:13" ht="17" thickBot="1" x14ac:dyDescent="0.25">
      <c r="B74" s="1" t="s">
        <v>159</v>
      </c>
    </row>
    <row r="75" spans="1:13" x14ac:dyDescent="0.2">
      <c r="B75" s="17" cm="1">
        <f t="array" ref="B75:M78">MMULT(I39:L42,A54:L57)</f>
        <v>0.67504884914150165</v>
      </c>
      <c r="C75" s="18">
        <v>-7.3319982836938802E-2</v>
      </c>
      <c r="D75" s="18">
        <v>-0.11971176416777007</v>
      </c>
      <c r="E75" s="18">
        <v>0.40589122807736522</v>
      </c>
      <c r="F75" s="18">
        <v>0.39673825829214049</v>
      </c>
      <c r="G75" s="18">
        <v>-0.49820025502385468</v>
      </c>
      <c r="H75" s="18">
        <v>-0.37686337145338777</v>
      </c>
      <c r="I75" s="18">
        <v>0.27643262930378287</v>
      </c>
      <c r="J75" s="18">
        <v>-0.32762559338040836</v>
      </c>
      <c r="K75" s="18">
        <v>0.55837265975834061</v>
      </c>
      <c r="L75" s="18">
        <v>-0.41359460671494497</v>
      </c>
      <c r="M75" s="19">
        <v>0.49683194900417044</v>
      </c>
    </row>
    <row r="76" spans="1:13" x14ac:dyDescent="0.2">
      <c r="B76" s="20">
        <v>-1.3313116360182384E-2</v>
      </c>
      <c r="C76" s="21">
        <v>7.3938378564123181E-3</v>
      </c>
      <c r="D76" s="21">
        <v>9.6839943651801791E-4</v>
      </c>
      <c r="E76" s="21">
        <v>-9.0161518145197329E-3</v>
      </c>
      <c r="F76" s="21">
        <v>-4.6947118245811471E-3</v>
      </c>
      <c r="G76" s="21">
        <v>1.0175776377774198E-2</v>
      </c>
      <c r="H76" s="21">
        <v>6.5787293552424242E-3</v>
      </c>
      <c r="I76" s="21">
        <v>-6.3075578384708952E-3</v>
      </c>
      <c r="J76" s="21">
        <v>1.3888624636378459E-2</v>
      </c>
      <c r="K76" s="21">
        <v>-9.5750704740640048E-3</v>
      </c>
      <c r="L76" s="21">
        <v>1.1486643738284709E-2</v>
      </c>
      <c r="M76" s="22">
        <v>-7.5854030887919869E-3</v>
      </c>
    </row>
    <row r="77" spans="1:13" x14ac:dyDescent="0.2">
      <c r="B77" s="20">
        <v>-6.9388352077458471E-2</v>
      </c>
      <c r="C77" s="21">
        <v>-6.955134164059908E-3</v>
      </c>
      <c r="D77" s="21">
        <v>4.3807298064348896E-2</v>
      </c>
      <c r="E77" s="21">
        <v>-1.1735476926650029E-2</v>
      </c>
      <c r="F77" s="21">
        <v>-2.086775678917966E-2</v>
      </c>
      <c r="G77" s="21">
        <v>1.1590701493084221E-2</v>
      </c>
      <c r="H77" s="21">
        <v>4.5017363199573668E-2</v>
      </c>
      <c r="I77" s="21">
        <v>-6.9802377402446991E-3</v>
      </c>
      <c r="J77" s="21">
        <v>1.0544383977921408E-3</v>
      </c>
      <c r="K77" s="21">
        <v>-1.7928199425624881E-2</v>
      </c>
      <c r="L77" s="21">
        <v>5.2836595325113325E-2</v>
      </c>
      <c r="M77" s="22">
        <v>-2.0451239356694427E-2</v>
      </c>
    </row>
    <row r="78" spans="1:13" ht="17" thickBot="1" x14ac:dyDescent="0.25">
      <c r="B78" s="23">
        <v>2.6575580492794809E-4</v>
      </c>
      <c r="C78" s="24">
        <v>-3.4878829959578372E-5</v>
      </c>
      <c r="D78" s="24">
        <v>-1.096123760349866E-4</v>
      </c>
      <c r="E78" s="24">
        <v>6.9093764733095097E-5</v>
      </c>
      <c r="F78" s="24">
        <v>3.4257793432401365E-5</v>
      </c>
      <c r="G78" s="24">
        <v>2.164963819901544E-5</v>
      </c>
      <c r="H78" s="24">
        <v>-1.0357969547608343E-4</v>
      </c>
      <c r="I78" s="24">
        <v>5.7206081427711654E-5</v>
      </c>
      <c r="J78" s="24">
        <v>-7.3461038611938876E-5</v>
      </c>
      <c r="K78" s="24">
        <v>3.9172065522449917E-5</v>
      </c>
      <c r="L78" s="24">
        <v>-2.0633203459383126E-4</v>
      </c>
      <c r="M78" s="25">
        <v>4.072882643379637E-5</v>
      </c>
    </row>
    <row r="80" spans="1:13" x14ac:dyDescent="0.2">
      <c r="B80" s="1" t="s">
        <v>160</v>
      </c>
      <c r="F80" s="1" t="s">
        <v>164</v>
      </c>
    </row>
    <row r="81" spans="1:6" ht="17" thickBot="1" x14ac:dyDescent="0.25">
      <c r="B81" s="21" t="s">
        <v>161</v>
      </c>
      <c r="F81" s="21" t="s">
        <v>161</v>
      </c>
    </row>
    <row r="82" spans="1:6" x14ac:dyDescent="0.2">
      <c r="A82" t="s">
        <v>48</v>
      </c>
      <c r="B82" s="45">
        <f>$B69*B$3+$C69*B$4+$D69*B$5+$E69*B$6+$F69*B$7+$G69*B$8+$H69*B$9+$I69*B$10+$J69*B$11+$K69*B$12+$L69*B$13+$M69*B$14</f>
        <v>7.9183198084861628</v>
      </c>
      <c r="F82" s="45" cm="1">
        <f t="array" ref="F82:F85">MMULT(B75:M78,B3:B14)</f>
        <v>7.9183198084861628</v>
      </c>
    </row>
    <row r="83" spans="1:6" x14ac:dyDescent="0.2">
      <c r="A83" t="s">
        <v>50</v>
      </c>
      <c r="B83" s="46">
        <f>$B70*B$3+$C70*B$4+$D70*B$5+$E70*B$6+$F70*B$7+$G70*B$8+$H70*B$9+$I70*B$10+$J70*B$11+$K70*B$12+$L70*B$13+$M70*B$14</f>
        <v>3.6453668784350211E-2</v>
      </c>
      <c r="F83" s="46">
        <v>3.6453668784350211E-2</v>
      </c>
    </row>
    <row r="84" spans="1:6" x14ac:dyDescent="0.2">
      <c r="A84" t="s">
        <v>162</v>
      </c>
      <c r="B84" s="46">
        <f>$B71*B$3+$C71*B$4+$D71*B$5+$E71*B$6+$F71*B$7+$G71*B$8+$H71*B$9+$I71*B$10+$J71*B$11+$K71*B$12+$L71*B$13+$M71*B$14</f>
        <v>-0.37296171854430971</v>
      </c>
      <c r="F84" s="46">
        <v>-0.37296171854430971</v>
      </c>
    </row>
    <row r="85" spans="1:6" ht="17" thickBot="1" x14ac:dyDescent="0.25">
      <c r="A85" t="s">
        <v>163</v>
      </c>
      <c r="B85" s="47">
        <f>$B72*B$3+$C72*B$4+$D72*B$5+$E72*B$6+$F72*B$7+$G72*B$8+$H72*B$9+$I72*B$10+$J72*B$11+$K72*B$12+$L72*B$13+$M72*B$14</f>
        <v>1.811286030332956E-3</v>
      </c>
      <c r="F85" s="47">
        <v>1.811286030332956E-3</v>
      </c>
    </row>
  </sheetData>
  <mergeCells count="2">
    <mergeCell ref="A60:H60"/>
    <mergeCell ref="C28:C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A1AEB-CA5C-F743-961C-D884CE51B5C4}">
  <dimension ref="A1:I20"/>
  <sheetViews>
    <sheetView workbookViewId="0">
      <selection activeCell="E22" sqref="E22"/>
    </sheetView>
  </sheetViews>
  <sheetFormatPr baseColWidth="10" defaultRowHeight="16" x14ac:dyDescent="0.2"/>
  <sheetData>
    <row r="1" spans="1:9" x14ac:dyDescent="0.2">
      <c r="A1" t="s">
        <v>56</v>
      </c>
    </row>
    <row r="2" spans="1:9" ht="17" thickBot="1" x14ac:dyDescent="0.25"/>
    <row r="3" spans="1:9" x14ac:dyDescent="0.2">
      <c r="A3" s="10" t="s">
        <v>57</v>
      </c>
      <c r="B3" s="10"/>
    </row>
    <row r="4" spans="1:9" x14ac:dyDescent="0.2">
      <c r="A4" s="7" t="s">
        <v>58</v>
      </c>
      <c r="B4" s="7">
        <v>0.77249052660555551</v>
      </c>
    </row>
    <row r="5" spans="1:9" x14ac:dyDescent="0.2">
      <c r="A5" s="7" t="s">
        <v>59</v>
      </c>
      <c r="B5" s="7">
        <v>0.59674161369532841</v>
      </c>
    </row>
    <row r="6" spans="1:9" x14ac:dyDescent="0.2">
      <c r="A6" s="7" t="s">
        <v>60</v>
      </c>
      <c r="B6" s="7">
        <v>0.44551971883107655</v>
      </c>
    </row>
    <row r="7" spans="1:9" x14ac:dyDescent="0.2">
      <c r="A7" s="7" t="s">
        <v>61</v>
      </c>
      <c r="B7" s="7">
        <v>2.6809581005788323</v>
      </c>
    </row>
    <row r="8" spans="1:9" ht="17" thickBot="1" x14ac:dyDescent="0.25">
      <c r="A8" s="8" t="s">
        <v>62</v>
      </c>
      <c r="B8" s="8">
        <v>12</v>
      </c>
    </row>
    <row r="10" spans="1:9" ht="17" thickBot="1" x14ac:dyDescent="0.25">
      <c r="A10" t="s">
        <v>63</v>
      </c>
    </row>
    <row r="11" spans="1:9" x14ac:dyDescent="0.2">
      <c r="A11" s="9"/>
      <c r="B11" s="9" t="s">
        <v>66</v>
      </c>
      <c r="C11" s="9" t="s">
        <v>67</v>
      </c>
      <c r="D11" s="9" t="s">
        <v>68</v>
      </c>
      <c r="E11" s="9" t="s">
        <v>69</v>
      </c>
      <c r="F11" s="9" t="s">
        <v>70</v>
      </c>
    </row>
    <row r="12" spans="1:9" x14ac:dyDescent="0.2">
      <c r="A12" s="7" t="s">
        <v>64</v>
      </c>
      <c r="B12" s="7">
        <v>3</v>
      </c>
      <c r="C12" s="7">
        <v>85.088909303525924</v>
      </c>
      <c r="D12" s="7">
        <v>28.362969767841975</v>
      </c>
      <c r="E12" s="7">
        <v>3.9461323654951452</v>
      </c>
      <c r="F12" s="7">
        <v>5.3501094665376836E-2</v>
      </c>
    </row>
    <row r="13" spans="1:9" x14ac:dyDescent="0.2">
      <c r="A13" s="7" t="s">
        <v>0</v>
      </c>
      <c r="B13" s="7">
        <v>8</v>
      </c>
      <c r="C13" s="7">
        <v>57.500290696474089</v>
      </c>
      <c r="D13" s="7">
        <v>7.1875363370592611</v>
      </c>
      <c r="E13" s="7"/>
      <c r="F13" s="7"/>
    </row>
    <row r="14" spans="1:9" ht="17" thickBot="1" x14ac:dyDescent="0.25">
      <c r="A14" s="8" t="s">
        <v>65</v>
      </c>
      <c r="B14" s="8">
        <v>11</v>
      </c>
      <c r="C14" s="8">
        <v>142.58920000000001</v>
      </c>
      <c r="D14" s="8"/>
      <c r="E14" s="8"/>
      <c r="F14" s="8"/>
    </row>
    <row r="15" spans="1:9" ht="17" thickBot="1" x14ac:dyDescent="0.25"/>
    <row r="16" spans="1:9" x14ac:dyDescent="0.2">
      <c r="A16" s="9"/>
      <c r="B16" s="9" t="s">
        <v>71</v>
      </c>
      <c r="C16" s="9" t="s">
        <v>61</v>
      </c>
      <c r="D16" s="9" t="s">
        <v>72</v>
      </c>
      <c r="E16" s="9" t="s">
        <v>73</v>
      </c>
      <c r="F16" s="9" t="s">
        <v>74</v>
      </c>
      <c r="G16" s="9" t="s">
        <v>75</v>
      </c>
      <c r="H16" s="9" t="s">
        <v>76</v>
      </c>
      <c r="I16" s="9" t="s">
        <v>77</v>
      </c>
    </row>
    <row r="17" spans="1:9" x14ac:dyDescent="0.2">
      <c r="A17" s="7" t="s">
        <v>2</v>
      </c>
      <c r="B17" s="7">
        <v>7.9183198084861814</v>
      </c>
      <c r="C17" s="7">
        <v>3.8861984813718626</v>
      </c>
      <c r="D17" s="7">
        <v>2.0375489945873646</v>
      </c>
      <c r="E17" s="7">
        <v>7.59622396562772E-2</v>
      </c>
      <c r="F17" s="7">
        <v>-1.0432699597814885</v>
      </c>
      <c r="G17" s="7">
        <v>16.879909576753853</v>
      </c>
      <c r="H17" s="7">
        <v>-1.0432699597814885</v>
      </c>
      <c r="I17" s="7">
        <v>16.879909576753853</v>
      </c>
    </row>
    <row r="18" spans="1:9" x14ac:dyDescent="0.2">
      <c r="A18" s="7" t="s">
        <v>78</v>
      </c>
      <c r="B18" s="7">
        <v>3.6453668784350746E-2</v>
      </c>
      <c r="C18" s="7">
        <v>8.4645519487409643E-2</v>
      </c>
      <c r="D18" s="7">
        <v>0.43066270967564851</v>
      </c>
      <c r="E18" s="7">
        <v>0.67808146707947237</v>
      </c>
      <c r="F18" s="7">
        <v>-0.15873924918012081</v>
      </c>
      <c r="G18" s="7">
        <v>0.2316465867488223</v>
      </c>
      <c r="H18" s="7">
        <v>-0.15873924918012081</v>
      </c>
      <c r="I18" s="7">
        <v>0.2316465867488223</v>
      </c>
    </row>
    <row r="19" spans="1:9" x14ac:dyDescent="0.2">
      <c r="A19" s="7" t="s">
        <v>116</v>
      </c>
      <c r="B19" s="7">
        <v>-0.37296171854431021</v>
      </c>
      <c r="C19" s="7">
        <v>0.30682044096553451</v>
      </c>
      <c r="D19" s="7">
        <v>-1.2155699840943954</v>
      </c>
      <c r="E19" s="7">
        <v>0.25880016875075718</v>
      </c>
      <c r="F19" s="7">
        <v>-1.0804909241759988</v>
      </c>
      <c r="G19" s="7">
        <v>0.33456748708737843</v>
      </c>
      <c r="H19" s="7">
        <v>-1.0804909241759988</v>
      </c>
      <c r="I19" s="7">
        <v>0.33456748708737843</v>
      </c>
    </row>
    <row r="20" spans="1:9" ht="17" thickBot="1" x14ac:dyDescent="0.25">
      <c r="A20" s="8" t="s">
        <v>130</v>
      </c>
      <c r="B20" s="8">
        <v>1.8112860303329615E-3</v>
      </c>
      <c r="C20" s="8">
        <v>1.0569838897542807E-3</v>
      </c>
      <c r="D20" s="8">
        <v>1.7136363646507753</v>
      </c>
      <c r="E20" s="8">
        <v>0.12494538118084889</v>
      </c>
      <c r="F20" s="8">
        <v>-6.261231902845955E-4</v>
      </c>
      <c r="G20" s="8">
        <v>4.2486952509505184E-3</v>
      </c>
      <c r="H20" s="8">
        <v>-6.261231902845955E-4</v>
      </c>
      <c r="I20" s="8">
        <v>4.2486952509505184E-3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2F317-2634-CA41-A628-4DE70BEA6A9D}">
  <dimension ref="A1:P89"/>
  <sheetViews>
    <sheetView tabSelected="1" topLeftCell="A21" workbookViewId="0">
      <selection activeCell="C30" sqref="C30:C34"/>
    </sheetView>
  </sheetViews>
  <sheetFormatPr baseColWidth="10" defaultRowHeight="16" x14ac:dyDescent="0.2"/>
  <cols>
    <col min="1" max="1" width="27.6640625" customWidth="1"/>
    <col min="2" max="2" width="21.6640625" bestFit="1" customWidth="1"/>
    <col min="3" max="3" width="22" bestFit="1" customWidth="1"/>
    <col min="4" max="4" width="23" bestFit="1" customWidth="1"/>
    <col min="5" max="5" width="31.1640625" bestFit="1" customWidth="1"/>
    <col min="6" max="6" width="31.1640625" customWidth="1"/>
    <col min="7" max="7" width="41.83203125" bestFit="1" customWidth="1"/>
    <col min="8" max="8" width="27.6640625" customWidth="1"/>
    <col min="9" max="9" width="13.1640625" bestFit="1" customWidth="1"/>
    <col min="10" max="10" width="24.5" customWidth="1"/>
    <col min="11" max="11" width="24.5" bestFit="1" customWidth="1"/>
    <col min="12" max="12" width="24.5" customWidth="1"/>
    <col min="13" max="14" width="18.5" bestFit="1" customWidth="1"/>
    <col min="15" max="15" width="17.33203125" bestFit="1" customWidth="1"/>
  </cols>
  <sheetData>
    <row r="1" spans="1:14" ht="17" x14ac:dyDescent="0.2">
      <c r="A1" s="3" t="s">
        <v>10</v>
      </c>
      <c r="B1" s="1" t="s">
        <v>13</v>
      </c>
      <c r="C1" s="1" t="s">
        <v>81</v>
      </c>
      <c r="D1" s="1" t="s">
        <v>82</v>
      </c>
      <c r="E1" s="1" t="s">
        <v>171</v>
      </c>
      <c r="F1" s="1" t="s">
        <v>171</v>
      </c>
      <c r="G1" s="1" t="s">
        <v>9</v>
      </c>
      <c r="H1" s="1" t="s">
        <v>36</v>
      </c>
      <c r="I1" s="1" t="s">
        <v>37</v>
      </c>
      <c r="J1" s="1" t="s">
        <v>121</v>
      </c>
      <c r="K1" s="1" t="s">
        <v>15</v>
      </c>
      <c r="M1" s="1"/>
      <c r="N1" s="1"/>
    </row>
    <row r="2" spans="1:14" x14ac:dyDescent="0.2">
      <c r="A2" s="3"/>
      <c r="B2" s="1" t="s">
        <v>4</v>
      </c>
      <c r="C2" s="1" t="s">
        <v>3</v>
      </c>
      <c r="D2" s="1" t="s">
        <v>83</v>
      </c>
      <c r="E2" s="1" t="s">
        <v>172</v>
      </c>
      <c r="F2" s="1" t="s">
        <v>187</v>
      </c>
      <c r="G2" s="1" t="s">
        <v>189</v>
      </c>
      <c r="H2" s="1" t="s">
        <v>35</v>
      </c>
      <c r="I2" s="1" t="s">
        <v>38</v>
      </c>
      <c r="J2" s="1" t="s">
        <v>122</v>
      </c>
      <c r="M2" s="1"/>
    </row>
    <row r="3" spans="1:14" x14ac:dyDescent="0.2">
      <c r="A3" s="2"/>
      <c r="B3">
        <v>14</v>
      </c>
      <c r="C3">
        <v>49</v>
      </c>
      <c r="D3">
        <v>11</v>
      </c>
      <c r="E3" s="51">
        <v>0.33333333333333331</v>
      </c>
      <c r="F3" s="13">
        <v>-0.5</v>
      </c>
      <c r="G3">
        <f>$B$24+$B$25*$C3+$B$26*$D3+$B$27*$E3+$B$28*$F3</f>
        <v>12.919874958701827</v>
      </c>
      <c r="H3">
        <f>B3-G3</f>
        <v>1.0801250412981727</v>
      </c>
      <c r="I3">
        <f>H3^2</f>
        <v>1.1666701048393793</v>
      </c>
      <c r="J3">
        <f>(G3-$B$20)^2</f>
        <v>8.0081922818876698</v>
      </c>
      <c r="K3">
        <f>(B3-B$20)^2</f>
        <v>15.288100000000002</v>
      </c>
    </row>
    <row r="4" spans="1:14" x14ac:dyDescent="0.2">
      <c r="A4" s="2"/>
      <c r="B4">
        <v>12</v>
      </c>
      <c r="C4">
        <v>53</v>
      </c>
      <c r="D4">
        <v>1</v>
      </c>
      <c r="E4" s="51">
        <v>0.33333333333333331</v>
      </c>
      <c r="F4" s="13">
        <v>-0.5</v>
      </c>
      <c r="G4">
        <f t="shared" ref="G4:G14" si="0">$B$24+$B$25*$C4+$B$26*$D4+$B$27*$E4+$B$28*$F4</f>
        <v>12.585599415547426</v>
      </c>
      <c r="H4">
        <f>B4-G4</f>
        <v>-0.58559941554742601</v>
      </c>
      <c r="I4">
        <f t="shared" ref="I4:I14" si="1">H4^2</f>
        <v>0.34292667548948691</v>
      </c>
      <c r="J4">
        <f t="shared" ref="J4:J13" si="2">(G4-$B$20)^2</f>
        <v>6.228016442880655</v>
      </c>
      <c r="K4">
        <f>(B4-B$20)^2</f>
        <v>3.6481000000000003</v>
      </c>
    </row>
    <row r="5" spans="1:14" x14ac:dyDescent="0.2">
      <c r="A5" s="2"/>
      <c r="B5">
        <v>7</v>
      </c>
      <c r="C5">
        <v>28</v>
      </c>
      <c r="D5">
        <v>17</v>
      </c>
      <c r="E5" s="51">
        <v>0.33333333333333331</v>
      </c>
      <c r="F5" s="13">
        <v>-0.5</v>
      </c>
      <c r="G5">
        <f t="shared" si="0"/>
        <v>10.283614417559711</v>
      </c>
      <c r="H5">
        <f>B5-G5</f>
        <v>-3.2836144175597113</v>
      </c>
      <c r="I5">
        <f t="shared" si="1"/>
        <v>10.782123643206003</v>
      </c>
      <c r="J5">
        <f t="shared" si="2"/>
        <v>3.7486542686986292E-2</v>
      </c>
      <c r="K5">
        <f>(B5-B$20)^2</f>
        <v>9.5480999999999998</v>
      </c>
    </row>
    <row r="6" spans="1:14" x14ac:dyDescent="0.2">
      <c r="A6" s="2"/>
      <c r="B6">
        <v>13</v>
      </c>
      <c r="C6">
        <v>30</v>
      </c>
      <c r="D6">
        <v>13</v>
      </c>
      <c r="E6" s="51">
        <v>0.33333333333333331</v>
      </c>
      <c r="F6" s="13">
        <v>-0.5</v>
      </c>
      <c r="G6">
        <f t="shared" si="0"/>
        <v>10.21091120819117</v>
      </c>
      <c r="H6">
        <f>B6-G6</f>
        <v>2.7890887918088296</v>
      </c>
      <c r="I6">
        <f t="shared" si="1"/>
        <v>7.7790162885936374</v>
      </c>
      <c r="J6">
        <f t="shared" si="2"/>
        <v>1.4619520266248581E-2</v>
      </c>
      <c r="K6">
        <f>(B6-B$20)^2</f>
        <v>8.4681000000000015</v>
      </c>
    </row>
    <row r="7" spans="1:14" x14ac:dyDescent="0.2">
      <c r="A7" s="2"/>
      <c r="B7">
        <v>6</v>
      </c>
      <c r="C7">
        <v>34</v>
      </c>
      <c r="D7">
        <v>3</v>
      </c>
      <c r="E7" s="51">
        <v>0.33333333333333331</v>
      </c>
      <c r="F7" s="13">
        <v>0.5</v>
      </c>
      <c r="G7">
        <f t="shared" si="0"/>
        <v>7.6691389588414118</v>
      </c>
      <c r="H7">
        <f>B7-G7</f>
        <v>-1.6691389588414118</v>
      </c>
      <c r="I7">
        <f t="shared" si="1"/>
        <v>2.7860248639221923</v>
      </c>
      <c r="J7">
        <f t="shared" si="2"/>
        <v>5.8605681805994427</v>
      </c>
      <c r="K7">
        <f>(B7-B$20)^2</f>
        <v>16.728099999999998</v>
      </c>
    </row>
    <row r="8" spans="1:14" x14ac:dyDescent="0.2">
      <c r="A8" s="2"/>
      <c r="B8">
        <v>14</v>
      </c>
      <c r="C8">
        <v>71</v>
      </c>
      <c r="D8">
        <v>20</v>
      </c>
      <c r="E8" s="51">
        <v>0.33333333333333331</v>
      </c>
      <c r="F8" s="13">
        <v>0.5</v>
      </c>
      <c r="G8">
        <f t="shared" si="0"/>
        <v>14.917674746511551</v>
      </c>
      <c r="H8">
        <f>B8-G8</f>
        <v>-0.91767474651155112</v>
      </c>
      <c r="I8">
        <f t="shared" si="1"/>
        <v>0.84212694038503966</v>
      </c>
      <c r="J8">
        <f t="shared" si="2"/>
        <v>23.30644345810537</v>
      </c>
      <c r="K8">
        <f>(B8-B$20)^2</f>
        <v>15.288100000000002</v>
      </c>
    </row>
    <row r="9" spans="1:14" x14ac:dyDescent="0.2">
      <c r="A9" s="2"/>
      <c r="B9">
        <v>14</v>
      </c>
      <c r="C9">
        <v>43</v>
      </c>
      <c r="D9">
        <v>19</v>
      </c>
      <c r="E9" s="51">
        <v>0.33333333333333331</v>
      </c>
      <c r="F9" s="13">
        <v>0.5</v>
      </c>
      <c r="G9">
        <f t="shared" si="0"/>
        <v>10.552749631777449</v>
      </c>
      <c r="H9">
        <f>B9-G9</f>
        <v>3.4472503682225515</v>
      </c>
      <c r="I9">
        <f t="shared" si="1"/>
        <v>11.883535101210517</v>
      </c>
      <c r="J9">
        <f t="shared" si="2"/>
        <v>0.2141372217101643</v>
      </c>
      <c r="K9">
        <f>(B9-B$20)^2</f>
        <v>15.288100000000002</v>
      </c>
    </row>
    <row r="10" spans="1:14" x14ac:dyDescent="0.2">
      <c r="A10" s="2"/>
      <c r="B10">
        <v>8</v>
      </c>
      <c r="C10">
        <v>35</v>
      </c>
      <c r="D10">
        <v>14</v>
      </c>
      <c r="E10" s="51">
        <v>0.33333333333333331</v>
      </c>
      <c r="F10" s="13">
        <v>0.5</v>
      </c>
      <c r="G10">
        <f t="shared" si="0"/>
        <v>8.8604366628697324</v>
      </c>
      <c r="H10">
        <f>B10-G10</f>
        <v>-0.86043666286973242</v>
      </c>
      <c r="I10">
        <f t="shared" si="1"/>
        <v>0.74035125081040154</v>
      </c>
      <c r="J10">
        <f t="shared" si="2"/>
        <v>1.5118260000149197</v>
      </c>
      <c r="K10">
        <f>(B10-B$20)^2</f>
        <v>4.3680999999999992</v>
      </c>
    </row>
    <row r="11" spans="1:14" x14ac:dyDescent="0.2">
      <c r="A11" s="2"/>
      <c r="B11">
        <v>13</v>
      </c>
      <c r="C11">
        <v>63</v>
      </c>
      <c r="D11">
        <v>0</v>
      </c>
      <c r="E11" s="13">
        <f>-2/3</f>
        <v>-0.66666666666666663</v>
      </c>
      <c r="F11" s="13">
        <v>0</v>
      </c>
      <c r="G11">
        <f t="shared" si="0"/>
        <v>11.681591103939519</v>
      </c>
      <c r="H11">
        <f>B11-G11</f>
        <v>1.3184088960604807</v>
      </c>
      <c r="I11">
        <f t="shared" si="1"/>
        <v>1.7382020172114154</v>
      </c>
      <c r="J11">
        <f t="shared" si="2"/>
        <v>2.5331622421394182</v>
      </c>
      <c r="K11">
        <f>(B11-B$20)^2</f>
        <v>8.4681000000000015</v>
      </c>
    </row>
    <row r="12" spans="1:14" x14ac:dyDescent="0.2">
      <c r="A12" s="2"/>
      <c r="B12">
        <v>8</v>
      </c>
      <c r="C12">
        <v>23</v>
      </c>
      <c r="D12">
        <v>5</v>
      </c>
      <c r="E12" s="13">
        <f>-2/3</f>
        <v>-0.66666666666666663</v>
      </c>
      <c r="F12" s="13">
        <v>0</v>
      </c>
      <c r="G12">
        <f t="shared" si="0"/>
        <v>6.0530631256607608</v>
      </c>
      <c r="H12">
        <f>B12-G12</f>
        <v>1.9469368743392392</v>
      </c>
      <c r="I12">
        <f t="shared" si="1"/>
        <v>3.7905631926618466</v>
      </c>
      <c r="J12">
        <f t="shared" si="2"/>
        <v>16.296859327399865</v>
      </c>
      <c r="K12">
        <f>(B12-B$20)^2</f>
        <v>4.3680999999999992</v>
      </c>
    </row>
    <row r="13" spans="1:14" x14ac:dyDescent="0.2">
      <c r="A13" s="2"/>
      <c r="B13">
        <v>4</v>
      </c>
      <c r="C13">
        <v>38</v>
      </c>
      <c r="D13">
        <v>8</v>
      </c>
      <c r="E13" s="13">
        <f>-2/3</f>
        <v>-0.66666666666666663</v>
      </c>
      <c r="F13" s="13">
        <v>0</v>
      </c>
      <c r="G13">
        <f t="shared" si="0"/>
        <v>8.6241296082825176</v>
      </c>
      <c r="H13">
        <f>B13-G13</f>
        <v>-4.6241296082825176</v>
      </c>
      <c r="I13">
        <f t="shared" si="1"/>
        <v>21.382574634195031</v>
      </c>
      <c r="J13">
        <f t="shared" si="2"/>
        <v>2.1487760053139646</v>
      </c>
      <c r="K13">
        <f>(B13-B$20)^2</f>
        <v>37.088099999999997</v>
      </c>
    </row>
    <row r="14" spans="1:14" ht="21" customHeight="1" x14ac:dyDescent="0.2">
      <c r="A14" s="2" t="s">
        <v>80</v>
      </c>
      <c r="B14">
        <v>8.08</v>
      </c>
      <c r="C14">
        <v>28</v>
      </c>
      <c r="D14">
        <v>4</v>
      </c>
      <c r="E14" s="13">
        <f>-2/3</f>
        <v>-0.66666666666666663</v>
      </c>
      <c r="F14" s="13">
        <v>0</v>
      </c>
      <c r="G14">
        <f t="shared" si="0"/>
        <v>6.7212161621173578</v>
      </c>
      <c r="H14">
        <f>B14-G14</f>
        <v>1.3587838378826422</v>
      </c>
      <c r="I14">
        <f t="shared" si="1"/>
        <v>1.8462935180910827</v>
      </c>
      <c r="J14">
        <f>(G14-$B$20)^2</f>
        <v>11.348704546379302</v>
      </c>
      <c r="K14">
        <f>(B14-B$20)^2</f>
        <v>4.0400999999999989</v>
      </c>
    </row>
    <row r="16" spans="1:14" ht="17" x14ac:dyDescent="0.2">
      <c r="A16" s="3" t="s">
        <v>84</v>
      </c>
      <c r="B16" t="s">
        <v>19</v>
      </c>
      <c r="C16" t="s">
        <v>167</v>
      </c>
      <c r="D16" t="s">
        <v>20</v>
      </c>
    </row>
    <row r="17" spans="1:7" ht="17" x14ac:dyDescent="0.2">
      <c r="A17" s="4" t="s">
        <v>31</v>
      </c>
      <c r="B17">
        <f>COUNT(B3:B14)</f>
        <v>12</v>
      </c>
    </row>
    <row r="18" spans="1:7" ht="17" x14ac:dyDescent="0.2">
      <c r="A18" s="2" t="s">
        <v>5</v>
      </c>
      <c r="B18">
        <f>SUM(C2:C14)/B17</f>
        <v>41.25</v>
      </c>
      <c r="D18">
        <f>AVERAGE(C3:C14)</f>
        <v>41.25</v>
      </c>
    </row>
    <row r="19" spans="1:7" ht="17" x14ac:dyDescent="0.2">
      <c r="A19" s="2" t="s">
        <v>86</v>
      </c>
      <c r="B19">
        <f>SUM(D3:D14)/B17</f>
        <v>9.5833333333333339</v>
      </c>
      <c r="D19">
        <f>AVERAGE(D3:D14)</f>
        <v>9.5833333333333339</v>
      </c>
    </row>
    <row r="20" spans="1:7" ht="17" x14ac:dyDescent="0.2">
      <c r="A20" s="2" t="s">
        <v>6</v>
      </c>
      <c r="B20">
        <f>SUM(B3:B14)/B17</f>
        <v>10.09</v>
      </c>
      <c r="D20">
        <f>AVERAGE(B3:B14)</f>
        <v>10.09</v>
      </c>
    </row>
    <row r="21" spans="1:7" ht="34" x14ac:dyDescent="0.2">
      <c r="A21" s="2" t="s">
        <v>17</v>
      </c>
      <c r="B21">
        <f>SQRT(SUM(G42:G53)/(B$17-1))</f>
        <v>71.641151201348976</v>
      </c>
      <c r="D21">
        <f>_xlfn.STDEV.S(C3:C14)</f>
        <v>14.99166435056495</v>
      </c>
    </row>
    <row r="22" spans="1:7" ht="53" customHeight="1" x14ac:dyDescent="0.2">
      <c r="A22" s="2" t="s">
        <v>103</v>
      </c>
      <c r="B22">
        <f>SQRT(SUM(H42:H53)/(B$17-1))</f>
        <v>34.673367650726171</v>
      </c>
      <c r="D22">
        <f>_xlfn.STDEV.S(D3:D14)</f>
        <v>7.0641004488551236</v>
      </c>
    </row>
    <row r="23" spans="1:7" ht="34" x14ac:dyDescent="0.2">
      <c r="A23" s="2" t="s">
        <v>18</v>
      </c>
      <c r="B23">
        <f>SQRT(SUM(I42:I53)/(B$17-1))</f>
        <v>2.5936986577612915</v>
      </c>
      <c r="D23">
        <f>_xlfn.STDEV.S(B3:B14)</f>
        <v>3.6003686679914542</v>
      </c>
    </row>
    <row r="24" spans="1:7" ht="34" x14ac:dyDescent="0.2">
      <c r="A24" s="2" t="s">
        <v>33</v>
      </c>
      <c r="B24">
        <f>B85</f>
        <v>2.8936544231786612</v>
      </c>
      <c r="C24" cm="1">
        <f t="array" ref="C24:C28">MMULT(MMULT(MINVERSE(MMULT(A57:L61,A42:E53)),A57:L61),B3:B14)</f>
        <v>2.8936544231786612</v>
      </c>
      <c r="D24">
        <f>'3 MR wFactors Excel''s Table'!B17</f>
        <v>2.8936544231786336</v>
      </c>
    </row>
    <row r="25" spans="1:7" ht="34" x14ac:dyDescent="0.2">
      <c r="A25" s="2" t="s">
        <v>104</v>
      </c>
      <c r="B25">
        <f>B86</f>
        <v>0.1525175197330515</v>
      </c>
      <c r="C25">
        <v>0.1525175197330515</v>
      </c>
      <c r="D25">
        <f>'3 MR wFactors Excel''s Table'!B18</f>
        <v>0.15251751973305142</v>
      </c>
    </row>
    <row r="26" spans="1:7" ht="34" x14ac:dyDescent="0.2">
      <c r="A26" s="2" t="s">
        <v>105</v>
      </c>
      <c r="B26">
        <f>B87</f>
        <v>9.443456220866088E-2</v>
      </c>
      <c r="C26">
        <v>9.443456220866088E-2</v>
      </c>
      <c r="D26">
        <f>'3 MR wFactors Excel''s Table'!B19</f>
        <v>9.4434562208660325E-2</v>
      </c>
    </row>
    <row r="27" spans="1:7" ht="17" x14ac:dyDescent="0.2">
      <c r="A27" s="2" t="s">
        <v>179</v>
      </c>
      <c r="B27">
        <f>B88</f>
        <v>1.2310005936320823</v>
      </c>
      <c r="C27">
        <v>1.2310005936320823</v>
      </c>
      <c r="D27">
        <f>'3 MR wFactors Excel''s Table'!B20</f>
        <v>1.2310005936320914</v>
      </c>
    </row>
    <row r="28" spans="1:7" ht="17" x14ac:dyDescent="0.2">
      <c r="A28" s="2" t="s">
        <v>186</v>
      </c>
      <c r="B28">
        <f>B89</f>
        <v>-2.2074967061953568</v>
      </c>
      <c r="C28">
        <v>-2.2074967061953568</v>
      </c>
      <c r="D28">
        <f>'3 MR wFactors Excel''s Table'!B21</f>
        <v>-2.2074967061953559</v>
      </c>
    </row>
    <row r="29" spans="1:7" ht="17" customHeight="1" x14ac:dyDescent="0.2">
      <c r="A29" s="2" t="s">
        <v>39</v>
      </c>
      <c r="B29">
        <f>SQRT(SUM(I3:I14)/(B17-5))</f>
        <v>3.0491312165602662</v>
      </c>
      <c r="C29" s="2"/>
      <c r="D29">
        <f>'3 MR wFactors Excel''s Table'!B7</f>
        <v>3.0491312165602662</v>
      </c>
      <c r="G29" s="50"/>
    </row>
    <row r="30" spans="1:7" ht="85" customHeight="1" x14ac:dyDescent="0.2">
      <c r="A30" s="2" t="s">
        <v>119</v>
      </c>
      <c r="B30">
        <f>SQRT(B29^2*M43)</f>
        <v>6.318308717451962E-2</v>
      </c>
      <c r="C30" s="11" t="s">
        <v>169</v>
      </c>
      <c r="D30">
        <f>'3 MR wFactors Excel''s Table'!C18</f>
        <v>6.3183087174519606E-2</v>
      </c>
    </row>
    <row r="31" spans="1:7" ht="49" customHeight="1" x14ac:dyDescent="0.2">
      <c r="A31" s="2" t="s">
        <v>120</v>
      </c>
      <c r="B31">
        <f>SQRT(B$29^2*N44)</f>
        <v>0.16259814665524688</v>
      </c>
      <c r="C31" s="11"/>
      <c r="D31">
        <f>'3 MR wFactors Excel''s Table'!C19</f>
        <v>0.16259814665524694</v>
      </c>
      <c r="G31" s="50"/>
    </row>
    <row r="32" spans="1:7" ht="49" customHeight="1" x14ac:dyDescent="0.2">
      <c r="A32" s="2" t="s">
        <v>180</v>
      </c>
      <c r="B32">
        <f>SQRT(B$29^2*O45)</f>
        <v>2.3097584159256783</v>
      </c>
      <c r="C32" s="11"/>
      <c r="D32">
        <f>'3 MR wFactors Excel''s Table'!C20</f>
        <v>2.3097584159256788</v>
      </c>
      <c r="E32" s="2"/>
      <c r="F32" s="2"/>
      <c r="G32" s="50"/>
    </row>
    <row r="33" spans="1:16" ht="49" customHeight="1" x14ac:dyDescent="0.2">
      <c r="A33" s="2" t="s">
        <v>182</v>
      </c>
      <c r="B33">
        <f>SQRT(B$29^2*P46)</f>
        <v>2.2663302186990655</v>
      </c>
      <c r="C33" s="11"/>
      <c r="D33">
        <f>'3 MR wFactors Excel''s Table'!C21</f>
        <v>2.266330218699065</v>
      </c>
      <c r="E33" s="2"/>
      <c r="F33" s="2"/>
      <c r="G33" s="50"/>
    </row>
    <row r="34" spans="1:16" ht="49" customHeight="1" x14ac:dyDescent="0.2">
      <c r="A34" s="2" t="s">
        <v>168</v>
      </c>
      <c r="B34">
        <f>SQRT(B29^2*L42)</f>
        <v>3.2588688057029156</v>
      </c>
      <c r="C34" s="11"/>
      <c r="D34">
        <f>'3 MR wFactors Excel''s Table'!C17</f>
        <v>3.2588688057029143</v>
      </c>
      <c r="G34" s="50"/>
    </row>
    <row r="35" spans="1:16" ht="68" x14ac:dyDescent="0.2">
      <c r="A35" s="2" t="s">
        <v>123</v>
      </c>
      <c r="B35">
        <f>SUM(J3:J14)/SUM(K3:K14)</f>
        <v>0.5435810830650849</v>
      </c>
      <c r="D35">
        <f>'3 MR wFactors Excel''s Table'!B5</f>
        <v>0.54358108306508479</v>
      </c>
    </row>
    <row r="36" spans="1:16" ht="17" x14ac:dyDescent="0.2">
      <c r="A36" s="2" t="s">
        <v>126</v>
      </c>
      <c r="B36">
        <f>(B25-0)/B30</f>
        <v>2.4138978728877074</v>
      </c>
      <c r="D36">
        <f>'3 MR wFactors Excel''s Table'!D18</f>
        <v>2.4138978728877065</v>
      </c>
    </row>
    <row r="37" spans="1:16" ht="17" x14ac:dyDescent="0.2">
      <c r="A37" s="2" t="s">
        <v>127</v>
      </c>
      <c r="B37">
        <f>(B26-0)/B31</f>
        <v>0.58078498526116851</v>
      </c>
      <c r="D37">
        <f>'3 MR wFactors Excel''s Table'!D19</f>
        <v>0.58078498526116495</v>
      </c>
    </row>
    <row r="38" spans="1:16" ht="17" x14ac:dyDescent="0.2">
      <c r="A38" s="2" t="s">
        <v>170</v>
      </c>
      <c r="B38">
        <f>(B27-0)/B32</f>
        <v>0.53295642745336036</v>
      </c>
      <c r="D38">
        <f>'3 MR wFactors Excel''s Table'!D20</f>
        <v>0.53295642745336413</v>
      </c>
    </row>
    <row r="39" spans="1:16" ht="17" x14ac:dyDescent="0.2">
      <c r="A39" s="2" t="s">
        <v>181</v>
      </c>
      <c r="B39">
        <f>(B28-0)/B33</f>
        <v>-0.97404018531002923</v>
      </c>
      <c r="D39">
        <f>'3 MR wFactors Excel''s Table'!D21</f>
        <v>-0.97404018531002901</v>
      </c>
    </row>
    <row r="40" spans="1:16" ht="72" customHeight="1" x14ac:dyDescent="0.2">
      <c r="A40" s="1" t="s">
        <v>145</v>
      </c>
      <c r="B40" s="1" t="s">
        <v>144</v>
      </c>
      <c r="C40" s="1" t="s">
        <v>146</v>
      </c>
      <c r="D40" s="1"/>
      <c r="F40" s="1" t="s">
        <v>154</v>
      </c>
      <c r="G40" s="1"/>
      <c r="H40" s="1"/>
      <c r="I40" s="1"/>
      <c r="J40" s="1"/>
      <c r="L40" s="1" t="s">
        <v>165</v>
      </c>
    </row>
    <row r="41" spans="1:16" ht="17" thickBot="1" x14ac:dyDescent="0.25">
      <c r="A41" s="1" t="s">
        <v>140</v>
      </c>
      <c r="B41" s="1" t="s">
        <v>141</v>
      </c>
      <c r="C41" s="1" t="s">
        <v>142</v>
      </c>
      <c r="D41" s="1" t="s">
        <v>143</v>
      </c>
      <c r="E41" s="1" t="s">
        <v>173</v>
      </c>
      <c r="F41" s="1" t="s">
        <v>174</v>
      </c>
      <c r="G41" s="1"/>
      <c r="H41" s="1"/>
      <c r="I41" s="1"/>
      <c r="J41" s="1"/>
    </row>
    <row r="42" spans="1:16" x14ac:dyDescent="0.2">
      <c r="A42" s="14">
        <v>1</v>
      </c>
      <c r="B42" s="14">
        <v>49</v>
      </c>
      <c r="C42" s="14">
        <v>11</v>
      </c>
      <c r="D42" s="52">
        <v>0.33333333333333331</v>
      </c>
      <c r="E42" s="16">
        <v>-0.5</v>
      </c>
      <c r="F42" s="17">
        <f>$A57*A$42+$B57*A$43+$C57*A$44+$D57*A$45+$E57*A$46+$F57*A$47+$G57*A$48+$H57*A$49+$I57*A$50+$J57*A$51+$K57*A$52+$L57*A$53</f>
        <v>12</v>
      </c>
      <c r="G42" s="18">
        <f t="shared" ref="G42:J46" si="3">$A57*B$42+$B57*B$43+$C57*B$44+$D57*B$45+$E57*B$46+$F57*B$47+$G57*B$48+$H57*B$49+$I57*B$50+$J57*B$51+$K57*B$52+$L57*B$53</f>
        <v>495</v>
      </c>
      <c r="H42" s="18">
        <f t="shared" si="3"/>
        <v>115</v>
      </c>
      <c r="I42" s="18">
        <f t="shared" si="3"/>
        <v>0</v>
      </c>
      <c r="J42" s="19">
        <f t="shared" si="3"/>
        <v>0</v>
      </c>
      <c r="L42" s="17" cm="1">
        <f t="array" ref="L42:P46">MINVERSE(F48:J52)</f>
        <v>1.1423035483436326</v>
      </c>
      <c r="M42" s="18">
        <v>-1.8526505261957402E-2</v>
      </c>
      <c r="N42" s="18">
        <v>-3.0756717177866728E-2</v>
      </c>
      <c r="O42" s="18">
        <v>0.33637045057497617</v>
      </c>
      <c r="P42" s="19">
        <v>0.21417591537878872</v>
      </c>
    </row>
    <row r="43" spans="1:16" x14ac:dyDescent="0.2">
      <c r="A43" s="14">
        <v>1</v>
      </c>
      <c r="B43" s="14">
        <v>53</v>
      </c>
      <c r="C43" s="14">
        <v>1</v>
      </c>
      <c r="D43" s="52">
        <v>0.33333333333333331</v>
      </c>
      <c r="E43" s="16">
        <v>-0.5</v>
      </c>
      <c r="F43" s="20">
        <f t="shared" ref="F43:F46" si="4">$A58*A$42+$B58*A$43+$C58*A$44+$D58*A$45+$E58*A$46+$F58*A$47+$G58*A$48+$H58*A$49+$I58*A$50+$J58*A$51+$K58*A$52+$L58*A$53</f>
        <v>495</v>
      </c>
      <c r="G43" s="21">
        <f t="shared" si="3"/>
        <v>22891</v>
      </c>
      <c r="H43" s="21">
        <f t="shared" si="3"/>
        <v>4818</v>
      </c>
      <c r="I43" s="21">
        <f t="shared" si="3"/>
        <v>12.999999999999989</v>
      </c>
      <c r="J43" s="22">
        <f t="shared" si="3"/>
        <v>11.5</v>
      </c>
      <c r="L43" s="20">
        <v>-1.8526505261957406E-2</v>
      </c>
      <c r="M43" s="21">
        <v>4.2938755754722631E-4</v>
      </c>
      <c r="N43" s="21">
        <v>8.4967149196624688E-5</v>
      </c>
      <c r="O43" s="21">
        <v>-2.7730015366157243E-3</v>
      </c>
      <c r="P43" s="22">
        <v>-2.7663634780847384E-3</v>
      </c>
    </row>
    <row r="44" spans="1:16" x14ac:dyDescent="0.2">
      <c r="A44" s="14">
        <v>1</v>
      </c>
      <c r="B44" s="14">
        <v>28</v>
      </c>
      <c r="C44" s="14">
        <v>17</v>
      </c>
      <c r="D44" s="52">
        <v>0.33333333333333331</v>
      </c>
      <c r="E44" s="16">
        <v>-0.5</v>
      </c>
      <c r="F44" s="20">
        <f t="shared" si="4"/>
        <v>115</v>
      </c>
      <c r="G44" s="21">
        <f t="shared" si="3"/>
        <v>4818</v>
      </c>
      <c r="H44" s="21">
        <f t="shared" si="3"/>
        <v>1651</v>
      </c>
      <c r="I44" s="21">
        <f t="shared" si="3"/>
        <v>21.333333333333332</v>
      </c>
      <c r="J44" s="22">
        <f t="shared" si="3"/>
        <v>7</v>
      </c>
      <c r="L44" s="20">
        <v>-3.0756717177866735E-2</v>
      </c>
      <c r="M44" s="21">
        <v>8.4967149196624905E-5</v>
      </c>
      <c r="N44" s="21">
        <v>2.8436684111484479E-3</v>
      </c>
      <c r="O44" s="21">
        <v>-2.3163562141521127E-2</v>
      </c>
      <c r="P44" s="22">
        <v>-1.0441400546900162E-2</v>
      </c>
    </row>
    <row r="45" spans="1:16" x14ac:dyDescent="0.2">
      <c r="A45" s="14">
        <v>1</v>
      </c>
      <c r="B45" s="14">
        <v>30</v>
      </c>
      <c r="C45" s="14">
        <v>13</v>
      </c>
      <c r="D45" s="52">
        <v>0.33333333333333331</v>
      </c>
      <c r="E45" s="16">
        <v>-0.5</v>
      </c>
      <c r="F45" s="20">
        <f t="shared" si="4"/>
        <v>0</v>
      </c>
      <c r="G45" s="21">
        <f t="shared" si="3"/>
        <v>12.999999999999989</v>
      </c>
      <c r="H45" s="21">
        <f t="shared" si="3"/>
        <v>21.333333333333332</v>
      </c>
      <c r="I45" s="21">
        <f t="shared" si="3"/>
        <v>2.666666666666667</v>
      </c>
      <c r="J45" s="22">
        <f t="shared" si="3"/>
        <v>-5.5511151231257827E-17</v>
      </c>
      <c r="L45" s="20">
        <v>0.33637045057497589</v>
      </c>
      <c r="M45" s="21">
        <v>-2.7730015366157238E-3</v>
      </c>
      <c r="N45" s="21">
        <v>-2.3163562141521113E-2</v>
      </c>
      <c r="O45" s="21">
        <v>0.57382687962317047</v>
      </c>
      <c r="P45" s="22">
        <v>9.701722633086432E-2</v>
      </c>
    </row>
    <row r="46" spans="1:16" ht="17" thickBot="1" x14ac:dyDescent="0.25">
      <c r="A46" s="14">
        <v>1</v>
      </c>
      <c r="B46" s="14">
        <v>34</v>
      </c>
      <c r="C46" s="14">
        <v>3</v>
      </c>
      <c r="D46" s="52">
        <v>0.33333333333333331</v>
      </c>
      <c r="E46" s="16">
        <v>0.5</v>
      </c>
      <c r="F46" s="23">
        <f t="shared" si="4"/>
        <v>0</v>
      </c>
      <c r="G46" s="24">
        <f t="shared" si="3"/>
        <v>11.5</v>
      </c>
      <c r="H46" s="24">
        <f t="shared" si="3"/>
        <v>7</v>
      </c>
      <c r="I46" s="24">
        <f t="shared" si="3"/>
        <v>-5.5511151231257827E-17</v>
      </c>
      <c r="J46" s="25">
        <f t="shared" si="3"/>
        <v>2</v>
      </c>
      <c r="L46" s="23">
        <v>0.21417591537878869</v>
      </c>
      <c r="M46" s="24">
        <v>-2.7663634780847389E-3</v>
      </c>
      <c r="N46" s="24">
        <v>-1.0441400546900159E-2</v>
      </c>
      <c r="O46" s="24">
        <v>9.7017226330864348E-2</v>
      </c>
      <c r="P46" s="25">
        <v>0.5524514919131378</v>
      </c>
    </row>
    <row r="47" spans="1:16" ht="17" thickBot="1" x14ac:dyDescent="0.25">
      <c r="A47" s="14">
        <v>1</v>
      </c>
      <c r="B47" s="14">
        <v>71</v>
      </c>
      <c r="C47" s="14">
        <v>20</v>
      </c>
      <c r="D47" s="52">
        <v>0.33333333333333331</v>
      </c>
      <c r="E47" s="15">
        <v>0.5</v>
      </c>
      <c r="F47" s="1" t="s">
        <v>153</v>
      </c>
      <c r="G47" s="1"/>
      <c r="J47" s="1"/>
    </row>
    <row r="48" spans="1:16" x14ac:dyDescent="0.2">
      <c r="A48" s="14">
        <v>1</v>
      </c>
      <c r="B48" s="14">
        <v>43</v>
      </c>
      <c r="C48" s="14">
        <v>19</v>
      </c>
      <c r="D48" s="52">
        <v>0.33333333333333331</v>
      </c>
      <c r="E48" s="16">
        <v>0.5</v>
      </c>
      <c r="F48" s="55" cm="1">
        <f t="array" ref="F48:J52">MMULT(A57:L61,A42:E53)</f>
        <v>12</v>
      </c>
      <c r="G48" s="56">
        <v>495</v>
      </c>
      <c r="H48" s="56">
        <v>115</v>
      </c>
      <c r="I48" s="56">
        <v>2.2204460492503131E-16</v>
      </c>
      <c r="J48" s="57">
        <v>0</v>
      </c>
    </row>
    <row r="49" spans="1:13" x14ac:dyDescent="0.2">
      <c r="A49" s="14">
        <v>1</v>
      </c>
      <c r="B49" s="14">
        <v>35</v>
      </c>
      <c r="C49" s="14">
        <v>14</v>
      </c>
      <c r="D49" s="52">
        <v>0.33333333333333331</v>
      </c>
      <c r="E49" s="16">
        <v>0.5</v>
      </c>
      <c r="F49" s="58">
        <v>495</v>
      </c>
      <c r="G49" s="59">
        <v>22891</v>
      </c>
      <c r="H49" s="59">
        <v>4818</v>
      </c>
      <c r="I49" s="59">
        <v>12.999999999999989</v>
      </c>
      <c r="J49" s="60">
        <v>11.5</v>
      </c>
    </row>
    <row r="50" spans="1:13" x14ac:dyDescent="0.2">
      <c r="A50" s="14">
        <v>1</v>
      </c>
      <c r="B50" s="14">
        <v>63</v>
      </c>
      <c r="C50" s="14">
        <v>0</v>
      </c>
      <c r="D50" s="15">
        <f>-2/3</f>
        <v>-0.66666666666666663</v>
      </c>
      <c r="E50" s="16">
        <v>0</v>
      </c>
      <c r="F50" s="20">
        <v>115</v>
      </c>
      <c r="G50" s="21">
        <v>4818</v>
      </c>
      <c r="H50" s="21">
        <v>1651</v>
      </c>
      <c r="I50" s="21">
        <v>21.333333333333332</v>
      </c>
      <c r="J50" s="22">
        <v>7</v>
      </c>
    </row>
    <row r="51" spans="1:13" x14ac:dyDescent="0.2">
      <c r="A51" s="14">
        <v>1</v>
      </c>
      <c r="B51" s="14">
        <v>23</v>
      </c>
      <c r="C51" s="14">
        <v>5</v>
      </c>
      <c r="D51" s="15">
        <f>-2/3</f>
        <v>-0.66666666666666663</v>
      </c>
      <c r="E51" s="16">
        <v>0</v>
      </c>
      <c r="F51" s="20">
        <v>2.2204460492503131E-16</v>
      </c>
      <c r="G51" s="21">
        <v>12.999999999999989</v>
      </c>
      <c r="H51" s="21">
        <v>21.333333333333332</v>
      </c>
      <c r="I51" s="21">
        <v>2.666666666666667</v>
      </c>
      <c r="J51" s="22">
        <v>-5.5511151231257827E-17</v>
      </c>
    </row>
    <row r="52" spans="1:13" ht="17" thickBot="1" x14ac:dyDescent="0.25">
      <c r="A52" s="14">
        <v>1</v>
      </c>
      <c r="B52" s="14">
        <v>38</v>
      </c>
      <c r="C52" s="14">
        <v>8</v>
      </c>
      <c r="D52" s="15">
        <f>-2/3</f>
        <v>-0.66666666666666663</v>
      </c>
      <c r="E52" s="16">
        <v>0</v>
      </c>
      <c r="F52" s="23">
        <v>0</v>
      </c>
      <c r="G52" s="24">
        <v>11.5</v>
      </c>
      <c r="H52" s="24">
        <v>7</v>
      </c>
      <c r="I52" s="24">
        <v>-5.5511151231257827E-17</v>
      </c>
      <c r="J52" s="25">
        <v>2</v>
      </c>
    </row>
    <row r="53" spans="1:13" x14ac:dyDescent="0.2">
      <c r="A53" s="14">
        <v>1</v>
      </c>
      <c r="B53" s="14">
        <v>28</v>
      </c>
      <c r="C53" s="14">
        <v>4</v>
      </c>
      <c r="D53" s="15">
        <f>-2/3</f>
        <v>-0.66666666666666663</v>
      </c>
      <c r="E53" s="15">
        <v>0</v>
      </c>
    </row>
    <row r="55" spans="1:13" x14ac:dyDescent="0.2">
      <c r="A55" s="1" t="s">
        <v>139</v>
      </c>
    </row>
    <row r="56" spans="1:13" x14ac:dyDescent="0.2">
      <c r="A56" t="s">
        <v>133</v>
      </c>
      <c r="B56" t="s">
        <v>134</v>
      </c>
      <c r="C56" t="s">
        <v>135</v>
      </c>
      <c r="D56" t="s">
        <v>136</v>
      </c>
      <c r="E56" t="s">
        <v>137</v>
      </c>
      <c r="F56" t="s">
        <v>138</v>
      </c>
      <c r="G56" t="s">
        <v>147</v>
      </c>
      <c r="H56" t="s">
        <v>148</v>
      </c>
      <c r="I56" t="s">
        <v>149</v>
      </c>
      <c r="J56" t="s">
        <v>150</v>
      </c>
      <c r="K56" t="s">
        <v>151</v>
      </c>
      <c r="L56" t="s">
        <v>152</v>
      </c>
    </row>
    <row r="57" spans="1:13" x14ac:dyDescent="0.2">
      <c r="A57" s="14">
        <v>1</v>
      </c>
      <c r="B57" s="14">
        <v>1</v>
      </c>
      <c r="C57" s="14">
        <v>1</v>
      </c>
      <c r="D57" s="14">
        <v>1</v>
      </c>
      <c r="E57" s="14">
        <v>1</v>
      </c>
      <c r="F57" s="14">
        <v>1</v>
      </c>
      <c r="G57" s="14">
        <v>1</v>
      </c>
      <c r="H57" s="14">
        <v>1</v>
      </c>
      <c r="I57" s="14">
        <v>1</v>
      </c>
      <c r="J57" s="14">
        <v>1</v>
      </c>
      <c r="K57" s="14">
        <v>1</v>
      </c>
      <c r="L57" s="14">
        <v>1</v>
      </c>
      <c r="M57" s="21"/>
    </row>
    <row r="58" spans="1:13" x14ac:dyDescent="0.2">
      <c r="A58" s="14">
        <v>49</v>
      </c>
      <c r="B58" s="14">
        <v>53</v>
      </c>
      <c r="C58" s="14">
        <v>28</v>
      </c>
      <c r="D58" s="14">
        <v>30</v>
      </c>
      <c r="E58" s="14">
        <v>34</v>
      </c>
      <c r="F58" s="14">
        <v>71</v>
      </c>
      <c r="G58" s="14">
        <v>43</v>
      </c>
      <c r="H58" s="14">
        <v>35</v>
      </c>
      <c r="I58" s="14">
        <v>63</v>
      </c>
      <c r="J58" s="14">
        <v>23</v>
      </c>
      <c r="K58" s="14">
        <v>38</v>
      </c>
      <c r="L58" s="14">
        <v>28</v>
      </c>
      <c r="M58" s="21"/>
    </row>
    <row r="59" spans="1:13" x14ac:dyDescent="0.2">
      <c r="A59" s="14">
        <v>11</v>
      </c>
      <c r="B59" s="14">
        <v>1</v>
      </c>
      <c r="C59" s="14">
        <v>17</v>
      </c>
      <c r="D59" s="14">
        <v>13</v>
      </c>
      <c r="E59" s="14">
        <v>3</v>
      </c>
      <c r="F59" s="14">
        <v>20</v>
      </c>
      <c r="G59" s="14">
        <v>19</v>
      </c>
      <c r="H59" s="14">
        <v>14</v>
      </c>
      <c r="I59" s="14">
        <v>0</v>
      </c>
      <c r="J59" s="14">
        <v>5</v>
      </c>
      <c r="K59" s="14">
        <v>8</v>
      </c>
      <c r="L59" s="14">
        <v>4</v>
      </c>
      <c r="M59" s="21"/>
    </row>
    <row r="60" spans="1:13" x14ac:dyDescent="0.2">
      <c r="A60" s="52">
        <v>0.33333333333333331</v>
      </c>
      <c r="B60" s="52">
        <v>0.33333333333333331</v>
      </c>
      <c r="C60" s="52">
        <v>0.33333333333333331</v>
      </c>
      <c r="D60" s="52">
        <v>0.33333333333333331</v>
      </c>
      <c r="E60" s="52">
        <v>0.33333333333333331</v>
      </c>
      <c r="F60" s="52">
        <v>0.33333333333333331</v>
      </c>
      <c r="G60" s="52">
        <v>0.33333333333333331</v>
      </c>
      <c r="H60" s="52">
        <v>0.33333333333333331</v>
      </c>
      <c r="I60" s="15">
        <f>-2/3</f>
        <v>-0.66666666666666663</v>
      </c>
      <c r="J60" s="15">
        <f>-2/3</f>
        <v>-0.66666666666666663</v>
      </c>
      <c r="K60" s="15">
        <f>-2/3</f>
        <v>-0.66666666666666663</v>
      </c>
      <c r="L60" s="15">
        <f>-2/3</f>
        <v>-0.66666666666666663</v>
      </c>
      <c r="M60" s="53"/>
    </row>
    <row r="61" spans="1:13" x14ac:dyDescent="0.2">
      <c r="A61" s="16">
        <v>-0.5</v>
      </c>
      <c r="B61" s="16">
        <v>-0.5</v>
      </c>
      <c r="C61" s="16">
        <v>-0.5</v>
      </c>
      <c r="D61" s="16">
        <v>-0.5</v>
      </c>
      <c r="E61" s="16">
        <v>0.5</v>
      </c>
      <c r="F61" s="15">
        <v>0.5</v>
      </c>
      <c r="G61" s="15">
        <v>0.5</v>
      </c>
      <c r="H61" s="15">
        <v>0.5</v>
      </c>
      <c r="I61" s="15">
        <v>0</v>
      </c>
      <c r="J61" s="15">
        <v>0</v>
      </c>
      <c r="K61" s="15">
        <v>0</v>
      </c>
      <c r="L61" s="15">
        <v>0</v>
      </c>
      <c r="M61" s="54"/>
    </row>
    <row r="63" spans="1:13" x14ac:dyDescent="0.2">
      <c r="A63" s="44" t="s">
        <v>155</v>
      </c>
      <c r="B63" s="44"/>
      <c r="C63" s="44"/>
      <c r="D63" s="44"/>
      <c r="E63" s="44"/>
      <c r="F63" s="44"/>
      <c r="G63" s="44"/>
      <c r="H63" s="44"/>
      <c r="I63" s="44"/>
    </row>
    <row r="64" spans="1:13" x14ac:dyDescent="0.2">
      <c r="A64" s="32">
        <v>12</v>
      </c>
      <c r="B64" s="33">
        <v>495</v>
      </c>
      <c r="C64" s="33">
        <v>115</v>
      </c>
      <c r="D64" s="34">
        <v>28105</v>
      </c>
      <c r="E64" s="35">
        <v>1</v>
      </c>
      <c r="F64" s="33"/>
      <c r="G64" s="33">
        <v>0</v>
      </c>
      <c r="H64" s="33">
        <v>0</v>
      </c>
      <c r="I64" s="36">
        <v>0</v>
      </c>
    </row>
    <row r="65" spans="1:14" x14ac:dyDescent="0.2">
      <c r="A65" s="37">
        <v>495</v>
      </c>
      <c r="B65" s="21">
        <v>22891</v>
      </c>
      <c r="C65" s="21">
        <v>4818</v>
      </c>
      <c r="D65" s="22">
        <v>1331728</v>
      </c>
      <c r="E65" s="20">
        <v>0</v>
      </c>
      <c r="F65" s="21"/>
      <c r="G65" s="21">
        <v>1</v>
      </c>
      <c r="H65" s="21">
        <v>0</v>
      </c>
      <c r="I65" s="38">
        <v>0</v>
      </c>
    </row>
    <row r="66" spans="1:14" x14ac:dyDescent="0.2">
      <c r="A66" s="37">
        <v>115</v>
      </c>
      <c r="B66" s="21">
        <v>4818</v>
      </c>
      <c r="C66" s="21">
        <v>1651</v>
      </c>
      <c r="D66" s="22">
        <v>421711</v>
      </c>
      <c r="E66" s="20">
        <v>0</v>
      </c>
      <c r="F66" s="21"/>
      <c r="G66" s="21">
        <v>0</v>
      </c>
      <c r="H66" s="21">
        <v>1</v>
      </c>
      <c r="I66" s="38">
        <v>0</v>
      </c>
    </row>
    <row r="67" spans="1:14" x14ac:dyDescent="0.2">
      <c r="A67" s="39">
        <v>28105</v>
      </c>
      <c r="B67" s="40">
        <v>1331728</v>
      </c>
      <c r="C67" s="40">
        <v>421711</v>
      </c>
      <c r="D67" s="41">
        <v>123910871</v>
      </c>
      <c r="E67" s="42">
        <v>0</v>
      </c>
      <c r="F67" s="40"/>
      <c r="G67" s="40">
        <v>0</v>
      </c>
      <c r="H67" s="40">
        <v>0</v>
      </c>
      <c r="I67" s="43">
        <v>1</v>
      </c>
    </row>
    <row r="70" spans="1:14" x14ac:dyDescent="0.2">
      <c r="A70" s="1"/>
      <c r="B70" s="1" t="s">
        <v>156</v>
      </c>
      <c r="C70" s="1"/>
      <c r="D70" s="1"/>
    </row>
    <row r="71" spans="1:14" ht="17" thickBot="1" x14ac:dyDescent="0.25">
      <c r="A71" s="1"/>
      <c r="B71" s="1" t="s">
        <v>158</v>
      </c>
      <c r="C71" s="1"/>
      <c r="D71" s="1"/>
    </row>
    <row r="72" spans="1:14" x14ac:dyDescent="0.2">
      <c r="B72" s="17">
        <f>$L42*A$57+$M42*A$58+$N42*A$59+$O42*A$60+$P42*A$61</f>
        <v>-9.8783572613216408E-2</v>
      </c>
      <c r="C72" s="18">
        <f t="shared" ref="C72:M72" si="5">$L42*B$57+$M42*B$58+$N42*B$59+$O42*B$60+$P42*B$61</f>
        <v>0.13467757811762124</v>
      </c>
      <c r="D72" s="18">
        <f t="shared" si="5"/>
        <v>0.10573273482068862</v>
      </c>
      <c r="E72" s="18">
        <f t="shared" si="5"/>
        <v>0.19170659300824081</v>
      </c>
      <c r="F72" s="18">
        <f t="shared" si="5"/>
        <v>0.63934365911786706</v>
      </c>
      <c r="G72" s="18">
        <f t="shared" si="5"/>
        <v>-0.56900122759829108</v>
      </c>
      <c r="H72" s="18">
        <f t="shared" si="5"/>
        <v>-1.9502363085617147E-2</v>
      </c>
      <c r="I72" s="18">
        <f t="shared" si="5"/>
        <v>0.28249326489937576</v>
      </c>
      <c r="J72" s="18">
        <f t="shared" si="5"/>
        <v>-0.24911325020966785</v>
      </c>
      <c r="K72" s="18">
        <f t="shared" si="5"/>
        <v>0.33816337437929461</v>
      </c>
      <c r="L72" s="18">
        <f t="shared" si="5"/>
        <v>-3.2004356083666669E-2</v>
      </c>
      <c r="M72" s="19">
        <f t="shared" si="5"/>
        <v>0.27628756524737424</v>
      </c>
      <c r="N72" s="21"/>
    </row>
    <row r="73" spans="1:14" x14ac:dyDescent="0.2">
      <c r="B73" s="20">
        <f t="shared" ref="B72:M76" si="6">$L43*A$57+$M43*A$58+$N43*A$59+$O43*A$60+$P43*A$61</f>
        <v>3.9069715925233502E-3</v>
      </c>
      <c r="C73" s="21">
        <f t="shared" si="6"/>
        <v>4.7748503307460076E-3</v>
      </c>
      <c r="D73" s="21">
        <f t="shared" si="6"/>
        <v>-4.6003642207886539E-3</v>
      </c>
      <c r="E73" s="21">
        <f t="shared" si="6"/>
        <v>-4.0814577024807005E-3</v>
      </c>
      <c r="F73" s="21">
        <f t="shared" si="6"/>
        <v>-5.9799424423427824E-3</v>
      </c>
      <c r="G73" s="21">
        <f t="shared" si="6"/>
        <v>1.1351838723247213E-2</v>
      </c>
      <c r="H73" s="21">
        <f t="shared" si="6"/>
        <v>-7.5598003727174912E-4</v>
      </c>
      <c r="I73" s="21">
        <f t="shared" si="6"/>
        <v>-4.6159162436326829E-3</v>
      </c>
      <c r="J73" s="21">
        <f t="shared" si="6"/>
        <v>1.0373578554595E-2</v>
      </c>
      <c r="K73" s="21">
        <f t="shared" si="6"/>
        <v>-6.3770880013109292E-3</v>
      </c>
      <c r="L73" s="21">
        <f t="shared" si="6"/>
        <v>3.1862680948734155E-4</v>
      </c>
      <c r="M73" s="22">
        <f t="shared" si="6"/>
        <v>-4.3151173627714199E-3</v>
      </c>
      <c r="N73" s="21"/>
    </row>
    <row r="74" spans="1:14" x14ac:dyDescent="0.2">
      <c r="B74" s="20">
        <f t="shared" si="6"/>
        <v>2.1865385483438539E-3</v>
      </c>
      <c r="C74" s="21">
        <f t="shared" si="6"/>
        <v>-2.5910276966354128E-2</v>
      </c>
      <c r="D74" s="21">
        <f t="shared" si="6"/>
        <v>1.746423888210542E-2</v>
      </c>
      <c r="E74" s="21">
        <f t="shared" si="6"/>
        <v>6.2594995359048769E-3</v>
      </c>
      <c r="F74" s="21">
        <f t="shared" si="6"/>
        <v>-3.2278716525693273E-2</v>
      </c>
      <c r="G74" s="21">
        <f t="shared" si="6"/>
        <v>1.9207430984105472E-2</v>
      </c>
      <c r="H74" s="21">
        <f t="shared" si="6"/>
        <v>1.3984682395451521E-2</v>
      </c>
      <c r="I74" s="21">
        <f t="shared" si="6"/>
        <v>-9.1339685386371879E-4</v>
      </c>
      <c r="J74" s="21">
        <f t="shared" si="6"/>
        <v>-9.961412017465282E-3</v>
      </c>
      <c r="K74" s="21">
        <f t="shared" si="6"/>
        <v>8.5824407041196205E-4</v>
      </c>
      <c r="L74" s="21">
        <f t="shared" si="6"/>
        <v>1.0663756541806679E-2</v>
      </c>
      <c r="M74" s="22">
        <f t="shared" si="6"/>
        <v>-1.5605885947533628E-3</v>
      </c>
      <c r="N74" s="21"/>
    </row>
    <row r="75" spans="1:14" x14ac:dyDescent="0.2">
      <c r="B75" s="20">
        <f>$L45*A$57+$M45*A$58+$N45*A$59+$O45*A$60+$P45*A$61</f>
        <v>8.8461205099697807E-2</v>
      </c>
      <c r="C75" s="21">
        <f t="shared" si="6"/>
        <v>0.30900482036844606</v>
      </c>
      <c r="D75" s="21">
        <f t="shared" si="6"/>
        <v>7.7128645195013862E-3</v>
      </c>
      <c r="E75" s="21">
        <f t="shared" si="6"/>
        <v>9.482111001235434E-2</v>
      </c>
      <c r="F75" s="21">
        <f t="shared" si="6"/>
        <v>0.41238195161196695</v>
      </c>
      <c r="G75" s="21">
        <f t="shared" si="6"/>
        <v>-8.3999661648673798E-2</v>
      </c>
      <c r="H75" s="21">
        <f t="shared" si="6"/>
        <v>1.6807943518087579E-2</v>
      </c>
      <c r="I75" s="21">
        <f t="shared" si="6"/>
        <v>0.15480976651861894</v>
      </c>
      <c r="J75" s="21">
        <f t="shared" si="6"/>
        <v>-0.22087989931392835</v>
      </c>
      <c r="K75" s="21">
        <f t="shared" si="6"/>
        <v>-0.22577764855690491</v>
      </c>
      <c r="L75" s="21">
        <f t="shared" si="6"/>
        <v>-0.33686335803070416</v>
      </c>
      <c r="M75" s="22">
        <f t="shared" si="6"/>
        <v>-0.21647909409846244</v>
      </c>
      <c r="N75" s="21"/>
    </row>
    <row r="76" spans="1:14" ht="17" thickBot="1" x14ac:dyDescent="0.25">
      <c r="B76" s="23">
        <f>$L46*A$57+$M46*A$58+$N46*A$59+$O46*A$60+$P46*A$61</f>
        <v>-0.28011797157621271</v>
      </c>
      <c r="C76" s="24">
        <f t="shared" si="6"/>
        <v>-0.18676942001955008</v>
      </c>
      <c r="D76" s="24">
        <f t="shared" si="6"/>
        <v>-0.28467274181783414</v>
      </c>
      <c r="E76" s="24">
        <f t="shared" si="6"/>
        <v>-0.24843986658640299</v>
      </c>
      <c r="F76" s="24">
        <f t="shared" si="6"/>
        <v>0.39736017688339742</v>
      </c>
      <c r="G76" s="24">
        <f t="shared" si="6"/>
        <v>0.11750091889695938</v>
      </c>
      <c r="H76" s="24">
        <f t="shared" si="6"/>
        <v>0.20540049683023223</v>
      </c>
      <c r="I76" s="24">
        <f t="shared" si="6"/>
        <v>0.27973840738941097</v>
      </c>
      <c r="J76" s="24">
        <f t="shared" si="6"/>
        <v>-2.4783134627792761E-2</v>
      </c>
      <c r="K76" s="24">
        <f t="shared" si="6"/>
        <v>3.3664401761096016E-2</v>
      </c>
      <c r="L76" s="24">
        <f t="shared" si="6"/>
        <v>-3.9155252050875555E-2</v>
      </c>
      <c r="M76" s="25">
        <f t="shared" si="6"/>
        <v>3.0273984917572452E-2</v>
      </c>
    </row>
    <row r="77" spans="1:14" ht="17" thickBot="1" x14ac:dyDescent="0.25">
      <c r="B77" s="1" t="s">
        <v>159</v>
      </c>
    </row>
    <row r="78" spans="1:14" x14ac:dyDescent="0.2">
      <c r="B78" s="17" cm="1">
        <f t="array" ref="B78:M82">MMULT(L42:P46,A57:L61)</f>
        <v>-9.8783572613216408E-2</v>
      </c>
      <c r="C78" s="18">
        <v>0.13467757811762124</v>
      </c>
      <c r="D78" s="18">
        <v>0.10573273482068862</v>
      </c>
      <c r="E78" s="18">
        <v>0.19170659300824081</v>
      </c>
      <c r="F78" s="18">
        <v>0.63934365911786706</v>
      </c>
      <c r="G78" s="18">
        <v>-0.56900122759829108</v>
      </c>
      <c r="H78" s="18">
        <v>-1.9502363085617147E-2</v>
      </c>
      <c r="I78" s="18">
        <v>0.28249326489937576</v>
      </c>
      <c r="J78" s="18">
        <v>-0.24911325020966785</v>
      </c>
      <c r="K78" s="18">
        <v>0.33816337437929461</v>
      </c>
      <c r="L78" s="18">
        <v>-3.2004356083666669E-2</v>
      </c>
      <c r="M78" s="19">
        <v>0.27628756524737424</v>
      </c>
      <c r="N78" s="21"/>
    </row>
    <row r="79" spans="1:14" x14ac:dyDescent="0.2">
      <c r="B79" s="20">
        <v>3.9069715925233502E-3</v>
      </c>
      <c r="C79" s="21">
        <v>4.7748503307460076E-3</v>
      </c>
      <c r="D79" s="21">
        <v>-4.6003642207886539E-3</v>
      </c>
      <c r="E79" s="21">
        <v>-4.0814577024807005E-3</v>
      </c>
      <c r="F79" s="21">
        <v>-5.9799424423427824E-3</v>
      </c>
      <c r="G79" s="21">
        <v>1.1351838723247213E-2</v>
      </c>
      <c r="H79" s="21">
        <v>-7.5598003727174912E-4</v>
      </c>
      <c r="I79" s="21">
        <v>-4.6159162436326829E-3</v>
      </c>
      <c r="J79" s="21">
        <v>1.0373578554595E-2</v>
      </c>
      <c r="K79" s="21">
        <v>-6.3770880013109292E-3</v>
      </c>
      <c r="L79" s="21">
        <v>3.1862680948734155E-4</v>
      </c>
      <c r="M79" s="22">
        <v>-4.3151173627714199E-3</v>
      </c>
      <c r="N79" s="21"/>
    </row>
    <row r="80" spans="1:14" x14ac:dyDescent="0.2">
      <c r="B80" s="20">
        <v>2.1865385483438539E-3</v>
      </c>
      <c r="C80" s="21">
        <v>-2.5910276966354128E-2</v>
      </c>
      <c r="D80" s="21">
        <v>1.746423888210542E-2</v>
      </c>
      <c r="E80" s="21">
        <v>6.2594995359048769E-3</v>
      </c>
      <c r="F80" s="21">
        <v>-3.2278716525693273E-2</v>
      </c>
      <c r="G80" s="21">
        <v>1.9207430984105472E-2</v>
      </c>
      <c r="H80" s="21">
        <v>1.3984682395451521E-2</v>
      </c>
      <c r="I80" s="21">
        <v>-9.1339685386371879E-4</v>
      </c>
      <c r="J80" s="21">
        <v>-9.961412017465282E-3</v>
      </c>
      <c r="K80" s="21">
        <v>8.5824407041196205E-4</v>
      </c>
      <c r="L80" s="21">
        <v>1.0663756541806679E-2</v>
      </c>
      <c r="M80" s="22">
        <v>-1.5605885947533628E-3</v>
      </c>
      <c r="N80" s="21"/>
    </row>
    <row r="81" spans="1:14" x14ac:dyDescent="0.2">
      <c r="B81" s="20">
        <v>8.8461205099697807E-2</v>
      </c>
      <c r="C81" s="21">
        <v>0.30900482036844606</v>
      </c>
      <c r="D81" s="21">
        <v>7.7128645195013862E-3</v>
      </c>
      <c r="E81" s="21">
        <v>9.482111001235434E-2</v>
      </c>
      <c r="F81" s="21">
        <v>0.41238195161196695</v>
      </c>
      <c r="G81" s="21">
        <v>-8.3999661648673798E-2</v>
      </c>
      <c r="H81" s="21">
        <v>1.6807943518087579E-2</v>
      </c>
      <c r="I81" s="21">
        <v>0.15480976651861894</v>
      </c>
      <c r="J81" s="21">
        <v>-0.22087989931392835</v>
      </c>
      <c r="K81" s="21">
        <v>-0.22577764855690491</v>
      </c>
      <c r="L81" s="21">
        <v>-0.33686335803070416</v>
      </c>
      <c r="M81" s="22">
        <v>-0.21647909409846244</v>
      </c>
      <c r="N81" s="21"/>
    </row>
    <row r="82" spans="1:14" ht="17" thickBot="1" x14ac:dyDescent="0.25">
      <c r="B82" s="23">
        <v>-0.28011797157621271</v>
      </c>
      <c r="C82" s="24">
        <v>-0.18676942001955008</v>
      </c>
      <c r="D82" s="24">
        <v>-0.28467274181783414</v>
      </c>
      <c r="E82" s="24">
        <v>-0.24843986658640299</v>
      </c>
      <c r="F82" s="24">
        <v>0.39736017688339742</v>
      </c>
      <c r="G82" s="24">
        <v>0.11750091889695938</v>
      </c>
      <c r="H82" s="24">
        <v>0.20540049683023223</v>
      </c>
      <c r="I82" s="24">
        <v>0.27973840738941097</v>
      </c>
      <c r="J82" s="24">
        <v>-2.4783134627792761E-2</v>
      </c>
      <c r="K82" s="24">
        <v>3.3664401761096016E-2</v>
      </c>
      <c r="L82" s="24">
        <v>-3.9155252050875555E-2</v>
      </c>
      <c r="M82" s="25">
        <v>3.0273984917572452E-2</v>
      </c>
      <c r="N82" s="21"/>
    </row>
    <row r="83" spans="1:14" x14ac:dyDescent="0.2">
      <c r="B83" s="1" t="s">
        <v>160</v>
      </c>
      <c r="G83" s="1" t="s">
        <v>164</v>
      </c>
    </row>
    <row r="84" spans="1:14" ht="17" thickBot="1" x14ac:dyDescent="0.25">
      <c r="B84" s="21" t="s">
        <v>161</v>
      </c>
      <c r="G84" s="21" t="s">
        <v>161</v>
      </c>
    </row>
    <row r="85" spans="1:14" x14ac:dyDescent="0.2">
      <c r="A85" t="s">
        <v>48</v>
      </c>
      <c r="B85" s="61">
        <f>$B72*B$3+$C72*B$4+$D72*B$5+$E72*B$6+$F72*B$7+$G72*B$8+$H72*B$9+$I72*B$10+$J72*B$11+$K72*B$12+$L72*B$13+$M72*B$14</f>
        <v>2.8936544231786612</v>
      </c>
      <c r="G85" s="45" cm="1">
        <f t="array" ref="G85:G89">MMULT(B78:M82,B3:B14)</f>
        <v>2.8936544231786612</v>
      </c>
    </row>
    <row r="86" spans="1:14" x14ac:dyDescent="0.2">
      <c r="A86" t="s">
        <v>50</v>
      </c>
      <c r="B86" s="62">
        <f t="shared" ref="B86:B89" si="7">$B73*B$3+$C73*B$4+$D73*B$5+$E73*B$6+$F73*B$7+$G73*B$8+$H73*B$9+$I73*B$10+$J73*B$11+$K73*B$12+$L73*B$13+$M73*B$14</f>
        <v>0.1525175197330515</v>
      </c>
      <c r="G86" s="46">
        <v>0.1525175197330515</v>
      </c>
    </row>
    <row r="87" spans="1:14" x14ac:dyDescent="0.2">
      <c r="A87" t="s">
        <v>162</v>
      </c>
      <c r="B87" s="62">
        <f t="shared" si="7"/>
        <v>9.443456220866088E-2</v>
      </c>
      <c r="G87" s="46">
        <v>9.443456220866088E-2</v>
      </c>
    </row>
    <row r="88" spans="1:14" x14ac:dyDescent="0.2">
      <c r="A88" t="s">
        <v>175</v>
      </c>
      <c r="B88" s="62">
        <f t="shared" si="7"/>
        <v>1.2310005936320823</v>
      </c>
      <c r="G88" s="46">
        <v>1.2310005936320823</v>
      </c>
    </row>
    <row r="89" spans="1:14" ht="17" thickBot="1" x14ac:dyDescent="0.25">
      <c r="A89" t="s">
        <v>176</v>
      </c>
      <c r="B89" s="63">
        <f t="shared" si="7"/>
        <v>-2.2074967061953568</v>
      </c>
      <c r="G89" s="47">
        <v>-2.2074967061953568</v>
      </c>
    </row>
  </sheetData>
  <mergeCells count="2">
    <mergeCell ref="A63:I63"/>
    <mergeCell ref="C30:C3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E8FE9-9E35-F44C-B889-C31DA0B3DE15}">
  <dimension ref="A1:I21"/>
  <sheetViews>
    <sheetView workbookViewId="0">
      <selection activeCell="C22" sqref="C22:D25"/>
    </sheetView>
  </sheetViews>
  <sheetFormatPr baseColWidth="10" defaultRowHeight="16" x14ac:dyDescent="0.2"/>
  <sheetData>
    <row r="1" spans="1:9" x14ac:dyDescent="0.2">
      <c r="A1" t="s">
        <v>56</v>
      </c>
    </row>
    <row r="2" spans="1:9" ht="17" thickBot="1" x14ac:dyDescent="0.25"/>
    <row r="3" spans="1:9" x14ac:dyDescent="0.2">
      <c r="A3" s="10" t="s">
        <v>57</v>
      </c>
      <c r="B3" s="10"/>
    </row>
    <row r="4" spans="1:9" x14ac:dyDescent="0.2">
      <c r="A4" s="7" t="s">
        <v>58</v>
      </c>
      <c r="B4" s="7">
        <v>0.73727951488230348</v>
      </c>
    </row>
    <row r="5" spans="1:9" x14ac:dyDescent="0.2">
      <c r="A5" s="7" t="s">
        <v>59</v>
      </c>
      <c r="B5" s="7">
        <v>0.54358108306508479</v>
      </c>
    </row>
    <row r="6" spans="1:9" x14ac:dyDescent="0.2">
      <c r="A6" s="7" t="s">
        <v>60</v>
      </c>
      <c r="B6" s="7">
        <v>0.28277027338799038</v>
      </c>
    </row>
    <row r="7" spans="1:9" x14ac:dyDescent="0.2">
      <c r="A7" s="7" t="s">
        <v>61</v>
      </c>
      <c r="B7" s="7">
        <v>3.0491312165602662</v>
      </c>
    </row>
    <row r="8" spans="1:9" ht="17" thickBot="1" x14ac:dyDescent="0.25">
      <c r="A8" s="8" t="s">
        <v>62</v>
      </c>
      <c r="B8" s="8">
        <v>12</v>
      </c>
    </row>
    <row r="10" spans="1:9" ht="17" thickBot="1" x14ac:dyDescent="0.25">
      <c r="A10" t="s">
        <v>63</v>
      </c>
    </row>
    <row r="11" spans="1:9" x14ac:dyDescent="0.2">
      <c r="A11" s="9"/>
      <c r="B11" s="9" t="s">
        <v>66</v>
      </c>
      <c r="C11" s="9" t="s">
        <v>67</v>
      </c>
      <c r="D11" s="9" t="s">
        <v>68</v>
      </c>
      <c r="E11" s="9" t="s">
        <v>69</v>
      </c>
      <c r="F11" s="9" t="s">
        <v>70</v>
      </c>
    </row>
    <row r="12" spans="1:9" x14ac:dyDescent="0.2">
      <c r="A12" s="7" t="s">
        <v>64</v>
      </c>
      <c r="B12" s="7">
        <v>4</v>
      </c>
      <c r="C12" s="7">
        <v>77.50879176938399</v>
      </c>
      <c r="D12" s="7">
        <v>19.377197942345997</v>
      </c>
      <c r="E12" s="7">
        <v>2.0841969078585492</v>
      </c>
      <c r="F12" s="7">
        <v>0.18644468640949782</v>
      </c>
    </row>
    <row r="13" spans="1:9" x14ac:dyDescent="0.2">
      <c r="A13" s="7" t="s">
        <v>0</v>
      </c>
      <c r="B13" s="7">
        <v>7</v>
      </c>
      <c r="C13" s="7">
        <v>65.080408230616015</v>
      </c>
      <c r="D13" s="7">
        <v>9.2972011758022877</v>
      </c>
      <c r="E13" s="7"/>
      <c r="F13" s="7"/>
    </row>
    <row r="14" spans="1:9" ht="17" thickBot="1" x14ac:dyDescent="0.25">
      <c r="A14" s="8" t="s">
        <v>65</v>
      </c>
      <c r="B14" s="8">
        <v>11</v>
      </c>
      <c r="C14" s="8">
        <v>142.58920000000001</v>
      </c>
      <c r="D14" s="8"/>
      <c r="E14" s="8"/>
      <c r="F14" s="8"/>
    </row>
    <row r="15" spans="1:9" ht="17" thickBot="1" x14ac:dyDescent="0.25"/>
    <row r="16" spans="1:9" x14ac:dyDescent="0.2">
      <c r="A16" s="9"/>
      <c r="B16" s="9" t="s">
        <v>71</v>
      </c>
      <c r="C16" s="9" t="s">
        <v>61</v>
      </c>
      <c r="D16" s="9" t="s">
        <v>72</v>
      </c>
      <c r="E16" s="9" t="s">
        <v>73</v>
      </c>
      <c r="F16" s="9" t="s">
        <v>74</v>
      </c>
      <c r="G16" s="9" t="s">
        <v>75</v>
      </c>
      <c r="H16" s="9" t="s">
        <v>76</v>
      </c>
      <c r="I16" s="9" t="s">
        <v>77</v>
      </c>
    </row>
    <row r="17" spans="1:9" x14ac:dyDescent="0.2">
      <c r="A17" s="7" t="s">
        <v>2</v>
      </c>
      <c r="B17" s="7">
        <v>2.8936544231786336</v>
      </c>
      <c r="C17" s="7">
        <v>3.2588688057029143</v>
      </c>
      <c r="D17" s="7">
        <v>0.88793216164910738</v>
      </c>
      <c r="E17" s="7">
        <v>0.40405339041065874</v>
      </c>
      <c r="F17" s="7">
        <v>-4.8123457875456932</v>
      </c>
      <c r="G17" s="7">
        <v>10.59965463390296</v>
      </c>
      <c r="H17" s="7">
        <v>-4.8123457875456932</v>
      </c>
      <c r="I17" s="7">
        <v>10.59965463390296</v>
      </c>
    </row>
    <row r="18" spans="1:9" x14ac:dyDescent="0.2">
      <c r="A18" s="7" t="s">
        <v>78</v>
      </c>
      <c r="B18" s="7">
        <v>0.15251751973305142</v>
      </c>
      <c r="C18" s="7">
        <v>6.3183087174519606E-2</v>
      </c>
      <c r="D18" s="7">
        <v>2.4138978728877065</v>
      </c>
      <c r="E18" s="7">
        <v>4.6507006622374648E-2</v>
      </c>
      <c r="F18" s="7">
        <v>3.1132595096813043E-3</v>
      </c>
      <c r="G18" s="7">
        <v>0.30192177995642155</v>
      </c>
      <c r="H18" s="7">
        <v>3.1132595096813043E-3</v>
      </c>
      <c r="I18" s="7">
        <v>0.30192177995642155</v>
      </c>
    </row>
    <row r="19" spans="1:9" x14ac:dyDescent="0.2">
      <c r="A19" s="7" t="s">
        <v>116</v>
      </c>
      <c r="B19" s="7">
        <v>9.4434562208660325E-2</v>
      </c>
      <c r="C19" s="7">
        <v>0.16259814665524694</v>
      </c>
      <c r="D19" s="7">
        <v>0.58078498526116495</v>
      </c>
      <c r="E19" s="7">
        <v>0.57959498599090997</v>
      </c>
      <c r="F19" s="7">
        <v>-0.29004895863637686</v>
      </c>
      <c r="G19" s="7">
        <v>0.47891808305369749</v>
      </c>
      <c r="H19" s="7">
        <v>-0.29004895863637686</v>
      </c>
      <c r="I19" s="7">
        <v>0.47891808305369749</v>
      </c>
    </row>
    <row r="20" spans="1:9" x14ac:dyDescent="0.2">
      <c r="A20" s="7" t="s">
        <v>130</v>
      </c>
      <c r="B20" s="7">
        <v>1.2310005936320914</v>
      </c>
      <c r="C20" s="7">
        <v>2.3097584159256788</v>
      </c>
      <c r="D20" s="7">
        <v>0.53295642745336413</v>
      </c>
      <c r="E20" s="7">
        <v>0.61055776878622714</v>
      </c>
      <c r="F20" s="7">
        <v>-4.2307101719863027</v>
      </c>
      <c r="G20" s="7">
        <v>6.6927113592504863</v>
      </c>
      <c r="H20" s="7">
        <v>-4.2307101719863027</v>
      </c>
      <c r="I20" s="7">
        <v>6.6927113592504863</v>
      </c>
    </row>
    <row r="21" spans="1:9" ht="17" thickBot="1" x14ac:dyDescent="0.25">
      <c r="A21" s="8" t="s">
        <v>177</v>
      </c>
      <c r="B21" s="8">
        <v>-2.2074967061953559</v>
      </c>
      <c r="C21" s="8">
        <v>2.266330218699065</v>
      </c>
      <c r="D21" s="8">
        <v>-0.97404018531002901</v>
      </c>
      <c r="E21" s="8">
        <v>0.36248601888054605</v>
      </c>
      <c r="F21" s="8">
        <v>-7.5665161034487447</v>
      </c>
      <c r="G21" s="8">
        <v>3.1515226910580334</v>
      </c>
      <c r="H21" s="8">
        <v>-7.5665161034487447</v>
      </c>
      <c r="I21" s="8">
        <v>3.1515226910580334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Simple Regression by Hand</vt:lpstr>
      <vt:lpstr>Simple Regression Excel's Table</vt:lpstr>
      <vt:lpstr>2 Multiple Regression by Hand</vt:lpstr>
      <vt:lpstr>2 Mult Regression Excel's Table</vt:lpstr>
      <vt:lpstr>3 Multiple Regression by Hand</vt:lpstr>
      <vt:lpstr>3 Mult Regression Excel's Table</vt:lpstr>
      <vt:lpstr>3 Multiple Regression wFactors</vt:lpstr>
      <vt:lpstr>3 MR wFactors Excel's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Norberg, Kole Andreas</dc:creator>
  <cp:lastModifiedBy>Norberg, Kole Andreas</cp:lastModifiedBy>
  <dcterms:created xsi:type="dcterms:W3CDTF">2021-03-01T19:56:15Z</dcterms:created>
  <dcterms:modified xsi:type="dcterms:W3CDTF">2021-04-08T06:30:17Z</dcterms:modified>
</cp:coreProperties>
</file>