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_b\OneDrive\Documents\GitHub\PredictiveCFD\"/>
    </mc:Choice>
  </mc:AlternateContent>
  <xr:revisionPtr revIDLastSave="46" documentId="11_28FE9AF520E9B7B099F419981F6A4BCAD23A3EEE" xr6:coauthVersionLast="36" xr6:coauthVersionMax="36" xr10:uidLastSave="{06CBE0F7-4CD2-491E-BDD2-6664ECD3959F}"/>
  <bookViews>
    <workbookView xWindow="0" yWindow="465" windowWidth="28800" windowHeight="17460" xr2:uid="{00000000-000D-0000-FFFF-FFFF00000000}"/>
  </bookViews>
  <sheets>
    <sheet name="CFD Chart" sheetId="17" r:id="rId1"/>
    <sheet name="LtDistribution" sheetId="22" r:id="rId2"/>
    <sheet name="Run Chart" sheetId="27" r:id="rId3"/>
    <sheet name="WIP" sheetId="24" r:id="rId4"/>
    <sheet name="LeadTime" sheetId="25" r:id="rId5"/>
    <sheet name="On The Board" sheetId="19" r:id="rId6"/>
    <sheet name="setup" sheetId="20" r:id="rId7"/>
    <sheet name="CFD Data" sheetId="16" r:id="rId8"/>
    <sheet name="Data" sheetId="21" r:id="rId9"/>
  </sheets>
  <definedNames>
    <definedName name="_xlnm._FilterDatabase" localSheetId="8" hidden="1">Data!$A$601:$R$601</definedName>
    <definedName name="_xlnm._FilterDatabase" localSheetId="5" hidden="1">'On The Board'!$D$4:$N$68</definedName>
    <definedName name="AsIfSprint">#REF!</definedName>
    <definedName name="AVG">'On The Board'!$N$3</definedName>
    <definedName name="BankHolidays">setup!$A$22:$A$61</definedName>
    <definedName name="DaysToIgnoreOnAvg">setup!$B$4</definedName>
    <definedName name="DeadlineDate">setup!$E$2</definedName>
    <definedName name="DeviationFactor">setup!#REF!</definedName>
    <definedName name="FirstDate">setup!$B$3</definedName>
    <definedName name="FutureWork">setup!$D$9</definedName>
    <definedName name="Historic">setup!$B$6</definedName>
    <definedName name="LCL">'On The Board'!$M$2</definedName>
    <definedName name="PercentileHigh">setup!$B$5</definedName>
    <definedName name="PercentileLow">setup!#REF!</definedName>
    <definedName name="_xlnm.Print_Area" localSheetId="1">LtDistribution!$A$1:$P$46</definedName>
    <definedName name="sigmaVal">'CFD Data'!$AC$2</definedName>
    <definedName name="TodaysDate">setup!$E$1</definedName>
    <definedName name="UCL">'On The Board'!#REF!</definedName>
    <definedName name="WeightFactor">setup!#REF!</definedName>
    <definedName name="WorstCase">OFFSET('CFD Data'!$N$2,0,0,COUNTA('CFD Data'!$N$2:$N$187),1)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" i="16" l="1"/>
  <c r="AF3" i="16"/>
  <c r="AF4" i="16"/>
  <c r="AF5" i="16"/>
  <c r="AF6" i="16"/>
  <c r="AF7" i="16"/>
  <c r="AF8" i="16"/>
  <c r="AF9" i="16"/>
  <c r="AF10" i="16"/>
  <c r="AF11" i="16"/>
  <c r="AF12" i="16"/>
  <c r="AF13" i="16"/>
  <c r="AF14" i="16"/>
  <c r="AF15" i="16"/>
  <c r="AF16" i="16"/>
  <c r="AF17" i="16"/>
  <c r="AF18" i="16"/>
  <c r="AF19" i="16"/>
  <c r="AF20" i="16"/>
  <c r="AF21" i="16"/>
  <c r="AF22" i="16"/>
  <c r="AF23" i="16"/>
  <c r="AF24" i="16"/>
  <c r="AF25" i="16"/>
  <c r="AF26" i="16"/>
  <c r="AF27" i="16"/>
  <c r="AF28" i="16"/>
  <c r="AF29" i="16"/>
  <c r="AF30" i="16"/>
  <c r="AF31" i="16"/>
  <c r="AF32" i="16"/>
  <c r="AF33" i="16"/>
  <c r="AF34" i="16"/>
  <c r="AF35" i="16"/>
  <c r="AF36" i="16"/>
  <c r="AF37" i="16"/>
  <c r="AF38" i="16"/>
  <c r="AF39" i="16"/>
  <c r="AF40" i="16"/>
  <c r="AF41" i="16"/>
  <c r="AF42" i="16"/>
  <c r="AF43" i="16"/>
  <c r="AF44" i="16"/>
  <c r="AF45" i="16"/>
  <c r="AF46" i="16"/>
  <c r="AF47" i="16"/>
  <c r="AF48" i="16"/>
  <c r="AF49" i="16"/>
  <c r="AF50" i="16"/>
  <c r="AF51" i="16"/>
  <c r="AF52" i="16"/>
  <c r="AF53" i="16"/>
  <c r="AF54" i="16"/>
  <c r="AF55" i="16"/>
  <c r="AF56" i="16"/>
  <c r="AF57" i="16"/>
  <c r="AF58" i="16"/>
  <c r="AF59" i="16"/>
  <c r="AF60" i="16"/>
  <c r="AF61" i="16"/>
  <c r="AF62" i="16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F87" i="16"/>
  <c r="AF88" i="16"/>
  <c r="AF89" i="16"/>
  <c r="AF90" i="16"/>
  <c r="AF91" i="16"/>
  <c r="AF92" i="16"/>
  <c r="AF93" i="16"/>
  <c r="AF94" i="16"/>
  <c r="AF95" i="16"/>
  <c r="AF96" i="16"/>
  <c r="AF97" i="16"/>
  <c r="AF98" i="16"/>
  <c r="AF99" i="16"/>
  <c r="AF100" i="16"/>
  <c r="AF101" i="16"/>
  <c r="AF102" i="16"/>
  <c r="AF103" i="16"/>
  <c r="AF104" i="16"/>
  <c r="AF105" i="16"/>
  <c r="AF106" i="16"/>
  <c r="AF107" i="16"/>
  <c r="AF108" i="16"/>
  <c r="AF109" i="16"/>
  <c r="AF110" i="16"/>
  <c r="AF111" i="16"/>
  <c r="AF112" i="16"/>
  <c r="AF113" i="16"/>
  <c r="AF114" i="16"/>
  <c r="AF115" i="16"/>
  <c r="AF116" i="16"/>
  <c r="AF117" i="16"/>
  <c r="AF118" i="16"/>
  <c r="AF119" i="16"/>
  <c r="AF120" i="16"/>
  <c r="AF121" i="16"/>
  <c r="AF122" i="16"/>
  <c r="E1" i="20"/>
  <c r="L123" i="16"/>
  <c r="M123" i="16"/>
  <c r="L122" i="16"/>
  <c r="M122" i="16"/>
  <c r="L121" i="16"/>
  <c r="M121" i="16"/>
  <c r="L120" i="16"/>
  <c r="M120" i="16"/>
  <c r="L119" i="16"/>
  <c r="M119" i="16"/>
  <c r="L118" i="16"/>
  <c r="M118" i="16"/>
  <c r="L117" i="16"/>
  <c r="M117" i="16"/>
  <c r="L116" i="16"/>
  <c r="M116" i="16"/>
  <c r="L115" i="16"/>
  <c r="M115" i="16"/>
  <c r="L114" i="16"/>
  <c r="M114" i="16"/>
  <c r="L113" i="16"/>
  <c r="M113" i="16"/>
  <c r="L112" i="16"/>
  <c r="M112" i="16"/>
  <c r="L111" i="16"/>
  <c r="M111" i="16"/>
  <c r="L110" i="16"/>
  <c r="M110" i="16"/>
  <c r="L109" i="16"/>
  <c r="M109" i="16"/>
  <c r="L108" i="16"/>
  <c r="M108" i="16"/>
  <c r="L107" i="16"/>
  <c r="M107" i="16"/>
  <c r="L106" i="16"/>
  <c r="M106" i="16"/>
  <c r="L105" i="16"/>
  <c r="M105" i="16"/>
  <c r="L104" i="16"/>
  <c r="M104" i="16"/>
  <c r="L103" i="16"/>
  <c r="M103" i="16"/>
  <c r="L102" i="16"/>
  <c r="M102" i="16"/>
  <c r="L101" i="16"/>
  <c r="M101" i="16"/>
  <c r="L100" i="16"/>
  <c r="M100" i="16"/>
  <c r="L99" i="16"/>
  <c r="M99" i="16"/>
  <c r="L98" i="16"/>
  <c r="M98" i="16"/>
  <c r="L97" i="16"/>
  <c r="M97" i="16"/>
  <c r="L96" i="16"/>
  <c r="M96" i="16"/>
  <c r="L95" i="16"/>
  <c r="M95" i="16"/>
  <c r="L94" i="16"/>
  <c r="M94" i="16"/>
  <c r="L93" i="16"/>
  <c r="M93" i="16"/>
  <c r="L92" i="16"/>
  <c r="M92" i="16"/>
  <c r="L91" i="16"/>
  <c r="M91" i="16"/>
  <c r="L90" i="16"/>
  <c r="M90" i="16"/>
  <c r="L89" i="16"/>
  <c r="M89" i="16"/>
  <c r="L88" i="16"/>
  <c r="M88" i="16"/>
  <c r="L87" i="16"/>
  <c r="M87" i="16"/>
  <c r="L86" i="16"/>
  <c r="M86" i="16"/>
  <c r="L85" i="16"/>
  <c r="M85" i="16"/>
  <c r="L84" i="16"/>
  <c r="M84" i="16"/>
  <c r="L83" i="16"/>
  <c r="M83" i="16"/>
  <c r="L82" i="16"/>
  <c r="M82" i="16"/>
  <c r="L81" i="16"/>
  <c r="M81" i="16"/>
  <c r="L80" i="16"/>
  <c r="L79" i="16"/>
  <c r="M80" i="16"/>
  <c r="E80" i="21"/>
  <c r="G80" i="16"/>
  <c r="H80" i="16"/>
  <c r="I80" i="16"/>
  <c r="J80" i="16"/>
  <c r="K80" i="16"/>
  <c r="Z80" i="16"/>
  <c r="E81" i="21"/>
  <c r="G81" i="16"/>
  <c r="H81" i="16"/>
  <c r="X81" i="16"/>
  <c r="E79" i="21"/>
  <c r="G79" i="16"/>
  <c r="H79" i="16"/>
  <c r="I79" i="16"/>
  <c r="J79" i="16"/>
  <c r="K79" i="16"/>
  <c r="X80" i="16"/>
  <c r="E60" i="21"/>
  <c r="G60" i="16"/>
  <c r="H60" i="16"/>
  <c r="I60" i="16"/>
  <c r="J60" i="16"/>
  <c r="K60" i="16"/>
  <c r="L60" i="16"/>
  <c r="E59" i="21"/>
  <c r="G59" i="16"/>
  <c r="H59" i="16"/>
  <c r="I59" i="16"/>
  <c r="J59" i="16"/>
  <c r="K59" i="16"/>
  <c r="L59" i="16"/>
  <c r="X60" i="16"/>
  <c r="E61" i="21"/>
  <c r="G61" i="16"/>
  <c r="H61" i="16"/>
  <c r="I61" i="16"/>
  <c r="J61" i="16"/>
  <c r="K61" i="16"/>
  <c r="L61" i="16"/>
  <c r="X61" i="16"/>
  <c r="E62" i="21"/>
  <c r="G62" i="16"/>
  <c r="H62" i="16"/>
  <c r="I62" i="16"/>
  <c r="J62" i="16"/>
  <c r="K62" i="16"/>
  <c r="L62" i="16"/>
  <c r="X62" i="16"/>
  <c r="E63" i="21"/>
  <c r="G63" i="16"/>
  <c r="H63" i="16"/>
  <c r="I63" i="16"/>
  <c r="J63" i="16"/>
  <c r="K63" i="16"/>
  <c r="L63" i="16"/>
  <c r="X63" i="16"/>
  <c r="E64" i="21"/>
  <c r="G64" i="16"/>
  <c r="H64" i="16"/>
  <c r="I64" i="16"/>
  <c r="J64" i="16"/>
  <c r="K64" i="16"/>
  <c r="L64" i="16"/>
  <c r="X64" i="16"/>
  <c r="E65" i="21"/>
  <c r="G65" i="16"/>
  <c r="H65" i="16"/>
  <c r="I65" i="16"/>
  <c r="J65" i="16"/>
  <c r="K65" i="16"/>
  <c r="L65" i="16"/>
  <c r="X65" i="16"/>
  <c r="E66" i="21"/>
  <c r="G66" i="16"/>
  <c r="H66" i="16"/>
  <c r="I66" i="16"/>
  <c r="J66" i="16"/>
  <c r="K66" i="16"/>
  <c r="L66" i="16"/>
  <c r="X66" i="16"/>
  <c r="E67" i="21"/>
  <c r="G67" i="16"/>
  <c r="H67" i="16"/>
  <c r="I67" i="16"/>
  <c r="J67" i="16"/>
  <c r="K67" i="16"/>
  <c r="L67" i="16"/>
  <c r="X67" i="16"/>
  <c r="E68" i="21"/>
  <c r="G68" i="16"/>
  <c r="H68" i="16"/>
  <c r="I68" i="16"/>
  <c r="J68" i="16"/>
  <c r="K68" i="16"/>
  <c r="L68" i="16"/>
  <c r="X68" i="16"/>
  <c r="E69" i="21"/>
  <c r="G69" i="16"/>
  <c r="H69" i="16"/>
  <c r="I69" i="16"/>
  <c r="J69" i="16"/>
  <c r="K69" i="16"/>
  <c r="L69" i="16"/>
  <c r="X69" i="16"/>
  <c r="E70" i="21"/>
  <c r="G70" i="16"/>
  <c r="H70" i="16"/>
  <c r="I70" i="16"/>
  <c r="J70" i="16"/>
  <c r="K70" i="16"/>
  <c r="L70" i="16"/>
  <c r="X70" i="16"/>
  <c r="E71" i="21"/>
  <c r="G71" i="16"/>
  <c r="H71" i="16"/>
  <c r="I71" i="16"/>
  <c r="J71" i="16"/>
  <c r="K71" i="16"/>
  <c r="L71" i="16"/>
  <c r="X71" i="16"/>
  <c r="E72" i="21"/>
  <c r="G72" i="16"/>
  <c r="H72" i="16"/>
  <c r="I72" i="16"/>
  <c r="J72" i="16"/>
  <c r="K72" i="16"/>
  <c r="L72" i="16"/>
  <c r="X72" i="16"/>
  <c r="E73" i="21"/>
  <c r="G73" i="16"/>
  <c r="H73" i="16"/>
  <c r="I73" i="16"/>
  <c r="J73" i="16"/>
  <c r="K73" i="16"/>
  <c r="L73" i="16"/>
  <c r="X73" i="16"/>
  <c r="E74" i="21"/>
  <c r="G74" i="16"/>
  <c r="H74" i="16"/>
  <c r="I74" i="16"/>
  <c r="J74" i="16"/>
  <c r="K74" i="16"/>
  <c r="L74" i="16"/>
  <c r="X74" i="16"/>
  <c r="E75" i="21"/>
  <c r="G75" i="16"/>
  <c r="H75" i="16"/>
  <c r="I75" i="16"/>
  <c r="J75" i="16"/>
  <c r="K75" i="16"/>
  <c r="L75" i="16"/>
  <c r="X75" i="16"/>
  <c r="E76" i="21"/>
  <c r="G76" i="16"/>
  <c r="H76" i="16"/>
  <c r="I76" i="16"/>
  <c r="J76" i="16"/>
  <c r="K76" i="16"/>
  <c r="L76" i="16"/>
  <c r="X76" i="16"/>
  <c r="E77" i="21"/>
  <c r="G77" i="16"/>
  <c r="H77" i="16"/>
  <c r="I77" i="16"/>
  <c r="J77" i="16"/>
  <c r="K77" i="16"/>
  <c r="L77" i="16"/>
  <c r="X77" i="16"/>
  <c r="E78" i="21"/>
  <c r="G78" i="16"/>
  <c r="H78" i="16"/>
  <c r="I78" i="16"/>
  <c r="J78" i="16"/>
  <c r="K78" i="16"/>
  <c r="L78" i="16"/>
  <c r="X78" i="16"/>
  <c r="X79" i="16"/>
  <c r="Y80" i="16"/>
  <c r="Y81" i="16"/>
  <c r="Z81" i="16"/>
  <c r="E82" i="21"/>
  <c r="G82" i="16"/>
  <c r="H82" i="16"/>
  <c r="X82" i="16"/>
  <c r="Y82" i="16"/>
  <c r="Z82" i="16"/>
  <c r="E83" i="21"/>
  <c r="G83" i="16"/>
  <c r="H83" i="16"/>
  <c r="X83" i="16"/>
  <c r="Y83" i="16"/>
  <c r="Z83" i="16"/>
  <c r="E84" i="21"/>
  <c r="G84" i="16"/>
  <c r="H84" i="16"/>
  <c r="X84" i="16"/>
  <c r="Y84" i="16"/>
  <c r="Z84" i="16"/>
  <c r="E85" i="21"/>
  <c r="G85" i="16"/>
  <c r="H85" i="16"/>
  <c r="X85" i="16"/>
  <c r="Y85" i="16"/>
  <c r="Z85" i="16"/>
  <c r="E86" i="21"/>
  <c r="G86" i="16"/>
  <c r="H86" i="16"/>
  <c r="X86" i="16"/>
  <c r="Y86" i="16"/>
  <c r="Z86" i="16"/>
  <c r="E87" i="21"/>
  <c r="G87" i="16"/>
  <c r="H87" i="16"/>
  <c r="X87" i="16"/>
  <c r="Y87" i="16"/>
  <c r="Z87" i="16"/>
  <c r="E88" i="21"/>
  <c r="G88" i="16"/>
  <c r="H88" i="16"/>
  <c r="X88" i="16"/>
  <c r="Y88" i="16"/>
  <c r="Z88" i="16"/>
  <c r="E89" i="21"/>
  <c r="G89" i="16"/>
  <c r="H89" i="16"/>
  <c r="X89" i="16"/>
  <c r="Y89" i="16"/>
  <c r="Z89" i="16"/>
  <c r="E90" i="21"/>
  <c r="G90" i="16"/>
  <c r="H90" i="16"/>
  <c r="X90" i="16"/>
  <c r="Y90" i="16"/>
  <c r="Z90" i="16"/>
  <c r="E91" i="21"/>
  <c r="G91" i="16"/>
  <c r="H91" i="16"/>
  <c r="X91" i="16"/>
  <c r="Y91" i="16"/>
  <c r="Z91" i="16"/>
  <c r="E92" i="21"/>
  <c r="G92" i="16"/>
  <c r="H92" i="16"/>
  <c r="X92" i="16"/>
  <c r="Y92" i="16"/>
  <c r="Z92" i="16"/>
  <c r="E93" i="21"/>
  <c r="G93" i="16"/>
  <c r="H93" i="16"/>
  <c r="X93" i="16"/>
  <c r="Y93" i="16"/>
  <c r="Z93" i="16"/>
  <c r="E94" i="21"/>
  <c r="G94" i="16"/>
  <c r="H94" i="16"/>
  <c r="X94" i="16"/>
  <c r="Y94" i="16"/>
  <c r="Z94" i="16"/>
  <c r="E95" i="21"/>
  <c r="G95" i="16"/>
  <c r="H95" i="16"/>
  <c r="X95" i="16"/>
  <c r="Y95" i="16"/>
  <c r="Z95" i="16"/>
  <c r="E96" i="21"/>
  <c r="G96" i="16"/>
  <c r="H96" i="16"/>
  <c r="X96" i="16"/>
  <c r="Y96" i="16"/>
  <c r="Z96" i="16"/>
  <c r="E97" i="21"/>
  <c r="G97" i="16"/>
  <c r="H97" i="16"/>
  <c r="X97" i="16"/>
  <c r="Y97" i="16"/>
  <c r="Z97" i="16"/>
  <c r="E98" i="21"/>
  <c r="G98" i="16"/>
  <c r="H98" i="16"/>
  <c r="X98" i="16"/>
  <c r="Y98" i="16"/>
  <c r="Z98" i="16"/>
  <c r="E99" i="21"/>
  <c r="G99" i="16"/>
  <c r="H99" i="16"/>
  <c r="X99" i="16"/>
  <c r="Y99" i="16"/>
  <c r="Z99" i="16"/>
  <c r="E100" i="21"/>
  <c r="G100" i="16"/>
  <c r="H100" i="16"/>
  <c r="X100" i="16"/>
  <c r="Y100" i="16"/>
  <c r="Z100" i="16"/>
  <c r="E101" i="21"/>
  <c r="G101" i="16"/>
  <c r="H101" i="16"/>
  <c r="X101" i="16"/>
  <c r="Y101" i="16"/>
  <c r="Z101" i="16"/>
  <c r="E102" i="21"/>
  <c r="G102" i="16"/>
  <c r="H102" i="16"/>
  <c r="X102" i="16"/>
  <c r="Y102" i="16"/>
  <c r="Z102" i="16"/>
  <c r="E103" i="21"/>
  <c r="G103" i="16"/>
  <c r="H103" i="16"/>
  <c r="X103" i="16"/>
  <c r="Y103" i="16"/>
  <c r="Z103" i="16"/>
  <c r="E104" i="21"/>
  <c r="G104" i="16"/>
  <c r="H104" i="16"/>
  <c r="X104" i="16"/>
  <c r="Y104" i="16"/>
  <c r="Z104" i="16"/>
  <c r="E105" i="21"/>
  <c r="G105" i="16"/>
  <c r="H105" i="16"/>
  <c r="X105" i="16"/>
  <c r="Y105" i="16"/>
  <c r="Z105" i="16"/>
  <c r="E106" i="21"/>
  <c r="G106" i="16"/>
  <c r="H106" i="16"/>
  <c r="X106" i="16"/>
  <c r="Y106" i="16"/>
  <c r="Z106" i="16"/>
  <c r="E107" i="21"/>
  <c r="G107" i="16"/>
  <c r="H107" i="16"/>
  <c r="X107" i="16"/>
  <c r="Y107" i="16"/>
  <c r="Z107" i="16"/>
  <c r="E108" i="21"/>
  <c r="G108" i="16"/>
  <c r="H108" i="16"/>
  <c r="X108" i="16"/>
  <c r="Y108" i="16"/>
  <c r="Z108" i="16"/>
  <c r="E109" i="21"/>
  <c r="G109" i="16"/>
  <c r="H109" i="16"/>
  <c r="X109" i="16"/>
  <c r="Y109" i="16"/>
  <c r="Z109" i="16"/>
  <c r="E110" i="21"/>
  <c r="G110" i="16"/>
  <c r="H110" i="16"/>
  <c r="X110" i="16"/>
  <c r="Y110" i="16"/>
  <c r="Z110" i="16"/>
  <c r="E111" i="21"/>
  <c r="G111" i="16"/>
  <c r="H111" i="16"/>
  <c r="X111" i="16"/>
  <c r="Y111" i="16"/>
  <c r="Z111" i="16"/>
  <c r="E112" i="21"/>
  <c r="G112" i="16"/>
  <c r="H112" i="16"/>
  <c r="X112" i="16"/>
  <c r="Y112" i="16"/>
  <c r="Z112" i="16"/>
  <c r="E113" i="21"/>
  <c r="G113" i="16"/>
  <c r="H113" i="16"/>
  <c r="X113" i="16"/>
  <c r="Y113" i="16"/>
  <c r="Z113" i="16"/>
  <c r="E114" i="21"/>
  <c r="G114" i="16"/>
  <c r="H114" i="16"/>
  <c r="X114" i="16"/>
  <c r="Y114" i="16"/>
  <c r="Z114" i="16"/>
  <c r="E115" i="21"/>
  <c r="G115" i="16"/>
  <c r="H115" i="16"/>
  <c r="X115" i="16"/>
  <c r="Y115" i="16"/>
  <c r="Z115" i="16"/>
  <c r="E116" i="21"/>
  <c r="G116" i="16"/>
  <c r="H116" i="16"/>
  <c r="X116" i="16"/>
  <c r="Y116" i="16"/>
  <c r="Z116" i="16"/>
  <c r="E117" i="21"/>
  <c r="G117" i="16"/>
  <c r="H117" i="16"/>
  <c r="X117" i="16"/>
  <c r="Y117" i="16"/>
  <c r="Z117" i="16"/>
  <c r="E118" i="21"/>
  <c r="G118" i="16"/>
  <c r="H118" i="16"/>
  <c r="X118" i="16"/>
  <c r="Y118" i="16"/>
  <c r="Z118" i="16"/>
  <c r="E119" i="21"/>
  <c r="G119" i="16"/>
  <c r="H119" i="16"/>
  <c r="X119" i="16"/>
  <c r="Y119" i="16"/>
  <c r="Z119" i="16"/>
  <c r="E120" i="21"/>
  <c r="G120" i="16"/>
  <c r="H120" i="16"/>
  <c r="X120" i="16"/>
  <c r="Y120" i="16"/>
  <c r="Z120" i="16"/>
  <c r="E121" i="21"/>
  <c r="G121" i="16"/>
  <c r="H121" i="16"/>
  <c r="X121" i="16"/>
  <c r="Y121" i="16"/>
  <c r="Z121" i="16"/>
  <c r="E122" i="21"/>
  <c r="G122" i="16"/>
  <c r="H122" i="16"/>
  <c r="X122" i="16"/>
  <c r="Y122" i="16"/>
  <c r="Z122" i="16"/>
  <c r="E123" i="21"/>
  <c r="G123" i="16"/>
  <c r="H123" i="16"/>
  <c r="X123" i="16"/>
  <c r="Y123" i="16"/>
  <c r="Z123" i="16"/>
  <c r="AF123" i="16"/>
  <c r="AF124" i="16"/>
  <c r="AF125" i="16"/>
  <c r="AF126" i="16"/>
  <c r="AF127" i="16"/>
  <c r="AF128" i="16"/>
  <c r="AF129" i="16"/>
  <c r="AF130" i="16"/>
  <c r="AF131" i="16"/>
  <c r="AF132" i="16"/>
  <c r="AF133" i="16"/>
  <c r="AF134" i="16"/>
  <c r="AF135" i="16"/>
  <c r="AF136" i="16"/>
  <c r="AF137" i="16"/>
  <c r="AF138" i="16"/>
  <c r="AF139" i="16"/>
  <c r="AF140" i="16"/>
  <c r="AF141" i="16"/>
  <c r="AF142" i="16"/>
  <c r="AF143" i="16"/>
  <c r="AF144" i="16"/>
  <c r="AF145" i="16"/>
  <c r="AF146" i="16"/>
  <c r="AF147" i="16"/>
  <c r="AF148" i="16"/>
  <c r="AF149" i="16"/>
  <c r="AF150" i="16"/>
  <c r="AF151" i="16"/>
  <c r="AF152" i="16"/>
  <c r="AF153" i="16"/>
  <c r="AF154" i="16"/>
  <c r="AF155" i="16"/>
  <c r="AF156" i="16"/>
  <c r="AF157" i="16"/>
  <c r="AF158" i="16"/>
  <c r="AF159" i="16"/>
  <c r="AF160" i="16"/>
  <c r="AF161" i="16"/>
  <c r="AF162" i="16"/>
  <c r="AF163" i="16"/>
  <c r="AF164" i="16"/>
  <c r="AF165" i="16"/>
  <c r="AF166" i="16"/>
  <c r="AF167" i="16"/>
  <c r="AF168" i="16"/>
  <c r="AF169" i="16"/>
  <c r="AF170" i="16"/>
  <c r="AF171" i="16"/>
  <c r="AF172" i="16"/>
  <c r="AF173" i="16"/>
  <c r="AF174" i="16"/>
  <c r="AF175" i="16"/>
  <c r="AF176" i="16"/>
  <c r="AF177" i="16"/>
  <c r="AF178" i="16"/>
  <c r="AF179" i="16"/>
  <c r="AF180" i="16"/>
  <c r="AF181" i="16"/>
  <c r="AF182" i="16"/>
  <c r="AF183" i="16"/>
  <c r="AF184" i="16"/>
  <c r="AF185" i="16"/>
  <c r="AF186" i="16"/>
  <c r="AF187" i="16"/>
  <c r="AA80" i="16"/>
  <c r="AA81" i="16"/>
  <c r="AA82" i="16"/>
  <c r="AA83" i="16"/>
  <c r="AA84" i="16"/>
  <c r="AA85" i="16"/>
  <c r="AA86" i="16"/>
  <c r="AA87" i="16"/>
  <c r="AA88" i="16"/>
  <c r="AA89" i="16"/>
  <c r="AA90" i="16"/>
  <c r="AA91" i="16"/>
  <c r="AA92" i="16"/>
  <c r="AA93" i="16"/>
  <c r="AA94" i="16"/>
  <c r="AA95" i="16"/>
  <c r="AA96" i="16"/>
  <c r="AA97" i="16"/>
  <c r="AA98" i="16"/>
  <c r="AA99" i="16"/>
  <c r="AA100" i="16"/>
  <c r="AA101" i="16"/>
  <c r="AA102" i="16"/>
  <c r="AA103" i="16"/>
  <c r="AA104" i="16"/>
  <c r="AA105" i="16"/>
  <c r="AA106" i="16"/>
  <c r="AA107" i="16"/>
  <c r="AA108" i="16"/>
  <c r="AA109" i="16"/>
  <c r="AA110" i="16"/>
  <c r="AA111" i="16"/>
  <c r="AA112" i="16"/>
  <c r="AA113" i="16"/>
  <c r="AA114" i="16"/>
  <c r="AA115" i="16"/>
  <c r="AA116" i="16"/>
  <c r="AA117" i="16"/>
  <c r="AA118" i="16"/>
  <c r="AA119" i="16"/>
  <c r="AA120" i="16"/>
  <c r="AA121" i="16"/>
  <c r="AA122" i="16"/>
  <c r="AA123" i="16"/>
  <c r="L4" i="16"/>
  <c r="L3" i="16"/>
  <c r="M4" i="16"/>
  <c r="O4" i="16"/>
  <c r="L5" i="16"/>
  <c r="M5" i="16"/>
  <c r="O5" i="16"/>
  <c r="L6" i="16"/>
  <c r="M6" i="16"/>
  <c r="O6" i="16"/>
  <c r="L7" i="16"/>
  <c r="M7" i="16"/>
  <c r="O7" i="16"/>
  <c r="L8" i="16"/>
  <c r="M8" i="16"/>
  <c r="O8" i="16"/>
  <c r="L9" i="16"/>
  <c r="M9" i="16"/>
  <c r="O9" i="16"/>
  <c r="L10" i="16"/>
  <c r="M10" i="16"/>
  <c r="O10" i="16"/>
  <c r="L11" i="16"/>
  <c r="M11" i="16"/>
  <c r="O11" i="16"/>
  <c r="L12" i="16"/>
  <c r="M12" i="16"/>
  <c r="O12" i="16"/>
  <c r="L13" i="16"/>
  <c r="M13" i="16"/>
  <c r="O13" i="16"/>
  <c r="L14" i="16"/>
  <c r="M14" i="16"/>
  <c r="O14" i="16"/>
  <c r="L15" i="16"/>
  <c r="M15" i="16"/>
  <c r="O15" i="16"/>
  <c r="L16" i="16"/>
  <c r="M16" i="16"/>
  <c r="O16" i="16"/>
  <c r="L17" i="16"/>
  <c r="M17" i="16"/>
  <c r="O17" i="16"/>
  <c r="L18" i="16"/>
  <c r="M18" i="16"/>
  <c r="O18" i="16"/>
  <c r="L19" i="16"/>
  <c r="M19" i="16"/>
  <c r="O19" i="16"/>
  <c r="L20" i="16"/>
  <c r="M20" i="16"/>
  <c r="O20" i="16"/>
  <c r="L21" i="16"/>
  <c r="M21" i="16"/>
  <c r="O21" i="16"/>
  <c r="L22" i="16"/>
  <c r="M22" i="16"/>
  <c r="O22" i="16"/>
  <c r="L23" i="16"/>
  <c r="M23" i="16"/>
  <c r="O23" i="16"/>
  <c r="L24" i="16"/>
  <c r="M24" i="16"/>
  <c r="O24" i="16"/>
  <c r="L25" i="16"/>
  <c r="M25" i="16"/>
  <c r="O25" i="16"/>
  <c r="L26" i="16"/>
  <c r="M26" i="16"/>
  <c r="O26" i="16"/>
  <c r="L27" i="16"/>
  <c r="M27" i="16"/>
  <c r="O27" i="16"/>
  <c r="L28" i="16"/>
  <c r="M28" i="16"/>
  <c r="O28" i="16"/>
  <c r="L29" i="16"/>
  <c r="M29" i="16"/>
  <c r="O29" i="16"/>
  <c r="L30" i="16"/>
  <c r="M30" i="16"/>
  <c r="O30" i="16"/>
  <c r="L31" i="16"/>
  <c r="M31" i="16"/>
  <c r="O31" i="16"/>
  <c r="L32" i="16"/>
  <c r="M32" i="16"/>
  <c r="O32" i="16"/>
  <c r="L33" i="16"/>
  <c r="M33" i="16"/>
  <c r="O33" i="16"/>
  <c r="L34" i="16"/>
  <c r="M34" i="16"/>
  <c r="O34" i="16"/>
  <c r="L35" i="16"/>
  <c r="M35" i="16"/>
  <c r="O35" i="16"/>
  <c r="L36" i="16"/>
  <c r="M36" i="16"/>
  <c r="O36" i="16"/>
  <c r="L37" i="16"/>
  <c r="M37" i="16"/>
  <c r="O37" i="16"/>
  <c r="L38" i="16"/>
  <c r="M38" i="16"/>
  <c r="O38" i="16"/>
  <c r="L39" i="16"/>
  <c r="M39" i="16"/>
  <c r="O39" i="16"/>
  <c r="L40" i="16"/>
  <c r="M40" i="16"/>
  <c r="O40" i="16"/>
  <c r="L41" i="16"/>
  <c r="M41" i="16"/>
  <c r="O41" i="16"/>
  <c r="L42" i="16"/>
  <c r="M42" i="16"/>
  <c r="O42" i="16"/>
  <c r="L43" i="16"/>
  <c r="M43" i="16"/>
  <c r="O43" i="16"/>
  <c r="L44" i="16"/>
  <c r="M44" i="16"/>
  <c r="O44" i="16"/>
  <c r="L45" i="16"/>
  <c r="M45" i="16"/>
  <c r="O45" i="16"/>
  <c r="L46" i="16"/>
  <c r="M46" i="16"/>
  <c r="O46" i="16"/>
  <c r="L47" i="16"/>
  <c r="M47" i="16"/>
  <c r="O47" i="16"/>
  <c r="L48" i="16"/>
  <c r="M48" i="16"/>
  <c r="O48" i="16"/>
  <c r="L49" i="16"/>
  <c r="M49" i="16"/>
  <c r="O49" i="16"/>
  <c r="L50" i="16"/>
  <c r="M50" i="16"/>
  <c r="O50" i="16"/>
  <c r="L51" i="16"/>
  <c r="M51" i="16"/>
  <c r="O51" i="16"/>
  <c r="L52" i="16"/>
  <c r="M52" i="16"/>
  <c r="O52" i="16"/>
  <c r="L53" i="16"/>
  <c r="M53" i="16"/>
  <c r="O53" i="16"/>
  <c r="L54" i="16"/>
  <c r="M54" i="16"/>
  <c r="O54" i="16"/>
  <c r="L55" i="16"/>
  <c r="M55" i="16"/>
  <c r="O55" i="16"/>
  <c r="L56" i="16"/>
  <c r="M56" i="16"/>
  <c r="O56" i="16"/>
  <c r="L57" i="16"/>
  <c r="M57" i="16"/>
  <c r="O57" i="16"/>
  <c r="L58" i="16"/>
  <c r="M58" i="16"/>
  <c r="O58" i="16"/>
  <c r="M59" i="16"/>
  <c r="O59" i="16"/>
  <c r="M60" i="16"/>
  <c r="O60" i="16"/>
  <c r="M61" i="16"/>
  <c r="O61" i="16"/>
  <c r="M62" i="16"/>
  <c r="O62" i="16"/>
  <c r="M63" i="16"/>
  <c r="O63" i="16"/>
  <c r="M64" i="16"/>
  <c r="O64" i="16"/>
  <c r="M65" i="16"/>
  <c r="O65" i="16"/>
  <c r="M66" i="16"/>
  <c r="O66" i="16"/>
  <c r="M67" i="16"/>
  <c r="O67" i="16"/>
  <c r="M68" i="16"/>
  <c r="O68" i="16"/>
  <c r="M69" i="16"/>
  <c r="O69" i="16"/>
  <c r="M70" i="16"/>
  <c r="O70" i="16"/>
  <c r="M71" i="16"/>
  <c r="O71" i="16"/>
  <c r="M72" i="16"/>
  <c r="O72" i="16"/>
  <c r="M73" i="16"/>
  <c r="O73" i="16"/>
  <c r="M74" i="16"/>
  <c r="O74" i="16"/>
  <c r="M75" i="16"/>
  <c r="O75" i="16"/>
  <c r="M76" i="16"/>
  <c r="O76" i="16"/>
  <c r="M77" i="16"/>
  <c r="O77" i="16"/>
  <c r="M78" i="16"/>
  <c r="O78" i="16"/>
  <c r="M79" i="16"/>
  <c r="O79" i="16"/>
  <c r="O80" i="16"/>
  <c r="R80" i="16"/>
  <c r="R81" i="16"/>
  <c r="AD81" i="16"/>
  <c r="O81" i="16"/>
  <c r="R82" i="16"/>
  <c r="AD82" i="16"/>
  <c r="O82" i="16"/>
  <c r="R83" i="16"/>
  <c r="AD83" i="16"/>
  <c r="O83" i="16"/>
  <c r="R84" i="16"/>
  <c r="AD84" i="16"/>
  <c r="O84" i="16"/>
  <c r="R85" i="16"/>
  <c r="AD85" i="16"/>
  <c r="O85" i="16"/>
  <c r="R86" i="16"/>
  <c r="AD86" i="16"/>
  <c r="O86" i="16"/>
  <c r="R87" i="16"/>
  <c r="AD87" i="16"/>
  <c r="O87" i="16"/>
  <c r="R88" i="16"/>
  <c r="AD88" i="16"/>
  <c r="O88" i="16"/>
  <c r="R89" i="16"/>
  <c r="AD89" i="16"/>
  <c r="O89" i="16"/>
  <c r="R90" i="16"/>
  <c r="AD90" i="16"/>
  <c r="O90" i="16"/>
  <c r="R91" i="16"/>
  <c r="AD91" i="16"/>
  <c r="O91" i="16"/>
  <c r="R92" i="16"/>
  <c r="AD92" i="16"/>
  <c r="O92" i="16"/>
  <c r="R93" i="16"/>
  <c r="AD93" i="16"/>
  <c r="O93" i="16"/>
  <c r="R94" i="16"/>
  <c r="AD94" i="16"/>
  <c r="O94" i="16"/>
  <c r="R95" i="16"/>
  <c r="AD95" i="16"/>
  <c r="O95" i="16"/>
  <c r="R96" i="16"/>
  <c r="AD96" i="16"/>
  <c r="O96" i="16"/>
  <c r="R97" i="16"/>
  <c r="AD97" i="16"/>
  <c r="O97" i="16"/>
  <c r="R98" i="16"/>
  <c r="AD98" i="16"/>
  <c r="O98" i="16"/>
  <c r="R99" i="16"/>
  <c r="AD99" i="16"/>
  <c r="O99" i="16"/>
  <c r="R100" i="16"/>
  <c r="AD100" i="16"/>
  <c r="O100" i="16"/>
  <c r="R101" i="16"/>
  <c r="AD101" i="16"/>
  <c r="O101" i="16"/>
  <c r="R102" i="16"/>
  <c r="AD102" i="16"/>
  <c r="O102" i="16"/>
  <c r="R103" i="16"/>
  <c r="AD103" i="16"/>
  <c r="O103" i="16"/>
  <c r="R104" i="16"/>
  <c r="AD104" i="16"/>
  <c r="O104" i="16"/>
  <c r="R105" i="16"/>
  <c r="AD105" i="16"/>
  <c r="O105" i="16"/>
  <c r="R106" i="16"/>
  <c r="AD106" i="16"/>
  <c r="O106" i="16"/>
  <c r="R107" i="16"/>
  <c r="AD107" i="16"/>
  <c r="O107" i="16"/>
  <c r="R108" i="16"/>
  <c r="AD108" i="16"/>
  <c r="O108" i="16"/>
  <c r="R109" i="16"/>
  <c r="AD109" i="16"/>
  <c r="O109" i="16"/>
  <c r="R110" i="16"/>
  <c r="AD110" i="16"/>
  <c r="O110" i="16"/>
  <c r="R111" i="16"/>
  <c r="AD111" i="16"/>
  <c r="O111" i="16"/>
  <c r="R112" i="16"/>
  <c r="AD112" i="16"/>
  <c r="O112" i="16"/>
  <c r="R113" i="16"/>
  <c r="AD113" i="16"/>
  <c r="O113" i="16"/>
  <c r="R114" i="16"/>
  <c r="AD114" i="16"/>
  <c r="O114" i="16"/>
  <c r="R115" i="16"/>
  <c r="AD115" i="16"/>
  <c r="O115" i="16"/>
  <c r="R116" i="16"/>
  <c r="AD116" i="16"/>
  <c r="O116" i="16"/>
  <c r="R117" i="16"/>
  <c r="AD117" i="16"/>
  <c r="O117" i="16"/>
  <c r="R118" i="16"/>
  <c r="AD118" i="16"/>
  <c r="O118" i="16"/>
  <c r="R119" i="16"/>
  <c r="AD119" i="16"/>
  <c r="O119" i="16"/>
  <c r="R120" i="16"/>
  <c r="AD120" i="16"/>
  <c r="O120" i="16"/>
  <c r="R121" i="16"/>
  <c r="AD121" i="16"/>
  <c r="O121" i="16"/>
  <c r="R122" i="16"/>
  <c r="AD122" i="16"/>
  <c r="O122" i="16"/>
  <c r="R123" i="16"/>
  <c r="AD123" i="16"/>
  <c r="O123" i="16"/>
  <c r="L124" i="16"/>
  <c r="M124" i="16"/>
  <c r="R124" i="16"/>
  <c r="AD124" i="16"/>
  <c r="E124" i="21"/>
  <c r="G124" i="16"/>
  <c r="H124" i="16"/>
  <c r="X124" i="16"/>
  <c r="Y124" i="16"/>
  <c r="Z124" i="16"/>
  <c r="O124" i="16"/>
  <c r="L125" i="16"/>
  <c r="M125" i="16"/>
  <c r="R125" i="16"/>
  <c r="AD125" i="16"/>
  <c r="E125" i="21"/>
  <c r="G125" i="16"/>
  <c r="H125" i="16"/>
  <c r="X125" i="16"/>
  <c r="Y125" i="16"/>
  <c r="Z125" i="16"/>
  <c r="O125" i="16"/>
  <c r="L126" i="16"/>
  <c r="M126" i="16"/>
  <c r="R126" i="16"/>
  <c r="AD126" i="16"/>
  <c r="E126" i="21"/>
  <c r="G126" i="16"/>
  <c r="H126" i="16"/>
  <c r="X126" i="16"/>
  <c r="Y126" i="16"/>
  <c r="Z126" i="16"/>
  <c r="O126" i="16"/>
  <c r="L127" i="16"/>
  <c r="M127" i="16"/>
  <c r="R127" i="16"/>
  <c r="AD127" i="16"/>
  <c r="E127" i="21"/>
  <c r="G127" i="16"/>
  <c r="H127" i="16"/>
  <c r="X127" i="16"/>
  <c r="Y127" i="16"/>
  <c r="Z127" i="16"/>
  <c r="O127" i="16"/>
  <c r="L128" i="16"/>
  <c r="M128" i="16"/>
  <c r="R128" i="16"/>
  <c r="AD128" i="16"/>
  <c r="E128" i="21"/>
  <c r="G128" i="16"/>
  <c r="H128" i="16"/>
  <c r="X128" i="16"/>
  <c r="Y128" i="16"/>
  <c r="Z128" i="16"/>
  <c r="O128" i="16"/>
  <c r="L129" i="16"/>
  <c r="M129" i="16"/>
  <c r="R129" i="16"/>
  <c r="AD129" i="16"/>
  <c r="E129" i="21"/>
  <c r="G129" i="16"/>
  <c r="H129" i="16"/>
  <c r="X129" i="16"/>
  <c r="Y129" i="16"/>
  <c r="Z129" i="16"/>
  <c r="O129" i="16"/>
  <c r="L130" i="16"/>
  <c r="M130" i="16"/>
  <c r="R130" i="16"/>
  <c r="AD130" i="16"/>
  <c r="E130" i="21"/>
  <c r="G130" i="16"/>
  <c r="H130" i="16"/>
  <c r="X130" i="16"/>
  <c r="Y130" i="16"/>
  <c r="Z130" i="16"/>
  <c r="O130" i="16"/>
  <c r="L131" i="16"/>
  <c r="M131" i="16"/>
  <c r="R131" i="16"/>
  <c r="AD131" i="16"/>
  <c r="E131" i="21"/>
  <c r="G131" i="16"/>
  <c r="H131" i="16"/>
  <c r="X131" i="16"/>
  <c r="Y131" i="16"/>
  <c r="Z131" i="16"/>
  <c r="O131" i="16"/>
  <c r="L132" i="16"/>
  <c r="M132" i="16"/>
  <c r="R132" i="16"/>
  <c r="AD132" i="16"/>
  <c r="E132" i="21"/>
  <c r="G132" i="16"/>
  <c r="H132" i="16"/>
  <c r="X132" i="16"/>
  <c r="Y132" i="16"/>
  <c r="Z132" i="16"/>
  <c r="O132" i="16"/>
  <c r="L133" i="16"/>
  <c r="M133" i="16"/>
  <c r="R133" i="16"/>
  <c r="AD133" i="16"/>
  <c r="E133" i="21"/>
  <c r="G133" i="16"/>
  <c r="H133" i="16"/>
  <c r="X133" i="16"/>
  <c r="Y133" i="16"/>
  <c r="Z133" i="16"/>
  <c r="O133" i="16"/>
  <c r="L134" i="16"/>
  <c r="M134" i="16"/>
  <c r="R134" i="16"/>
  <c r="AD134" i="16"/>
  <c r="E134" i="21"/>
  <c r="G134" i="16"/>
  <c r="H134" i="16"/>
  <c r="X134" i="16"/>
  <c r="Y134" i="16"/>
  <c r="Z134" i="16"/>
  <c r="O134" i="16"/>
  <c r="L135" i="16"/>
  <c r="M135" i="16"/>
  <c r="R135" i="16"/>
  <c r="AD135" i="16"/>
  <c r="E135" i="21"/>
  <c r="G135" i="16"/>
  <c r="H135" i="16"/>
  <c r="X135" i="16"/>
  <c r="Y135" i="16"/>
  <c r="Z135" i="16"/>
  <c r="O135" i="16"/>
  <c r="L136" i="16"/>
  <c r="M136" i="16"/>
  <c r="R136" i="16"/>
  <c r="AD136" i="16"/>
  <c r="E136" i="21"/>
  <c r="G136" i="16"/>
  <c r="H136" i="16"/>
  <c r="X136" i="16"/>
  <c r="Y136" i="16"/>
  <c r="Z136" i="16"/>
  <c r="O136" i="16"/>
  <c r="L137" i="16"/>
  <c r="M137" i="16"/>
  <c r="R137" i="16"/>
  <c r="AD137" i="16"/>
  <c r="E137" i="21"/>
  <c r="G137" i="16"/>
  <c r="H137" i="16"/>
  <c r="X137" i="16"/>
  <c r="Y137" i="16"/>
  <c r="Z137" i="16"/>
  <c r="O137" i="16"/>
  <c r="L138" i="16"/>
  <c r="M138" i="16"/>
  <c r="R138" i="16"/>
  <c r="AD138" i="16"/>
  <c r="E138" i="21"/>
  <c r="G138" i="16"/>
  <c r="H138" i="16"/>
  <c r="X138" i="16"/>
  <c r="Y138" i="16"/>
  <c r="Z138" i="16"/>
  <c r="O138" i="16"/>
  <c r="L139" i="16"/>
  <c r="M139" i="16"/>
  <c r="R139" i="16"/>
  <c r="AD139" i="16"/>
  <c r="E139" i="21"/>
  <c r="G139" i="16"/>
  <c r="H139" i="16"/>
  <c r="X139" i="16"/>
  <c r="Y139" i="16"/>
  <c r="Z139" i="16"/>
  <c r="O139" i="16"/>
  <c r="L140" i="16"/>
  <c r="M140" i="16"/>
  <c r="R140" i="16"/>
  <c r="AD140" i="16"/>
  <c r="E140" i="21"/>
  <c r="G140" i="16"/>
  <c r="H140" i="16"/>
  <c r="X140" i="16"/>
  <c r="Y140" i="16"/>
  <c r="Z140" i="16"/>
  <c r="O140" i="16"/>
  <c r="L141" i="16"/>
  <c r="M141" i="16"/>
  <c r="R141" i="16"/>
  <c r="AD141" i="16"/>
  <c r="E141" i="21"/>
  <c r="G141" i="16"/>
  <c r="H141" i="16"/>
  <c r="X141" i="16"/>
  <c r="Y141" i="16"/>
  <c r="Z141" i="16"/>
  <c r="O141" i="16"/>
  <c r="L142" i="16"/>
  <c r="M142" i="16"/>
  <c r="R142" i="16"/>
  <c r="AD142" i="16"/>
  <c r="E142" i="21"/>
  <c r="G142" i="16"/>
  <c r="H142" i="16"/>
  <c r="X142" i="16"/>
  <c r="Y142" i="16"/>
  <c r="Z142" i="16"/>
  <c r="O142" i="16"/>
  <c r="L143" i="16"/>
  <c r="M143" i="16"/>
  <c r="R143" i="16"/>
  <c r="AD143" i="16"/>
  <c r="E143" i="21"/>
  <c r="G143" i="16"/>
  <c r="H143" i="16"/>
  <c r="X143" i="16"/>
  <c r="Y143" i="16"/>
  <c r="Z143" i="16"/>
  <c r="O143" i="16"/>
  <c r="L144" i="16"/>
  <c r="M144" i="16"/>
  <c r="R144" i="16"/>
  <c r="AD144" i="16"/>
  <c r="E144" i="21"/>
  <c r="G144" i="16"/>
  <c r="H144" i="16"/>
  <c r="X144" i="16"/>
  <c r="Y144" i="16"/>
  <c r="Z144" i="16"/>
  <c r="O144" i="16"/>
  <c r="L145" i="16"/>
  <c r="M145" i="16"/>
  <c r="R145" i="16"/>
  <c r="AD145" i="16"/>
  <c r="E145" i="21"/>
  <c r="G145" i="16"/>
  <c r="H145" i="16"/>
  <c r="X145" i="16"/>
  <c r="Y145" i="16"/>
  <c r="Z145" i="16"/>
  <c r="O145" i="16"/>
  <c r="L146" i="16"/>
  <c r="M146" i="16"/>
  <c r="R146" i="16"/>
  <c r="AD146" i="16"/>
  <c r="E146" i="21"/>
  <c r="G146" i="16"/>
  <c r="H146" i="16"/>
  <c r="X146" i="16"/>
  <c r="Y146" i="16"/>
  <c r="Z146" i="16"/>
  <c r="O146" i="16"/>
  <c r="L147" i="16"/>
  <c r="M147" i="16"/>
  <c r="R147" i="16"/>
  <c r="AD147" i="16"/>
  <c r="E147" i="21"/>
  <c r="G147" i="16"/>
  <c r="H147" i="16"/>
  <c r="X147" i="16"/>
  <c r="Y147" i="16"/>
  <c r="Z147" i="16"/>
  <c r="O147" i="16"/>
  <c r="L148" i="16"/>
  <c r="M148" i="16"/>
  <c r="R148" i="16"/>
  <c r="AD148" i="16"/>
  <c r="E148" i="21"/>
  <c r="G148" i="16"/>
  <c r="H148" i="16"/>
  <c r="X148" i="16"/>
  <c r="Y148" i="16"/>
  <c r="Z148" i="16"/>
  <c r="O148" i="16"/>
  <c r="L149" i="16"/>
  <c r="M149" i="16"/>
  <c r="R149" i="16"/>
  <c r="AD149" i="16"/>
  <c r="E149" i="21"/>
  <c r="G149" i="16"/>
  <c r="H149" i="16"/>
  <c r="X149" i="16"/>
  <c r="Y149" i="16"/>
  <c r="Z149" i="16"/>
  <c r="O149" i="16"/>
  <c r="L150" i="16"/>
  <c r="M150" i="16"/>
  <c r="R150" i="16"/>
  <c r="AD150" i="16"/>
  <c r="E150" i="21"/>
  <c r="G150" i="16"/>
  <c r="H150" i="16"/>
  <c r="X150" i="16"/>
  <c r="Y150" i="16"/>
  <c r="Z150" i="16"/>
  <c r="O150" i="16"/>
  <c r="L151" i="16"/>
  <c r="M151" i="16"/>
  <c r="R151" i="16"/>
  <c r="AD151" i="16"/>
  <c r="E151" i="21"/>
  <c r="G151" i="16"/>
  <c r="H151" i="16"/>
  <c r="X151" i="16"/>
  <c r="Y151" i="16"/>
  <c r="Z151" i="16"/>
  <c r="O151" i="16"/>
  <c r="L152" i="16"/>
  <c r="M152" i="16"/>
  <c r="R152" i="16"/>
  <c r="AD152" i="16"/>
  <c r="E152" i="21"/>
  <c r="G152" i="16"/>
  <c r="H152" i="16"/>
  <c r="X152" i="16"/>
  <c r="Y152" i="16"/>
  <c r="Z152" i="16"/>
  <c r="O152" i="16"/>
  <c r="L153" i="16"/>
  <c r="M153" i="16"/>
  <c r="R153" i="16"/>
  <c r="AD153" i="16"/>
  <c r="E153" i="21"/>
  <c r="G153" i="16"/>
  <c r="H153" i="16"/>
  <c r="X153" i="16"/>
  <c r="Y153" i="16"/>
  <c r="Z153" i="16"/>
  <c r="O153" i="16"/>
  <c r="L154" i="16"/>
  <c r="M154" i="16"/>
  <c r="R154" i="16"/>
  <c r="AD154" i="16"/>
  <c r="E154" i="21"/>
  <c r="G154" i="16"/>
  <c r="H154" i="16"/>
  <c r="X154" i="16"/>
  <c r="Y154" i="16"/>
  <c r="Z154" i="16"/>
  <c r="O154" i="16"/>
  <c r="L155" i="16"/>
  <c r="M155" i="16"/>
  <c r="R155" i="16"/>
  <c r="AD155" i="16"/>
  <c r="E155" i="21"/>
  <c r="G155" i="16"/>
  <c r="H155" i="16"/>
  <c r="X155" i="16"/>
  <c r="Y155" i="16"/>
  <c r="Z155" i="16"/>
  <c r="O155" i="16"/>
  <c r="L156" i="16"/>
  <c r="M156" i="16"/>
  <c r="R156" i="16"/>
  <c r="AD156" i="16"/>
  <c r="E156" i="21"/>
  <c r="G156" i="16"/>
  <c r="H156" i="16"/>
  <c r="X156" i="16"/>
  <c r="Y156" i="16"/>
  <c r="Z156" i="16"/>
  <c r="O156" i="16"/>
  <c r="L157" i="16"/>
  <c r="M157" i="16"/>
  <c r="R157" i="16"/>
  <c r="AD157" i="16"/>
  <c r="E157" i="21"/>
  <c r="G157" i="16"/>
  <c r="H157" i="16"/>
  <c r="X157" i="16"/>
  <c r="Y157" i="16"/>
  <c r="Z157" i="16"/>
  <c r="O157" i="16"/>
  <c r="L158" i="16"/>
  <c r="M158" i="16"/>
  <c r="R158" i="16"/>
  <c r="AD158" i="16"/>
  <c r="E158" i="21"/>
  <c r="G158" i="16"/>
  <c r="H158" i="16"/>
  <c r="X158" i="16"/>
  <c r="Y158" i="16"/>
  <c r="Z158" i="16"/>
  <c r="O158" i="16"/>
  <c r="L159" i="16"/>
  <c r="M159" i="16"/>
  <c r="R159" i="16"/>
  <c r="AD159" i="16"/>
  <c r="E159" i="21"/>
  <c r="G159" i="16"/>
  <c r="H159" i="16"/>
  <c r="X159" i="16"/>
  <c r="Y159" i="16"/>
  <c r="Z159" i="16"/>
  <c r="O159" i="16"/>
  <c r="L160" i="16"/>
  <c r="M160" i="16"/>
  <c r="R160" i="16"/>
  <c r="AD160" i="16"/>
  <c r="E160" i="21"/>
  <c r="G160" i="16"/>
  <c r="H160" i="16"/>
  <c r="X160" i="16"/>
  <c r="Y160" i="16"/>
  <c r="Z160" i="16"/>
  <c r="O160" i="16"/>
  <c r="L161" i="16"/>
  <c r="M161" i="16"/>
  <c r="R161" i="16"/>
  <c r="AD161" i="16"/>
  <c r="E161" i="21"/>
  <c r="G161" i="16"/>
  <c r="H161" i="16"/>
  <c r="X161" i="16"/>
  <c r="Y161" i="16"/>
  <c r="Z161" i="16"/>
  <c r="O161" i="16"/>
  <c r="L162" i="16"/>
  <c r="M162" i="16"/>
  <c r="R162" i="16"/>
  <c r="AD162" i="16"/>
  <c r="E162" i="21"/>
  <c r="G162" i="16"/>
  <c r="H162" i="16"/>
  <c r="X162" i="16"/>
  <c r="Y162" i="16"/>
  <c r="Z162" i="16"/>
  <c r="O162" i="16"/>
  <c r="L163" i="16"/>
  <c r="M163" i="16"/>
  <c r="R163" i="16"/>
  <c r="AD163" i="16"/>
  <c r="E163" i="21"/>
  <c r="G163" i="16"/>
  <c r="H163" i="16"/>
  <c r="X163" i="16"/>
  <c r="Y163" i="16"/>
  <c r="Z163" i="16"/>
  <c r="O163" i="16"/>
  <c r="L164" i="16"/>
  <c r="M164" i="16"/>
  <c r="R164" i="16"/>
  <c r="AD164" i="16"/>
  <c r="E164" i="21"/>
  <c r="G164" i="16"/>
  <c r="H164" i="16"/>
  <c r="X164" i="16"/>
  <c r="Y164" i="16"/>
  <c r="Z164" i="16"/>
  <c r="O164" i="16"/>
  <c r="L165" i="16"/>
  <c r="M165" i="16"/>
  <c r="R165" i="16"/>
  <c r="AD165" i="16"/>
  <c r="E165" i="21"/>
  <c r="G165" i="16"/>
  <c r="H165" i="16"/>
  <c r="X165" i="16"/>
  <c r="Y165" i="16"/>
  <c r="Z165" i="16"/>
  <c r="O165" i="16"/>
  <c r="L166" i="16"/>
  <c r="M166" i="16"/>
  <c r="R166" i="16"/>
  <c r="AD166" i="16"/>
  <c r="E166" i="21"/>
  <c r="G166" i="16"/>
  <c r="H166" i="16"/>
  <c r="X166" i="16"/>
  <c r="Y166" i="16"/>
  <c r="Z166" i="16"/>
  <c r="O166" i="16"/>
  <c r="L167" i="16"/>
  <c r="M167" i="16"/>
  <c r="R167" i="16"/>
  <c r="AD167" i="16"/>
  <c r="E167" i="21"/>
  <c r="G167" i="16"/>
  <c r="H167" i="16"/>
  <c r="X167" i="16"/>
  <c r="Y167" i="16"/>
  <c r="Z167" i="16"/>
  <c r="O167" i="16"/>
  <c r="L168" i="16"/>
  <c r="M168" i="16"/>
  <c r="R168" i="16"/>
  <c r="AD168" i="16"/>
  <c r="E168" i="21"/>
  <c r="G168" i="16"/>
  <c r="H168" i="16"/>
  <c r="X168" i="16"/>
  <c r="Y168" i="16"/>
  <c r="Z168" i="16"/>
  <c r="O168" i="16"/>
  <c r="L169" i="16"/>
  <c r="M169" i="16"/>
  <c r="R169" i="16"/>
  <c r="AD169" i="16"/>
  <c r="E169" i="21"/>
  <c r="G169" i="16"/>
  <c r="H169" i="16"/>
  <c r="X169" i="16"/>
  <c r="Y169" i="16"/>
  <c r="Z169" i="16"/>
  <c r="O169" i="16"/>
  <c r="L170" i="16"/>
  <c r="M170" i="16"/>
  <c r="R170" i="16"/>
  <c r="AD170" i="16"/>
  <c r="E170" i="21"/>
  <c r="G170" i="16"/>
  <c r="H170" i="16"/>
  <c r="X170" i="16"/>
  <c r="Y170" i="16"/>
  <c r="Z170" i="16"/>
  <c r="O170" i="16"/>
  <c r="L171" i="16"/>
  <c r="M171" i="16"/>
  <c r="R171" i="16"/>
  <c r="AD171" i="16"/>
  <c r="E171" i="21"/>
  <c r="G171" i="16"/>
  <c r="H171" i="16"/>
  <c r="X171" i="16"/>
  <c r="Y171" i="16"/>
  <c r="Z171" i="16"/>
  <c r="O171" i="16"/>
  <c r="L172" i="16"/>
  <c r="M172" i="16"/>
  <c r="R172" i="16"/>
  <c r="AD172" i="16"/>
  <c r="E172" i="21"/>
  <c r="G172" i="16"/>
  <c r="H172" i="16"/>
  <c r="X172" i="16"/>
  <c r="Y172" i="16"/>
  <c r="Z172" i="16"/>
  <c r="O172" i="16"/>
  <c r="L173" i="16"/>
  <c r="M173" i="16"/>
  <c r="R173" i="16"/>
  <c r="AD173" i="16"/>
  <c r="E173" i="21"/>
  <c r="G173" i="16"/>
  <c r="H173" i="16"/>
  <c r="X173" i="16"/>
  <c r="Y173" i="16"/>
  <c r="Z173" i="16"/>
  <c r="O173" i="16"/>
  <c r="L174" i="16"/>
  <c r="M174" i="16"/>
  <c r="R174" i="16"/>
  <c r="AD174" i="16"/>
  <c r="E174" i="21"/>
  <c r="G174" i="16"/>
  <c r="H174" i="16"/>
  <c r="X174" i="16"/>
  <c r="Y174" i="16"/>
  <c r="Z174" i="16"/>
  <c r="O174" i="16"/>
  <c r="L175" i="16"/>
  <c r="M175" i="16"/>
  <c r="R175" i="16"/>
  <c r="AD175" i="16"/>
  <c r="E175" i="21"/>
  <c r="G175" i="16"/>
  <c r="H175" i="16"/>
  <c r="X175" i="16"/>
  <c r="Y175" i="16"/>
  <c r="Z175" i="16"/>
  <c r="O175" i="16"/>
  <c r="L176" i="16"/>
  <c r="M176" i="16"/>
  <c r="R176" i="16"/>
  <c r="AD176" i="16"/>
  <c r="E176" i="21"/>
  <c r="G176" i="16"/>
  <c r="H176" i="16"/>
  <c r="X176" i="16"/>
  <c r="Y176" i="16"/>
  <c r="Z176" i="16"/>
  <c r="O176" i="16"/>
  <c r="L177" i="16"/>
  <c r="M177" i="16"/>
  <c r="R177" i="16"/>
  <c r="AD177" i="16"/>
  <c r="E177" i="21"/>
  <c r="G177" i="16"/>
  <c r="H177" i="16"/>
  <c r="X177" i="16"/>
  <c r="Y177" i="16"/>
  <c r="Z177" i="16"/>
  <c r="O177" i="16"/>
  <c r="L178" i="16"/>
  <c r="M178" i="16"/>
  <c r="R178" i="16"/>
  <c r="AD178" i="16"/>
  <c r="E178" i="21"/>
  <c r="G178" i="16"/>
  <c r="H178" i="16"/>
  <c r="X178" i="16"/>
  <c r="Y178" i="16"/>
  <c r="Z178" i="16"/>
  <c r="O178" i="16"/>
  <c r="L179" i="16"/>
  <c r="M179" i="16"/>
  <c r="R179" i="16"/>
  <c r="AD179" i="16"/>
  <c r="E179" i="21"/>
  <c r="G179" i="16"/>
  <c r="H179" i="16"/>
  <c r="X179" i="16"/>
  <c r="Y179" i="16"/>
  <c r="Z179" i="16"/>
  <c r="O179" i="16"/>
  <c r="L180" i="16"/>
  <c r="M180" i="16"/>
  <c r="R180" i="16"/>
  <c r="AD180" i="16"/>
  <c r="E180" i="21"/>
  <c r="G180" i="16"/>
  <c r="H180" i="16"/>
  <c r="X180" i="16"/>
  <c r="Y180" i="16"/>
  <c r="Z180" i="16"/>
  <c r="O180" i="16"/>
  <c r="L181" i="16"/>
  <c r="M181" i="16"/>
  <c r="R181" i="16"/>
  <c r="AD181" i="16"/>
  <c r="E181" i="21"/>
  <c r="G181" i="16"/>
  <c r="H181" i="16"/>
  <c r="X181" i="16"/>
  <c r="Y181" i="16"/>
  <c r="Z181" i="16"/>
  <c r="O181" i="16"/>
  <c r="L182" i="16"/>
  <c r="M182" i="16"/>
  <c r="R182" i="16"/>
  <c r="AD182" i="16"/>
  <c r="E182" i="21"/>
  <c r="G182" i="16"/>
  <c r="H182" i="16"/>
  <c r="X182" i="16"/>
  <c r="Y182" i="16"/>
  <c r="Z182" i="16"/>
  <c r="O182" i="16"/>
  <c r="L183" i="16"/>
  <c r="M183" i="16"/>
  <c r="R183" i="16"/>
  <c r="AD183" i="16"/>
  <c r="E183" i="21"/>
  <c r="G183" i="16"/>
  <c r="H183" i="16"/>
  <c r="X183" i="16"/>
  <c r="Y183" i="16"/>
  <c r="Z183" i="16"/>
  <c r="O183" i="16"/>
  <c r="L184" i="16"/>
  <c r="M184" i="16"/>
  <c r="R184" i="16"/>
  <c r="AD184" i="16"/>
  <c r="E184" i="21"/>
  <c r="G184" i="16"/>
  <c r="H184" i="16"/>
  <c r="X184" i="16"/>
  <c r="Y184" i="16"/>
  <c r="Z184" i="16"/>
  <c r="O184" i="16"/>
  <c r="L185" i="16"/>
  <c r="M185" i="16"/>
  <c r="R185" i="16"/>
  <c r="AD185" i="16"/>
  <c r="E185" i="21"/>
  <c r="G185" i="16"/>
  <c r="H185" i="16"/>
  <c r="X185" i="16"/>
  <c r="Y185" i="16"/>
  <c r="Z185" i="16"/>
  <c r="O185" i="16"/>
  <c r="L186" i="16"/>
  <c r="M186" i="16"/>
  <c r="R186" i="16"/>
  <c r="AD186" i="16"/>
  <c r="E186" i="21"/>
  <c r="G186" i="16"/>
  <c r="H186" i="16"/>
  <c r="X186" i="16"/>
  <c r="Y186" i="16"/>
  <c r="Z186" i="16"/>
  <c r="O186" i="16"/>
  <c r="L187" i="16"/>
  <c r="M187" i="16"/>
  <c r="R187" i="16"/>
  <c r="AD187" i="16"/>
  <c r="E187" i="21"/>
  <c r="G187" i="16"/>
  <c r="H187" i="16"/>
  <c r="X187" i="16"/>
  <c r="Y187" i="16"/>
  <c r="Z187" i="16"/>
  <c r="O187" i="16"/>
  <c r="L2" i="16"/>
  <c r="M3" i="16"/>
  <c r="O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V80" i="16"/>
  <c r="V81" i="16"/>
  <c r="Q81" i="16"/>
  <c r="AC81" i="16"/>
  <c r="N81" i="16"/>
  <c r="V82" i="16"/>
  <c r="Q82" i="16"/>
  <c r="AC82" i="16"/>
  <c r="N82" i="16"/>
  <c r="V83" i="16"/>
  <c r="Q83" i="16"/>
  <c r="AC83" i="16"/>
  <c r="N83" i="16"/>
  <c r="V84" i="16"/>
  <c r="Q84" i="16"/>
  <c r="AC84" i="16"/>
  <c r="N84" i="16"/>
  <c r="V85" i="16"/>
  <c r="Q85" i="16"/>
  <c r="AC85" i="16"/>
  <c r="N85" i="16"/>
  <c r="V86" i="16"/>
  <c r="Q86" i="16"/>
  <c r="AC86" i="16"/>
  <c r="N86" i="16"/>
  <c r="V87" i="16"/>
  <c r="Q87" i="16"/>
  <c r="AC87" i="16"/>
  <c r="N87" i="16"/>
  <c r="V88" i="16"/>
  <c r="Q88" i="16"/>
  <c r="AC88" i="16"/>
  <c r="N88" i="16"/>
  <c r="V89" i="16"/>
  <c r="Q89" i="16"/>
  <c r="AC89" i="16"/>
  <c r="N89" i="16"/>
  <c r="V90" i="16"/>
  <c r="Q90" i="16"/>
  <c r="AC90" i="16"/>
  <c r="N90" i="16"/>
  <c r="V91" i="16"/>
  <c r="Q91" i="16"/>
  <c r="AC91" i="16"/>
  <c r="N91" i="16"/>
  <c r="V92" i="16"/>
  <c r="Q92" i="16"/>
  <c r="AC92" i="16"/>
  <c r="N92" i="16"/>
  <c r="V93" i="16"/>
  <c r="Q93" i="16"/>
  <c r="AC93" i="16"/>
  <c r="N93" i="16"/>
  <c r="V94" i="16"/>
  <c r="Q94" i="16"/>
  <c r="AC94" i="16"/>
  <c r="N94" i="16"/>
  <c r="V95" i="16"/>
  <c r="Q95" i="16"/>
  <c r="AC95" i="16"/>
  <c r="N95" i="16"/>
  <c r="V96" i="16"/>
  <c r="Q96" i="16"/>
  <c r="AC96" i="16"/>
  <c r="N96" i="16"/>
  <c r="V97" i="16"/>
  <c r="Q97" i="16"/>
  <c r="AC97" i="16"/>
  <c r="N97" i="16"/>
  <c r="V98" i="16"/>
  <c r="Q98" i="16"/>
  <c r="AC98" i="16"/>
  <c r="N98" i="16"/>
  <c r="V99" i="16"/>
  <c r="Q99" i="16"/>
  <c r="AC99" i="16"/>
  <c r="N99" i="16"/>
  <c r="V100" i="16"/>
  <c r="Q100" i="16"/>
  <c r="AC100" i="16"/>
  <c r="N100" i="16"/>
  <c r="V101" i="16"/>
  <c r="Q101" i="16"/>
  <c r="AC101" i="16"/>
  <c r="N101" i="16"/>
  <c r="V102" i="16"/>
  <c r="Q102" i="16"/>
  <c r="AC102" i="16"/>
  <c r="N102" i="16"/>
  <c r="V103" i="16"/>
  <c r="Q103" i="16"/>
  <c r="AC103" i="16"/>
  <c r="N103" i="16"/>
  <c r="V104" i="16"/>
  <c r="Q104" i="16"/>
  <c r="AC104" i="16"/>
  <c r="N104" i="16"/>
  <c r="V105" i="16"/>
  <c r="Q105" i="16"/>
  <c r="AC105" i="16"/>
  <c r="N105" i="16"/>
  <c r="V106" i="16"/>
  <c r="Q106" i="16"/>
  <c r="AC106" i="16"/>
  <c r="N106" i="16"/>
  <c r="V107" i="16"/>
  <c r="Q107" i="16"/>
  <c r="AC107" i="16"/>
  <c r="N107" i="16"/>
  <c r="V108" i="16"/>
  <c r="Q108" i="16"/>
  <c r="AC108" i="16"/>
  <c r="N108" i="16"/>
  <c r="V109" i="16"/>
  <c r="Q109" i="16"/>
  <c r="AC109" i="16"/>
  <c r="N109" i="16"/>
  <c r="V110" i="16"/>
  <c r="Q110" i="16"/>
  <c r="AC110" i="16"/>
  <c r="N110" i="16"/>
  <c r="V111" i="16"/>
  <c r="Q111" i="16"/>
  <c r="AC111" i="16"/>
  <c r="N111" i="16"/>
  <c r="V112" i="16"/>
  <c r="Q112" i="16"/>
  <c r="AC112" i="16"/>
  <c r="N112" i="16"/>
  <c r="V113" i="16"/>
  <c r="Q113" i="16"/>
  <c r="AC113" i="16"/>
  <c r="N113" i="16"/>
  <c r="V114" i="16"/>
  <c r="Q114" i="16"/>
  <c r="AC114" i="16"/>
  <c r="N114" i="16"/>
  <c r="V115" i="16"/>
  <c r="Q115" i="16"/>
  <c r="AC115" i="16"/>
  <c r="N115" i="16"/>
  <c r="V116" i="16"/>
  <c r="Q116" i="16"/>
  <c r="AC116" i="16"/>
  <c r="N116" i="16"/>
  <c r="V117" i="16"/>
  <c r="Q117" i="16"/>
  <c r="AC117" i="16"/>
  <c r="N117" i="16"/>
  <c r="V118" i="16"/>
  <c r="Q118" i="16"/>
  <c r="AC118" i="16"/>
  <c r="N118" i="16"/>
  <c r="V119" i="16"/>
  <c r="Q119" i="16"/>
  <c r="AC119" i="16"/>
  <c r="N119" i="16"/>
  <c r="V120" i="16"/>
  <c r="Q120" i="16"/>
  <c r="AC120" i="16"/>
  <c r="N120" i="16"/>
  <c r="V121" i="16"/>
  <c r="Q121" i="16"/>
  <c r="AC121" i="16"/>
  <c r="N121" i="16"/>
  <c r="V122" i="16"/>
  <c r="Q122" i="16"/>
  <c r="AC122" i="16"/>
  <c r="N122" i="16"/>
  <c r="V123" i="16"/>
  <c r="Q123" i="16"/>
  <c r="AC123" i="16"/>
  <c r="N123" i="16"/>
  <c r="V124" i="16"/>
  <c r="Q124" i="16"/>
  <c r="AC124" i="16"/>
  <c r="N124" i="16"/>
  <c r="V125" i="16"/>
  <c r="Q125" i="16"/>
  <c r="AC125" i="16"/>
  <c r="N125" i="16"/>
  <c r="V126" i="16"/>
  <c r="Q126" i="16"/>
  <c r="AC126" i="16"/>
  <c r="N126" i="16"/>
  <c r="V127" i="16"/>
  <c r="Q127" i="16"/>
  <c r="AC127" i="16"/>
  <c r="N127" i="16"/>
  <c r="V128" i="16"/>
  <c r="Q128" i="16"/>
  <c r="AC128" i="16"/>
  <c r="N128" i="16"/>
  <c r="V129" i="16"/>
  <c r="Q129" i="16"/>
  <c r="AC129" i="16"/>
  <c r="N129" i="16"/>
  <c r="V130" i="16"/>
  <c r="Q130" i="16"/>
  <c r="AC130" i="16"/>
  <c r="N130" i="16"/>
  <c r="V131" i="16"/>
  <c r="Q131" i="16"/>
  <c r="AC131" i="16"/>
  <c r="N131" i="16"/>
  <c r="V132" i="16"/>
  <c r="Q132" i="16"/>
  <c r="AC132" i="16"/>
  <c r="N132" i="16"/>
  <c r="V133" i="16"/>
  <c r="Q133" i="16"/>
  <c r="AC133" i="16"/>
  <c r="N133" i="16"/>
  <c r="V134" i="16"/>
  <c r="Q134" i="16"/>
  <c r="AC134" i="16"/>
  <c r="N134" i="16"/>
  <c r="V135" i="16"/>
  <c r="Q135" i="16"/>
  <c r="AC135" i="16"/>
  <c r="N135" i="16"/>
  <c r="V136" i="16"/>
  <c r="Q136" i="16"/>
  <c r="AC136" i="16"/>
  <c r="N136" i="16"/>
  <c r="V137" i="16"/>
  <c r="Q137" i="16"/>
  <c r="AC137" i="16"/>
  <c r="N137" i="16"/>
  <c r="V138" i="16"/>
  <c r="Q138" i="16"/>
  <c r="AC138" i="16"/>
  <c r="N138" i="16"/>
  <c r="V139" i="16"/>
  <c r="Q139" i="16"/>
  <c r="AC139" i="16"/>
  <c r="N139" i="16"/>
  <c r="V140" i="16"/>
  <c r="Q140" i="16"/>
  <c r="AC140" i="16"/>
  <c r="N140" i="16"/>
  <c r="V141" i="16"/>
  <c r="Q141" i="16"/>
  <c r="AC141" i="16"/>
  <c r="N141" i="16"/>
  <c r="V142" i="16"/>
  <c r="Q142" i="16"/>
  <c r="AC142" i="16"/>
  <c r="N142" i="16"/>
  <c r="V143" i="16"/>
  <c r="Q143" i="16"/>
  <c r="AC143" i="16"/>
  <c r="N143" i="16"/>
  <c r="V144" i="16"/>
  <c r="Q144" i="16"/>
  <c r="AC144" i="16"/>
  <c r="N144" i="16"/>
  <c r="V145" i="16"/>
  <c r="Q145" i="16"/>
  <c r="AC145" i="16"/>
  <c r="N145" i="16"/>
  <c r="V146" i="16"/>
  <c r="Q146" i="16"/>
  <c r="AC146" i="16"/>
  <c r="N146" i="16"/>
  <c r="V147" i="16"/>
  <c r="Q147" i="16"/>
  <c r="AC147" i="16"/>
  <c r="N147" i="16"/>
  <c r="V148" i="16"/>
  <c r="Q148" i="16"/>
  <c r="AC148" i="16"/>
  <c r="N148" i="16"/>
  <c r="V149" i="16"/>
  <c r="Q149" i="16"/>
  <c r="AC149" i="16"/>
  <c r="N149" i="16"/>
  <c r="V150" i="16"/>
  <c r="Q150" i="16"/>
  <c r="AC150" i="16"/>
  <c r="N150" i="16"/>
  <c r="V151" i="16"/>
  <c r="Q151" i="16"/>
  <c r="AC151" i="16"/>
  <c r="N151" i="16"/>
  <c r="V152" i="16"/>
  <c r="Q152" i="16"/>
  <c r="AC152" i="16"/>
  <c r="N152" i="16"/>
  <c r="V153" i="16"/>
  <c r="Q153" i="16"/>
  <c r="AC153" i="16"/>
  <c r="N153" i="16"/>
  <c r="V154" i="16"/>
  <c r="Q154" i="16"/>
  <c r="AC154" i="16"/>
  <c r="N154" i="16"/>
  <c r="V155" i="16"/>
  <c r="Q155" i="16"/>
  <c r="AC155" i="16"/>
  <c r="N155" i="16"/>
  <c r="V156" i="16"/>
  <c r="Q156" i="16"/>
  <c r="AC156" i="16"/>
  <c r="N156" i="16"/>
  <c r="V157" i="16"/>
  <c r="Q157" i="16"/>
  <c r="AC157" i="16"/>
  <c r="N157" i="16"/>
  <c r="V158" i="16"/>
  <c r="Q158" i="16"/>
  <c r="AC158" i="16"/>
  <c r="N158" i="16"/>
  <c r="V159" i="16"/>
  <c r="Q159" i="16"/>
  <c r="AC159" i="16"/>
  <c r="N159" i="16"/>
  <c r="V160" i="16"/>
  <c r="Q160" i="16"/>
  <c r="AC160" i="16"/>
  <c r="N160" i="16"/>
  <c r="V161" i="16"/>
  <c r="Q161" i="16"/>
  <c r="AC161" i="16"/>
  <c r="N161" i="16"/>
  <c r="V162" i="16"/>
  <c r="Q162" i="16"/>
  <c r="AC162" i="16"/>
  <c r="N162" i="16"/>
  <c r="V163" i="16"/>
  <c r="Q163" i="16"/>
  <c r="AC163" i="16"/>
  <c r="N163" i="16"/>
  <c r="V164" i="16"/>
  <c r="Q164" i="16"/>
  <c r="AC164" i="16"/>
  <c r="N164" i="16"/>
  <c r="V165" i="16"/>
  <c r="Q165" i="16"/>
  <c r="AC165" i="16"/>
  <c r="N165" i="16"/>
  <c r="V166" i="16"/>
  <c r="Q166" i="16"/>
  <c r="AC166" i="16"/>
  <c r="N166" i="16"/>
  <c r="V167" i="16"/>
  <c r="Q167" i="16"/>
  <c r="AC167" i="16"/>
  <c r="N167" i="16"/>
  <c r="V168" i="16"/>
  <c r="Q168" i="16"/>
  <c r="AC168" i="16"/>
  <c r="N168" i="16"/>
  <c r="V169" i="16"/>
  <c r="Q169" i="16"/>
  <c r="AC169" i="16"/>
  <c r="N169" i="16"/>
  <c r="V170" i="16"/>
  <c r="Q170" i="16"/>
  <c r="AC170" i="16"/>
  <c r="N170" i="16"/>
  <c r="V171" i="16"/>
  <c r="Q171" i="16"/>
  <c r="AC171" i="16"/>
  <c r="N171" i="16"/>
  <c r="V172" i="16"/>
  <c r="Q172" i="16"/>
  <c r="AC172" i="16"/>
  <c r="N172" i="16"/>
  <c r="V173" i="16"/>
  <c r="Q173" i="16"/>
  <c r="AC173" i="16"/>
  <c r="N173" i="16"/>
  <c r="V174" i="16"/>
  <c r="Q174" i="16"/>
  <c r="AC174" i="16"/>
  <c r="N174" i="16"/>
  <c r="V175" i="16"/>
  <c r="Q175" i="16"/>
  <c r="AC175" i="16"/>
  <c r="N175" i="16"/>
  <c r="V176" i="16"/>
  <c r="Q176" i="16"/>
  <c r="AC176" i="16"/>
  <c r="N176" i="16"/>
  <c r="V177" i="16"/>
  <c r="Q177" i="16"/>
  <c r="AC177" i="16"/>
  <c r="N177" i="16"/>
  <c r="V178" i="16"/>
  <c r="Q178" i="16"/>
  <c r="AC178" i="16"/>
  <c r="N178" i="16"/>
  <c r="V179" i="16"/>
  <c r="Q179" i="16"/>
  <c r="AC179" i="16"/>
  <c r="N179" i="16"/>
  <c r="V180" i="16"/>
  <c r="Q180" i="16"/>
  <c r="AC180" i="16"/>
  <c r="N180" i="16"/>
  <c r="V181" i="16"/>
  <c r="Q181" i="16"/>
  <c r="AC181" i="16"/>
  <c r="N181" i="16"/>
  <c r="V182" i="16"/>
  <c r="Q182" i="16"/>
  <c r="AC182" i="16"/>
  <c r="N182" i="16"/>
  <c r="V183" i="16"/>
  <c r="Q183" i="16"/>
  <c r="AC183" i="16"/>
  <c r="N183" i="16"/>
  <c r="V184" i="16"/>
  <c r="Q184" i="16"/>
  <c r="AC184" i="16"/>
  <c r="N184" i="16"/>
  <c r="V185" i="16"/>
  <c r="Q185" i="16"/>
  <c r="AC185" i="16"/>
  <c r="N185" i="16"/>
  <c r="V186" i="16"/>
  <c r="Q186" i="16"/>
  <c r="AC186" i="16"/>
  <c r="N186" i="16"/>
  <c r="V187" i="16"/>
  <c r="Q187" i="16"/>
  <c r="AC187" i="16"/>
  <c r="N187" i="16"/>
  <c r="N3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U81" i="16"/>
  <c r="AE81" i="16"/>
  <c r="P81" i="16"/>
  <c r="U82" i="16"/>
  <c r="AE82" i="16"/>
  <c r="P82" i="16"/>
  <c r="U83" i="16"/>
  <c r="AE83" i="16"/>
  <c r="P83" i="16"/>
  <c r="U84" i="16"/>
  <c r="AE84" i="16"/>
  <c r="P84" i="16"/>
  <c r="U85" i="16"/>
  <c r="AE85" i="16"/>
  <c r="P85" i="16"/>
  <c r="U86" i="16"/>
  <c r="AE86" i="16"/>
  <c r="P86" i="16"/>
  <c r="U87" i="16"/>
  <c r="AE87" i="16"/>
  <c r="P87" i="16"/>
  <c r="U88" i="16"/>
  <c r="AE88" i="16"/>
  <c r="P88" i="16"/>
  <c r="U89" i="16"/>
  <c r="AE89" i="16"/>
  <c r="P89" i="16"/>
  <c r="U90" i="16"/>
  <c r="AE90" i="16"/>
  <c r="P90" i="16"/>
  <c r="U91" i="16"/>
  <c r="AE91" i="16"/>
  <c r="P91" i="16"/>
  <c r="U92" i="16"/>
  <c r="AE92" i="16"/>
  <c r="P92" i="16"/>
  <c r="U93" i="16"/>
  <c r="AE93" i="16"/>
  <c r="P93" i="16"/>
  <c r="U94" i="16"/>
  <c r="AE94" i="16"/>
  <c r="P94" i="16"/>
  <c r="U95" i="16"/>
  <c r="AE95" i="16"/>
  <c r="P95" i="16"/>
  <c r="U96" i="16"/>
  <c r="AE96" i="16"/>
  <c r="P96" i="16"/>
  <c r="U97" i="16"/>
  <c r="AE97" i="16"/>
  <c r="P97" i="16"/>
  <c r="U98" i="16"/>
  <c r="AE98" i="16"/>
  <c r="P98" i="16"/>
  <c r="U99" i="16"/>
  <c r="AE99" i="16"/>
  <c r="P99" i="16"/>
  <c r="U100" i="16"/>
  <c r="AE100" i="16"/>
  <c r="P100" i="16"/>
  <c r="U101" i="16"/>
  <c r="AE101" i="16"/>
  <c r="P101" i="16"/>
  <c r="U102" i="16"/>
  <c r="AE102" i="16"/>
  <c r="P102" i="16"/>
  <c r="U103" i="16"/>
  <c r="AE103" i="16"/>
  <c r="P103" i="16"/>
  <c r="U104" i="16"/>
  <c r="AE104" i="16"/>
  <c r="P104" i="16"/>
  <c r="U105" i="16"/>
  <c r="AE105" i="16"/>
  <c r="P105" i="16"/>
  <c r="U106" i="16"/>
  <c r="AE106" i="16"/>
  <c r="P106" i="16"/>
  <c r="U107" i="16"/>
  <c r="AE107" i="16"/>
  <c r="P107" i="16"/>
  <c r="U108" i="16"/>
  <c r="AE108" i="16"/>
  <c r="P108" i="16"/>
  <c r="U109" i="16"/>
  <c r="AE109" i="16"/>
  <c r="P109" i="16"/>
  <c r="U110" i="16"/>
  <c r="AE110" i="16"/>
  <c r="P110" i="16"/>
  <c r="U111" i="16"/>
  <c r="AE111" i="16"/>
  <c r="P111" i="16"/>
  <c r="U112" i="16"/>
  <c r="AE112" i="16"/>
  <c r="P112" i="16"/>
  <c r="U113" i="16"/>
  <c r="AE113" i="16"/>
  <c r="P113" i="16"/>
  <c r="U114" i="16"/>
  <c r="AE114" i="16"/>
  <c r="P114" i="16"/>
  <c r="U115" i="16"/>
  <c r="AE115" i="16"/>
  <c r="P115" i="16"/>
  <c r="U116" i="16"/>
  <c r="AE116" i="16"/>
  <c r="P116" i="16"/>
  <c r="U117" i="16"/>
  <c r="AE117" i="16"/>
  <c r="P117" i="16"/>
  <c r="U118" i="16"/>
  <c r="AE118" i="16"/>
  <c r="P118" i="16"/>
  <c r="U119" i="16"/>
  <c r="AE119" i="16"/>
  <c r="P119" i="16"/>
  <c r="U120" i="16"/>
  <c r="AE120" i="16"/>
  <c r="P120" i="16"/>
  <c r="U121" i="16"/>
  <c r="AE121" i="16"/>
  <c r="P121" i="16"/>
  <c r="U122" i="16"/>
  <c r="AE122" i="16"/>
  <c r="P122" i="16"/>
  <c r="U123" i="16"/>
  <c r="AE123" i="16"/>
  <c r="P123" i="16"/>
  <c r="U124" i="16"/>
  <c r="AE124" i="16"/>
  <c r="P124" i="16"/>
  <c r="U125" i="16"/>
  <c r="AE125" i="16"/>
  <c r="P125" i="16"/>
  <c r="U126" i="16"/>
  <c r="AE126" i="16"/>
  <c r="P126" i="16"/>
  <c r="U127" i="16"/>
  <c r="AE127" i="16"/>
  <c r="P127" i="16"/>
  <c r="U128" i="16"/>
  <c r="AE128" i="16"/>
  <c r="P128" i="16"/>
  <c r="U129" i="16"/>
  <c r="AE129" i="16"/>
  <c r="P129" i="16"/>
  <c r="U130" i="16"/>
  <c r="AE130" i="16"/>
  <c r="P130" i="16"/>
  <c r="U131" i="16"/>
  <c r="AE131" i="16"/>
  <c r="P131" i="16"/>
  <c r="U132" i="16"/>
  <c r="AE132" i="16"/>
  <c r="P132" i="16"/>
  <c r="U133" i="16"/>
  <c r="AE133" i="16"/>
  <c r="P133" i="16"/>
  <c r="U134" i="16"/>
  <c r="AE134" i="16"/>
  <c r="P134" i="16"/>
  <c r="U135" i="16"/>
  <c r="AE135" i="16"/>
  <c r="P135" i="16"/>
  <c r="U136" i="16"/>
  <c r="AE136" i="16"/>
  <c r="P136" i="16"/>
  <c r="U137" i="16"/>
  <c r="AE137" i="16"/>
  <c r="P137" i="16"/>
  <c r="U138" i="16"/>
  <c r="AE138" i="16"/>
  <c r="P138" i="16"/>
  <c r="U139" i="16"/>
  <c r="AE139" i="16"/>
  <c r="P139" i="16"/>
  <c r="U140" i="16"/>
  <c r="AE140" i="16"/>
  <c r="P140" i="16"/>
  <c r="U141" i="16"/>
  <c r="AE141" i="16"/>
  <c r="P141" i="16"/>
  <c r="U142" i="16"/>
  <c r="AE142" i="16"/>
  <c r="P142" i="16"/>
  <c r="U143" i="16"/>
  <c r="AE143" i="16"/>
  <c r="P143" i="16"/>
  <c r="U144" i="16"/>
  <c r="AE144" i="16"/>
  <c r="P144" i="16"/>
  <c r="U145" i="16"/>
  <c r="AE145" i="16"/>
  <c r="P145" i="16"/>
  <c r="U146" i="16"/>
  <c r="AE146" i="16"/>
  <c r="P146" i="16"/>
  <c r="U147" i="16"/>
  <c r="AE147" i="16"/>
  <c r="P147" i="16"/>
  <c r="U148" i="16"/>
  <c r="AE148" i="16"/>
  <c r="P148" i="16"/>
  <c r="U149" i="16"/>
  <c r="AE149" i="16"/>
  <c r="P149" i="16"/>
  <c r="U150" i="16"/>
  <c r="AE150" i="16"/>
  <c r="P150" i="16"/>
  <c r="U151" i="16"/>
  <c r="AE151" i="16"/>
  <c r="P151" i="16"/>
  <c r="U152" i="16"/>
  <c r="AE152" i="16"/>
  <c r="P152" i="16"/>
  <c r="U153" i="16"/>
  <c r="AE153" i="16"/>
  <c r="P153" i="16"/>
  <c r="U154" i="16"/>
  <c r="AE154" i="16"/>
  <c r="P154" i="16"/>
  <c r="U155" i="16"/>
  <c r="AE155" i="16"/>
  <c r="P155" i="16"/>
  <c r="U156" i="16"/>
  <c r="AE156" i="16"/>
  <c r="P156" i="16"/>
  <c r="U157" i="16"/>
  <c r="AE157" i="16"/>
  <c r="P157" i="16"/>
  <c r="U158" i="16"/>
  <c r="AE158" i="16"/>
  <c r="P158" i="16"/>
  <c r="U159" i="16"/>
  <c r="AE159" i="16"/>
  <c r="P159" i="16"/>
  <c r="U160" i="16"/>
  <c r="AE160" i="16"/>
  <c r="P160" i="16"/>
  <c r="U161" i="16"/>
  <c r="AE161" i="16"/>
  <c r="P161" i="16"/>
  <c r="U162" i="16"/>
  <c r="AE162" i="16"/>
  <c r="P162" i="16"/>
  <c r="U163" i="16"/>
  <c r="AE163" i="16"/>
  <c r="P163" i="16"/>
  <c r="U164" i="16"/>
  <c r="AE164" i="16"/>
  <c r="P164" i="16"/>
  <c r="U165" i="16"/>
  <c r="AE165" i="16"/>
  <c r="P165" i="16"/>
  <c r="U166" i="16"/>
  <c r="AE166" i="16"/>
  <c r="P166" i="16"/>
  <c r="U167" i="16"/>
  <c r="AE167" i="16"/>
  <c r="P167" i="16"/>
  <c r="U168" i="16"/>
  <c r="AE168" i="16"/>
  <c r="P168" i="16"/>
  <c r="U169" i="16"/>
  <c r="AE169" i="16"/>
  <c r="P169" i="16"/>
  <c r="U170" i="16"/>
  <c r="AE170" i="16"/>
  <c r="P170" i="16"/>
  <c r="U171" i="16"/>
  <c r="AE171" i="16"/>
  <c r="P171" i="16"/>
  <c r="U172" i="16"/>
  <c r="AE172" i="16"/>
  <c r="P172" i="16"/>
  <c r="U173" i="16"/>
  <c r="AE173" i="16"/>
  <c r="P173" i="16"/>
  <c r="U174" i="16"/>
  <c r="AE174" i="16"/>
  <c r="P174" i="16"/>
  <c r="U175" i="16"/>
  <c r="AE175" i="16"/>
  <c r="P175" i="16"/>
  <c r="U176" i="16"/>
  <c r="AE176" i="16"/>
  <c r="P176" i="16"/>
  <c r="U177" i="16"/>
  <c r="AE177" i="16"/>
  <c r="P177" i="16"/>
  <c r="U178" i="16"/>
  <c r="AE178" i="16"/>
  <c r="P178" i="16"/>
  <c r="U179" i="16"/>
  <c r="AE179" i="16"/>
  <c r="P179" i="16"/>
  <c r="U180" i="16"/>
  <c r="AE180" i="16"/>
  <c r="P180" i="16"/>
  <c r="U181" i="16"/>
  <c r="AE181" i="16"/>
  <c r="P181" i="16"/>
  <c r="U182" i="16"/>
  <c r="AE182" i="16"/>
  <c r="P182" i="16"/>
  <c r="U183" i="16"/>
  <c r="AE183" i="16"/>
  <c r="P183" i="16"/>
  <c r="U184" i="16"/>
  <c r="AE184" i="16"/>
  <c r="P184" i="16"/>
  <c r="U185" i="16"/>
  <c r="AE185" i="16"/>
  <c r="P185" i="16"/>
  <c r="U186" i="16"/>
  <c r="AE186" i="16"/>
  <c r="P186" i="16"/>
  <c r="U187" i="16"/>
  <c r="AE187" i="16"/>
  <c r="P187" i="16"/>
  <c r="D3" i="21"/>
  <c r="F3" i="16"/>
  <c r="D4" i="21"/>
  <c r="F4" i="16"/>
  <c r="D5" i="21"/>
  <c r="F5" i="16"/>
  <c r="D6" i="21"/>
  <c r="F6" i="16"/>
  <c r="D7" i="21"/>
  <c r="F7" i="16"/>
  <c r="D8" i="21"/>
  <c r="F8" i="16"/>
  <c r="D9" i="21"/>
  <c r="F9" i="16"/>
  <c r="D10" i="21"/>
  <c r="F10" i="16"/>
  <c r="D11" i="21"/>
  <c r="F11" i="16"/>
  <c r="D12" i="21"/>
  <c r="F12" i="16"/>
  <c r="D13" i="21"/>
  <c r="F13" i="16"/>
  <c r="D14" i="21"/>
  <c r="F14" i="16"/>
  <c r="D15" i="21"/>
  <c r="F15" i="16"/>
  <c r="D16" i="21"/>
  <c r="F16" i="16"/>
  <c r="D17" i="21"/>
  <c r="F17" i="16"/>
  <c r="D18" i="21"/>
  <c r="F18" i="16"/>
  <c r="D19" i="21"/>
  <c r="F19" i="16"/>
  <c r="D20" i="21"/>
  <c r="F20" i="16"/>
  <c r="D21" i="21"/>
  <c r="F21" i="16"/>
  <c r="D22" i="21"/>
  <c r="F22" i="16"/>
  <c r="D23" i="21"/>
  <c r="F23" i="16"/>
  <c r="D24" i="21"/>
  <c r="F24" i="16"/>
  <c r="D25" i="21"/>
  <c r="F25" i="16"/>
  <c r="D26" i="21"/>
  <c r="F26" i="16"/>
  <c r="D27" i="21"/>
  <c r="F27" i="16"/>
  <c r="D28" i="21"/>
  <c r="F28" i="16"/>
  <c r="D29" i="21"/>
  <c r="F29" i="16"/>
  <c r="D30" i="21"/>
  <c r="F30" i="16"/>
  <c r="D31" i="21"/>
  <c r="F31" i="16"/>
  <c r="D32" i="21"/>
  <c r="F32" i="16"/>
  <c r="D33" i="21"/>
  <c r="F33" i="16"/>
  <c r="D34" i="21"/>
  <c r="F34" i="16"/>
  <c r="D35" i="21"/>
  <c r="F35" i="16"/>
  <c r="D36" i="21"/>
  <c r="F36" i="16"/>
  <c r="D37" i="21"/>
  <c r="F37" i="16"/>
  <c r="D38" i="21"/>
  <c r="F38" i="16"/>
  <c r="D39" i="21"/>
  <c r="F39" i="16"/>
  <c r="D40" i="21"/>
  <c r="F40" i="16"/>
  <c r="D41" i="21"/>
  <c r="F41" i="16"/>
  <c r="D42" i="21"/>
  <c r="F42" i="16"/>
  <c r="D43" i="21"/>
  <c r="F43" i="16"/>
  <c r="D44" i="21"/>
  <c r="F44" i="16"/>
  <c r="D45" i="21"/>
  <c r="F45" i="16"/>
  <c r="D46" i="21"/>
  <c r="F46" i="16"/>
  <c r="D47" i="21"/>
  <c r="F47" i="16"/>
  <c r="D48" i="21"/>
  <c r="F48" i="16"/>
  <c r="D49" i="21"/>
  <c r="F49" i="16"/>
  <c r="D50" i="21"/>
  <c r="F50" i="16"/>
  <c r="D51" i="21"/>
  <c r="F51" i="16"/>
  <c r="D52" i="21"/>
  <c r="F52" i="16"/>
  <c r="D53" i="21"/>
  <c r="F53" i="16"/>
  <c r="D54" i="21"/>
  <c r="F54" i="16"/>
  <c r="D55" i="21"/>
  <c r="F55" i="16"/>
  <c r="D56" i="21"/>
  <c r="F56" i="16"/>
  <c r="D57" i="21"/>
  <c r="F57" i="16"/>
  <c r="D58" i="21"/>
  <c r="F58" i="16"/>
  <c r="D59" i="21"/>
  <c r="F59" i="16"/>
  <c r="D60" i="21"/>
  <c r="F60" i="16"/>
  <c r="D61" i="21"/>
  <c r="F61" i="16"/>
  <c r="D62" i="21"/>
  <c r="F62" i="16"/>
  <c r="D63" i="21"/>
  <c r="F63" i="16"/>
  <c r="D64" i="21"/>
  <c r="F64" i="16"/>
  <c r="D65" i="21"/>
  <c r="F65" i="16"/>
  <c r="D66" i="21"/>
  <c r="F66" i="16"/>
  <c r="D67" i="21"/>
  <c r="F67" i="16"/>
  <c r="D68" i="21"/>
  <c r="F68" i="16"/>
  <c r="D69" i="21"/>
  <c r="F69" i="16"/>
  <c r="D70" i="21"/>
  <c r="F70" i="16"/>
  <c r="D71" i="21"/>
  <c r="F71" i="16"/>
  <c r="D72" i="21"/>
  <c r="F72" i="16"/>
  <c r="D73" i="21"/>
  <c r="F73" i="16"/>
  <c r="D74" i="21"/>
  <c r="F74" i="16"/>
  <c r="D75" i="21"/>
  <c r="F75" i="16"/>
  <c r="D76" i="21"/>
  <c r="F76" i="16"/>
  <c r="D77" i="21"/>
  <c r="F77" i="16"/>
  <c r="D78" i="21"/>
  <c r="F78" i="16"/>
  <c r="D79" i="21"/>
  <c r="F79" i="16"/>
  <c r="D80" i="21"/>
  <c r="F80" i="16"/>
  <c r="D81" i="21"/>
  <c r="F81" i="16"/>
  <c r="D82" i="21"/>
  <c r="F82" i="16"/>
  <c r="D83" i="21"/>
  <c r="F83" i="16"/>
  <c r="D84" i="21"/>
  <c r="F84" i="16"/>
  <c r="D85" i="21"/>
  <c r="F85" i="16"/>
  <c r="D86" i="21"/>
  <c r="F86" i="16"/>
  <c r="D87" i="21"/>
  <c r="F87" i="16"/>
  <c r="D88" i="21"/>
  <c r="F88" i="16"/>
  <c r="D89" i="21"/>
  <c r="F89" i="16"/>
  <c r="D90" i="21"/>
  <c r="F90" i="16"/>
  <c r="D91" i="21"/>
  <c r="F91" i="16"/>
  <c r="D92" i="21"/>
  <c r="F92" i="16"/>
  <c r="D93" i="21"/>
  <c r="F93" i="16"/>
  <c r="D94" i="21"/>
  <c r="F94" i="16"/>
  <c r="D95" i="21"/>
  <c r="F95" i="16"/>
  <c r="D96" i="21"/>
  <c r="F96" i="16"/>
  <c r="D97" i="21"/>
  <c r="F97" i="16"/>
  <c r="D98" i="21"/>
  <c r="F98" i="16"/>
  <c r="D99" i="21"/>
  <c r="F99" i="16"/>
  <c r="D100" i="21"/>
  <c r="F100" i="16"/>
  <c r="D101" i="21"/>
  <c r="F101" i="16"/>
  <c r="D102" i="21"/>
  <c r="F102" i="16"/>
  <c r="D103" i="21"/>
  <c r="F103" i="16"/>
  <c r="D104" i="21"/>
  <c r="F104" i="16"/>
  <c r="D105" i="21"/>
  <c r="F105" i="16"/>
  <c r="D106" i="21"/>
  <c r="F106" i="16"/>
  <c r="D107" i="21"/>
  <c r="F107" i="16"/>
  <c r="D108" i="21"/>
  <c r="F108" i="16"/>
  <c r="D109" i="21"/>
  <c r="F109" i="16"/>
  <c r="D110" i="21"/>
  <c r="F110" i="16"/>
  <c r="D111" i="21"/>
  <c r="F111" i="16"/>
  <c r="D112" i="21"/>
  <c r="F112" i="16"/>
  <c r="D113" i="21"/>
  <c r="F113" i="16"/>
  <c r="D114" i="21"/>
  <c r="F114" i="16"/>
  <c r="D115" i="21"/>
  <c r="F115" i="16"/>
  <c r="D116" i="21"/>
  <c r="F116" i="16"/>
  <c r="D117" i="21"/>
  <c r="F117" i="16"/>
  <c r="D118" i="21"/>
  <c r="F118" i="16"/>
  <c r="D119" i="21"/>
  <c r="F119" i="16"/>
  <c r="D120" i="21"/>
  <c r="F120" i="16"/>
  <c r="D121" i="21"/>
  <c r="F121" i="16"/>
  <c r="D122" i="21"/>
  <c r="F122" i="16"/>
  <c r="D123" i="21"/>
  <c r="F123" i="16"/>
  <c r="D124" i="21"/>
  <c r="F124" i="16"/>
  <c r="D125" i="21"/>
  <c r="F125" i="16"/>
  <c r="D126" i="21"/>
  <c r="F126" i="16"/>
  <c r="D127" i="21"/>
  <c r="F127" i="16"/>
  <c r="D128" i="21"/>
  <c r="F128" i="16"/>
  <c r="D129" i="21"/>
  <c r="F129" i="16"/>
  <c r="D130" i="21"/>
  <c r="F130" i="16"/>
  <c r="D131" i="21"/>
  <c r="F131" i="16"/>
  <c r="D132" i="21"/>
  <c r="F132" i="16"/>
  <c r="D133" i="21"/>
  <c r="F133" i="16"/>
  <c r="D134" i="21"/>
  <c r="F134" i="16"/>
  <c r="D135" i="21"/>
  <c r="F135" i="16"/>
  <c r="D136" i="21"/>
  <c r="F136" i="16"/>
  <c r="D137" i="21"/>
  <c r="F137" i="16"/>
  <c r="D138" i="21"/>
  <c r="F138" i="16"/>
  <c r="D139" i="21"/>
  <c r="F139" i="16"/>
  <c r="D140" i="21"/>
  <c r="F140" i="16"/>
  <c r="D141" i="21"/>
  <c r="F141" i="16"/>
  <c r="D142" i="21"/>
  <c r="F142" i="16"/>
  <c r="D143" i="21"/>
  <c r="F143" i="16"/>
  <c r="D144" i="21"/>
  <c r="F144" i="16"/>
  <c r="D145" i="21"/>
  <c r="F145" i="16"/>
  <c r="D146" i="21"/>
  <c r="F146" i="16"/>
  <c r="D147" i="21"/>
  <c r="F147" i="16"/>
  <c r="D148" i="21"/>
  <c r="F148" i="16"/>
  <c r="D149" i="21"/>
  <c r="F149" i="16"/>
  <c r="D150" i="21"/>
  <c r="F150" i="16"/>
  <c r="D151" i="21"/>
  <c r="F151" i="16"/>
  <c r="D152" i="21"/>
  <c r="F152" i="16"/>
  <c r="D153" i="21"/>
  <c r="F153" i="16"/>
  <c r="D154" i="21"/>
  <c r="F154" i="16"/>
  <c r="D155" i="21"/>
  <c r="F155" i="16"/>
  <c r="D156" i="21"/>
  <c r="F156" i="16"/>
  <c r="D157" i="21"/>
  <c r="F157" i="16"/>
  <c r="D158" i="21"/>
  <c r="F158" i="16"/>
  <c r="D159" i="21"/>
  <c r="F159" i="16"/>
  <c r="D160" i="21"/>
  <c r="F160" i="16"/>
  <c r="D161" i="21"/>
  <c r="F161" i="16"/>
  <c r="D162" i="21"/>
  <c r="F162" i="16"/>
  <c r="D163" i="21"/>
  <c r="F163" i="16"/>
  <c r="D164" i="21"/>
  <c r="F164" i="16"/>
  <c r="D165" i="21"/>
  <c r="F165" i="16"/>
  <c r="D166" i="21"/>
  <c r="F166" i="16"/>
  <c r="D167" i="21"/>
  <c r="F167" i="16"/>
  <c r="D168" i="21"/>
  <c r="F168" i="16"/>
  <c r="D169" i="21"/>
  <c r="F169" i="16"/>
  <c r="D170" i="21"/>
  <c r="F170" i="16"/>
  <c r="D171" i="21"/>
  <c r="F171" i="16"/>
  <c r="D172" i="21"/>
  <c r="F172" i="16"/>
  <c r="D173" i="21"/>
  <c r="F173" i="16"/>
  <c r="D174" i="21"/>
  <c r="F174" i="16"/>
  <c r="D175" i="21"/>
  <c r="F175" i="16"/>
  <c r="D176" i="21"/>
  <c r="F176" i="16"/>
  <c r="D177" i="21"/>
  <c r="F177" i="16"/>
  <c r="D178" i="21"/>
  <c r="F178" i="16"/>
  <c r="D179" i="21"/>
  <c r="F179" i="16"/>
  <c r="D180" i="21"/>
  <c r="F180" i="16"/>
  <c r="D181" i="21"/>
  <c r="F181" i="16"/>
  <c r="D182" i="21"/>
  <c r="F182" i="16"/>
  <c r="D183" i="21"/>
  <c r="F183" i="16"/>
  <c r="D184" i="21"/>
  <c r="F184" i="16"/>
  <c r="D185" i="21"/>
  <c r="F185" i="16"/>
  <c r="D186" i="21"/>
  <c r="F186" i="16"/>
  <c r="D187" i="21"/>
  <c r="F187" i="16"/>
  <c r="D2" i="21"/>
  <c r="F2" i="16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587" i="21"/>
  <c r="D588" i="21"/>
  <c r="D589" i="21"/>
  <c r="D590" i="21"/>
  <c r="D591" i="21"/>
  <c r="D592" i="21"/>
  <c r="D593" i="21"/>
  <c r="D594" i="21"/>
  <c r="D595" i="21"/>
  <c r="D596" i="21"/>
  <c r="D597" i="21"/>
  <c r="D598" i="21"/>
  <c r="D599" i="21"/>
  <c r="D600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E253" i="21"/>
  <c r="E254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70" i="21"/>
  <c r="E271" i="21"/>
  <c r="E272" i="21"/>
  <c r="E273" i="21"/>
  <c r="E274" i="21"/>
  <c r="E275" i="21"/>
  <c r="E276" i="21"/>
  <c r="E277" i="21"/>
  <c r="E278" i="21"/>
  <c r="E279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95" i="21"/>
  <c r="E296" i="21"/>
  <c r="E297" i="21"/>
  <c r="E298" i="21"/>
  <c r="E299" i="21"/>
  <c r="E300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16" i="21"/>
  <c r="E317" i="21"/>
  <c r="E318" i="21"/>
  <c r="E319" i="21"/>
  <c r="E320" i="21"/>
  <c r="E321" i="21"/>
  <c r="E322" i="21"/>
  <c r="E323" i="21"/>
  <c r="E324" i="21"/>
  <c r="E325" i="21"/>
  <c r="E326" i="2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41" i="21"/>
  <c r="E342" i="21"/>
  <c r="E343" i="21"/>
  <c r="E344" i="21"/>
  <c r="E345" i="21"/>
  <c r="E346" i="21"/>
  <c r="E347" i="21"/>
  <c r="E348" i="21"/>
  <c r="E349" i="21"/>
  <c r="E350" i="21"/>
  <c r="E351" i="21"/>
  <c r="E352" i="21"/>
  <c r="E353" i="21"/>
  <c r="E354" i="21"/>
  <c r="E355" i="21"/>
  <c r="E356" i="21"/>
  <c r="E357" i="21"/>
  <c r="E358" i="21"/>
  <c r="E359" i="21"/>
  <c r="E360" i="21"/>
  <c r="E361" i="21"/>
  <c r="E362" i="21"/>
  <c r="E363" i="21"/>
  <c r="E364" i="21"/>
  <c r="E365" i="21"/>
  <c r="E366" i="21"/>
  <c r="E367" i="21"/>
  <c r="E368" i="21"/>
  <c r="E369" i="21"/>
  <c r="E370" i="21"/>
  <c r="E371" i="21"/>
  <c r="E372" i="21"/>
  <c r="E373" i="21"/>
  <c r="E374" i="21"/>
  <c r="E375" i="21"/>
  <c r="E376" i="21"/>
  <c r="E377" i="21"/>
  <c r="E378" i="21"/>
  <c r="E379" i="21"/>
  <c r="E380" i="21"/>
  <c r="E381" i="21"/>
  <c r="E382" i="21"/>
  <c r="E383" i="21"/>
  <c r="E384" i="21"/>
  <c r="E385" i="21"/>
  <c r="E386" i="21"/>
  <c r="E387" i="21"/>
  <c r="E388" i="21"/>
  <c r="E389" i="21"/>
  <c r="E390" i="21"/>
  <c r="E391" i="21"/>
  <c r="E392" i="21"/>
  <c r="E393" i="21"/>
  <c r="E394" i="21"/>
  <c r="E395" i="21"/>
  <c r="E396" i="21"/>
  <c r="E397" i="21"/>
  <c r="E398" i="21"/>
  <c r="E399" i="21"/>
  <c r="E400" i="21"/>
  <c r="E401" i="21"/>
  <c r="E402" i="21"/>
  <c r="E403" i="21"/>
  <c r="E404" i="21"/>
  <c r="E405" i="21"/>
  <c r="E406" i="21"/>
  <c r="E407" i="21"/>
  <c r="E408" i="21"/>
  <c r="E409" i="21"/>
  <c r="E410" i="21"/>
  <c r="E411" i="21"/>
  <c r="E412" i="21"/>
  <c r="E413" i="21"/>
  <c r="E414" i="21"/>
  <c r="E415" i="21"/>
  <c r="E416" i="21"/>
  <c r="E417" i="21"/>
  <c r="E418" i="21"/>
  <c r="E419" i="21"/>
  <c r="E420" i="21"/>
  <c r="E421" i="21"/>
  <c r="E422" i="21"/>
  <c r="E423" i="21"/>
  <c r="E424" i="21"/>
  <c r="E425" i="21"/>
  <c r="E426" i="21"/>
  <c r="E427" i="21"/>
  <c r="E428" i="21"/>
  <c r="E429" i="21"/>
  <c r="E430" i="21"/>
  <c r="E431" i="21"/>
  <c r="E432" i="21"/>
  <c r="E433" i="21"/>
  <c r="E434" i="21"/>
  <c r="E435" i="21"/>
  <c r="E436" i="21"/>
  <c r="E437" i="21"/>
  <c r="E438" i="21"/>
  <c r="E439" i="21"/>
  <c r="E440" i="21"/>
  <c r="E441" i="21"/>
  <c r="E442" i="21"/>
  <c r="E443" i="21"/>
  <c r="E444" i="21"/>
  <c r="E445" i="21"/>
  <c r="E446" i="21"/>
  <c r="E447" i="21"/>
  <c r="E448" i="21"/>
  <c r="E449" i="21"/>
  <c r="E450" i="21"/>
  <c r="E451" i="21"/>
  <c r="E452" i="21"/>
  <c r="E453" i="21"/>
  <c r="E454" i="21"/>
  <c r="E455" i="21"/>
  <c r="E456" i="21"/>
  <c r="E457" i="21"/>
  <c r="E458" i="21"/>
  <c r="E459" i="21"/>
  <c r="E460" i="21"/>
  <c r="E461" i="21"/>
  <c r="E462" i="21"/>
  <c r="E463" i="21"/>
  <c r="E464" i="21"/>
  <c r="E465" i="21"/>
  <c r="E466" i="21"/>
  <c r="E467" i="21"/>
  <c r="E468" i="21"/>
  <c r="E469" i="21"/>
  <c r="E470" i="21"/>
  <c r="E471" i="21"/>
  <c r="E472" i="21"/>
  <c r="E473" i="21"/>
  <c r="E474" i="21"/>
  <c r="E475" i="21"/>
  <c r="E476" i="21"/>
  <c r="E477" i="21"/>
  <c r="E478" i="21"/>
  <c r="E479" i="21"/>
  <c r="E480" i="21"/>
  <c r="E481" i="21"/>
  <c r="E482" i="21"/>
  <c r="E483" i="21"/>
  <c r="E484" i="21"/>
  <c r="E485" i="21"/>
  <c r="E486" i="21"/>
  <c r="E487" i="21"/>
  <c r="E488" i="21"/>
  <c r="E489" i="21"/>
  <c r="E490" i="21"/>
  <c r="E491" i="21"/>
  <c r="E492" i="21"/>
  <c r="E493" i="21"/>
  <c r="E494" i="21"/>
  <c r="E495" i="21"/>
  <c r="E496" i="21"/>
  <c r="E497" i="21"/>
  <c r="E498" i="21"/>
  <c r="E499" i="21"/>
  <c r="E500" i="21"/>
  <c r="E501" i="21"/>
  <c r="E502" i="21"/>
  <c r="E503" i="21"/>
  <c r="E504" i="21"/>
  <c r="E505" i="21"/>
  <c r="E506" i="21"/>
  <c r="E507" i="21"/>
  <c r="E508" i="21"/>
  <c r="E509" i="21"/>
  <c r="E510" i="21"/>
  <c r="E511" i="21"/>
  <c r="E512" i="21"/>
  <c r="E513" i="21"/>
  <c r="E514" i="21"/>
  <c r="E515" i="21"/>
  <c r="E516" i="21"/>
  <c r="E517" i="21"/>
  <c r="E518" i="21"/>
  <c r="E519" i="21"/>
  <c r="E520" i="21"/>
  <c r="E521" i="21"/>
  <c r="E522" i="21"/>
  <c r="E523" i="21"/>
  <c r="E524" i="21"/>
  <c r="E525" i="21"/>
  <c r="E526" i="21"/>
  <c r="E527" i="21"/>
  <c r="E528" i="21"/>
  <c r="E529" i="21"/>
  <c r="E530" i="21"/>
  <c r="E531" i="21"/>
  <c r="E532" i="21"/>
  <c r="E533" i="21"/>
  <c r="E534" i="21"/>
  <c r="E535" i="21"/>
  <c r="E536" i="21"/>
  <c r="E537" i="21"/>
  <c r="E538" i="21"/>
  <c r="E539" i="21"/>
  <c r="E540" i="21"/>
  <c r="E541" i="21"/>
  <c r="E542" i="21"/>
  <c r="E543" i="21"/>
  <c r="E544" i="21"/>
  <c r="E545" i="21"/>
  <c r="E546" i="21"/>
  <c r="E547" i="21"/>
  <c r="E548" i="21"/>
  <c r="E549" i="21"/>
  <c r="E550" i="21"/>
  <c r="E551" i="21"/>
  <c r="E552" i="21"/>
  <c r="E553" i="21"/>
  <c r="E554" i="21"/>
  <c r="E555" i="21"/>
  <c r="E556" i="21"/>
  <c r="E557" i="21"/>
  <c r="E558" i="21"/>
  <c r="E559" i="21"/>
  <c r="E560" i="21"/>
  <c r="E561" i="21"/>
  <c r="E562" i="21"/>
  <c r="E563" i="21"/>
  <c r="E564" i="21"/>
  <c r="E565" i="21"/>
  <c r="E566" i="21"/>
  <c r="E567" i="21"/>
  <c r="E568" i="21"/>
  <c r="E569" i="21"/>
  <c r="E570" i="21"/>
  <c r="E571" i="21"/>
  <c r="E572" i="21"/>
  <c r="E573" i="21"/>
  <c r="E574" i="21"/>
  <c r="E575" i="21"/>
  <c r="E576" i="21"/>
  <c r="E577" i="21"/>
  <c r="E578" i="21"/>
  <c r="E579" i="21"/>
  <c r="E580" i="21"/>
  <c r="E581" i="21"/>
  <c r="E582" i="21"/>
  <c r="E583" i="21"/>
  <c r="E584" i="21"/>
  <c r="E585" i="21"/>
  <c r="E586" i="21"/>
  <c r="E587" i="21"/>
  <c r="E588" i="21"/>
  <c r="E589" i="21"/>
  <c r="E590" i="21"/>
  <c r="E591" i="21"/>
  <c r="E592" i="21"/>
  <c r="E593" i="21"/>
  <c r="E594" i="21"/>
  <c r="E595" i="21"/>
  <c r="E596" i="21"/>
  <c r="E597" i="21"/>
  <c r="E598" i="21"/>
  <c r="E599" i="21"/>
  <c r="B2" i="21"/>
  <c r="J2" i="21"/>
  <c r="I2" i="21"/>
  <c r="H2" i="21"/>
  <c r="G2" i="21"/>
  <c r="F2" i="21"/>
  <c r="E2" i="21"/>
  <c r="G2" i="16"/>
  <c r="B2" i="16"/>
  <c r="I2" i="16"/>
  <c r="J2" i="16"/>
  <c r="K2" i="16"/>
  <c r="H2" i="16"/>
  <c r="Z2" i="16"/>
  <c r="B3" i="21"/>
  <c r="B3" i="16"/>
  <c r="J3" i="21"/>
  <c r="I3" i="21"/>
  <c r="H3" i="21"/>
  <c r="G3" i="21"/>
  <c r="F3" i="21"/>
  <c r="E3" i="21"/>
  <c r="G3" i="16"/>
  <c r="H3" i="16"/>
  <c r="I3" i="16"/>
  <c r="J3" i="16"/>
  <c r="K3" i="16"/>
  <c r="Z3" i="16"/>
  <c r="B4" i="21"/>
  <c r="B4" i="16"/>
  <c r="J4" i="21"/>
  <c r="I4" i="21"/>
  <c r="H4" i="21"/>
  <c r="G4" i="21"/>
  <c r="F4" i="21"/>
  <c r="E4" i="21"/>
  <c r="G4" i="16"/>
  <c r="H4" i="16"/>
  <c r="I4" i="16"/>
  <c r="J4" i="16"/>
  <c r="K4" i="16"/>
  <c r="Z4" i="16"/>
  <c r="B5" i="21"/>
  <c r="B5" i="16"/>
  <c r="J5" i="21"/>
  <c r="I5" i="21"/>
  <c r="H5" i="21"/>
  <c r="G5" i="21"/>
  <c r="F5" i="21"/>
  <c r="E5" i="21"/>
  <c r="G5" i="16"/>
  <c r="H5" i="16"/>
  <c r="I5" i="16"/>
  <c r="J5" i="16"/>
  <c r="K5" i="16"/>
  <c r="Z5" i="16"/>
  <c r="B6" i="21"/>
  <c r="B6" i="16"/>
  <c r="J6" i="21"/>
  <c r="I6" i="21"/>
  <c r="H6" i="21"/>
  <c r="G6" i="21"/>
  <c r="F6" i="21"/>
  <c r="E6" i="21"/>
  <c r="G6" i="16"/>
  <c r="H6" i="16"/>
  <c r="I6" i="16"/>
  <c r="J6" i="16"/>
  <c r="K6" i="16"/>
  <c r="Z6" i="16"/>
  <c r="B7" i="21"/>
  <c r="B7" i="16"/>
  <c r="J7" i="21"/>
  <c r="I7" i="21"/>
  <c r="H7" i="21"/>
  <c r="G7" i="21"/>
  <c r="F7" i="21"/>
  <c r="E7" i="21"/>
  <c r="G7" i="16"/>
  <c r="H7" i="16"/>
  <c r="I7" i="16"/>
  <c r="J7" i="16"/>
  <c r="K7" i="16"/>
  <c r="Z7" i="16"/>
  <c r="B8" i="21"/>
  <c r="B8" i="16"/>
  <c r="J8" i="21"/>
  <c r="I8" i="21"/>
  <c r="H8" i="21"/>
  <c r="G8" i="21"/>
  <c r="F8" i="21"/>
  <c r="E8" i="21"/>
  <c r="G8" i="16"/>
  <c r="H8" i="16"/>
  <c r="I8" i="16"/>
  <c r="J8" i="16"/>
  <c r="K8" i="16"/>
  <c r="Z8" i="16"/>
  <c r="B9" i="21"/>
  <c r="B9" i="16"/>
  <c r="J9" i="21"/>
  <c r="I9" i="21"/>
  <c r="H9" i="21"/>
  <c r="G9" i="21"/>
  <c r="F9" i="21"/>
  <c r="E9" i="21"/>
  <c r="G9" i="16"/>
  <c r="H9" i="16"/>
  <c r="I9" i="16"/>
  <c r="J9" i="16"/>
  <c r="K9" i="16"/>
  <c r="Z9" i="16"/>
  <c r="B10" i="21"/>
  <c r="B10" i="16"/>
  <c r="J10" i="21"/>
  <c r="I10" i="21"/>
  <c r="H10" i="21"/>
  <c r="G10" i="21"/>
  <c r="F10" i="21"/>
  <c r="E10" i="21"/>
  <c r="G10" i="16"/>
  <c r="H10" i="16"/>
  <c r="I10" i="16"/>
  <c r="J10" i="16"/>
  <c r="K10" i="16"/>
  <c r="Z10" i="16"/>
  <c r="B11" i="21"/>
  <c r="B11" i="16"/>
  <c r="J11" i="21"/>
  <c r="I11" i="21"/>
  <c r="H11" i="21"/>
  <c r="G11" i="21"/>
  <c r="F11" i="21"/>
  <c r="E11" i="21"/>
  <c r="G11" i="16"/>
  <c r="H11" i="16"/>
  <c r="I11" i="16"/>
  <c r="J11" i="16"/>
  <c r="K11" i="16"/>
  <c r="Z11" i="16"/>
  <c r="B12" i="21"/>
  <c r="B12" i="16"/>
  <c r="J12" i="21"/>
  <c r="I12" i="21"/>
  <c r="H12" i="21"/>
  <c r="G12" i="21"/>
  <c r="F12" i="21"/>
  <c r="E12" i="21"/>
  <c r="G12" i="16"/>
  <c r="H12" i="16"/>
  <c r="I12" i="16"/>
  <c r="J12" i="16"/>
  <c r="K12" i="16"/>
  <c r="Z12" i="16"/>
  <c r="B13" i="21"/>
  <c r="B13" i="16"/>
  <c r="J13" i="21"/>
  <c r="I13" i="21"/>
  <c r="H13" i="21"/>
  <c r="G13" i="21"/>
  <c r="F13" i="21"/>
  <c r="E13" i="21"/>
  <c r="G13" i="16"/>
  <c r="H13" i="16"/>
  <c r="I13" i="16"/>
  <c r="J13" i="16"/>
  <c r="K13" i="16"/>
  <c r="Z13" i="16"/>
  <c r="B14" i="21"/>
  <c r="B14" i="16"/>
  <c r="J14" i="21"/>
  <c r="I14" i="21"/>
  <c r="H14" i="21"/>
  <c r="G14" i="21"/>
  <c r="F14" i="21"/>
  <c r="E14" i="21"/>
  <c r="G14" i="16"/>
  <c r="H14" i="16"/>
  <c r="I14" i="16"/>
  <c r="J14" i="16"/>
  <c r="K14" i="16"/>
  <c r="Z14" i="16"/>
  <c r="B15" i="21"/>
  <c r="B15" i="16"/>
  <c r="J15" i="21"/>
  <c r="I15" i="21"/>
  <c r="H15" i="21"/>
  <c r="G15" i="21"/>
  <c r="F15" i="21"/>
  <c r="E15" i="21"/>
  <c r="G15" i="16"/>
  <c r="H15" i="16"/>
  <c r="I15" i="16"/>
  <c r="J15" i="16"/>
  <c r="K15" i="16"/>
  <c r="Z15" i="16"/>
  <c r="B16" i="21"/>
  <c r="B16" i="16"/>
  <c r="J16" i="21"/>
  <c r="I16" i="21"/>
  <c r="H16" i="21"/>
  <c r="G16" i="21"/>
  <c r="F16" i="21"/>
  <c r="E16" i="21"/>
  <c r="G16" i="16"/>
  <c r="H16" i="16"/>
  <c r="I16" i="16"/>
  <c r="J16" i="16"/>
  <c r="K16" i="16"/>
  <c r="Z16" i="16"/>
  <c r="B17" i="21"/>
  <c r="B17" i="16"/>
  <c r="J17" i="21"/>
  <c r="I17" i="21"/>
  <c r="H17" i="21"/>
  <c r="G17" i="21"/>
  <c r="F17" i="21"/>
  <c r="E17" i="21"/>
  <c r="G17" i="16"/>
  <c r="H17" i="16"/>
  <c r="I17" i="16"/>
  <c r="J17" i="16"/>
  <c r="K17" i="16"/>
  <c r="Z17" i="16"/>
  <c r="B18" i="21"/>
  <c r="B18" i="16"/>
  <c r="J18" i="21"/>
  <c r="I18" i="21"/>
  <c r="H18" i="21"/>
  <c r="G18" i="21"/>
  <c r="F18" i="21"/>
  <c r="E18" i="21"/>
  <c r="G18" i="16"/>
  <c r="H18" i="16"/>
  <c r="I18" i="16"/>
  <c r="J18" i="16"/>
  <c r="K18" i="16"/>
  <c r="Z18" i="16"/>
  <c r="B19" i="21"/>
  <c r="B19" i="16"/>
  <c r="J19" i="21"/>
  <c r="I19" i="21"/>
  <c r="H19" i="21"/>
  <c r="G19" i="21"/>
  <c r="F19" i="21"/>
  <c r="E19" i="21"/>
  <c r="G19" i="16"/>
  <c r="H19" i="16"/>
  <c r="I19" i="16"/>
  <c r="J19" i="16"/>
  <c r="K19" i="16"/>
  <c r="Z19" i="16"/>
  <c r="B20" i="21"/>
  <c r="B20" i="16"/>
  <c r="J20" i="21"/>
  <c r="I20" i="21"/>
  <c r="H20" i="21"/>
  <c r="G20" i="21"/>
  <c r="F20" i="21"/>
  <c r="E20" i="21"/>
  <c r="G20" i="16"/>
  <c r="H20" i="16"/>
  <c r="I20" i="16"/>
  <c r="J20" i="16"/>
  <c r="K20" i="16"/>
  <c r="Z20" i="16"/>
  <c r="B21" i="21"/>
  <c r="B21" i="16"/>
  <c r="J21" i="21"/>
  <c r="I21" i="21"/>
  <c r="H21" i="21"/>
  <c r="G21" i="21"/>
  <c r="F21" i="21"/>
  <c r="E21" i="21"/>
  <c r="G21" i="16"/>
  <c r="H21" i="16"/>
  <c r="I21" i="16"/>
  <c r="J21" i="16"/>
  <c r="K21" i="16"/>
  <c r="Z21" i="16"/>
  <c r="B22" i="21"/>
  <c r="B22" i="16"/>
  <c r="J22" i="21"/>
  <c r="I22" i="21"/>
  <c r="H22" i="21"/>
  <c r="G22" i="21"/>
  <c r="F22" i="21"/>
  <c r="E22" i="21"/>
  <c r="G22" i="16"/>
  <c r="H22" i="16"/>
  <c r="I22" i="16"/>
  <c r="J22" i="16"/>
  <c r="K22" i="16"/>
  <c r="Z22" i="16"/>
  <c r="B23" i="21"/>
  <c r="B23" i="16"/>
  <c r="J23" i="21"/>
  <c r="I23" i="21"/>
  <c r="H23" i="21"/>
  <c r="G23" i="21"/>
  <c r="F23" i="21"/>
  <c r="E23" i="21"/>
  <c r="G23" i="16"/>
  <c r="H23" i="16"/>
  <c r="I23" i="16"/>
  <c r="J23" i="16"/>
  <c r="K23" i="16"/>
  <c r="Z23" i="16"/>
  <c r="B24" i="21"/>
  <c r="B24" i="16"/>
  <c r="J24" i="21"/>
  <c r="I24" i="21"/>
  <c r="H24" i="21"/>
  <c r="G24" i="21"/>
  <c r="F24" i="21"/>
  <c r="E24" i="21"/>
  <c r="G24" i="16"/>
  <c r="H24" i="16"/>
  <c r="I24" i="16"/>
  <c r="J24" i="16"/>
  <c r="K24" i="16"/>
  <c r="Z24" i="16"/>
  <c r="B25" i="21"/>
  <c r="B25" i="16"/>
  <c r="J25" i="21"/>
  <c r="I25" i="21"/>
  <c r="H25" i="21"/>
  <c r="G25" i="21"/>
  <c r="F25" i="21"/>
  <c r="E25" i="21"/>
  <c r="G25" i="16"/>
  <c r="H25" i="16"/>
  <c r="I25" i="16"/>
  <c r="J25" i="16"/>
  <c r="K25" i="16"/>
  <c r="Z25" i="16"/>
  <c r="B26" i="21"/>
  <c r="B26" i="16"/>
  <c r="J26" i="21"/>
  <c r="I26" i="21"/>
  <c r="H26" i="21"/>
  <c r="G26" i="21"/>
  <c r="F26" i="21"/>
  <c r="E26" i="21"/>
  <c r="G26" i="16"/>
  <c r="H26" i="16"/>
  <c r="I26" i="16"/>
  <c r="J26" i="16"/>
  <c r="K26" i="16"/>
  <c r="Z26" i="16"/>
  <c r="B27" i="21"/>
  <c r="B27" i="16"/>
  <c r="J27" i="21"/>
  <c r="I27" i="21"/>
  <c r="H27" i="21"/>
  <c r="G27" i="21"/>
  <c r="F27" i="21"/>
  <c r="E27" i="21"/>
  <c r="G27" i="16"/>
  <c r="H27" i="16"/>
  <c r="I27" i="16"/>
  <c r="J27" i="16"/>
  <c r="K27" i="16"/>
  <c r="Z27" i="16"/>
  <c r="B28" i="21"/>
  <c r="B28" i="16"/>
  <c r="J28" i="21"/>
  <c r="I28" i="21"/>
  <c r="H28" i="21"/>
  <c r="G28" i="21"/>
  <c r="F28" i="21"/>
  <c r="E28" i="21"/>
  <c r="G28" i="16"/>
  <c r="H28" i="16"/>
  <c r="I28" i="16"/>
  <c r="J28" i="16"/>
  <c r="K28" i="16"/>
  <c r="Z28" i="16"/>
  <c r="B29" i="21"/>
  <c r="B29" i="16"/>
  <c r="J29" i="21"/>
  <c r="I29" i="21"/>
  <c r="H29" i="21"/>
  <c r="G29" i="21"/>
  <c r="F29" i="21"/>
  <c r="E29" i="21"/>
  <c r="G29" i="16"/>
  <c r="H29" i="16"/>
  <c r="I29" i="16"/>
  <c r="J29" i="16"/>
  <c r="K29" i="16"/>
  <c r="Z29" i="16"/>
  <c r="B30" i="21"/>
  <c r="B30" i="16"/>
  <c r="J30" i="21"/>
  <c r="I30" i="21"/>
  <c r="H30" i="21"/>
  <c r="G30" i="21"/>
  <c r="F30" i="21"/>
  <c r="E30" i="21"/>
  <c r="G30" i="16"/>
  <c r="H30" i="16"/>
  <c r="I30" i="16"/>
  <c r="J30" i="16"/>
  <c r="K30" i="16"/>
  <c r="Z30" i="16"/>
  <c r="B31" i="21"/>
  <c r="B31" i="16"/>
  <c r="J31" i="21"/>
  <c r="I31" i="21"/>
  <c r="H31" i="21"/>
  <c r="G31" i="21"/>
  <c r="F31" i="21"/>
  <c r="E31" i="21"/>
  <c r="G31" i="16"/>
  <c r="H31" i="16"/>
  <c r="I31" i="16"/>
  <c r="J31" i="16"/>
  <c r="K31" i="16"/>
  <c r="Z31" i="16"/>
  <c r="B32" i="21"/>
  <c r="B32" i="16"/>
  <c r="J32" i="21"/>
  <c r="I32" i="21"/>
  <c r="H32" i="21"/>
  <c r="G32" i="21"/>
  <c r="F32" i="21"/>
  <c r="E32" i="21"/>
  <c r="G32" i="16"/>
  <c r="H32" i="16"/>
  <c r="I32" i="16"/>
  <c r="J32" i="16"/>
  <c r="K32" i="16"/>
  <c r="Z32" i="16"/>
  <c r="B33" i="21"/>
  <c r="B33" i="16"/>
  <c r="J33" i="21"/>
  <c r="I33" i="21"/>
  <c r="H33" i="21"/>
  <c r="G33" i="21"/>
  <c r="F33" i="21"/>
  <c r="E33" i="21"/>
  <c r="G33" i="16"/>
  <c r="H33" i="16"/>
  <c r="I33" i="16"/>
  <c r="J33" i="16"/>
  <c r="K33" i="16"/>
  <c r="Z33" i="16"/>
  <c r="B34" i="21"/>
  <c r="B34" i="16"/>
  <c r="J34" i="21"/>
  <c r="I34" i="21"/>
  <c r="H34" i="21"/>
  <c r="G34" i="21"/>
  <c r="F34" i="21"/>
  <c r="E34" i="21"/>
  <c r="G34" i="16"/>
  <c r="H34" i="16"/>
  <c r="I34" i="16"/>
  <c r="J34" i="16"/>
  <c r="K34" i="16"/>
  <c r="Z34" i="16"/>
  <c r="B35" i="21"/>
  <c r="B35" i="16"/>
  <c r="J35" i="21"/>
  <c r="I35" i="21"/>
  <c r="H35" i="21"/>
  <c r="G35" i="21"/>
  <c r="F35" i="21"/>
  <c r="E35" i="21"/>
  <c r="G35" i="16"/>
  <c r="H35" i="16"/>
  <c r="I35" i="16"/>
  <c r="J35" i="16"/>
  <c r="K35" i="16"/>
  <c r="Z35" i="16"/>
  <c r="B36" i="21"/>
  <c r="B36" i="16"/>
  <c r="J36" i="21"/>
  <c r="I36" i="21"/>
  <c r="H36" i="21"/>
  <c r="G36" i="21"/>
  <c r="F36" i="21"/>
  <c r="E36" i="21"/>
  <c r="G36" i="16"/>
  <c r="H36" i="16"/>
  <c r="I36" i="16"/>
  <c r="J36" i="16"/>
  <c r="K36" i="16"/>
  <c r="Z36" i="16"/>
  <c r="B37" i="21"/>
  <c r="B37" i="16"/>
  <c r="J37" i="21"/>
  <c r="I37" i="21"/>
  <c r="H37" i="21"/>
  <c r="G37" i="21"/>
  <c r="F37" i="21"/>
  <c r="E37" i="21"/>
  <c r="G37" i="16"/>
  <c r="H37" i="16"/>
  <c r="I37" i="16"/>
  <c r="J37" i="16"/>
  <c r="K37" i="16"/>
  <c r="Z37" i="16"/>
  <c r="B38" i="21"/>
  <c r="B38" i="16"/>
  <c r="J38" i="21"/>
  <c r="I38" i="21"/>
  <c r="H38" i="21"/>
  <c r="G38" i="21"/>
  <c r="F38" i="21"/>
  <c r="E38" i="21"/>
  <c r="G38" i="16"/>
  <c r="H38" i="16"/>
  <c r="I38" i="16"/>
  <c r="J38" i="16"/>
  <c r="K38" i="16"/>
  <c r="Z38" i="16"/>
  <c r="B39" i="21"/>
  <c r="B39" i="16"/>
  <c r="J39" i="21"/>
  <c r="I39" i="21"/>
  <c r="H39" i="21"/>
  <c r="G39" i="21"/>
  <c r="F39" i="21"/>
  <c r="E39" i="21"/>
  <c r="G39" i="16"/>
  <c r="H39" i="16"/>
  <c r="I39" i="16"/>
  <c r="J39" i="16"/>
  <c r="K39" i="16"/>
  <c r="Z39" i="16"/>
  <c r="B40" i="21"/>
  <c r="B40" i="16"/>
  <c r="J40" i="21"/>
  <c r="I40" i="21"/>
  <c r="H40" i="21"/>
  <c r="G40" i="21"/>
  <c r="F40" i="21"/>
  <c r="E40" i="21"/>
  <c r="G40" i="16"/>
  <c r="H40" i="16"/>
  <c r="I40" i="16"/>
  <c r="J40" i="16"/>
  <c r="K40" i="16"/>
  <c r="Z40" i="16"/>
  <c r="B41" i="21"/>
  <c r="B41" i="16"/>
  <c r="J41" i="21"/>
  <c r="I41" i="21"/>
  <c r="H41" i="21"/>
  <c r="G41" i="21"/>
  <c r="F41" i="21"/>
  <c r="E41" i="21"/>
  <c r="G41" i="16"/>
  <c r="H41" i="16"/>
  <c r="I41" i="16"/>
  <c r="J41" i="16"/>
  <c r="K41" i="16"/>
  <c r="Z41" i="16"/>
  <c r="B42" i="21"/>
  <c r="B42" i="16"/>
  <c r="J42" i="21"/>
  <c r="I42" i="21"/>
  <c r="H42" i="21"/>
  <c r="G42" i="21"/>
  <c r="F42" i="21"/>
  <c r="E42" i="21"/>
  <c r="G42" i="16"/>
  <c r="H42" i="16"/>
  <c r="I42" i="16"/>
  <c r="J42" i="16"/>
  <c r="K42" i="16"/>
  <c r="Z42" i="16"/>
  <c r="B43" i="21"/>
  <c r="B43" i="16"/>
  <c r="J43" i="21"/>
  <c r="I43" i="21"/>
  <c r="H43" i="21"/>
  <c r="G43" i="21"/>
  <c r="F43" i="21"/>
  <c r="E43" i="21"/>
  <c r="G43" i="16"/>
  <c r="H43" i="16"/>
  <c r="I43" i="16"/>
  <c r="J43" i="16"/>
  <c r="K43" i="16"/>
  <c r="Z43" i="16"/>
  <c r="B44" i="21"/>
  <c r="B44" i="16"/>
  <c r="J44" i="21"/>
  <c r="I44" i="21"/>
  <c r="H44" i="21"/>
  <c r="G44" i="21"/>
  <c r="F44" i="21"/>
  <c r="E44" i="21"/>
  <c r="G44" i="16"/>
  <c r="H44" i="16"/>
  <c r="I44" i="16"/>
  <c r="J44" i="16"/>
  <c r="K44" i="16"/>
  <c r="Z44" i="16"/>
  <c r="B45" i="21"/>
  <c r="B45" i="16"/>
  <c r="J45" i="21"/>
  <c r="I45" i="21"/>
  <c r="H45" i="21"/>
  <c r="G45" i="21"/>
  <c r="F45" i="21"/>
  <c r="E45" i="21"/>
  <c r="G45" i="16"/>
  <c r="H45" i="16"/>
  <c r="I45" i="16"/>
  <c r="J45" i="16"/>
  <c r="K45" i="16"/>
  <c r="Z45" i="16"/>
  <c r="B46" i="21"/>
  <c r="B46" i="16"/>
  <c r="J46" i="21"/>
  <c r="I46" i="21"/>
  <c r="H46" i="21"/>
  <c r="G46" i="21"/>
  <c r="F46" i="21"/>
  <c r="E46" i="21"/>
  <c r="G46" i="16"/>
  <c r="H46" i="16"/>
  <c r="I46" i="16"/>
  <c r="J46" i="16"/>
  <c r="K46" i="16"/>
  <c r="Z46" i="16"/>
  <c r="B47" i="21"/>
  <c r="B47" i="16"/>
  <c r="J47" i="21"/>
  <c r="I47" i="21"/>
  <c r="H47" i="21"/>
  <c r="G47" i="21"/>
  <c r="F47" i="21"/>
  <c r="E47" i="21"/>
  <c r="G47" i="16"/>
  <c r="H47" i="16"/>
  <c r="I47" i="16"/>
  <c r="J47" i="16"/>
  <c r="K47" i="16"/>
  <c r="Z47" i="16"/>
  <c r="B48" i="21"/>
  <c r="B48" i="16"/>
  <c r="J48" i="21"/>
  <c r="I48" i="21"/>
  <c r="H48" i="21"/>
  <c r="G48" i="21"/>
  <c r="F48" i="21"/>
  <c r="E48" i="21"/>
  <c r="G48" i="16"/>
  <c r="H48" i="16"/>
  <c r="I48" i="16"/>
  <c r="J48" i="16"/>
  <c r="K48" i="16"/>
  <c r="Z48" i="16"/>
  <c r="B49" i="21"/>
  <c r="B49" i="16"/>
  <c r="J49" i="21"/>
  <c r="I49" i="21"/>
  <c r="H49" i="21"/>
  <c r="G49" i="21"/>
  <c r="F49" i="21"/>
  <c r="E49" i="21"/>
  <c r="G49" i="16"/>
  <c r="H49" i="16"/>
  <c r="I49" i="16"/>
  <c r="J49" i="16"/>
  <c r="K49" i="16"/>
  <c r="Z49" i="16"/>
  <c r="B50" i="21"/>
  <c r="B50" i="16"/>
  <c r="J50" i="21"/>
  <c r="I50" i="21"/>
  <c r="H50" i="21"/>
  <c r="G50" i="21"/>
  <c r="F50" i="21"/>
  <c r="E50" i="21"/>
  <c r="G50" i="16"/>
  <c r="H50" i="16"/>
  <c r="I50" i="16"/>
  <c r="J50" i="16"/>
  <c r="K50" i="16"/>
  <c r="Z50" i="16"/>
  <c r="B51" i="21"/>
  <c r="B51" i="16"/>
  <c r="J51" i="21"/>
  <c r="I51" i="21"/>
  <c r="H51" i="21"/>
  <c r="G51" i="21"/>
  <c r="F51" i="21"/>
  <c r="E51" i="21"/>
  <c r="G51" i="16"/>
  <c r="H51" i="16"/>
  <c r="I51" i="16"/>
  <c r="J51" i="16"/>
  <c r="K51" i="16"/>
  <c r="Z51" i="16"/>
  <c r="B52" i="21"/>
  <c r="B52" i="16"/>
  <c r="J52" i="21"/>
  <c r="I52" i="21"/>
  <c r="H52" i="21"/>
  <c r="G52" i="21"/>
  <c r="F52" i="21"/>
  <c r="E52" i="21"/>
  <c r="G52" i="16"/>
  <c r="H52" i="16"/>
  <c r="I52" i="16"/>
  <c r="J52" i="16"/>
  <c r="K52" i="16"/>
  <c r="Z52" i="16"/>
  <c r="B53" i="21"/>
  <c r="B53" i="16"/>
  <c r="J53" i="21"/>
  <c r="I53" i="21"/>
  <c r="H53" i="21"/>
  <c r="G53" i="21"/>
  <c r="F53" i="21"/>
  <c r="E53" i="21"/>
  <c r="G53" i="16"/>
  <c r="H53" i="16"/>
  <c r="I53" i="16"/>
  <c r="J53" i="16"/>
  <c r="K53" i="16"/>
  <c r="Z53" i="16"/>
  <c r="B54" i="21"/>
  <c r="B54" i="16"/>
  <c r="J54" i="21"/>
  <c r="I54" i="21"/>
  <c r="H54" i="21"/>
  <c r="G54" i="21"/>
  <c r="F54" i="21"/>
  <c r="E54" i="21"/>
  <c r="G54" i="16"/>
  <c r="H54" i="16"/>
  <c r="I54" i="16"/>
  <c r="J54" i="16"/>
  <c r="K54" i="16"/>
  <c r="Z54" i="16"/>
  <c r="B55" i="21"/>
  <c r="B55" i="16"/>
  <c r="J55" i="21"/>
  <c r="I55" i="21"/>
  <c r="H55" i="21"/>
  <c r="G55" i="21"/>
  <c r="F55" i="21"/>
  <c r="E55" i="21"/>
  <c r="G55" i="16"/>
  <c r="H55" i="16"/>
  <c r="I55" i="16"/>
  <c r="J55" i="16"/>
  <c r="K55" i="16"/>
  <c r="Z55" i="16"/>
  <c r="B56" i="21"/>
  <c r="B56" i="16"/>
  <c r="J56" i="21"/>
  <c r="I56" i="21"/>
  <c r="H56" i="21"/>
  <c r="G56" i="21"/>
  <c r="F56" i="21"/>
  <c r="E56" i="21"/>
  <c r="G56" i="16"/>
  <c r="H56" i="16"/>
  <c r="I56" i="16"/>
  <c r="J56" i="16"/>
  <c r="K56" i="16"/>
  <c r="Z56" i="16"/>
  <c r="B57" i="21"/>
  <c r="B57" i="16"/>
  <c r="J57" i="21"/>
  <c r="I57" i="21"/>
  <c r="H57" i="21"/>
  <c r="G57" i="21"/>
  <c r="F57" i="21"/>
  <c r="E57" i="21"/>
  <c r="G57" i="16"/>
  <c r="H57" i="16"/>
  <c r="I57" i="16"/>
  <c r="J57" i="16"/>
  <c r="K57" i="16"/>
  <c r="Z57" i="16"/>
  <c r="B58" i="21"/>
  <c r="B58" i="16"/>
  <c r="J58" i="21"/>
  <c r="I58" i="21"/>
  <c r="H58" i="21"/>
  <c r="G58" i="21"/>
  <c r="F58" i="21"/>
  <c r="E58" i="21"/>
  <c r="G58" i="16"/>
  <c r="H58" i="16"/>
  <c r="I58" i="16"/>
  <c r="J58" i="16"/>
  <c r="K58" i="16"/>
  <c r="Z58" i="16"/>
  <c r="B59" i="21"/>
  <c r="B59" i="16"/>
  <c r="J59" i="21"/>
  <c r="I59" i="21"/>
  <c r="H59" i="21"/>
  <c r="G59" i="21"/>
  <c r="F59" i="21"/>
  <c r="Z59" i="16"/>
  <c r="B60" i="21"/>
  <c r="B60" i="16"/>
  <c r="J60" i="21"/>
  <c r="I60" i="21"/>
  <c r="H60" i="21"/>
  <c r="G60" i="21"/>
  <c r="F60" i="21"/>
  <c r="Z60" i="16"/>
  <c r="B61" i="21"/>
  <c r="B61" i="16"/>
  <c r="J61" i="21"/>
  <c r="I61" i="21"/>
  <c r="H61" i="21"/>
  <c r="G61" i="21"/>
  <c r="F61" i="21"/>
  <c r="Z61" i="16"/>
  <c r="B62" i="21"/>
  <c r="B62" i="16"/>
  <c r="J62" i="21"/>
  <c r="I62" i="21"/>
  <c r="H62" i="21"/>
  <c r="G62" i="21"/>
  <c r="F62" i="21"/>
  <c r="Z62" i="16"/>
  <c r="B63" i="21"/>
  <c r="B63" i="16"/>
  <c r="J63" i="21"/>
  <c r="I63" i="21"/>
  <c r="H63" i="21"/>
  <c r="G63" i="21"/>
  <c r="F63" i="21"/>
  <c r="Z63" i="16"/>
  <c r="B64" i="21"/>
  <c r="B64" i="16"/>
  <c r="J64" i="21"/>
  <c r="I64" i="21"/>
  <c r="H64" i="21"/>
  <c r="G64" i="21"/>
  <c r="F64" i="21"/>
  <c r="Z64" i="16"/>
  <c r="B65" i="21"/>
  <c r="B65" i="16"/>
  <c r="J65" i="21"/>
  <c r="I65" i="21"/>
  <c r="H65" i="21"/>
  <c r="G65" i="21"/>
  <c r="F65" i="21"/>
  <c r="Z65" i="16"/>
  <c r="B66" i="21"/>
  <c r="B66" i="16"/>
  <c r="J66" i="21"/>
  <c r="I66" i="21"/>
  <c r="H66" i="21"/>
  <c r="G66" i="21"/>
  <c r="F66" i="21"/>
  <c r="Z66" i="16"/>
  <c r="B67" i="21"/>
  <c r="B67" i="16"/>
  <c r="J67" i="21"/>
  <c r="I67" i="21"/>
  <c r="H67" i="21"/>
  <c r="G67" i="21"/>
  <c r="F67" i="21"/>
  <c r="Z67" i="16"/>
  <c r="B68" i="21"/>
  <c r="B68" i="16"/>
  <c r="J68" i="21"/>
  <c r="I68" i="21"/>
  <c r="H68" i="21"/>
  <c r="G68" i="21"/>
  <c r="F68" i="21"/>
  <c r="Z68" i="16"/>
  <c r="B69" i="21"/>
  <c r="B69" i="16"/>
  <c r="J69" i="21"/>
  <c r="I69" i="21"/>
  <c r="H69" i="21"/>
  <c r="G69" i="21"/>
  <c r="F69" i="21"/>
  <c r="Z69" i="16"/>
  <c r="B70" i="21"/>
  <c r="B70" i="16"/>
  <c r="J70" i="21"/>
  <c r="I70" i="21"/>
  <c r="H70" i="21"/>
  <c r="G70" i="21"/>
  <c r="F70" i="21"/>
  <c r="Z70" i="16"/>
  <c r="B71" i="21"/>
  <c r="B71" i="16"/>
  <c r="J71" i="21"/>
  <c r="I71" i="21"/>
  <c r="H71" i="21"/>
  <c r="G71" i="21"/>
  <c r="F71" i="21"/>
  <c r="Z71" i="16"/>
  <c r="B72" i="21"/>
  <c r="B72" i="16"/>
  <c r="J72" i="21"/>
  <c r="I72" i="21"/>
  <c r="H72" i="21"/>
  <c r="G72" i="21"/>
  <c r="F72" i="21"/>
  <c r="Z72" i="16"/>
  <c r="B73" i="21"/>
  <c r="B73" i="16"/>
  <c r="J73" i="21"/>
  <c r="I73" i="21"/>
  <c r="H73" i="21"/>
  <c r="G73" i="21"/>
  <c r="F73" i="21"/>
  <c r="Z73" i="16"/>
  <c r="B74" i="21"/>
  <c r="B74" i="16"/>
  <c r="J74" i="21"/>
  <c r="I74" i="21"/>
  <c r="H74" i="21"/>
  <c r="G74" i="21"/>
  <c r="F74" i="21"/>
  <c r="Z74" i="16"/>
  <c r="B75" i="21"/>
  <c r="B75" i="16"/>
  <c r="J75" i="21"/>
  <c r="I75" i="21"/>
  <c r="H75" i="21"/>
  <c r="G75" i="21"/>
  <c r="F75" i="21"/>
  <c r="Z75" i="16"/>
  <c r="B76" i="21"/>
  <c r="B76" i="16"/>
  <c r="J76" i="21"/>
  <c r="I76" i="21"/>
  <c r="H76" i="21"/>
  <c r="G76" i="21"/>
  <c r="F76" i="21"/>
  <c r="Z76" i="16"/>
  <c r="B77" i="21"/>
  <c r="B77" i="16"/>
  <c r="J77" i="21"/>
  <c r="I77" i="21"/>
  <c r="H77" i="21"/>
  <c r="G77" i="21"/>
  <c r="F77" i="21"/>
  <c r="Z77" i="16"/>
  <c r="B78" i="21"/>
  <c r="B78" i="16"/>
  <c r="J78" i="21"/>
  <c r="I78" i="21"/>
  <c r="H78" i="21"/>
  <c r="G78" i="21"/>
  <c r="F78" i="21"/>
  <c r="Z78" i="16"/>
  <c r="B79" i="21"/>
  <c r="B79" i="16"/>
  <c r="J79" i="21"/>
  <c r="I79" i="21"/>
  <c r="H79" i="21"/>
  <c r="G79" i="21"/>
  <c r="F79" i="21"/>
  <c r="Z79" i="16"/>
  <c r="B80" i="21"/>
  <c r="B80" i="16"/>
  <c r="J80" i="21"/>
  <c r="I80" i="21"/>
  <c r="H80" i="21"/>
  <c r="G80" i="21"/>
  <c r="F80" i="21"/>
  <c r="B81" i="21"/>
  <c r="B81" i="16"/>
  <c r="B82" i="21"/>
  <c r="B82" i="16"/>
  <c r="B83" i="21"/>
  <c r="B83" i="16"/>
  <c r="B84" i="21"/>
  <c r="B84" i="16"/>
  <c r="B85" i="21"/>
  <c r="B85" i="16"/>
  <c r="B86" i="21"/>
  <c r="B86" i="16"/>
  <c r="B87" i="21"/>
  <c r="B87" i="16"/>
  <c r="B88" i="21"/>
  <c r="B88" i="16"/>
  <c r="B89" i="21"/>
  <c r="B89" i="16"/>
  <c r="B90" i="21"/>
  <c r="B90" i="16"/>
  <c r="B91" i="21"/>
  <c r="B91" i="16"/>
  <c r="B92" i="21"/>
  <c r="B92" i="16"/>
  <c r="B93" i="21"/>
  <c r="B93" i="16"/>
  <c r="B94" i="21"/>
  <c r="B94" i="16"/>
  <c r="B95" i="21"/>
  <c r="B95" i="16"/>
  <c r="B96" i="21"/>
  <c r="B96" i="16"/>
  <c r="B97" i="21"/>
  <c r="B97" i="16"/>
  <c r="B98" i="21"/>
  <c r="B98" i="16"/>
  <c r="B99" i="21"/>
  <c r="B99" i="16"/>
  <c r="B100" i="21"/>
  <c r="B100" i="16"/>
  <c r="B101" i="21"/>
  <c r="B101" i="16"/>
  <c r="B102" i="21"/>
  <c r="B102" i="16"/>
  <c r="B103" i="21"/>
  <c r="B103" i="16"/>
  <c r="B104" i="21"/>
  <c r="B104" i="16"/>
  <c r="B105" i="21"/>
  <c r="B105" i="16"/>
  <c r="B106" i="21"/>
  <c r="B106" i="16"/>
  <c r="B107" i="21"/>
  <c r="B107" i="16"/>
  <c r="B108" i="21"/>
  <c r="B108" i="16"/>
  <c r="B109" i="21"/>
  <c r="B109" i="16"/>
  <c r="B110" i="21"/>
  <c r="B110" i="16"/>
  <c r="B111" i="21"/>
  <c r="B111" i="16"/>
  <c r="B112" i="21"/>
  <c r="B112" i="16"/>
  <c r="B113" i="21"/>
  <c r="B113" i="16"/>
  <c r="B114" i="21"/>
  <c r="B114" i="16"/>
  <c r="B115" i="21"/>
  <c r="B115" i="16"/>
  <c r="B116" i="21"/>
  <c r="B116" i="16"/>
  <c r="B117" i="21"/>
  <c r="B117" i="16"/>
  <c r="B118" i="21"/>
  <c r="B118" i="16"/>
  <c r="B119" i="21"/>
  <c r="B119" i="16"/>
  <c r="B120" i="21"/>
  <c r="B120" i="16"/>
  <c r="B121" i="21"/>
  <c r="B121" i="16"/>
  <c r="B122" i="21"/>
  <c r="B122" i="16"/>
  <c r="B123" i="21"/>
  <c r="B123" i="16"/>
  <c r="B124" i="21"/>
  <c r="B124" i="16"/>
  <c r="B125" i="21"/>
  <c r="B125" i="16"/>
  <c r="B126" i="21"/>
  <c r="B126" i="16"/>
  <c r="B127" i="21"/>
  <c r="B127" i="16"/>
  <c r="B128" i="21"/>
  <c r="B128" i="16"/>
  <c r="B129" i="21"/>
  <c r="B129" i="16"/>
  <c r="B130" i="21"/>
  <c r="B130" i="16"/>
  <c r="B131" i="21"/>
  <c r="B131" i="16"/>
  <c r="B132" i="21"/>
  <c r="B132" i="16"/>
  <c r="B133" i="21"/>
  <c r="B133" i="16"/>
  <c r="B134" i="21"/>
  <c r="B134" i="16"/>
  <c r="B135" i="21"/>
  <c r="B135" i="16"/>
  <c r="B136" i="21"/>
  <c r="B136" i="16"/>
  <c r="B137" i="21"/>
  <c r="B137" i="16"/>
  <c r="B138" i="21"/>
  <c r="B138" i="16"/>
  <c r="B139" i="21"/>
  <c r="B139" i="16"/>
  <c r="B140" i="21"/>
  <c r="B140" i="16"/>
  <c r="B141" i="21"/>
  <c r="B141" i="16"/>
  <c r="B142" i="21"/>
  <c r="B142" i="16"/>
  <c r="B143" i="21"/>
  <c r="B143" i="16"/>
  <c r="B144" i="21"/>
  <c r="B144" i="16"/>
  <c r="B145" i="21"/>
  <c r="B145" i="16"/>
  <c r="B146" i="21"/>
  <c r="B146" i="16"/>
  <c r="B147" i="21"/>
  <c r="B147" i="16"/>
  <c r="B148" i="21"/>
  <c r="B148" i="16"/>
  <c r="B149" i="21"/>
  <c r="B149" i="16"/>
  <c r="B150" i="21"/>
  <c r="B150" i="16"/>
  <c r="B151" i="21"/>
  <c r="B151" i="16"/>
  <c r="B152" i="21"/>
  <c r="B152" i="16"/>
  <c r="B153" i="21"/>
  <c r="B153" i="16"/>
  <c r="B154" i="21"/>
  <c r="B154" i="16"/>
  <c r="B155" i="21"/>
  <c r="B155" i="16"/>
  <c r="B156" i="21"/>
  <c r="B156" i="16"/>
  <c r="B157" i="21"/>
  <c r="B157" i="16"/>
  <c r="B158" i="21"/>
  <c r="B158" i="16"/>
  <c r="B159" i="21"/>
  <c r="B159" i="16"/>
  <c r="B160" i="21"/>
  <c r="B160" i="16"/>
  <c r="B161" i="21"/>
  <c r="B161" i="16"/>
  <c r="B162" i="21"/>
  <c r="B162" i="16"/>
  <c r="B163" i="21"/>
  <c r="B163" i="16"/>
  <c r="B164" i="21"/>
  <c r="B164" i="16"/>
  <c r="B165" i="21"/>
  <c r="B165" i="16"/>
  <c r="B166" i="21"/>
  <c r="B166" i="16"/>
  <c r="B167" i="21"/>
  <c r="B167" i="16"/>
  <c r="B168" i="21"/>
  <c r="B168" i="16"/>
  <c r="B169" i="21"/>
  <c r="B169" i="16"/>
  <c r="B170" i="21"/>
  <c r="B170" i="16"/>
  <c r="B171" i="21"/>
  <c r="B171" i="16"/>
  <c r="B172" i="21"/>
  <c r="B172" i="16"/>
  <c r="B173" i="21"/>
  <c r="B173" i="16"/>
  <c r="B174" i="21"/>
  <c r="B174" i="16"/>
  <c r="B175" i="21"/>
  <c r="B175" i="16"/>
  <c r="B176" i="21"/>
  <c r="B176" i="16"/>
  <c r="B177" i="21"/>
  <c r="B177" i="16"/>
  <c r="B178" i="21"/>
  <c r="B178" i="16"/>
  <c r="B179" i="21"/>
  <c r="B179" i="16"/>
  <c r="B180" i="21"/>
  <c r="B180" i="16"/>
  <c r="B181" i="21"/>
  <c r="B181" i="16"/>
  <c r="B182" i="21"/>
  <c r="B182" i="16"/>
  <c r="B183" i="21"/>
  <c r="B183" i="16"/>
  <c r="B184" i="21"/>
  <c r="B184" i="16"/>
  <c r="B185" i="21"/>
  <c r="B185" i="16"/>
  <c r="B186" i="21"/>
  <c r="B186" i="16"/>
  <c r="B187" i="21"/>
  <c r="B187" i="16"/>
  <c r="AA124" i="16"/>
  <c r="AA125" i="16"/>
  <c r="AA126" i="16"/>
  <c r="AA127" i="16"/>
  <c r="AA128" i="16"/>
  <c r="AA129" i="16"/>
  <c r="AA130" i="16"/>
  <c r="AA131" i="16"/>
  <c r="AA132" i="16"/>
  <c r="AA133" i="16"/>
  <c r="AA134" i="16"/>
  <c r="AA135" i="16"/>
  <c r="AA136" i="16"/>
  <c r="AA137" i="16"/>
  <c r="AA138" i="16"/>
  <c r="AA139" i="16"/>
  <c r="AA140" i="16"/>
  <c r="AA141" i="16"/>
  <c r="AA142" i="16"/>
  <c r="AA143" i="16"/>
  <c r="AA144" i="16"/>
  <c r="AA145" i="16"/>
  <c r="AA146" i="16"/>
  <c r="AA147" i="16"/>
  <c r="AA148" i="16"/>
  <c r="AA149" i="16"/>
  <c r="AA150" i="16"/>
  <c r="AA151" i="16"/>
  <c r="AA152" i="16"/>
  <c r="AA153" i="16"/>
  <c r="AA154" i="16"/>
  <c r="AA155" i="16"/>
  <c r="AA156" i="16"/>
  <c r="AA157" i="16"/>
  <c r="AA158" i="16"/>
  <c r="AA159" i="16"/>
  <c r="AA160" i="16"/>
  <c r="AA161" i="16"/>
  <c r="AA162" i="16"/>
  <c r="AA163" i="16"/>
  <c r="AA164" i="16"/>
  <c r="AA165" i="16"/>
  <c r="AA166" i="16"/>
  <c r="AA167" i="16"/>
  <c r="AA168" i="16"/>
  <c r="AA169" i="16"/>
  <c r="AA170" i="16"/>
  <c r="AA171" i="16"/>
  <c r="AA172" i="16"/>
  <c r="AA173" i="16"/>
  <c r="AA174" i="16"/>
  <c r="AA175" i="16"/>
  <c r="AA176" i="16"/>
  <c r="AA177" i="16"/>
  <c r="AA178" i="16"/>
  <c r="AA179" i="16"/>
  <c r="AA180" i="16"/>
  <c r="AA181" i="16"/>
  <c r="AA182" i="16"/>
  <c r="AA183" i="16"/>
  <c r="AA184" i="16"/>
  <c r="AA185" i="16"/>
  <c r="AA186" i="16"/>
  <c r="X4" i="16"/>
  <c r="X3" i="16"/>
  <c r="Y4" i="16"/>
  <c r="X5" i="16"/>
  <c r="Y5" i="16"/>
  <c r="X6" i="16"/>
  <c r="Y6" i="16"/>
  <c r="X7" i="16"/>
  <c r="Y7" i="16"/>
  <c r="X8" i="16"/>
  <c r="Y8" i="16"/>
  <c r="X9" i="16"/>
  <c r="Y9" i="16"/>
  <c r="X10" i="16"/>
  <c r="Y10" i="16"/>
  <c r="X11" i="16"/>
  <c r="Y11" i="16"/>
  <c r="X12" i="16"/>
  <c r="Y12" i="16"/>
  <c r="X13" i="16"/>
  <c r="Y13" i="16"/>
  <c r="X14" i="16"/>
  <c r="Y14" i="16"/>
  <c r="X15" i="16"/>
  <c r="Y15" i="16"/>
  <c r="X16" i="16"/>
  <c r="Y16" i="16"/>
  <c r="X17" i="16"/>
  <c r="Y17" i="16"/>
  <c r="X18" i="16"/>
  <c r="Y18" i="16"/>
  <c r="X19" i="16"/>
  <c r="Y19" i="16"/>
  <c r="X20" i="16"/>
  <c r="Y20" i="16"/>
  <c r="X21" i="16"/>
  <c r="Y21" i="16"/>
  <c r="X22" i="16"/>
  <c r="Y22" i="16"/>
  <c r="X23" i="16"/>
  <c r="Y23" i="16"/>
  <c r="X24" i="16"/>
  <c r="Y24" i="16"/>
  <c r="X25" i="16"/>
  <c r="Y25" i="16"/>
  <c r="X26" i="16"/>
  <c r="Y26" i="16"/>
  <c r="X27" i="16"/>
  <c r="Y27" i="16"/>
  <c r="X28" i="16"/>
  <c r="Y28" i="16"/>
  <c r="X29" i="16"/>
  <c r="Y29" i="16"/>
  <c r="X30" i="16"/>
  <c r="Y30" i="16"/>
  <c r="X31" i="16"/>
  <c r="Y31" i="16"/>
  <c r="X32" i="16"/>
  <c r="Y32" i="16"/>
  <c r="X33" i="16"/>
  <c r="Y33" i="16"/>
  <c r="X34" i="16"/>
  <c r="Y34" i="16"/>
  <c r="X35" i="16"/>
  <c r="Y35" i="16"/>
  <c r="X36" i="16"/>
  <c r="Y36" i="16"/>
  <c r="X37" i="16"/>
  <c r="Y37" i="16"/>
  <c r="X38" i="16"/>
  <c r="Y38" i="16"/>
  <c r="X39" i="16"/>
  <c r="Y39" i="16"/>
  <c r="X40" i="16"/>
  <c r="Y40" i="16"/>
  <c r="X41" i="16"/>
  <c r="Y41" i="16"/>
  <c r="X42" i="16"/>
  <c r="Y42" i="16"/>
  <c r="X43" i="16"/>
  <c r="Y43" i="16"/>
  <c r="X44" i="16"/>
  <c r="Y44" i="16"/>
  <c r="X45" i="16"/>
  <c r="Y45" i="16"/>
  <c r="X46" i="16"/>
  <c r="Y46" i="16"/>
  <c r="X47" i="16"/>
  <c r="Y47" i="16"/>
  <c r="X48" i="16"/>
  <c r="Y48" i="16"/>
  <c r="X49" i="16"/>
  <c r="Y49" i="16"/>
  <c r="X50" i="16"/>
  <c r="Y50" i="16"/>
  <c r="X51" i="16"/>
  <c r="Y51" i="16"/>
  <c r="X52" i="16"/>
  <c r="Y52" i="16"/>
  <c r="X53" i="16"/>
  <c r="Y53" i="16"/>
  <c r="X54" i="16"/>
  <c r="Y54" i="16"/>
  <c r="X55" i="16"/>
  <c r="Y55" i="16"/>
  <c r="X56" i="16"/>
  <c r="Y56" i="16"/>
  <c r="X57" i="16"/>
  <c r="Y57" i="16"/>
  <c r="X58" i="16"/>
  <c r="Y58" i="16"/>
  <c r="X59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3" i="16"/>
  <c r="R14" i="16"/>
  <c r="R4" i="16"/>
  <c r="R5" i="16"/>
  <c r="R6" i="16"/>
  <c r="R7" i="16"/>
  <c r="R8" i="16"/>
  <c r="R9" i="16"/>
  <c r="R10" i="16"/>
  <c r="R11" i="16"/>
  <c r="R12" i="16"/>
  <c r="R13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3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82" i="16"/>
  <c r="T183" i="16"/>
  <c r="T184" i="16"/>
  <c r="T185" i="16"/>
  <c r="T186" i="16"/>
  <c r="T187" i="16"/>
  <c r="T4" i="16"/>
  <c r="T3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V2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0" i="16"/>
  <c r="V71" i="16"/>
  <c r="V72" i="16"/>
  <c r="V73" i="16"/>
  <c r="V74" i="16"/>
  <c r="V75" i="16"/>
  <c r="V76" i="16"/>
  <c r="V77" i="16"/>
  <c r="V78" i="16"/>
  <c r="V79" i="16"/>
  <c r="W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20" i="16"/>
  <c r="W121" i="16"/>
  <c r="W122" i="16"/>
  <c r="W123" i="16"/>
  <c r="W124" i="16"/>
  <c r="W125" i="16"/>
  <c r="W126" i="16"/>
  <c r="W127" i="16"/>
  <c r="W128" i="16"/>
  <c r="W129" i="16"/>
  <c r="W130" i="16"/>
  <c r="W131" i="16"/>
  <c r="W132" i="16"/>
  <c r="W133" i="16"/>
  <c r="W134" i="16"/>
  <c r="W135" i="16"/>
  <c r="W136" i="16"/>
  <c r="W137" i="16"/>
  <c r="W138" i="16"/>
  <c r="W139" i="16"/>
  <c r="W140" i="16"/>
  <c r="W141" i="16"/>
  <c r="W142" i="16"/>
  <c r="W143" i="16"/>
  <c r="W144" i="16"/>
  <c r="W145" i="16"/>
  <c r="W146" i="16"/>
  <c r="W147" i="16"/>
  <c r="W148" i="16"/>
  <c r="W149" i="16"/>
  <c r="W150" i="16"/>
  <c r="W151" i="16"/>
  <c r="W152" i="16"/>
  <c r="W153" i="16"/>
  <c r="W154" i="16"/>
  <c r="W155" i="16"/>
  <c r="W156" i="16"/>
  <c r="W157" i="16"/>
  <c r="W158" i="16"/>
  <c r="W159" i="16"/>
  <c r="W160" i="16"/>
  <c r="W161" i="16"/>
  <c r="W162" i="16"/>
  <c r="W163" i="16"/>
  <c r="W164" i="16"/>
  <c r="W165" i="16"/>
  <c r="W166" i="16"/>
  <c r="W167" i="16"/>
  <c r="W168" i="16"/>
  <c r="W169" i="16"/>
  <c r="W170" i="16"/>
  <c r="W171" i="16"/>
  <c r="W172" i="16"/>
  <c r="W173" i="16"/>
  <c r="W174" i="16"/>
  <c r="W175" i="16"/>
  <c r="W176" i="16"/>
  <c r="W177" i="16"/>
  <c r="W178" i="16"/>
  <c r="W179" i="16"/>
  <c r="W180" i="16"/>
  <c r="W181" i="16"/>
  <c r="W182" i="16"/>
  <c r="W183" i="16"/>
  <c r="W184" i="16"/>
  <c r="W185" i="16"/>
  <c r="W186" i="16"/>
  <c r="W187" i="16"/>
  <c r="Q22" i="16"/>
  <c r="AC22" i="16"/>
  <c r="Q29" i="16"/>
  <c r="AC29" i="16"/>
  <c r="J81" i="21"/>
  <c r="I81" i="21"/>
  <c r="H81" i="21"/>
  <c r="G81" i="21"/>
  <c r="F81" i="21"/>
  <c r="J82" i="21"/>
  <c r="I82" i="21"/>
  <c r="H82" i="21"/>
  <c r="G82" i="21"/>
  <c r="F82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258" i="21"/>
  <c r="B259" i="21"/>
  <c r="B260" i="21"/>
  <c r="B261" i="21"/>
  <c r="B262" i="21"/>
  <c r="B263" i="21"/>
  <c r="B264" i="21"/>
  <c r="B265" i="21"/>
  <c r="B266" i="21"/>
  <c r="B267" i="21"/>
  <c r="B268" i="21"/>
  <c r="B269" i="21"/>
  <c r="B270" i="21"/>
  <c r="B271" i="21"/>
  <c r="B272" i="21"/>
  <c r="B273" i="21"/>
  <c r="B274" i="21"/>
  <c r="B275" i="21"/>
  <c r="B276" i="21"/>
  <c r="B277" i="21"/>
  <c r="B278" i="21"/>
  <c r="B279" i="21"/>
  <c r="B280" i="21"/>
  <c r="B281" i="21"/>
  <c r="B282" i="21"/>
  <c r="B283" i="21"/>
  <c r="B284" i="21"/>
  <c r="B285" i="21"/>
  <c r="B286" i="21"/>
  <c r="B287" i="21"/>
  <c r="B288" i="21"/>
  <c r="B289" i="21"/>
  <c r="B290" i="21"/>
  <c r="B291" i="21"/>
  <c r="B292" i="21"/>
  <c r="B293" i="21"/>
  <c r="B294" i="21"/>
  <c r="B295" i="21"/>
  <c r="B296" i="21"/>
  <c r="B297" i="21"/>
  <c r="B298" i="21"/>
  <c r="B299" i="21"/>
  <c r="B300" i="21"/>
  <c r="B301" i="21"/>
  <c r="B302" i="21"/>
  <c r="B303" i="21"/>
  <c r="B304" i="21"/>
  <c r="B305" i="21"/>
  <c r="B306" i="21"/>
  <c r="B307" i="21"/>
  <c r="B308" i="21"/>
  <c r="B309" i="21"/>
  <c r="B310" i="21"/>
  <c r="B311" i="21"/>
  <c r="B312" i="21"/>
  <c r="B313" i="21"/>
  <c r="B314" i="21"/>
  <c r="B315" i="21"/>
  <c r="B316" i="21"/>
  <c r="B317" i="21"/>
  <c r="B318" i="21"/>
  <c r="B319" i="21"/>
  <c r="B320" i="21"/>
  <c r="B321" i="21"/>
  <c r="B322" i="21"/>
  <c r="B323" i="21"/>
  <c r="B324" i="21"/>
  <c r="B325" i="21"/>
  <c r="B326" i="21"/>
  <c r="B327" i="21"/>
  <c r="B328" i="21"/>
  <c r="B329" i="21"/>
  <c r="B330" i="21"/>
  <c r="B331" i="21"/>
  <c r="B332" i="21"/>
  <c r="B333" i="21"/>
  <c r="B334" i="21"/>
  <c r="B335" i="21"/>
  <c r="B336" i="21"/>
  <c r="B337" i="21"/>
  <c r="B338" i="21"/>
  <c r="B339" i="21"/>
  <c r="B340" i="21"/>
  <c r="B341" i="21"/>
  <c r="B342" i="21"/>
  <c r="B343" i="21"/>
  <c r="B344" i="21"/>
  <c r="B345" i="21"/>
  <c r="B346" i="21"/>
  <c r="B347" i="21"/>
  <c r="B348" i="21"/>
  <c r="B349" i="21"/>
  <c r="B350" i="21"/>
  <c r="B351" i="21"/>
  <c r="B352" i="21"/>
  <c r="B353" i="21"/>
  <c r="B354" i="21"/>
  <c r="B355" i="21"/>
  <c r="B356" i="21"/>
  <c r="B357" i="21"/>
  <c r="B358" i="21"/>
  <c r="B359" i="21"/>
  <c r="B360" i="21"/>
  <c r="B361" i="21"/>
  <c r="B362" i="21"/>
  <c r="B363" i="21"/>
  <c r="B364" i="21"/>
  <c r="B365" i="21"/>
  <c r="B366" i="21"/>
  <c r="B367" i="21"/>
  <c r="B368" i="21"/>
  <c r="B369" i="21"/>
  <c r="B370" i="21"/>
  <c r="B371" i="21"/>
  <c r="B372" i="21"/>
  <c r="B373" i="21"/>
  <c r="B374" i="21"/>
  <c r="B375" i="21"/>
  <c r="B376" i="21"/>
  <c r="B377" i="21"/>
  <c r="B378" i="21"/>
  <c r="B379" i="21"/>
  <c r="B380" i="21"/>
  <c r="B381" i="21"/>
  <c r="B382" i="21"/>
  <c r="B383" i="21"/>
  <c r="B384" i="21"/>
  <c r="B385" i="21"/>
  <c r="B386" i="21"/>
  <c r="B387" i="21"/>
  <c r="B388" i="21"/>
  <c r="B389" i="21"/>
  <c r="B390" i="21"/>
  <c r="B391" i="21"/>
  <c r="B392" i="21"/>
  <c r="B393" i="21"/>
  <c r="B394" i="21"/>
  <c r="B395" i="21"/>
  <c r="B396" i="21"/>
  <c r="B397" i="21"/>
  <c r="B398" i="21"/>
  <c r="B399" i="21"/>
  <c r="B400" i="21"/>
  <c r="B401" i="21"/>
  <c r="B402" i="21"/>
  <c r="B403" i="21"/>
  <c r="B404" i="21"/>
  <c r="B405" i="21"/>
  <c r="B406" i="21"/>
  <c r="B407" i="21"/>
  <c r="B408" i="21"/>
  <c r="B409" i="21"/>
  <c r="B410" i="21"/>
  <c r="B411" i="21"/>
  <c r="B412" i="21"/>
  <c r="B413" i="21"/>
  <c r="B414" i="21"/>
  <c r="B415" i="21"/>
  <c r="B416" i="21"/>
  <c r="B417" i="21"/>
  <c r="B418" i="21"/>
  <c r="B419" i="21"/>
  <c r="B420" i="21"/>
  <c r="B421" i="21"/>
  <c r="B422" i="21"/>
  <c r="B423" i="21"/>
  <c r="B424" i="21"/>
  <c r="B425" i="21"/>
  <c r="B426" i="21"/>
  <c r="B427" i="21"/>
  <c r="B428" i="21"/>
  <c r="B429" i="21"/>
  <c r="B430" i="21"/>
  <c r="B431" i="21"/>
  <c r="B432" i="21"/>
  <c r="B433" i="21"/>
  <c r="B434" i="21"/>
  <c r="B435" i="21"/>
  <c r="B436" i="21"/>
  <c r="B437" i="21"/>
  <c r="B438" i="21"/>
  <c r="B439" i="21"/>
  <c r="B440" i="21"/>
  <c r="B441" i="21"/>
  <c r="B442" i="21"/>
  <c r="B443" i="21"/>
  <c r="B444" i="21"/>
  <c r="B445" i="21"/>
  <c r="B446" i="21"/>
  <c r="B447" i="21"/>
  <c r="B448" i="21"/>
  <c r="B449" i="21"/>
  <c r="B450" i="21"/>
  <c r="B451" i="21"/>
  <c r="B452" i="21"/>
  <c r="B453" i="21"/>
  <c r="B454" i="21"/>
  <c r="B455" i="21"/>
  <c r="B456" i="21"/>
  <c r="B457" i="21"/>
  <c r="B458" i="21"/>
  <c r="B459" i="21"/>
  <c r="B460" i="21"/>
  <c r="B461" i="21"/>
  <c r="B462" i="21"/>
  <c r="B463" i="21"/>
  <c r="B464" i="21"/>
  <c r="B465" i="21"/>
  <c r="B466" i="21"/>
  <c r="B467" i="21"/>
  <c r="B468" i="21"/>
  <c r="B469" i="21"/>
  <c r="B470" i="21"/>
  <c r="B471" i="21"/>
  <c r="B472" i="21"/>
  <c r="B473" i="21"/>
  <c r="B474" i="21"/>
  <c r="B475" i="21"/>
  <c r="B476" i="21"/>
  <c r="B477" i="21"/>
  <c r="B478" i="21"/>
  <c r="B479" i="21"/>
  <c r="B480" i="21"/>
  <c r="B481" i="21"/>
  <c r="B482" i="21"/>
  <c r="B483" i="21"/>
  <c r="B484" i="21"/>
  <c r="B485" i="21"/>
  <c r="B486" i="21"/>
  <c r="B487" i="21"/>
  <c r="B488" i="21"/>
  <c r="B489" i="21"/>
  <c r="B490" i="21"/>
  <c r="B491" i="21"/>
  <c r="B492" i="21"/>
  <c r="B493" i="21"/>
  <c r="B494" i="21"/>
  <c r="B495" i="21"/>
  <c r="B496" i="21"/>
  <c r="B497" i="21"/>
  <c r="B498" i="21"/>
  <c r="B499" i="21"/>
  <c r="B500" i="21"/>
  <c r="B501" i="21"/>
  <c r="B502" i="21"/>
  <c r="B503" i="21"/>
  <c r="B504" i="21"/>
  <c r="B505" i="21"/>
  <c r="B506" i="21"/>
  <c r="B507" i="21"/>
  <c r="B508" i="21"/>
  <c r="B509" i="21"/>
  <c r="B510" i="21"/>
  <c r="B511" i="21"/>
  <c r="B512" i="21"/>
  <c r="B513" i="21"/>
  <c r="B514" i="21"/>
  <c r="B515" i="21"/>
  <c r="B516" i="21"/>
  <c r="B517" i="21"/>
  <c r="B518" i="21"/>
  <c r="B519" i="21"/>
  <c r="B520" i="21"/>
  <c r="B521" i="21"/>
  <c r="B522" i="21"/>
  <c r="B523" i="21"/>
  <c r="B524" i="21"/>
  <c r="B525" i="21"/>
  <c r="B526" i="21"/>
  <c r="B527" i="21"/>
  <c r="B528" i="21"/>
  <c r="B529" i="21"/>
  <c r="B530" i="21"/>
  <c r="B531" i="21"/>
  <c r="B532" i="21"/>
  <c r="B533" i="21"/>
  <c r="B534" i="21"/>
  <c r="B535" i="21"/>
  <c r="B536" i="21"/>
  <c r="B537" i="21"/>
  <c r="B538" i="21"/>
  <c r="B539" i="21"/>
  <c r="B540" i="21"/>
  <c r="B541" i="21"/>
  <c r="B542" i="21"/>
  <c r="B543" i="21"/>
  <c r="B544" i="21"/>
  <c r="B545" i="21"/>
  <c r="B546" i="21"/>
  <c r="B547" i="21"/>
  <c r="B548" i="21"/>
  <c r="B549" i="21"/>
  <c r="B550" i="21"/>
  <c r="B551" i="21"/>
  <c r="B552" i="21"/>
  <c r="B553" i="21"/>
  <c r="B554" i="21"/>
  <c r="B555" i="21"/>
  <c r="B556" i="21"/>
  <c r="B557" i="21"/>
  <c r="B558" i="21"/>
  <c r="B559" i="21"/>
  <c r="B560" i="21"/>
  <c r="B561" i="21"/>
  <c r="B562" i="21"/>
  <c r="B563" i="21"/>
  <c r="B564" i="21"/>
  <c r="B565" i="21"/>
  <c r="B566" i="21"/>
  <c r="B567" i="21"/>
  <c r="B568" i="21"/>
  <c r="B569" i="21"/>
  <c r="B570" i="21"/>
  <c r="B571" i="21"/>
  <c r="B572" i="21"/>
  <c r="B573" i="21"/>
  <c r="B574" i="21"/>
  <c r="B575" i="21"/>
  <c r="B576" i="21"/>
  <c r="B577" i="21"/>
  <c r="B578" i="21"/>
  <c r="B579" i="21"/>
  <c r="B580" i="21"/>
  <c r="B581" i="21"/>
  <c r="B582" i="21"/>
  <c r="B583" i="21"/>
  <c r="B584" i="21"/>
  <c r="B585" i="21"/>
  <c r="B586" i="21"/>
  <c r="B587" i="21"/>
  <c r="B588" i="21"/>
  <c r="B589" i="21"/>
  <c r="B590" i="21"/>
  <c r="B591" i="21"/>
  <c r="B592" i="21"/>
  <c r="B593" i="21"/>
  <c r="B594" i="21"/>
  <c r="B595" i="21"/>
  <c r="B596" i="21"/>
  <c r="B597" i="21"/>
  <c r="B598" i="21"/>
  <c r="B599" i="21"/>
  <c r="B600" i="21"/>
  <c r="E600" i="21"/>
  <c r="C2" i="16"/>
  <c r="AB2" i="16"/>
  <c r="AB3" i="16"/>
  <c r="C3" i="16"/>
  <c r="AB4" i="16"/>
  <c r="C4" i="16"/>
  <c r="AB5" i="16"/>
  <c r="C5" i="16"/>
  <c r="AB6" i="16"/>
  <c r="C6" i="16"/>
  <c r="AB7" i="16"/>
  <c r="C7" i="16"/>
  <c r="AB8" i="16"/>
  <c r="C8" i="16"/>
  <c r="AB9" i="16"/>
  <c r="C9" i="16"/>
  <c r="AB10" i="16"/>
  <c r="C10" i="16"/>
  <c r="AB11" i="16"/>
  <c r="C11" i="16"/>
  <c r="AB12" i="16"/>
  <c r="C12" i="16"/>
  <c r="AB13" i="16"/>
  <c r="C13" i="16"/>
  <c r="AB14" i="16"/>
  <c r="C14" i="16"/>
  <c r="AB15" i="16"/>
  <c r="C15" i="16"/>
  <c r="AB16" i="16"/>
  <c r="C16" i="16"/>
  <c r="AB17" i="16"/>
  <c r="C17" i="16"/>
  <c r="AB18" i="16"/>
  <c r="C18" i="16"/>
  <c r="AB19" i="16"/>
  <c r="C19" i="16"/>
  <c r="AB20" i="16"/>
  <c r="C20" i="16"/>
  <c r="AB21" i="16"/>
  <c r="C21" i="16"/>
  <c r="AB22" i="16"/>
  <c r="C22" i="16"/>
  <c r="AB23" i="16"/>
  <c r="C23" i="16"/>
  <c r="AB24" i="16"/>
  <c r="C24" i="16"/>
  <c r="AB25" i="16"/>
  <c r="C25" i="16"/>
  <c r="AB26" i="16"/>
  <c r="C26" i="16"/>
  <c r="AB27" i="16"/>
  <c r="C27" i="16"/>
  <c r="AB28" i="16"/>
  <c r="C28" i="16"/>
  <c r="AB29" i="16"/>
  <c r="C29" i="16"/>
  <c r="AB30" i="16"/>
  <c r="C30" i="16"/>
  <c r="AB31" i="16"/>
  <c r="C31" i="16"/>
  <c r="AB32" i="16"/>
  <c r="C32" i="16"/>
  <c r="AB33" i="16"/>
  <c r="C33" i="16"/>
  <c r="AB34" i="16"/>
  <c r="C34" i="16"/>
  <c r="AB35" i="16"/>
  <c r="C35" i="16"/>
  <c r="AB36" i="16"/>
  <c r="C36" i="16"/>
  <c r="AB37" i="16"/>
  <c r="C37" i="16"/>
  <c r="AB38" i="16"/>
  <c r="C38" i="16"/>
  <c r="AB39" i="16"/>
  <c r="C39" i="16"/>
  <c r="AB40" i="16"/>
  <c r="C40" i="16"/>
  <c r="AB41" i="16"/>
  <c r="C41" i="16"/>
  <c r="AB42" i="16"/>
  <c r="C42" i="16"/>
  <c r="AB43" i="16"/>
  <c r="C43" i="16"/>
  <c r="AB44" i="16"/>
  <c r="C44" i="16"/>
  <c r="AB45" i="16"/>
  <c r="C45" i="16"/>
  <c r="AB46" i="16"/>
  <c r="C46" i="16"/>
  <c r="AB47" i="16"/>
  <c r="C47" i="16"/>
  <c r="AB48" i="16"/>
  <c r="C48" i="16"/>
  <c r="AB49" i="16"/>
  <c r="C49" i="16"/>
  <c r="AB50" i="16"/>
  <c r="C50" i="16"/>
  <c r="AB51" i="16"/>
  <c r="C51" i="16"/>
  <c r="AB52" i="16"/>
  <c r="C52" i="16"/>
  <c r="AB53" i="16"/>
  <c r="C53" i="16"/>
  <c r="AB54" i="16"/>
  <c r="C54" i="16"/>
  <c r="AB55" i="16"/>
  <c r="C55" i="16"/>
  <c r="AB56" i="16"/>
  <c r="C56" i="16"/>
  <c r="AB57" i="16"/>
  <c r="C57" i="16"/>
  <c r="AB58" i="16"/>
  <c r="C58" i="16"/>
  <c r="AB59" i="16"/>
  <c r="C59" i="16"/>
  <c r="AB60" i="16"/>
  <c r="C60" i="16"/>
  <c r="AB61" i="16"/>
  <c r="C61" i="16"/>
  <c r="AB62" i="16"/>
  <c r="C62" i="16"/>
  <c r="AB63" i="16"/>
  <c r="C63" i="16"/>
  <c r="AB64" i="16"/>
  <c r="C64" i="16"/>
  <c r="AB65" i="16"/>
  <c r="C65" i="16"/>
  <c r="AB66" i="16"/>
  <c r="C66" i="16"/>
  <c r="AB67" i="16"/>
  <c r="C67" i="16"/>
  <c r="AB68" i="16"/>
  <c r="C68" i="16"/>
  <c r="AB69" i="16"/>
  <c r="C69" i="16"/>
  <c r="AB70" i="16"/>
  <c r="C70" i="16"/>
  <c r="AB71" i="16"/>
  <c r="C71" i="16"/>
  <c r="AB72" i="16"/>
  <c r="C72" i="16"/>
  <c r="AB73" i="16"/>
  <c r="C73" i="16"/>
  <c r="AB74" i="16"/>
  <c r="C74" i="16"/>
  <c r="AB75" i="16"/>
  <c r="C75" i="16"/>
  <c r="AB76" i="16"/>
  <c r="C76" i="16"/>
  <c r="AB77" i="16"/>
  <c r="C77" i="16"/>
  <c r="AB78" i="16"/>
  <c r="C78" i="16"/>
  <c r="AB79" i="16"/>
  <c r="C79" i="16"/>
  <c r="AB80" i="16"/>
  <c r="C80" i="16"/>
  <c r="I81" i="16"/>
  <c r="J81" i="16"/>
  <c r="K81" i="16"/>
  <c r="AB81" i="16"/>
  <c r="C81" i="16"/>
  <c r="I82" i="16"/>
  <c r="J82" i="16"/>
  <c r="K82" i="16"/>
  <c r="AB82" i="16"/>
  <c r="C82" i="16"/>
  <c r="I83" i="16"/>
  <c r="J83" i="16"/>
  <c r="K83" i="16"/>
  <c r="AB83" i="16"/>
  <c r="C83" i="16"/>
  <c r="I84" i="16"/>
  <c r="J84" i="16"/>
  <c r="K84" i="16"/>
  <c r="AB84" i="16"/>
  <c r="C84" i="16"/>
  <c r="I85" i="16"/>
  <c r="J85" i="16"/>
  <c r="K85" i="16"/>
  <c r="AB85" i="16"/>
  <c r="C85" i="16"/>
  <c r="I86" i="16"/>
  <c r="J86" i="16"/>
  <c r="K86" i="16"/>
  <c r="AB86" i="16"/>
  <c r="C86" i="16"/>
  <c r="I87" i="16"/>
  <c r="J87" i="16"/>
  <c r="K87" i="16"/>
  <c r="AB87" i="16"/>
  <c r="C87" i="16"/>
  <c r="I88" i="16"/>
  <c r="J88" i="16"/>
  <c r="K88" i="16"/>
  <c r="AB88" i="16"/>
  <c r="C88" i="16"/>
  <c r="I89" i="16"/>
  <c r="J89" i="16"/>
  <c r="K89" i="16"/>
  <c r="AB89" i="16"/>
  <c r="C89" i="16"/>
  <c r="I90" i="16"/>
  <c r="J90" i="16"/>
  <c r="K90" i="16"/>
  <c r="AB90" i="16"/>
  <c r="C90" i="16"/>
  <c r="I91" i="16"/>
  <c r="J91" i="16"/>
  <c r="K91" i="16"/>
  <c r="AB91" i="16"/>
  <c r="C91" i="16"/>
  <c r="I92" i="16"/>
  <c r="J92" i="16"/>
  <c r="K92" i="16"/>
  <c r="AB92" i="16"/>
  <c r="C92" i="16"/>
  <c r="I93" i="16"/>
  <c r="J93" i="16"/>
  <c r="K93" i="16"/>
  <c r="AB93" i="16"/>
  <c r="C93" i="16"/>
  <c r="I94" i="16"/>
  <c r="J94" i="16"/>
  <c r="K94" i="16"/>
  <c r="AB94" i="16"/>
  <c r="C94" i="16"/>
  <c r="I95" i="16"/>
  <c r="J95" i="16"/>
  <c r="K95" i="16"/>
  <c r="AB95" i="16"/>
  <c r="C95" i="16"/>
  <c r="I96" i="16"/>
  <c r="J96" i="16"/>
  <c r="K96" i="16"/>
  <c r="AB96" i="16"/>
  <c r="C96" i="16"/>
  <c r="I97" i="16"/>
  <c r="J97" i="16"/>
  <c r="K97" i="16"/>
  <c r="AB97" i="16"/>
  <c r="C97" i="16"/>
  <c r="I98" i="16"/>
  <c r="J98" i="16"/>
  <c r="K98" i="16"/>
  <c r="AB98" i="16"/>
  <c r="C98" i="16"/>
  <c r="I99" i="16"/>
  <c r="J99" i="16"/>
  <c r="K99" i="16"/>
  <c r="AB99" i="16"/>
  <c r="C99" i="16"/>
  <c r="I100" i="16"/>
  <c r="J100" i="16"/>
  <c r="K100" i="16"/>
  <c r="AB100" i="16"/>
  <c r="C100" i="16"/>
  <c r="I101" i="16"/>
  <c r="J101" i="16"/>
  <c r="K101" i="16"/>
  <c r="AB101" i="16"/>
  <c r="C101" i="16"/>
  <c r="I102" i="16"/>
  <c r="J102" i="16"/>
  <c r="K102" i="16"/>
  <c r="AB102" i="16"/>
  <c r="C102" i="16"/>
  <c r="I103" i="16"/>
  <c r="J103" i="16"/>
  <c r="K103" i="16"/>
  <c r="AB103" i="16"/>
  <c r="C103" i="16"/>
  <c r="I104" i="16"/>
  <c r="J104" i="16"/>
  <c r="K104" i="16"/>
  <c r="AB104" i="16"/>
  <c r="C104" i="16"/>
  <c r="I105" i="16"/>
  <c r="J105" i="16"/>
  <c r="K105" i="16"/>
  <c r="AB105" i="16"/>
  <c r="C105" i="16"/>
  <c r="I106" i="16"/>
  <c r="J106" i="16"/>
  <c r="K106" i="16"/>
  <c r="AB106" i="16"/>
  <c r="C106" i="16"/>
  <c r="I107" i="16"/>
  <c r="J107" i="16"/>
  <c r="K107" i="16"/>
  <c r="AB107" i="16"/>
  <c r="C107" i="16"/>
  <c r="I108" i="16"/>
  <c r="J108" i="16"/>
  <c r="K108" i="16"/>
  <c r="AB108" i="16"/>
  <c r="C108" i="16"/>
  <c r="I109" i="16"/>
  <c r="J109" i="16"/>
  <c r="K109" i="16"/>
  <c r="AB109" i="16"/>
  <c r="C109" i="16"/>
  <c r="I110" i="16"/>
  <c r="J110" i="16"/>
  <c r="K110" i="16"/>
  <c r="AB110" i="16"/>
  <c r="C110" i="16"/>
  <c r="I111" i="16"/>
  <c r="J111" i="16"/>
  <c r="K111" i="16"/>
  <c r="AB111" i="16"/>
  <c r="C111" i="16"/>
  <c r="I112" i="16"/>
  <c r="J112" i="16"/>
  <c r="K112" i="16"/>
  <c r="AB112" i="16"/>
  <c r="C112" i="16"/>
  <c r="I113" i="16"/>
  <c r="J113" i="16"/>
  <c r="K113" i="16"/>
  <c r="AB113" i="16"/>
  <c r="C113" i="16"/>
  <c r="I114" i="16"/>
  <c r="J114" i="16"/>
  <c r="K114" i="16"/>
  <c r="AB114" i="16"/>
  <c r="C114" i="16"/>
  <c r="I115" i="16"/>
  <c r="J115" i="16"/>
  <c r="K115" i="16"/>
  <c r="AB115" i="16"/>
  <c r="C115" i="16"/>
  <c r="I116" i="16"/>
  <c r="J116" i="16"/>
  <c r="K116" i="16"/>
  <c r="AB116" i="16"/>
  <c r="C116" i="16"/>
  <c r="I117" i="16"/>
  <c r="J117" i="16"/>
  <c r="K117" i="16"/>
  <c r="AB117" i="16"/>
  <c r="C117" i="16"/>
  <c r="I118" i="16"/>
  <c r="J118" i="16"/>
  <c r="K118" i="16"/>
  <c r="AB118" i="16"/>
  <c r="C118" i="16"/>
  <c r="I119" i="16"/>
  <c r="J119" i="16"/>
  <c r="K119" i="16"/>
  <c r="AB119" i="16"/>
  <c r="C119" i="16"/>
  <c r="I120" i="16"/>
  <c r="J120" i="16"/>
  <c r="K120" i="16"/>
  <c r="AB120" i="16"/>
  <c r="C120" i="16"/>
  <c r="I121" i="16"/>
  <c r="J121" i="16"/>
  <c r="K121" i="16"/>
  <c r="AB121" i="16"/>
  <c r="C121" i="16"/>
  <c r="I122" i="16"/>
  <c r="J122" i="16"/>
  <c r="K122" i="16"/>
  <c r="AB122" i="16"/>
  <c r="C122" i="16"/>
  <c r="I123" i="16"/>
  <c r="J123" i="16"/>
  <c r="K123" i="16"/>
  <c r="AB123" i="16"/>
  <c r="C123" i="16"/>
  <c r="I124" i="16"/>
  <c r="J124" i="16"/>
  <c r="K124" i="16"/>
  <c r="AB124" i="16"/>
  <c r="C124" i="16"/>
  <c r="I125" i="16"/>
  <c r="J125" i="16"/>
  <c r="K125" i="16"/>
  <c r="AB125" i="16"/>
  <c r="C125" i="16"/>
  <c r="I126" i="16"/>
  <c r="J126" i="16"/>
  <c r="K126" i="16"/>
  <c r="AB126" i="16"/>
  <c r="C126" i="16"/>
  <c r="I127" i="16"/>
  <c r="J127" i="16"/>
  <c r="K127" i="16"/>
  <c r="AB127" i="16"/>
  <c r="C127" i="16"/>
  <c r="I128" i="16"/>
  <c r="J128" i="16"/>
  <c r="K128" i="16"/>
  <c r="AB128" i="16"/>
  <c r="C128" i="16"/>
  <c r="I129" i="16"/>
  <c r="J129" i="16"/>
  <c r="K129" i="16"/>
  <c r="AB129" i="16"/>
  <c r="C129" i="16"/>
  <c r="I130" i="16"/>
  <c r="J130" i="16"/>
  <c r="K130" i="16"/>
  <c r="AB130" i="16"/>
  <c r="C130" i="16"/>
  <c r="I131" i="16"/>
  <c r="J131" i="16"/>
  <c r="K131" i="16"/>
  <c r="AB131" i="16"/>
  <c r="C131" i="16"/>
  <c r="I132" i="16"/>
  <c r="J132" i="16"/>
  <c r="K132" i="16"/>
  <c r="AB132" i="16"/>
  <c r="C132" i="16"/>
  <c r="I133" i="16"/>
  <c r="J133" i="16"/>
  <c r="K133" i="16"/>
  <c r="AB133" i="16"/>
  <c r="C133" i="16"/>
  <c r="I134" i="16"/>
  <c r="J134" i="16"/>
  <c r="K134" i="16"/>
  <c r="AB134" i="16"/>
  <c r="C134" i="16"/>
  <c r="I135" i="16"/>
  <c r="J135" i="16"/>
  <c r="K135" i="16"/>
  <c r="AB135" i="16"/>
  <c r="C135" i="16"/>
  <c r="I136" i="16"/>
  <c r="J136" i="16"/>
  <c r="K136" i="16"/>
  <c r="AB136" i="16"/>
  <c r="C136" i="16"/>
  <c r="I137" i="16"/>
  <c r="J137" i="16"/>
  <c r="K137" i="16"/>
  <c r="AB137" i="16"/>
  <c r="C137" i="16"/>
  <c r="I138" i="16"/>
  <c r="J138" i="16"/>
  <c r="K138" i="16"/>
  <c r="AB138" i="16"/>
  <c r="C138" i="16"/>
  <c r="I139" i="16"/>
  <c r="J139" i="16"/>
  <c r="K139" i="16"/>
  <c r="AB139" i="16"/>
  <c r="C139" i="16"/>
  <c r="I140" i="16"/>
  <c r="J140" i="16"/>
  <c r="K140" i="16"/>
  <c r="AB140" i="16"/>
  <c r="C140" i="16"/>
  <c r="I141" i="16"/>
  <c r="J141" i="16"/>
  <c r="K141" i="16"/>
  <c r="AB141" i="16"/>
  <c r="C141" i="16"/>
  <c r="I142" i="16"/>
  <c r="J142" i="16"/>
  <c r="K142" i="16"/>
  <c r="AB142" i="16"/>
  <c r="C142" i="16"/>
  <c r="I143" i="16"/>
  <c r="J143" i="16"/>
  <c r="K143" i="16"/>
  <c r="AB143" i="16"/>
  <c r="C143" i="16"/>
  <c r="I144" i="16"/>
  <c r="J144" i="16"/>
  <c r="K144" i="16"/>
  <c r="AB144" i="16"/>
  <c r="C144" i="16"/>
  <c r="I145" i="16"/>
  <c r="J145" i="16"/>
  <c r="K145" i="16"/>
  <c r="AB145" i="16"/>
  <c r="C145" i="16"/>
  <c r="I146" i="16"/>
  <c r="J146" i="16"/>
  <c r="K146" i="16"/>
  <c r="AB146" i="16"/>
  <c r="C146" i="16"/>
  <c r="I147" i="16"/>
  <c r="J147" i="16"/>
  <c r="K147" i="16"/>
  <c r="AB147" i="16"/>
  <c r="C147" i="16"/>
  <c r="I148" i="16"/>
  <c r="J148" i="16"/>
  <c r="K148" i="16"/>
  <c r="AB148" i="16"/>
  <c r="C148" i="16"/>
  <c r="I149" i="16"/>
  <c r="J149" i="16"/>
  <c r="K149" i="16"/>
  <c r="AB149" i="16"/>
  <c r="C149" i="16"/>
  <c r="I150" i="16"/>
  <c r="J150" i="16"/>
  <c r="K150" i="16"/>
  <c r="AB150" i="16"/>
  <c r="C150" i="16"/>
  <c r="I151" i="16"/>
  <c r="J151" i="16"/>
  <c r="K151" i="16"/>
  <c r="AB151" i="16"/>
  <c r="C151" i="16"/>
  <c r="I152" i="16"/>
  <c r="J152" i="16"/>
  <c r="K152" i="16"/>
  <c r="AB152" i="16"/>
  <c r="C152" i="16"/>
  <c r="I153" i="16"/>
  <c r="J153" i="16"/>
  <c r="K153" i="16"/>
  <c r="AB153" i="16"/>
  <c r="C153" i="16"/>
  <c r="I154" i="16"/>
  <c r="J154" i="16"/>
  <c r="K154" i="16"/>
  <c r="AB154" i="16"/>
  <c r="C154" i="16"/>
  <c r="I155" i="16"/>
  <c r="J155" i="16"/>
  <c r="K155" i="16"/>
  <c r="AB155" i="16"/>
  <c r="C155" i="16"/>
  <c r="I156" i="16"/>
  <c r="J156" i="16"/>
  <c r="K156" i="16"/>
  <c r="AB156" i="16"/>
  <c r="C156" i="16"/>
  <c r="I157" i="16"/>
  <c r="J157" i="16"/>
  <c r="K157" i="16"/>
  <c r="AB157" i="16"/>
  <c r="C157" i="16"/>
  <c r="I158" i="16"/>
  <c r="J158" i="16"/>
  <c r="K158" i="16"/>
  <c r="AB158" i="16"/>
  <c r="C158" i="16"/>
  <c r="I159" i="16"/>
  <c r="J159" i="16"/>
  <c r="K159" i="16"/>
  <c r="AB159" i="16"/>
  <c r="C159" i="16"/>
  <c r="I160" i="16"/>
  <c r="J160" i="16"/>
  <c r="K160" i="16"/>
  <c r="AB160" i="16"/>
  <c r="C160" i="16"/>
  <c r="I161" i="16"/>
  <c r="J161" i="16"/>
  <c r="K161" i="16"/>
  <c r="AB161" i="16"/>
  <c r="C161" i="16"/>
  <c r="I162" i="16"/>
  <c r="J162" i="16"/>
  <c r="K162" i="16"/>
  <c r="AB162" i="16"/>
  <c r="C162" i="16"/>
  <c r="I163" i="16"/>
  <c r="J163" i="16"/>
  <c r="K163" i="16"/>
  <c r="AB163" i="16"/>
  <c r="C163" i="16"/>
  <c r="I164" i="16"/>
  <c r="J164" i="16"/>
  <c r="K164" i="16"/>
  <c r="AB164" i="16"/>
  <c r="C164" i="16"/>
  <c r="I165" i="16"/>
  <c r="J165" i="16"/>
  <c r="K165" i="16"/>
  <c r="AB165" i="16"/>
  <c r="C165" i="16"/>
  <c r="I166" i="16"/>
  <c r="J166" i="16"/>
  <c r="K166" i="16"/>
  <c r="AB166" i="16"/>
  <c r="C166" i="16"/>
  <c r="I167" i="16"/>
  <c r="J167" i="16"/>
  <c r="K167" i="16"/>
  <c r="AB167" i="16"/>
  <c r="C167" i="16"/>
  <c r="I168" i="16"/>
  <c r="J168" i="16"/>
  <c r="K168" i="16"/>
  <c r="AB168" i="16"/>
  <c r="C168" i="16"/>
  <c r="I169" i="16"/>
  <c r="J169" i="16"/>
  <c r="K169" i="16"/>
  <c r="AB169" i="16"/>
  <c r="C169" i="16"/>
  <c r="I170" i="16"/>
  <c r="J170" i="16"/>
  <c r="K170" i="16"/>
  <c r="AB170" i="16"/>
  <c r="C170" i="16"/>
  <c r="I171" i="16"/>
  <c r="J171" i="16"/>
  <c r="K171" i="16"/>
  <c r="AB171" i="16"/>
  <c r="C171" i="16"/>
  <c r="I172" i="16"/>
  <c r="J172" i="16"/>
  <c r="K172" i="16"/>
  <c r="AB172" i="16"/>
  <c r="C172" i="16"/>
  <c r="I173" i="16"/>
  <c r="J173" i="16"/>
  <c r="K173" i="16"/>
  <c r="AB173" i="16"/>
  <c r="C173" i="16"/>
  <c r="I174" i="16"/>
  <c r="J174" i="16"/>
  <c r="K174" i="16"/>
  <c r="AB174" i="16"/>
  <c r="C174" i="16"/>
  <c r="I175" i="16"/>
  <c r="J175" i="16"/>
  <c r="K175" i="16"/>
  <c r="AB175" i="16"/>
  <c r="C175" i="16"/>
  <c r="I176" i="16"/>
  <c r="J176" i="16"/>
  <c r="K176" i="16"/>
  <c r="AB176" i="16"/>
  <c r="C176" i="16"/>
  <c r="I177" i="16"/>
  <c r="J177" i="16"/>
  <c r="K177" i="16"/>
  <c r="AB177" i="16"/>
  <c r="C177" i="16"/>
  <c r="I178" i="16"/>
  <c r="J178" i="16"/>
  <c r="K178" i="16"/>
  <c r="AB178" i="16"/>
  <c r="C178" i="16"/>
  <c r="I179" i="16"/>
  <c r="J179" i="16"/>
  <c r="K179" i="16"/>
  <c r="AB179" i="16"/>
  <c r="C179" i="16"/>
  <c r="I180" i="16"/>
  <c r="J180" i="16"/>
  <c r="K180" i="16"/>
  <c r="AB180" i="16"/>
  <c r="C180" i="16"/>
  <c r="I181" i="16"/>
  <c r="J181" i="16"/>
  <c r="K181" i="16"/>
  <c r="AB181" i="16"/>
  <c r="C181" i="16"/>
  <c r="I182" i="16"/>
  <c r="J182" i="16"/>
  <c r="K182" i="16"/>
  <c r="AB182" i="16"/>
  <c r="C182" i="16"/>
  <c r="I183" i="16"/>
  <c r="J183" i="16"/>
  <c r="K183" i="16"/>
  <c r="AB183" i="16"/>
  <c r="C183" i="16"/>
  <c r="I184" i="16"/>
  <c r="J184" i="16"/>
  <c r="K184" i="16"/>
  <c r="AB184" i="16"/>
  <c r="C184" i="16"/>
  <c r="I185" i="16"/>
  <c r="J185" i="16"/>
  <c r="K185" i="16"/>
  <c r="AB185" i="16"/>
  <c r="C185" i="16"/>
  <c r="I186" i="16"/>
  <c r="J186" i="16"/>
  <c r="K186" i="16"/>
  <c r="AB186" i="16"/>
  <c r="C186" i="16"/>
  <c r="I187" i="16"/>
  <c r="J187" i="16"/>
  <c r="K187" i="16"/>
  <c r="AB187" i="16"/>
  <c r="C187" i="16"/>
  <c r="N94" i="19"/>
  <c r="O94" i="19"/>
  <c r="N5" i="19"/>
  <c r="O5" i="19"/>
  <c r="N6" i="19"/>
  <c r="O6" i="19"/>
  <c r="N7" i="19"/>
  <c r="O7" i="19"/>
  <c r="N8" i="19"/>
  <c r="O8" i="19"/>
  <c r="N9" i="19"/>
  <c r="O9" i="19"/>
  <c r="N10" i="19"/>
  <c r="O10" i="19"/>
  <c r="N11" i="19"/>
  <c r="O11" i="19"/>
  <c r="N12" i="19"/>
  <c r="O12" i="19"/>
  <c r="N13" i="19"/>
  <c r="O13" i="19"/>
  <c r="N14" i="19"/>
  <c r="O14" i="19"/>
  <c r="N15" i="19"/>
  <c r="O15" i="19"/>
  <c r="N16" i="19"/>
  <c r="O16" i="19"/>
  <c r="N17" i="19"/>
  <c r="O17" i="19"/>
  <c r="N18" i="19"/>
  <c r="O18" i="19"/>
  <c r="N19" i="19"/>
  <c r="O19" i="19"/>
  <c r="N20" i="19"/>
  <c r="O20" i="19"/>
  <c r="N21" i="19"/>
  <c r="O21" i="19"/>
  <c r="N22" i="19"/>
  <c r="O22" i="19"/>
  <c r="N23" i="19"/>
  <c r="O23" i="19"/>
  <c r="N24" i="19"/>
  <c r="O24" i="19"/>
  <c r="N25" i="19"/>
  <c r="O25" i="19"/>
  <c r="N26" i="19"/>
  <c r="O26" i="19"/>
  <c r="N27" i="19"/>
  <c r="O27" i="19"/>
  <c r="N28" i="19"/>
  <c r="O28" i="19"/>
  <c r="N29" i="19"/>
  <c r="O29" i="19"/>
  <c r="N30" i="19"/>
  <c r="O30" i="19"/>
  <c r="N31" i="19"/>
  <c r="O31" i="19"/>
  <c r="N32" i="19"/>
  <c r="O32" i="19"/>
  <c r="N33" i="19"/>
  <c r="O33" i="19"/>
  <c r="N34" i="19"/>
  <c r="O34" i="19"/>
  <c r="N35" i="19"/>
  <c r="O35" i="19"/>
  <c r="N36" i="19"/>
  <c r="O36" i="19"/>
  <c r="N37" i="19"/>
  <c r="O37" i="19"/>
  <c r="N38" i="19"/>
  <c r="O38" i="19"/>
  <c r="N39" i="19"/>
  <c r="O39" i="19"/>
  <c r="N40" i="19"/>
  <c r="O40" i="19"/>
  <c r="N41" i="19"/>
  <c r="O41" i="19"/>
  <c r="N42" i="19"/>
  <c r="O42" i="19"/>
  <c r="N43" i="19"/>
  <c r="O43" i="19"/>
  <c r="N44" i="19"/>
  <c r="O44" i="19"/>
  <c r="N45" i="19"/>
  <c r="O45" i="19"/>
  <c r="N46" i="19"/>
  <c r="O46" i="19"/>
  <c r="N47" i="19"/>
  <c r="O47" i="19"/>
  <c r="N48" i="19"/>
  <c r="O48" i="19"/>
  <c r="N49" i="19"/>
  <c r="O49" i="19"/>
  <c r="N50" i="19"/>
  <c r="O50" i="19"/>
  <c r="N51" i="19"/>
  <c r="O51" i="19"/>
  <c r="N52" i="19"/>
  <c r="O52" i="19"/>
  <c r="N53" i="19"/>
  <c r="O53" i="19"/>
  <c r="N54" i="19"/>
  <c r="O54" i="19"/>
  <c r="N55" i="19"/>
  <c r="O55" i="19"/>
  <c r="N56" i="19"/>
  <c r="O56" i="19"/>
  <c r="N57" i="19"/>
  <c r="O57" i="19"/>
  <c r="N58" i="19"/>
  <c r="O58" i="19"/>
  <c r="N59" i="19"/>
  <c r="O59" i="19"/>
  <c r="N60" i="19"/>
  <c r="O60" i="19"/>
  <c r="N61" i="19"/>
  <c r="O61" i="19"/>
  <c r="N62" i="19"/>
  <c r="O62" i="19"/>
  <c r="N63" i="19"/>
  <c r="O63" i="19"/>
  <c r="N64" i="19"/>
  <c r="O64" i="19"/>
  <c r="N65" i="19"/>
  <c r="O65" i="19"/>
  <c r="N67" i="19"/>
  <c r="O67" i="19"/>
  <c r="N68" i="19"/>
  <c r="O68" i="19"/>
  <c r="N69" i="19"/>
  <c r="O69" i="19"/>
  <c r="N70" i="19"/>
  <c r="O70" i="19"/>
  <c r="N71" i="19"/>
  <c r="O71" i="19"/>
  <c r="N66" i="19"/>
  <c r="O66" i="19"/>
  <c r="N76" i="19"/>
  <c r="O76" i="19"/>
  <c r="N77" i="19"/>
  <c r="O77" i="19"/>
  <c r="N72" i="19"/>
  <c r="O72" i="19"/>
  <c r="N78" i="19"/>
  <c r="O78" i="19"/>
  <c r="N82" i="19"/>
  <c r="O82" i="19"/>
  <c r="N83" i="19"/>
  <c r="O83" i="19"/>
  <c r="N84" i="19"/>
  <c r="O84" i="19"/>
  <c r="N85" i="19"/>
  <c r="O85" i="19"/>
  <c r="N86" i="19"/>
  <c r="O86" i="19"/>
  <c r="N87" i="19"/>
  <c r="O87" i="19"/>
  <c r="N88" i="19"/>
  <c r="O88" i="19"/>
  <c r="N89" i="19"/>
  <c r="O89" i="19"/>
  <c r="N90" i="19"/>
  <c r="O90" i="19"/>
  <c r="N91" i="19"/>
  <c r="O91" i="19"/>
  <c r="N92" i="19"/>
  <c r="O92" i="19"/>
  <c r="N93" i="19"/>
  <c r="O93" i="19"/>
  <c r="N73" i="19"/>
  <c r="O73" i="19"/>
  <c r="N75" i="19"/>
  <c r="O75" i="19"/>
  <c r="N79" i="19"/>
  <c r="O79" i="19"/>
  <c r="N74" i="19"/>
  <c r="O74" i="19"/>
  <c r="N80" i="19"/>
  <c r="O80" i="19"/>
  <c r="N81" i="19"/>
  <c r="O81" i="19"/>
  <c r="N95" i="19"/>
  <c r="O95" i="19"/>
  <c r="N96" i="19"/>
  <c r="O96" i="19"/>
  <c r="N97" i="19"/>
  <c r="O97" i="19"/>
  <c r="N98" i="19"/>
  <c r="O98" i="19"/>
  <c r="N99" i="19"/>
  <c r="O99" i="19"/>
  <c r="N100" i="19"/>
  <c r="O100" i="19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C3" i="22"/>
  <c r="C4" i="22"/>
  <c r="C5" i="22"/>
  <c r="C6" i="22"/>
  <c r="D6" i="22"/>
  <c r="C7" i="22"/>
  <c r="D7" i="22"/>
  <c r="C8" i="22"/>
  <c r="D8" i="22"/>
  <c r="C9" i="22"/>
  <c r="D9" i="22"/>
  <c r="C10" i="22"/>
  <c r="D10" i="22"/>
  <c r="C11" i="22"/>
  <c r="D11" i="22"/>
  <c r="C12" i="22"/>
  <c r="D12" i="22"/>
  <c r="C13" i="22"/>
  <c r="D13" i="22"/>
  <c r="C14" i="22"/>
  <c r="D14" i="22"/>
  <c r="C15" i="22"/>
  <c r="D15" i="22"/>
  <c r="C16" i="22"/>
  <c r="D16" i="22"/>
  <c r="C17" i="22"/>
  <c r="D17" i="22"/>
  <c r="C18" i="22"/>
  <c r="D18" i="22"/>
  <c r="C19" i="22"/>
  <c r="D19" i="22"/>
  <c r="C20" i="22"/>
  <c r="D20" i="22"/>
  <c r="C21" i="22"/>
  <c r="D21" i="22"/>
  <c r="C22" i="22"/>
  <c r="D22" i="22"/>
  <c r="C23" i="22"/>
  <c r="D23" i="22"/>
  <c r="C24" i="22"/>
  <c r="D24" i="22"/>
  <c r="C25" i="22"/>
  <c r="D25" i="22"/>
  <c r="C26" i="22"/>
  <c r="D26" i="22"/>
  <c r="C27" i="22"/>
  <c r="D27" i="22"/>
  <c r="C28" i="22"/>
  <c r="D28" i="22"/>
  <c r="C29" i="22"/>
  <c r="D29" i="22"/>
  <c r="C30" i="22"/>
  <c r="D30" i="22"/>
  <c r="C31" i="22"/>
  <c r="D31" i="22"/>
  <c r="C32" i="22"/>
  <c r="D32" i="22"/>
  <c r="C33" i="22"/>
  <c r="D33" i="22"/>
  <c r="C34" i="22"/>
  <c r="D34" i="22"/>
  <c r="C35" i="22"/>
  <c r="D35" i="22"/>
  <c r="C36" i="22"/>
  <c r="D36" i="22"/>
  <c r="C37" i="22"/>
  <c r="D37" i="22"/>
  <c r="C38" i="22"/>
  <c r="D38" i="22"/>
  <c r="C39" i="22"/>
  <c r="D39" i="22"/>
  <c r="C40" i="22"/>
  <c r="D40" i="22"/>
  <c r="C41" i="22"/>
  <c r="D41" i="22"/>
  <c r="C42" i="22"/>
  <c r="D42" i="22"/>
  <c r="C43" i="22"/>
  <c r="D43" i="22"/>
  <c r="C44" i="22"/>
  <c r="D44" i="22"/>
  <c r="C45" i="22"/>
  <c r="D45" i="22"/>
  <c r="D5" i="22"/>
  <c r="D4" i="22"/>
  <c r="B63" i="19"/>
  <c r="H1" i="22"/>
  <c r="E2" i="20"/>
  <c r="A145" i="16"/>
  <c r="J145" i="21"/>
  <c r="I145" i="21"/>
  <c r="H145" i="21"/>
  <c r="G145" i="21"/>
  <c r="F145" i="21"/>
  <c r="C145" i="21"/>
  <c r="E145" i="16"/>
  <c r="AA2" i="16"/>
  <c r="AA3" i="16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53" i="16"/>
  <c r="AA54" i="16"/>
  <c r="AA55" i="16"/>
  <c r="AA56" i="16"/>
  <c r="AA57" i="16"/>
  <c r="AA58" i="16"/>
  <c r="AA59" i="16"/>
  <c r="AA60" i="16"/>
  <c r="AA61" i="16"/>
  <c r="AA62" i="16"/>
  <c r="AA63" i="16"/>
  <c r="AA64" i="16"/>
  <c r="AA65" i="16"/>
  <c r="AA66" i="16"/>
  <c r="AA67" i="16"/>
  <c r="AA68" i="16"/>
  <c r="AA69" i="16"/>
  <c r="AA70" i="16"/>
  <c r="AA71" i="16"/>
  <c r="AA72" i="16"/>
  <c r="AA73" i="16"/>
  <c r="AA74" i="16"/>
  <c r="AA75" i="16"/>
  <c r="AA76" i="16"/>
  <c r="AA77" i="16"/>
  <c r="AA78" i="16"/>
  <c r="AA79" i="16"/>
  <c r="D145" i="16"/>
  <c r="Q3" i="16"/>
  <c r="N2" i="16"/>
  <c r="AC3" i="16"/>
  <c r="Q4" i="16"/>
  <c r="AC4" i="16"/>
  <c r="Q5" i="16"/>
  <c r="AC5" i="16"/>
  <c r="Q6" i="16"/>
  <c r="AC6" i="16"/>
  <c r="Q7" i="16"/>
  <c r="AC7" i="16"/>
  <c r="Q8" i="16"/>
  <c r="AC8" i="16"/>
  <c r="Q9" i="16"/>
  <c r="AC9" i="16"/>
  <c r="Q10" i="16"/>
  <c r="AC10" i="16"/>
  <c r="Q11" i="16"/>
  <c r="AC11" i="16"/>
  <c r="Q12" i="16"/>
  <c r="AC12" i="16"/>
  <c r="Q13" i="16"/>
  <c r="AC13" i="16"/>
  <c r="Q14" i="16"/>
  <c r="AC14" i="16"/>
  <c r="Q15" i="16"/>
  <c r="AC15" i="16"/>
  <c r="Q16" i="16"/>
  <c r="AC16" i="16"/>
  <c r="Q17" i="16"/>
  <c r="AC17" i="16"/>
  <c r="Q18" i="16"/>
  <c r="AC18" i="16"/>
  <c r="Q19" i="16"/>
  <c r="AC19" i="16"/>
  <c r="Q20" i="16"/>
  <c r="AC20" i="16"/>
  <c r="Q21" i="16"/>
  <c r="AC21" i="16"/>
  <c r="Q23" i="16"/>
  <c r="AC23" i="16"/>
  <c r="Q24" i="16"/>
  <c r="AC24" i="16"/>
  <c r="Q25" i="16"/>
  <c r="AC25" i="16"/>
  <c r="Q26" i="16"/>
  <c r="AC26" i="16"/>
  <c r="Q27" i="16"/>
  <c r="AC27" i="16"/>
  <c r="Q28" i="16"/>
  <c r="AC28" i="16"/>
  <c r="Q30" i="16"/>
  <c r="AC30" i="16"/>
  <c r="Q31" i="16"/>
  <c r="AC31" i="16"/>
  <c r="Q32" i="16"/>
  <c r="AC32" i="16"/>
  <c r="Q33" i="16"/>
  <c r="AC33" i="16"/>
  <c r="Q34" i="16"/>
  <c r="AC34" i="16"/>
  <c r="Q35" i="16"/>
  <c r="AC35" i="16"/>
  <c r="Q36" i="16"/>
  <c r="AC36" i="16"/>
  <c r="Q37" i="16"/>
  <c r="AC37" i="16"/>
  <c r="Q38" i="16"/>
  <c r="AC38" i="16"/>
  <c r="Q39" i="16"/>
  <c r="AC39" i="16"/>
  <c r="Q40" i="16"/>
  <c r="AC40" i="16"/>
  <c r="Q41" i="16"/>
  <c r="AC41" i="16"/>
  <c r="Q42" i="16"/>
  <c r="AC42" i="16"/>
  <c r="Q43" i="16"/>
  <c r="AC43" i="16"/>
  <c r="Q44" i="16"/>
  <c r="AC44" i="16"/>
  <c r="Q45" i="16"/>
  <c r="AC45" i="16"/>
  <c r="Q46" i="16"/>
  <c r="AC46" i="16"/>
  <c r="Q47" i="16"/>
  <c r="AC47" i="16"/>
  <c r="Q48" i="16"/>
  <c r="AC48" i="16"/>
  <c r="Q49" i="16"/>
  <c r="AC49" i="16"/>
  <c r="Q50" i="16"/>
  <c r="AC50" i="16"/>
  <c r="Q51" i="16"/>
  <c r="AC51" i="16"/>
  <c r="Q52" i="16"/>
  <c r="AC52" i="16"/>
  <c r="Q53" i="16"/>
  <c r="AC53" i="16"/>
  <c r="Q54" i="16"/>
  <c r="AC54" i="16"/>
  <c r="Q55" i="16"/>
  <c r="AC55" i="16"/>
  <c r="Q56" i="16"/>
  <c r="AC56" i="16"/>
  <c r="Q57" i="16"/>
  <c r="AC57" i="16"/>
  <c r="Q58" i="16"/>
  <c r="AC58" i="16"/>
  <c r="Q59" i="16"/>
  <c r="AC59" i="16"/>
  <c r="Q60" i="16"/>
  <c r="AC60" i="16"/>
  <c r="Q61" i="16"/>
  <c r="AC61" i="16"/>
  <c r="Q62" i="16"/>
  <c r="AC62" i="16"/>
  <c r="Q63" i="16"/>
  <c r="AC63" i="16"/>
  <c r="Q64" i="16"/>
  <c r="AC64" i="16"/>
  <c r="Q65" i="16"/>
  <c r="AC65" i="16"/>
  <c r="Q66" i="16"/>
  <c r="AC66" i="16"/>
  <c r="Q67" i="16"/>
  <c r="AC67" i="16"/>
  <c r="Q68" i="16"/>
  <c r="AC68" i="16"/>
  <c r="Q69" i="16"/>
  <c r="AC69" i="16"/>
  <c r="Q70" i="16"/>
  <c r="AC70" i="16"/>
  <c r="Q71" i="16"/>
  <c r="AC71" i="16"/>
  <c r="Q72" i="16"/>
  <c r="AC72" i="16"/>
  <c r="Q73" i="16"/>
  <c r="AC73" i="16"/>
  <c r="Q74" i="16"/>
  <c r="AC74" i="16"/>
  <c r="Q75" i="16"/>
  <c r="AC75" i="16"/>
  <c r="Q76" i="16"/>
  <c r="AC76" i="16"/>
  <c r="Q77" i="16"/>
  <c r="AC77" i="16"/>
  <c r="Q78" i="16"/>
  <c r="AC78" i="16"/>
  <c r="Q79" i="16"/>
  <c r="AC79" i="16"/>
  <c r="Q80" i="16"/>
  <c r="AC80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U3" i="16"/>
  <c r="P2" i="16"/>
  <c r="AE3" i="16"/>
  <c r="U4" i="16"/>
  <c r="AE4" i="16"/>
  <c r="U5" i="16"/>
  <c r="AE5" i="16"/>
  <c r="U6" i="16"/>
  <c r="AE6" i="16"/>
  <c r="U7" i="16"/>
  <c r="AE7" i="16"/>
  <c r="U8" i="16"/>
  <c r="AE8" i="16"/>
  <c r="U9" i="16"/>
  <c r="AE9" i="16"/>
  <c r="U10" i="16"/>
  <c r="AE10" i="16"/>
  <c r="U11" i="16"/>
  <c r="AE11" i="16"/>
  <c r="U12" i="16"/>
  <c r="AE12" i="16"/>
  <c r="U13" i="16"/>
  <c r="AE13" i="16"/>
  <c r="U14" i="16"/>
  <c r="AE14" i="16"/>
  <c r="U15" i="16"/>
  <c r="AE15" i="16"/>
  <c r="U16" i="16"/>
  <c r="AE16" i="16"/>
  <c r="U17" i="16"/>
  <c r="AE17" i="16"/>
  <c r="U18" i="16"/>
  <c r="AE18" i="16"/>
  <c r="U19" i="16"/>
  <c r="AE19" i="16"/>
  <c r="U20" i="16"/>
  <c r="AE20" i="16"/>
  <c r="U21" i="16"/>
  <c r="AE21" i="16"/>
  <c r="U22" i="16"/>
  <c r="AE22" i="16"/>
  <c r="U23" i="16"/>
  <c r="AE23" i="16"/>
  <c r="U24" i="16"/>
  <c r="AE24" i="16"/>
  <c r="U25" i="16"/>
  <c r="AE25" i="16"/>
  <c r="U26" i="16"/>
  <c r="AE26" i="16"/>
  <c r="U27" i="16"/>
  <c r="AE27" i="16"/>
  <c r="U28" i="16"/>
  <c r="AE28" i="16"/>
  <c r="U29" i="16"/>
  <c r="AE29" i="16"/>
  <c r="U30" i="16"/>
  <c r="AE30" i="16"/>
  <c r="U31" i="16"/>
  <c r="AE31" i="16"/>
  <c r="U32" i="16"/>
  <c r="AE32" i="16"/>
  <c r="U33" i="16"/>
  <c r="AE33" i="16"/>
  <c r="U34" i="16"/>
  <c r="AE34" i="16"/>
  <c r="U35" i="16"/>
  <c r="AE35" i="16"/>
  <c r="U36" i="16"/>
  <c r="AE36" i="16"/>
  <c r="U37" i="16"/>
  <c r="AE37" i="16"/>
  <c r="U38" i="16"/>
  <c r="AE38" i="16"/>
  <c r="U39" i="16"/>
  <c r="AE39" i="16"/>
  <c r="U40" i="16"/>
  <c r="AE40" i="16"/>
  <c r="U41" i="16"/>
  <c r="AE41" i="16"/>
  <c r="U42" i="16"/>
  <c r="AE42" i="16"/>
  <c r="U43" i="16"/>
  <c r="AE43" i="16"/>
  <c r="U44" i="16"/>
  <c r="AE44" i="16"/>
  <c r="U45" i="16"/>
  <c r="AE45" i="16"/>
  <c r="U46" i="16"/>
  <c r="AE46" i="16"/>
  <c r="U47" i="16"/>
  <c r="AE47" i="16"/>
  <c r="U48" i="16"/>
  <c r="AE48" i="16"/>
  <c r="U49" i="16"/>
  <c r="AE49" i="16"/>
  <c r="U50" i="16"/>
  <c r="AE50" i="16"/>
  <c r="U51" i="16"/>
  <c r="AE51" i="16"/>
  <c r="U52" i="16"/>
  <c r="AE52" i="16"/>
  <c r="U53" i="16"/>
  <c r="AE53" i="16"/>
  <c r="U54" i="16"/>
  <c r="AE54" i="16"/>
  <c r="U55" i="16"/>
  <c r="AE55" i="16"/>
  <c r="U56" i="16"/>
  <c r="AE56" i="16"/>
  <c r="U57" i="16"/>
  <c r="AE57" i="16"/>
  <c r="U58" i="16"/>
  <c r="AE58" i="16"/>
  <c r="U59" i="16"/>
  <c r="AE59" i="16"/>
  <c r="U60" i="16"/>
  <c r="AE60" i="16"/>
  <c r="U61" i="16"/>
  <c r="AE61" i="16"/>
  <c r="U62" i="16"/>
  <c r="AE62" i="16"/>
  <c r="U63" i="16"/>
  <c r="AE63" i="16"/>
  <c r="U64" i="16"/>
  <c r="AE64" i="16"/>
  <c r="U65" i="16"/>
  <c r="AE65" i="16"/>
  <c r="U66" i="16"/>
  <c r="AE66" i="16"/>
  <c r="U67" i="16"/>
  <c r="AE67" i="16"/>
  <c r="U68" i="16"/>
  <c r="AE68" i="16"/>
  <c r="U69" i="16"/>
  <c r="AE69" i="16"/>
  <c r="U70" i="16"/>
  <c r="AE70" i="16"/>
  <c r="U71" i="16"/>
  <c r="AE71" i="16"/>
  <c r="U72" i="16"/>
  <c r="AE72" i="16"/>
  <c r="U73" i="16"/>
  <c r="AE73" i="16"/>
  <c r="U74" i="16"/>
  <c r="AE74" i="16"/>
  <c r="U75" i="16"/>
  <c r="AE75" i="16"/>
  <c r="U76" i="16"/>
  <c r="AE76" i="16"/>
  <c r="U77" i="16"/>
  <c r="AE77" i="16"/>
  <c r="U78" i="16"/>
  <c r="AE78" i="16"/>
  <c r="U79" i="16"/>
  <c r="AE79" i="16"/>
  <c r="U80" i="16"/>
  <c r="AE80" i="16"/>
  <c r="A146" i="16"/>
  <c r="J146" i="21"/>
  <c r="I146" i="21"/>
  <c r="H146" i="21"/>
  <c r="G146" i="21"/>
  <c r="F146" i="21"/>
  <c r="C146" i="21"/>
  <c r="E146" i="16"/>
  <c r="D146" i="16"/>
  <c r="A147" i="16"/>
  <c r="J147" i="21"/>
  <c r="I147" i="21"/>
  <c r="H147" i="21"/>
  <c r="G147" i="21"/>
  <c r="F147" i="21"/>
  <c r="C147" i="21"/>
  <c r="E147" i="16"/>
  <c r="D147" i="16"/>
  <c r="A148" i="16"/>
  <c r="J148" i="21"/>
  <c r="I148" i="21"/>
  <c r="H148" i="21"/>
  <c r="G148" i="21"/>
  <c r="F148" i="21"/>
  <c r="C148" i="21"/>
  <c r="E148" i="16"/>
  <c r="D148" i="16"/>
  <c r="A149" i="16"/>
  <c r="J149" i="21"/>
  <c r="I149" i="21"/>
  <c r="H149" i="21"/>
  <c r="G149" i="21"/>
  <c r="F149" i="21"/>
  <c r="C149" i="21"/>
  <c r="E149" i="16"/>
  <c r="D149" i="16"/>
  <c r="A150" i="16"/>
  <c r="J150" i="21"/>
  <c r="I150" i="21"/>
  <c r="H150" i="21"/>
  <c r="G150" i="21"/>
  <c r="F150" i="21"/>
  <c r="C150" i="21"/>
  <c r="E150" i="16"/>
  <c r="D150" i="16"/>
  <c r="A151" i="16"/>
  <c r="J151" i="21"/>
  <c r="I151" i="21"/>
  <c r="H151" i="21"/>
  <c r="G151" i="21"/>
  <c r="F151" i="21"/>
  <c r="C151" i="21"/>
  <c r="E151" i="16"/>
  <c r="D151" i="16"/>
  <c r="A152" i="16"/>
  <c r="J152" i="21"/>
  <c r="I152" i="21"/>
  <c r="H152" i="21"/>
  <c r="G152" i="21"/>
  <c r="F152" i="21"/>
  <c r="C152" i="21"/>
  <c r="E152" i="16"/>
  <c r="D152" i="16"/>
  <c r="A153" i="16"/>
  <c r="J153" i="21"/>
  <c r="I153" i="21"/>
  <c r="H153" i="21"/>
  <c r="G153" i="21"/>
  <c r="F153" i="21"/>
  <c r="C153" i="21"/>
  <c r="E153" i="16"/>
  <c r="D153" i="16"/>
  <c r="A154" i="16"/>
  <c r="J154" i="21"/>
  <c r="I154" i="21"/>
  <c r="H154" i="21"/>
  <c r="G154" i="21"/>
  <c r="F154" i="21"/>
  <c r="C154" i="21"/>
  <c r="E154" i="16"/>
  <c r="D154" i="16"/>
  <c r="A155" i="16"/>
  <c r="J155" i="21"/>
  <c r="I155" i="21"/>
  <c r="H155" i="21"/>
  <c r="G155" i="21"/>
  <c r="F155" i="21"/>
  <c r="C155" i="21"/>
  <c r="E155" i="16"/>
  <c r="D155" i="16"/>
  <c r="A156" i="16"/>
  <c r="J156" i="21"/>
  <c r="I156" i="21"/>
  <c r="H156" i="21"/>
  <c r="G156" i="21"/>
  <c r="F156" i="21"/>
  <c r="C156" i="21"/>
  <c r="E156" i="16"/>
  <c r="D156" i="16"/>
  <c r="A157" i="16"/>
  <c r="J157" i="21"/>
  <c r="I157" i="21"/>
  <c r="H157" i="21"/>
  <c r="G157" i="21"/>
  <c r="F157" i="21"/>
  <c r="C157" i="21"/>
  <c r="E157" i="16"/>
  <c r="D157" i="16"/>
  <c r="A158" i="16"/>
  <c r="J158" i="21"/>
  <c r="I158" i="21"/>
  <c r="H158" i="21"/>
  <c r="G158" i="21"/>
  <c r="F158" i="21"/>
  <c r="C158" i="21"/>
  <c r="E158" i="16"/>
  <c r="D158" i="16"/>
  <c r="A159" i="16"/>
  <c r="J159" i="21"/>
  <c r="I159" i="21"/>
  <c r="H159" i="21"/>
  <c r="G159" i="21"/>
  <c r="F159" i="21"/>
  <c r="C159" i="21"/>
  <c r="E159" i="16"/>
  <c r="D159" i="16"/>
  <c r="A160" i="16"/>
  <c r="J160" i="21"/>
  <c r="I160" i="21"/>
  <c r="H160" i="21"/>
  <c r="G160" i="21"/>
  <c r="F160" i="21"/>
  <c r="C160" i="21"/>
  <c r="E160" i="16"/>
  <c r="D160" i="16"/>
  <c r="A161" i="16"/>
  <c r="J161" i="21"/>
  <c r="I161" i="21"/>
  <c r="H161" i="21"/>
  <c r="G161" i="21"/>
  <c r="F161" i="21"/>
  <c r="C161" i="21"/>
  <c r="E161" i="16"/>
  <c r="D161" i="16"/>
  <c r="A162" i="16"/>
  <c r="J162" i="21"/>
  <c r="I162" i="21"/>
  <c r="H162" i="21"/>
  <c r="G162" i="21"/>
  <c r="F162" i="21"/>
  <c r="C162" i="21"/>
  <c r="E162" i="16"/>
  <c r="D162" i="16"/>
  <c r="A163" i="16"/>
  <c r="J163" i="21"/>
  <c r="I163" i="21"/>
  <c r="H163" i="21"/>
  <c r="G163" i="21"/>
  <c r="F163" i="21"/>
  <c r="C163" i="21"/>
  <c r="E163" i="16"/>
  <c r="D163" i="16"/>
  <c r="A164" i="16"/>
  <c r="J164" i="21"/>
  <c r="I164" i="21"/>
  <c r="H164" i="21"/>
  <c r="G164" i="21"/>
  <c r="F164" i="21"/>
  <c r="C164" i="21"/>
  <c r="E164" i="16"/>
  <c r="D164" i="16"/>
  <c r="A165" i="16"/>
  <c r="J165" i="21"/>
  <c r="I165" i="21"/>
  <c r="H165" i="21"/>
  <c r="G165" i="21"/>
  <c r="F165" i="21"/>
  <c r="C165" i="21"/>
  <c r="E165" i="16"/>
  <c r="D165" i="16"/>
  <c r="A166" i="16"/>
  <c r="J166" i="21"/>
  <c r="I166" i="21"/>
  <c r="H166" i="21"/>
  <c r="G166" i="21"/>
  <c r="F166" i="21"/>
  <c r="C166" i="21"/>
  <c r="E166" i="16"/>
  <c r="D166" i="16"/>
  <c r="A167" i="16"/>
  <c r="J167" i="21"/>
  <c r="I167" i="21"/>
  <c r="H167" i="21"/>
  <c r="G167" i="21"/>
  <c r="F167" i="21"/>
  <c r="C167" i="21"/>
  <c r="E167" i="16"/>
  <c r="D167" i="16"/>
  <c r="A168" i="16"/>
  <c r="J168" i="21"/>
  <c r="I168" i="21"/>
  <c r="H168" i="21"/>
  <c r="G168" i="21"/>
  <c r="F168" i="21"/>
  <c r="C168" i="21"/>
  <c r="E168" i="16"/>
  <c r="D168" i="16"/>
  <c r="A169" i="16"/>
  <c r="J169" i="21"/>
  <c r="I169" i="21"/>
  <c r="H169" i="21"/>
  <c r="G169" i="21"/>
  <c r="F169" i="21"/>
  <c r="C169" i="21"/>
  <c r="E169" i="16"/>
  <c r="D169" i="16"/>
  <c r="A170" i="16"/>
  <c r="J170" i="21"/>
  <c r="I170" i="21"/>
  <c r="H170" i="21"/>
  <c r="G170" i="21"/>
  <c r="F170" i="21"/>
  <c r="C170" i="21"/>
  <c r="E170" i="16"/>
  <c r="D170" i="16"/>
  <c r="A171" i="16"/>
  <c r="J171" i="21"/>
  <c r="I171" i="21"/>
  <c r="H171" i="21"/>
  <c r="G171" i="21"/>
  <c r="F171" i="21"/>
  <c r="C171" i="21"/>
  <c r="E171" i="16"/>
  <c r="D171" i="16"/>
  <c r="A172" i="16"/>
  <c r="J172" i="21"/>
  <c r="I172" i="21"/>
  <c r="H172" i="21"/>
  <c r="G172" i="21"/>
  <c r="F172" i="21"/>
  <c r="C172" i="21"/>
  <c r="E172" i="16"/>
  <c r="D172" i="16"/>
  <c r="A173" i="16"/>
  <c r="J173" i="21"/>
  <c r="I173" i="21"/>
  <c r="H173" i="21"/>
  <c r="G173" i="21"/>
  <c r="F173" i="21"/>
  <c r="C173" i="21"/>
  <c r="E173" i="16"/>
  <c r="D173" i="16"/>
  <c r="A174" i="16"/>
  <c r="J174" i="21"/>
  <c r="I174" i="21"/>
  <c r="H174" i="21"/>
  <c r="G174" i="21"/>
  <c r="F174" i="21"/>
  <c r="C174" i="21"/>
  <c r="E174" i="16"/>
  <c r="D174" i="16"/>
  <c r="A175" i="16"/>
  <c r="J175" i="21"/>
  <c r="I175" i="21"/>
  <c r="H175" i="21"/>
  <c r="G175" i="21"/>
  <c r="F175" i="21"/>
  <c r="C175" i="21"/>
  <c r="E175" i="16"/>
  <c r="D175" i="16"/>
  <c r="A176" i="16"/>
  <c r="J176" i="21"/>
  <c r="I176" i="21"/>
  <c r="H176" i="21"/>
  <c r="G176" i="21"/>
  <c r="F176" i="21"/>
  <c r="C176" i="21"/>
  <c r="E176" i="16"/>
  <c r="D176" i="16"/>
  <c r="A177" i="16"/>
  <c r="J177" i="21"/>
  <c r="I177" i="21"/>
  <c r="H177" i="21"/>
  <c r="G177" i="21"/>
  <c r="F177" i="21"/>
  <c r="C177" i="21"/>
  <c r="E177" i="16"/>
  <c r="D177" i="16"/>
  <c r="A178" i="16"/>
  <c r="J178" i="21"/>
  <c r="I178" i="21"/>
  <c r="H178" i="21"/>
  <c r="G178" i="21"/>
  <c r="F178" i="21"/>
  <c r="C178" i="21"/>
  <c r="E178" i="16"/>
  <c r="D178" i="16"/>
  <c r="A179" i="16"/>
  <c r="J179" i="21"/>
  <c r="I179" i="21"/>
  <c r="H179" i="21"/>
  <c r="G179" i="21"/>
  <c r="F179" i="21"/>
  <c r="C179" i="21"/>
  <c r="E179" i="16"/>
  <c r="D179" i="16"/>
  <c r="A180" i="16"/>
  <c r="J180" i="21"/>
  <c r="I180" i="21"/>
  <c r="H180" i="21"/>
  <c r="G180" i="21"/>
  <c r="F180" i="21"/>
  <c r="C180" i="21"/>
  <c r="E180" i="16"/>
  <c r="D180" i="16"/>
  <c r="A181" i="16"/>
  <c r="J181" i="21"/>
  <c r="I181" i="21"/>
  <c r="H181" i="21"/>
  <c r="G181" i="21"/>
  <c r="F181" i="21"/>
  <c r="C181" i="21"/>
  <c r="E181" i="16"/>
  <c r="D181" i="16"/>
  <c r="A182" i="16"/>
  <c r="J182" i="21"/>
  <c r="I182" i="21"/>
  <c r="H182" i="21"/>
  <c r="G182" i="21"/>
  <c r="F182" i="21"/>
  <c r="C182" i="21"/>
  <c r="E182" i="16"/>
  <c r="D182" i="16"/>
  <c r="A183" i="16"/>
  <c r="J183" i="21"/>
  <c r="I183" i="21"/>
  <c r="H183" i="21"/>
  <c r="G183" i="21"/>
  <c r="F183" i="21"/>
  <c r="C183" i="21"/>
  <c r="E183" i="16"/>
  <c r="D183" i="16"/>
  <c r="A184" i="16"/>
  <c r="J184" i="21"/>
  <c r="I184" i="21"/>
  <c r="H184" i="21"/>
  <c r="G184" i="21"/>
  <c r="F184" i="21"/>
  <c r="C184" i="21"/>
  <c r="E184" i="16"/>
  <c r="D184" i="16"/>
  <c r="A185" i="16"/>
  <c r="J185" i="21"/>
  <c r="I185" i="21"/>
  <c r="H185" i="21"/>
  <c r="G185" i="21"/>
  <c r="F185" i="21"/>
  <c r="C185" i="21"/>
  <c r="E185" i="16"/>
  <c r="D185" i="16"/>
  <c r="A186" i="16"/>
  <c r="J186" i="21"/>
  <c r="I186" i="21"/>
  <c r="H186" i="21"/>
  <c r="G186" i="21"/>
  <c r="F186" i="21"/>
  <c r="C186" i="21"/>
  <c r="E186" i="16"/>
  <c r="D186" i="16"/>
  <c r="A187" i="16"/>
  <c r="J187" i="21"/>
  <c r="I187" i="21"/>
  <c r="H187" i="21"/>
  <c r="G187" i="21"/>
  <c r="F187" i="21"/>
  <c r="C187" i="21"/>
  <c r="E187" i="16"/>
  <c r="AA187" i="16"/>
  <c r="D187" i="16"/>
  <c r="A143" i="16"/>
  <c r="J143" i="21"/>
  <c r="I143" i="21"/>
  <c r="H143" i="21"/>
  <c r="G143" i="21"/>
  <c r="F143" i="21"/>
  <c r="C143" i="21"/>
  <c r="E143" i="16"/>
  <c r="D143" i="16"/>
  <c r="A144" i="16"/>
  <c r="J144" i="21"/>
  <c r="I144" i="21"/>
  <c r="H144" i="21"/>
  <c r="G144" i="21"/>
  <c r="F144" i="21"/>
  <c r="C144" i="21"/>
  <c r="E144" i="16"/>
  <c r="D144" i="16"/>
  <c r="A117" i="16"/>
  <c r="J117" i="21"/>
  <c r="I117" i="21"/>
  <c r="H117" i="21"/>
  <c r="G117" i="21"/>
  <c r="F117" i="21"/>
  <c r="C117" i="21"/>
  <c r="E117" i="16"/>
  <c r="D117" i="16"/>
  <c r="A118" i="16"/>
  <c r="J118" i="21"/>
  <c r="I118" i="21"/>
  <c r="H118" i="21"/>
  <c r="G118" i="21"/>
  <c r="F118" i="21"/>
  <c r="C118" i="21"/>
  <c r="E118" i="16"/>
  <c r="D118" i="16"/>
  <c r="A119" i="16"/>
  <c r="J119" i="21"/>
  <c r="I119" i="21"/>
  <c r="H119" i="21"/>
  <c r="G119" i="21"/>
  <c r="F119" i="21"/>
  <c r="C119" i="21"/>
  <c r="E119" i="16"/>
  <c r="D119" i="16"/>
  <c r="A120" i="16"/>
  <c r="J120" i="21"/>
  <c r="I120" i="21"/>
  <c r="H120" i="21"/>
  <c r="G120" i="21"/>
  <c r="F120" i="21"/>
  <c r="C120" i="21"/>
  <c r="E120" i="16"/>
  <c r="D120" i="16"/>
  <c r="A121" i="16"/>
  <c r="J121" i="21"/>
  <c r="I121" i="21"/>
  <c r="H121" i="21"/>
  <c r="G121" i="21"/>
  <c r="F121" i="21"/>
  <c r="C121" i="21"/>
  <c r="E121" i="16"/>
  <c r="D121" i="16"/>
  <c r="A122" i="16"/>
  <c r="J122" i="21"/>
  <c r="I122" i="21"/>
  <c r="H122" i="21"/>
  <c r="G122" i="21"/>
  <c r="F122" i="21"/>
  <c r="C122" i="21"/>
  <c r="E122" i="16"/>
  <c r="D122" i="16"/>
  <c r="A123" i="16"/>
  <c r="J123" i="21"/>
  <c r="I123" i="21"/>
  <c r="H123" i="21"/>
  <c r="G123" i="21"/>
  <c r="F123" i="21"/>
  <c r="C123" i="21"/>
  <c r="E123" i="16"/>
  <c r="D123" i="16"/>
  <c r="A124" i="16"/>
  <c r="J124" i="21"/>
  <c r="I124" i="21"/>
  <c r="H124" i="21"/>
  <c r="G124" i="21"/>
  <c r="F124" i="21"/>
  <c r="C124" i="21"/>
  <c r="E124" i="16"/>
  <c r="D124" i="16"/>
  <c r="A125" i="16"/>
  <c r="J125" i="21"/>
  <c r="I125" i="21"/>
  <c r="H125" i="21"/>
  <c r="G125" i="21"/>
  <c r="F125" i="21"/>
  <c r="C125" i="21"/>
  <c r="E125" i="16"/>
  <c r="D125" i="16"/>
  <c r="A126" i="16"/>
  <c r="J126" i="21"/>
  <c r="I126" i="21"/>
  <c r="H126" i="21"/>
  <c r="G126" i="21"/>
  <c r="F126" i="21"/>
  <c r="C126" i="21"/>
  <c r="E126" i="16"/>
  <c r="D126" i="16"/>
  <c r="A127" i="16"/>
  <c r="J127" i="21"/>
  <c r="I127" i="21"/>
  <c r="H127" i="21"/>
  <c r="G127" i="21"/>
  <c r="F127" i="21"/>
  <c r="C127" i="21"/>
  <c r="E127" i="16"/>
  <c r="D127" i="16"/>
  <c r="A128" i="16"/>
  <c r="J128" i="21"/>
  <c r="I128" i="21"/>
  <c r="H128" i="21"/>
  <c r="G128" i="21"/>
  <c r="F128" i="21"/>
  <c r="C128" i="21"/>
  <c r="E128" i="16"/>
  <c r="D128" i="16"/>
  <c r="A129" i="16"/>
  <c r="J129" i="21"/>
  <c r="I129" i="21"/>
  <c r="H129" i="21"/>
  <c r="G129" i="21"/>
  <c r="F129" i="21"/>
  <c r="C129" i="21"/>
  <c r="E129" i="16"/>
  <c r="D129" i="16"/>
  <c r="A130" i="16"/>
  <c r="J130" i="21"/>
  <c r="I130" i="21"/>
  <c r="H130" i="21"/>
  <c r="G130" i="21"/>
  <c r="F130" i="21"/>
  <c r="C130" i="21"/>
  <c r="E130" i="16"/>
  <c r="D130" i="16"/>
  <c r="A131" i="16"/>
  <c r="J131" i="21"/>
  <c r="I131" i="21"/>
  <c r="H131" i="21"/>
  <c r="G131" i="21"/>
  <c r="F131" i="21"/>
  <c r="C131" i="21"/>
  <c r="E131" i="16"/>
  <c r="D131" i="16"/>
  <c r="A132" i="16"/>
  <c r="J132" i="21"/>
  <c r="I132" i="21"/>
  <c r="H132" i="21"/>
  <c r="G132" i="21"/>
  <c r="F132" i="21"/>
  <c r="C132" i="21"/>
  <c r="E132" i="16"/>
  <c r="D132" i="16"/>
  <c r="A133" i="16"/>
  <c r="J133" i="21"/>
  <c r="I133" i="21"/>
  <c r="H133" i="21"/>
  <c r="G133" i="21"/>
  <c r="F133" i="21"/>
  <c r="C133" i="21"/>
  <c r="E133" i="16"/>
  <c r="D133" i="16"/>
  <c r="A134" i="16"/>
  <c r="J134" i="21"/>
  <c r="I134" i="21"/>
  <c r="H134" i="21"/>
  <c r="G134" i="21"/>
  <c r="F134" i="21"/>
  <c r="C134" i="21"/>
  <c r="E134" i="16"/>
  <c r="D134" i="16"/>
  <c r="A135" i="16"/>
  <c r="J135" i="21"/>
  <c r="I135" i="21"/>
  <c r="H135" i="21"/>
  <c r="G135" i="21"/>
  <c r="F135" i="21"/>
  <c r="C135" i="21"/>
  <c r="E135" i="16"/>
  <c r="D135" i="16"/>
  <c r="A136" i="16"/>
  <c r="J136" i="21"/>
  <c r="I136" i="21"/>
  <c r="H136" i="21"/>
  <c r="G136" i="21"/>
  <c r="F136" i="21"/>
  <c r="C136" i="21"/>
  <c r="E136" i="16"/>
  <c r="D136" i="16"/>
  <c r="A137" i="16"/>
  <c r="J137" i="21"/>
  <c r="I137" i="21"/>
  <c r="H137" i="21"/>
  <c r="G137" i="21"/>
  <c r="F137" i="21"/>
  <c r="C137" i="21"/>
  <c r="E137" i="16"/>
  <c r="D137" i="16"/>
  <c r="A138" i="16"/>
  <c r="J138" i="21"/>
  <c r="I138" i="21"/>
  <c r="H138" i="21"/>
  <c r="G138" i="21"/>
  <c r="F138" i="21"/>
  <c r="C138" i="21"/>
  <c r="E138" i="16"/>
  <c r="D138" i="16"/>
  <c r="A139" i="16"/>
  <c r="J139" i="21"/>
  <c r="I139" i="21"/>
  <c r="H139" i="21"/>
  <c r="G139" i="21"/>
  <c r="F139" i="21"/>
  <c r="C139" i="21"/>
  <c r="E139" i="16"/>
  <c r="D139" i="16"/>
  <c r="A140" i="16"/>
  <c r="J140" i="21"/>
  <c r="I140" i="21"/>
  <c r="H140" i="21"/>
  <c r="G140" i="21"/>
  <c r="F140" i="21"/>
  <c r="C140" i="21"/>
  <c r="E140" i="16"/>
  <c r="D140" i="16"/>
  <c r="A141" i="16"/>
  <c r="J141" i="21"/>
  <c r="I141" i="21"/>
  <c r="H141" i="21"/>
  <c r="G141" i="21"/>
  <c r="F141" i="21"/>
  <c r="C141" i="21"/>
  <c r="E141" i="16"/>
  <c r="D141" i="16"/>
  <c r="A142" i="16"/>
  <c r="J142" i="21"/>
  <c r="I142" i="21"/>
  <c r="H142" i="21"/>
  <c r="G142" i="21"/>
  <c r="F142" i="21"/>
  <c r="C142" i="21"/>
  <c r="E142" i="16"/>
  <c r="D142" i="16"/>
  <c r="B84" i="19"/>
  <c r="E1" i="22"/>
  <c r="D1" i="22"/>
  <c r="A113" i="16"/>
  <c r="J113" i="21"/>
  <c r="I113" i="21"/>
  <c r="H113" i="21"/>
  <c r="G113" i="21"/>
  <c r="F113" i="21"/>
  <c r="C113" i="21"/>
  <c r="E113" i="16"/>
  <c r="A114" i="16"/>
  <c r="J114" i="21"/>
  <c r="I114" i="21"/>
  <c r="H114" i="21"/>
  <c r="G114" i="21"/>
  <c r="F114" i="21"/>
  <c r="C114" i="21"/>
  <c r="E114" i="16"/>
  <c r="A115" i="16"/>
  <c r="J115" i="21"/>
  <c r="I115" i="21"/>
  <c r="H115" i="21"/>
  <c r="G115" i="21"/>
  <c r="F115" i="21"/>
  <c r="C115" i="21"/>
  <c r="E115" i="16"/>
  <c r="A116" i="16"/>
  <c r="J116" i="21"/>
  <c r="I116" i="21"/>
  <c r="H116" i="21"/>
  <c r="G116" i="21"/>
  <c r="F116" i="21"/>
  <c r="C116" i="21"/>
  <c r="E116" i="16"/>
  <c r="A112" i="16"/>
  <c r="J112" i="21"/>
  <c r="I112" i="21"/>
  <c r="H112" i="21"/>
  <c r="G112" i="21"/>
  <c r="F112" i="21"/>
  <c r="C112" i="21"/>
  <c r="E112" i="16"/>
  <c r="T15" i="25"/>
  <c r="A590" i="21"/>
  <c r="C590" i="21"/>
  <c r="J590" i="21"/>
  <c r="I590" i="21"/>
  <c r="H590" i="21"/>
  <c r="G590" i="21"/>
  <c r="F590" i="21"/>
  <c r="K590" i="21"/>
  <c r="A591" i="21"/>
  <c r="C591" i="21"/>
  <c r="J591" i="21"/>
  <c r="I591" i="21"/>
  <c r="H591" i="21"/>
  <c r="G591" i="21"/>
  <c r="F591" i="21"/>
  <c r="K591" i="21"/>
  <c r="A592" i="21"/>
  <c r="C592" i="21"/>
  <c r="J592" i="21"/>
  <c r="I592" i="21"/>
  <c r="H592" i="21"/>
  <c r="G592" i="21"/>
  <c r="F592" i="21"/>
  <c r="K592" i="21"/>
  <c r="A593" i="21"/>
  <c r="C593" i="21"/>
  <c r="J593" i="21"/>
  <c r="I593" i="21"/>
  <c r="H593" i="21"/>
  <c r="G593" i="21"/>
  <c r="F593" i="21"/>
  <c r="K593" i="21"/>
  <c r="A594" i="21"/>
  <c r="C594" i="21"/>
  <c r="J594" i="21"/>
  <c r="I594" i="21"/>
  <c r="H594" i="21"/>
  <c r="G594" i="21"/>
  <c r="F594" i="21"/>
  <c r="K594" i="21"/>
  <c r="A595" i="21"/>
  <c r="C595" i="21"/>
  <c r="J595" i="21"/>
  <c r="I595" i="21"/>
  <c r="H595" i="21"/>
  <c r="G595" i="21"/>
  <c r="F595" i="21"/>
  <c r="K595" i="21"/>
  <c r="A596" i="21"/>
  <c r="C596" i="21"/>
  <c r="J596" i="21"/>
  <c r="I596" i="21"/>
  <c r="H596" i="21"/>
  <c r="G596" i="21"/>
  <c r="F596" i="21"/>
  <c r="K596" i="21"/>
  <c r="A597" i="21"/>
  <c r="C597" i="21"/>
  <c r="J597" i="21"/>
  <c r="I597" i="21"/>
  <c r="H597" i="21"/>
  <c r="G597" i="21"/>
  <c r="F597" i="21"/>
  <c r="K597" i="21"/>
  <c r="A598" i="21"/>
  <c r="C598" i="21"/>
  <c r="J598" i="21"/>
  <c r="I598" i="21"/>
  <c r="H598" i="21"/>
  <c r="G598" i="21"/>
  <c r="F598" i="21"/>
  <c r="K598" i="21"/>
  <c r="A599" i="21"/>
  <c r="C599" i="21"/>
  <c r="J599" i="21"/>
  <c r="I599" i="21"/>
  <c r="H599" i="21"/>
  <c r="G599" i="21"/>
  <c r="F599" i="21"/>
  <c r="K599" i="21"/>
  <c r="A600" i="21"/>
  <c r="C600" i="21"/>
  <c r="J600" i="21"/>
  <c r="I600" i="21"/>
  <c r="H600" i="21"/>
  <c r="G600" i="21"/>
  <c r="F600" i="21"/>
  <c r="K600" i="21"/>
  <c r="A110" i="16"/>
  <c r="J110" i="21"/>
  <c r="I110" i="21"/>
  <c r="H110" i="21"/>
  <c r="G110" i="21"/>
  <c r="F110" i="21"/>
  <c r="C110" i="21"/>
  <c r="E110" i="16"/>
  <c r="A111" i="16"/>
  <c r="J111" i="21"/>
  <c r="I111" i="21"/>
  <c r="H111" i="21"/>
  <c r="G111" i="21"/>
  <c r="F111" i="21"/>
  <c r="C111" i="21"/>
  <c r="E111" i="1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B41" i="19"/>
  <c r="B69" i="19"/>
  <c r="B55" i="19"/>
  <c r="B53" i="19"/>
  <c r="B56" i="19"/>
  <c r="B57" i="19"/>
  <c r="B52" i="19"/>
  <c r="B54" i="19"/>
  <c r="B58" i="19"/>
  <c r="B62" i="19"/>
  <c r="B60" i="19"/>
  <c r="B77" i="19"/>
  <c r="B68" i="19"/>
  <c r="B61" i="19"/>
  <c r="B91" i="19"/>
  <c r="B92" i="19"/>
  <c r="B65" i="19"/>
  <c r="B76" i="19"/>
  <c r="B72" i="19"/>
  <c r="B66" i="19"/>
  <c r="B93" i="19"/>
  <c r="B64" i="19"/>
  <c r="B78" i="19"/>
  <c r="B67" i="19"/>
  <c r="B71" i="19"/>
  <c r="B73" i="19"/>
  <c r="B75" i="19"/>
  <c r="B94" i="19"/>
  <c r="B79" i="19"/>
  <c r="B74" i="19"/>
  <c r="B80" i="19"/>
  <c r="B81" i="19"/>
  <c r="B95" i="19"/>
  <c r="B96" i="19"/>
  <c r="B97" i="19"/>
  <c r="B98" i="19"/>
  <c r="B99" i="19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2" i="21"/>
  <c r="A36" i="21"/>
  <c r="K36" i="21"/>
  <c r="A37" i="21"/>
  <c r="K37" i="21"/>
  <c r="A38" i="21"/>
  <c r="K38" i="21"/>
  <c r="A39" i="21"/>
  <c r="K39" i="21"/>
  <c r="A40" i="21"/>
  <c r="K40" i="21"/>
  <c r="A41" i="21"/>
  <c r="K41" i="21"/>
  <c r="A42" i="21"/>
  <c r="K42" i="21"/>
  <c r="A43" i="21"/>
  <c r="K43" i="21"/>
  <c r="A44" i="21"/>
  <c r="K44" i="21"/>
  <c r="A45" i="21"/>
  <c r="K45" i="21"/>
  <c r="A46" i="21"/>
  <c r="K46" i="21"/>
  <c r="A47" i="21"/>
  <c r="K47" i="21"/>
  <c r="A48" i="21"/>
  <c r="K48" i="21"/>
  <c r="A49" i="21"/>
  <c r="K49" i="21"/>
  <c r="A50" i="21"/>
  <c r="K50" i="21"/>
  <c r="A51" i="21"/>
  <c r="K51" i="21"/>
  <c r="A52" i="21"/>
  <c r="K52" i="21"/>
  <c r="A53" i="21"/>
  <c r="K53" i="21"/>
  <c r="A54" i="21"/>
  <c r="K54" i="21"/>
  <c r="A55" i="21"/>
  <c r="K55" i="21"/>
  <c r="A56" i="21"/>
  <c r="K56" i="21"/>
  <c r="A57" i="21"/>
  <c r="K57" i="21"/>
  <c r="A58" i="21"/>
  <c r="K58" i="21"/>
  <c r="A59" i="21"/>
  <c r="K59" i="21"/>
  <c r="A60" i="21"/>
  <c r="K60" i="21"/>
  <c r="A61" i="21"/>
  <c r="K61" i="21"/>
  <c r="A62" i="21"/>
  <c r="K62" i="21"/>
  <c r="A63" i="21"/>
  <c r="K63" i="21"/>
  <c r="A64" i="21"/>
  <c r="K64" i="21"/>
  <c r="A65" i="21"/>
  <c r="K65" i="21"/>
  <c r="A66" i="21"/>
  <c r="K66" i="21"/>
  <c r="A67" i="21"/>
  <c r="K67" i="21"/>
  <c r="A68" i="21"/>
  <c r="K68" i="21"/>
  <c r="A69" i="21"/>
  <c r="K69" i="21"/>
  <c r="A70" i="21"/>
  <c r="K70" i="21"/>
  <c r="A71" i="21"/>
  <c r="K71" i="21"/>
  <c r="A72" i="21"/>
  <c r="K72" i="21"/>
  <c r="A73" i="21"/>
  <c r="K73" i="21"/>
  <c r="A74" i="21"/>
  <c r="K74" i="21"/>
  <c r="A75" i="21"/>
  <c r="K75" i="21"/>
  <c r="A76" i="21"/>
  <c r="K76" i="21"/>
  <c r="A77" i="21"/>
  <c r="K77" i="21"/>
  <c r="A78" i="21"/>
  <c r="K78" i="21"/>
  <c r="A79" i="21"/>
  <c r="K79" i="21"/>
  <c r="A80" i="21"/>
  <c r="K80" i="21"/>
  <c r="A81" i="21"/>
  <c r="K81" i="21"/>
  <c r="A82" i="21"/>
  <c r="K82" i="21"/>
  <c r="A83" i="21"/>
  <c r="J83" i="21"/>
  <c r="I83" i="21"/>
  <c r="H83" i="21"/>
  <c r="G83" i="21"/>
  <c r="F83" i="21"/>
  <c r="K83" i="21"/>
  <c r="A84" i="21"/>
  <c r="J84" i="21"/>
  <c r="I84" i="21"/>
  <c r="H84" i="21"/>
  <c r="G84" i="21"/>
  <c r="F84" i="21"/>
  <c r="K84" i="21"/>
  <c r="A85" i="21"/>
  <c r="J85" i="21"/>
  <c r="I85" i="21"/>
  <c r="H85" i="21"/>
  <c r="G85" i="21"/>
  <c r="F85" i="21"/>
  <c r="K85" i="21"/>
  <c r="A86" i="21"/>
  <c r="J86" i="21"/>
  <c r="I86" i="21"/>
  <c r="H86" i="21"/>
  <c r="G86" i="21"/>
  <c r="F86" i="21"/>
  <c r="K86" i="21"/>
  <c r="A87" i="21"/>
  <c r="J87" i="21"/>
  <c r="I87" i="21"/>
  <c r="H87" i="21"/>
  <c r="G87" i="21"/>
  <c r="F87" i="21"/>
  <c r="K87" i="21"/>
  <c r="A88" i="21"/>
  <c r="J88" i="21"/>
  <c r="I88" i="21"/>
  <c r="H88" i="21"/>
  <c r="G88" i="21"/>
  <c r="F88" i="21"/>
  <c r="K88" i="21"/>
  <c r="A89" i="21"/>
  <c r="J89" i="21"/>
  <c r="I89" i="21"/>
  <c r="H89" i="21"/>
  <c r="G89" i="21"/>
  <c r="F89" i="21"/>
  <c r="K89" i="21"/>
  <c r="A90" i="21"/>
  <c r="J90" i="21"/>
  <c r="I90" i="21"/>
  <c r="H90" i="21"/>
  <c r="G90" i="21"/>
  <c r="F90" i="21"/>
  <c r="K90" i="21"/>
  <c r="A91" i="21"/>
  <c r="J91" i="21"/>
  <c r="I91" i="21"/>
  <c r="H91" i="21"/>
  <c r="G91" i="21"/>
  <c r="F91" i="21"/>
  <c r="K91" i="21"/>
  <c r="A92" i="21"/>
  <c r="J92" i="21"/>
  <c r="I92" i="21"/>
  <c r="H92" i="21"/>
  <c r="G92" i="21"/>
  <c r="F92" i="21"/>
  <c r="K92" i="21"/>
  <c r="A93" i="21"/>
  <c r="J93" i="21"/>
  <c r="I93" i="21"/>
  <c r="H93" i="21"/>
  <c r="G93" i="21"/>
  <c r="F93" i="21"/>
  <c r="K93" i="21"/>
  <c r="A94" i="21"/>
  <c r="J94" i="21"/>
  <c r="I94" i="21"/>
  <c r="H94" i="21"/>
  <c r="G94" i="21"/>
  <c r="F94" i="21"/>
  <c r="K94" i="21"/>
  <c r="A95" i="21"/>
  <c r="J95" i="21"/>
  <c r="I95" i="21"/>
  <c r="H95" i="21"/>
  <c r="G95" i="21"/>
  <c r="F95" i="21"/>
  <c r="K95" i="21"/>
  <c r="A96" i="21"/>
  <c r="J96" i="21"/>
  <c r="I96" i="21"/>
  <c r="H96" i="21"/>
  <c r="G96" i="21"/>
  <c r="F96" i="21"/>
  <c r="K96" i="21"/>
  <c r="A97" i="21"/>
  <c r="J97" i="21"/>
  <c r="I97" i="21"/>
  <c r="H97" i="21"/>
  <c r="G97" i="21"/>
  <c r="F97" i="21"/>
  <c r="K97" i="21"/>
  <c r="A98" i="21"/>
  <c r="J98" i="21"/>
  <c r="I98" i="21"/>
  <c r="H98" i="21"/>
  <c r="G98" i="21"/>
  <c r="F98" i="21"/>
  <c r="K98" i="21"/>
  <c r="A99" i="21"/>
  <c r="J99" i="21"/>
  <c r="I99" i="21"/>
  <c r="H99" i="21"/>
  <c r="G99" i="21"/>
  <c r="F99" i="21"/>
  <c r="K99" i="21"/>
  <c r="A100" i="21"/>
  <c r="J100" i="21"/>
  <c r="I100" i="21"/>
  <c r="H100" i="21"/>
  <c r="G100" i="21"/>
  <c r="F100" i="21"/>
  <c r="K100" i="21"/>
  <c r="A101" i="21"/>
  <c r="J101" i="21"/>
  <c r="I101" i="21"/>
  <c r="H101" i="21"/>
  <c r="G101" i="21"/>
  <c r="F101" i="21"/>
  <c r="K101" i="21"/>
  <c r="A102" i="21"/>
  <c r="J102" i="21"/>
  <c r="I102" i="21"/>
  <c r="H102" i="21"/>
  <c r="G102" i="21"/>
  <c r="F102" i="21"/>
  <c r="K102" i="21"/>
  <c r="A103" i="21"/>
  <c r="J103" i="21"/>
  <c r="I103" i="21"/>
  <c r="H103" i="21"/>
  <c r="G103" i="21"/>
  <c r="F103" i="21"/>
  <c r="K103" i="21"/>
  <c r="A104" i="21"/>
  <c r="J104" i="21"/>
  <c r="I104" i="21"/>
  <c r="H104" i="21"/>
  <c r="G104" i="21"/>
  <c r="F104" i="21"/>
  <c r="K104" i="21"/>
  <c r="A105" i="21"/>
  <c r="J105" i="21"/>
  <c r="I105" i="21"/>
  <c r="H105" i="21"/>
  <c r="G105" i="21"/>
  <c r="F105" i="21"/>
  <c r="K105" i="21"/>
  <c r="A106" i="21"/>
  <c r="J106" i="21"/>
  <c r="I106" i="21"/>
  <c r="H106" i="21"/>
  <c r="G106" i="21"/>
  <c r="F106" i="21"/>
  <c r="K106" i="21"/>
  <c r="A107" i="21"/>
  <c r="J107" i="21"/>
  <c r="I107" i="21"/>
  <c r="H107" i="21"/>
  <c r="G107" i="21"/>
  <c r="F107" i="21"/>
  <c r="K107" i="21"/>
  <c r="A108" i="21"/>
  <c r="J108" i="21"/>
  <c r="I108" i="21"/>
  <c r="H108" i="21"/>
  <c r="G108" i="21"/>
  <c r="F108" i="21"/>
  <c r="K108" i="21"/>
  <c r="A109" i="21"/>
  <c r="J109" i="21"/>
  <c r="I109" i="21"/>
  <c r="H109" i="21"/>
  <c r="G109" i="21"/>
  <c r="F109" i="21"/>
  <c r="K109" i="21"/>
  <c r="A110" i="21"/>
  <c r="K110" i="21"/>
  <c r="A111" i="21"/>
  <c r="K111" i="21"/>
  <c r="A112" i="21"/>
  <c r="K112" i="21"/>
  <c r="A113" i="21"/>
  <c r="K113" i="21"/>
  <c r="A114" i="21"/>
  <c r="K114" i="21"/>
  <c r="A115" i="21"/>
  <c r="K115" i="21"/>
  <c r="A116" i="21"/>
  <c r="K116" i="21"/>
  <c r="A117" i="21"/>
  <c r="K117" i="21"/>
  <c r="A118" i="21"/>
  <c r="K118" i="21"/>
  <c r="A119" i="21"/>
  <c r="K119" i="21"/>
  <c r="A120" i="21"/>
  <c r="K120" i="21"/>
  <c r="A121" i="21"/>
  <c r="K121" i="21"/>
  <c r="A122" i="21"/>
  <c r="K122" i="21"/>
  <c r="A123" i="21"/>
  <c r="K123" i="21"/>
  <c r="A124" i="21"/>
  <c r="K124" i="21"/>
  <c r="A125" i="21"/>
  <c r="K125" i="21"/>
  <c r="A126" i="21"/>
  <c r="K126" i="21"/>
  <c r="A127" i="21"/>
  <c r="K127" i="21"/>
  <c r="A128" i="21"/>
  <c r="K128" i="21"/>
  <c r="A129" i="21"/>
  <c r="K129" i="21"/>
  <c r="A130" i="21"/>
  <c r="K130" i="21"/>
  <c r="A131" i="21"/>
  <c r="K131" i="21"/>
  <c r="A132" i="21"/>
  <c r="K132" i="21"/>
  <c r="A133" i="21"/>
  <c r="K133" i="21"/>
  <c r="A134" i="21"/>
  <c r="K134" i="21"/>
  <c r="A135" i="21"/>
  <c r="K135" i="21"/>
  <c r="A136" i="21"/>
  <c r="K136" i="21"/>
  <c r="A137" i="21"/>
  <c r="K137" i="21"/>
  <c r="A138" i="21"/>
  <c r="K138" i="21"/>
  <c r="A139" i="21"/>
  <c r="K139" i="21"/>
  <c r="A140" i="21"/>
  <c r="K140" i="21"/>
  <c r="A141" i="21"/>
  <c r="K141" i="21"/>
  <c r="A142" i="21"/>
  <c r="K142" i="21"/>
  <c r="A143" i="21"/>
  <c r="K143" i="21"/>
  <c r="A144" i="21"/>
  <c r="K144" i="21"/>
  <c r="A145" i="21"/>
  <c r="K145" i="21"/>
  <c r="A146" i="21"/>
  <c r="K146" i="21"/>
  <c r="A147" i="21"/>
  <c r="K147" i="21"/>
  <c r="A148" i="21"/>
  <c r="K148" i="21"/>
  <c r="A149" i="21"/>
  <c r="K149" i="21"/>
  <c r="A150" i="21"/>
  <c r="K150" i="21"/>
  <c r="A151" i="21"/>
  <c r="K151" i="21"/>
  <c r="A152" i="21"/>
  <c r="K152" i="21"/>
  <c r="A153" i="21"/>
  <c r="K153" i="21"/>
  <c r="A154" i="21"/>
  <c r="K154" i="21"/>
  <c r="A155" i="21"/>
  <c r="K155" i="21"/>
  <c r="A156" i="21"/>
  <c r="K156" i="21"/>
  <c r="A157" i="21"/>
  <c r="K157" i="21"/>
  <c r="A158" i="21"/>
  <c r="K158" i="21"/>
  <c r="A159" i="21"/>
  <c r="K159" i="21"/>
  <c r="A160" i="21"/>
  <c r="K160" i="21"/>
  <c r="A161" i="21"/>
  <c r="K161" i="21"/>
  <c r="A162" i="21"/>
  <c r="K162" i="21"/>
  <c r="A163" i="21"/>
  <c r="K163" i="21"/>
  <c r="A164" i="21"/>
  <c r="K164" i="21"/>
  <c r="A165" i="21"/>
  <c r="K165" i="21"/>
  <c r="A166" i="21"/>
  <c r="K166" i="21"/>
  <c r="A167" i="21"/>
  <c r="K167" i="21"/>
  <c r="A168" i="21"/>
  <c r="K168" i="21"/>
  <c r="A169" i="21"/>
  <c r="K169" i="21"/>
  <c r="A170" i="21"/>
  <c r="K170" i="21"/>
  <c r="A171" i="21"/>
  <c r="K171" i="21"/>
  <c r="A172" i="21"/>
  <c r="K172" i="21"/>
  <c r="A173" i="21"/>
  <c r="K173" i="21"/>
  <c r="A174" i="21"/>
  <c r="K174" i="21"/>
  <c r="A175" i="21"/>
  <c r="K175" i="21"/>
  <c r="A176" i="21"/>
  <c r="K176" i="21"/>
  <c r="A177" i="21"/>
  <c r="K177" i="21"/>
  <c r="A178" i="21"/>
  <c r="K178" i="21"/>
  <c r="A179" i="21"/>
  <c r="K179" i="21"/>
  <c r="A180" i="21"/>
  <c r="K180" i="21"/>
  <c r="A181" i="21"/>
  <c r="K181" i="21"/>
  <c r="A182" i="21"/>
  <c r="K182" i="21"/>
  <c r="A183" i="21"/>
  <c r="K183" i="21"/>
  <c r="A184" i="21"/>
  <c r="K184" i="21"/>
  <c r="A185" i="21"/>
  <c r="K185" i="21"/>
  <c r="A186" i="21"/>
  <c r="K186" i="21"/>
  <c r="A187" i="21"/>
  <c r="K187" i="21"/>
  <c r="A188" i="21"/>
  <c r="J188" i="21"/>
  <c r="I188" i="21"/>
  <c r="H188" i="21"/>
  <c r="G188" i="21"/>
  <c r="F188" i="21"/>
  <c r="K188" i="21"/>
  <c r="A189" i="21"/>
  <c r="J189" i="21"/>
  <c r="I189" i="21"/>
  <c r="H189" i="21"/>
  <c r="G189" i="21"/>
  <c r="F189" i="21"/>
  <c r="K189" i="21"/>
  <c r="A190" i="21"/>
  <c r="J190" i="21"/>
  <c r="I190" i="21"/>
  <c r="H190" i="21"/>
  <c r="G190" i="21"/>
  <c r="F190" i="21"/>
  <c r="K190" i="21"/>
  <c r="A191" i="21"/>
  <c r="J191" i="21"/>
  <c r="I191" i="21"/>
  <c r="H191" i="21"/>
  <c r="G191" i="21"/>
  <c r="F191" i="21"/>
  <c r="K191" i="21"/>
  <c r="A192" i="21"/>
  <c r="J192" i="21"/>
  <c r="I192" i="21"/>
  <c r="H192" i="21"/>
  <c r="G192" i="21"/>
  <c r="F192" i="21"/>
  <c r="K192" i="21"/>
  <c r="A193" i="21"/>
  <c r="J193" i="21"/>
  <c r="I193" i="21"/>
  <c r="H193" i="21"/>
  <c r="G193" i="21"/>
  <c r="F193" i="21"/>
  <c r="K193" i="21"/>
  <c r="A194" i="21"/>
  <c r="J194" i="21"/>
  <c r="I194" i="21"/>
  <c r="H194" i="21"/>
  <c r="G194" i="21"/>
  <c r="F194" i="21"/>
  <c r="K194" i="21"/>
  <c r="A195" i="21"/>
  <c r="J195" i="21"/>
  <c r="I195" i="21"/>
  <c r="H195" i="21"/>
  <c r="G195" i="21"/>
  <c r="F195" i="21"/>
  <c r="K195" i="21"/>
  <c r="A196" i="21"/>
  <c r="J196" i="21"/>
  <c r="I196" i="21"/>
  <c r="H196" i="21"/>
  <c r="G196" i="21"/>
  <c r="F196" i="21"/>
  <c r="K196" i="21"/>
  <c r="A197" i="21"/>
  <c r="J197" i="21"/>
  <c r="I197" i="21"/>
  <c r="H197" i="21"/>
  <c r="G197" i="21"/>
  <c r="F197" i="21"/>
  <c r="K197" i="21"/>
  <c r="A198" i="21"/>
  <c r="J198" i="21"/>
  <c r="I198" i="21"/>
  <c r="H198" i="21"/>
  <c r="G198" i="21"/>
  <c r="F198" i="21"/>
  <c r="K198" i="21"/>
  <c r="A199" i="21"/>
  <c r="J199" i="21"/>
  <c r="I199" i="21"/>
  <c r="H199" i="21"/>
  <c r="G199" i="21"/>
  <c r="F199" i="21"/>
  <c r="K199" i="21"/>
  <c r="A200" i="21"/>
  <c r="J200" i="21"/>
  <c r="I200" i="21"/>
  <c r="H200" i="21"/>
  <c r="G200" i="21"/>
  <c r="F200" i="21"/>
  <c r="K200" i="21"/>
  <c r="A201" i="21"/>
  <c r="J201" i="21"/>
  <c r="I201" i="21"/>
  <c r="H201" i="21"/>
  <c r="G201" i="21"/>
  <c r="F201" i="21"/>
  <c r="K201" i="21"/>
  <c r="A202" i="21"/>
  <c r="J202" i="21"/>
  <c r="I202" i="21"/>
  <c r="H202" i="21"/>
  <c r="G202" i="21"/>
  <c r="F202" i="21"/>
  <c r="K202" i="21"/>
  <c r="A203" i="21"/>
  <c r="J203" i="21"/>
  <c r="I203" i="21"/>
  <c r="H203" i="21"/>
  <c r="G203" i="21"/>
  <c r="F203" i="21"/>
  <c r="K203" i="21"/>
  <c r="A204" i="21"/>
  <c r="J204" i="21"/>
  <c r="I204" i="21"/>
  <c r="H204" i="21"/>
  <c r="G204" i="21"/>
  <c r="F204" i="21"/>
  <c r="K204" i="21"/>
  <c r="A205" i="21"/>
  <c r="J205" i="21"/>
  <c r="I205" i="21"/>
  <c r="H205" i="21"/>
  <c r="G205" i="21"/>
  <c r="F205" i="21"/>
  <c r="K205" i="21"/>
  <c r="A206" i="21"/>
  <c r="J206" i="21"/>
  <c r="I206" i="21"/>
  <c r="H206" i="21"/>
  <c r="G206" i="21"/>
  <c r="F206" i="21"/>
  <c r="K206" i="21"/>
  <c r="A207" i="21"/>
  <c r="J207" i="21"/>
  <c r="I207" i="21"/>
  <c r="H207" i="21"/>
  <c r="G207" i="21"/>
  <c r="F207" i="21"/>
  <c r="K207" i="21"/>
  <c r="A208" i="21"/>
  <c r="J208" i="21"/>
  <c r="I208" i="21"/>
  <c r="H208" i="21"/>
  <c r="G208" i="21"/>
  <c r="F208" i="21"/>
  <c r="K208" i="21"/>
  <c r="A209" i="21"/>
  <c r="J209" i="21"/>
  <c r="I209" i="21"/>
  <c r="H209" i="21"/>
  <c r="G209" i="21"/>
  <c r="F209" i="21"/>
  <c r="K209" i="21"/>
  <c r="A210" i="21"/>
  <c r="J210" i="21"/>
  <c r="I210" i="21"/>
  <c r="H210" i="21"/>
  <c r="G210" i="21"/>
  <c r="F210" i="21"/>
  <c r="K210" i="21"/>
  <c r="A211" i="21"/>
  <c r="J211" i="21"/>
  <c r="I211" i="21"/>
  <c r="H211" i="21"/>
  <c r="G211" i="21"/>
  <c r="F211" i="21"/>
  <c r="K211" i="21"/>
  <c r="A212" i="21"/>
  <c r="J212" i="21"/>
  <c r="I212" i="21"/>
  <c r="H212" i="21"/>
  <c r="G212" i="21"/>
  <c r="F212" i="21"/>
  <c r="K212" i="21"/>
  <c r="A213" i="21"/>
  <c r="J213" i="21"/>
  <c r="I213" i="21"/>
  <c r="H213" i="21"/>
  <c r="G213" i="21"/>
  <c r="F213" i="21"/>
  <c r="K213" i="21"/>
  <c r="A214" i="21"/>
  <c r="J214" i="21"/>
  <c r="I214" i="21"/>
  <c r="H214" i="21"/>
  <c r="G214" i="21"/>
  <c r="F214" i="21"/>
  <c r="K214" i="21"/>
  <c r="A215" i="21"/>
  <c r="J215" i="21"/>
  <c r="I215" i="21"/>
  <c r="H215" i="21"/>
  <c r="G215" i="21"/>
  <c r="F215" i="21"/>
  <c r="K215" i="21"/>
  <c r="A216" i="21"/>
  <c r="J216" i="21"/>
  <c r="I216" i="21"/>
  <c r="H216" i="21"/>
  <c r="G216" i="21"/>
  <c r="F216" i="21"/>
  <c r="K216" i="21"/>
  <c r="A217" i="21"/>
  <c r="J217" i="21"/>
  <c r="I217" i="21"/>
  <c r="H217" i="21"/>
  <c r="G217" i="21"/>
  <c r="F217" i="21"/>
  <c r="K217" i="21"/>
  <c r="A218" i="21"/>
  <c r="J218" i="21"/>
  <c r="I218" i="21"/>
  <c r="H218" i="21"/>
  <c r="G218" i="21"/>
  <c r="F218" i="21"/>
  <c r="K218" i="21"/>
  <c r="A219" i="21"/>
  <c r="J219" i="21"/>
  <c r="I219" i="21"/>
  <c r="H219" i="21"/>
  <c r="G219" i="21"/>
  <c r="F219" i="21"/>
  <c r="K219" i="21"/>
  <c r="A220" i="21"/>
  <c r="J220" i="21"/>
  <c r="I220" i="21"/>
  <c r="H220" i="21"/>
  <c r="G220" i="21"/>
  <c r="F220" i="21"/>
  <c r="K220" i="21"/>
  <c r="A221" i="21"/>
  <c r="J221" i="21"/>
  <c r="I221" i="21"/>
  <c r="H221" i="21"/>
  <c r="G221" i="21"/>
  <c r="F221" i="21"/>
  <c r="K221" i="21"/>
  <c r="A222" i="21"/>
  <c r="J222" i="21"/>
  <c r="I222" i="21"/>
  <c r="H222" i="21"/>
  <c r="G222" i="21"/>
  <c r="F222" i="21"/>
  <c r="K222" i="21"/>
  <c r="A223" i="21"/>
  <c r="J223" i="21"/>
  <c r="I223" i="21"/>
  <c r="H223" i="21"/>
  <c r="G223" i="21"/>
  <c r="F223" i="21"/>
  <c r="K223" i="21"/>
  <c r="A224" i="21"/>
  <c r="J224" i="21"/>
  <c r="I224" i="21"/>
  <c r="H224" i="21"/>
  <c r="G224" i="21"/>
  <c r="F224" i="21"/>
  <c r="K224" i="21"/>
  <c r="A225" i="21"/>
  <c r="J225" i="21"/>
  <c r="I225" i="21"/>
  <c r="H225" i="21"/>
  <c r="G225" i="21"/>
  <c r="F225" i="21"/>
  <c r="K225" i="21"/>
  <c r="A226" i="21"/>
  <c r="J226" i="21"/>
  <c r="I226" i="21"/>
  <c r="H226" i="21"/>
  <c r="G226" i="21"/>
  <c r="F226" i="21"/>
  <c r="K226" i="21"/>
  <c r="A227" i="21"/>
  <c r="J227" i="21"/>
  <c r="I227" i="21"/>
  <c r="H227" i="21"/>
  <c r="G227" i="21"/>
  <c r="F227" i="21"/>
  <c r="K227" i="21"/>
  <c r="A228" i="21"/>
  <c r="J228" i="21"/>
  <c r="I228" i="21"/>
  <c r="H228" i="21"/>
  <c r="G228" i="21"/>
  <c r="F228" i="21"/>
  <c r="K228" i="21"/>
  <c r="A229" i="21"/>
  <c r="J229" i="21"/>
  <c r="I229" i="21"/>
  <c r="H229" i="21"/>
  <c r="G229" i="21"/>
  <c r="F229" i="21"/>
  <c r="K229" i="21"/>
  <c r="A230" i="21"/>
  <c r="J230" i="21"/>
  <c r="I230" i="21"/>
  <c r="H230" i="21"/>
  <c r="G230" i="21"/>
  <c r="F230" i="21"/>
  <c r="K230" i="21"/>
  <c r="A231" i="21"/>
  <c r="J231" i="21"/>
  <c r="I231" i="21"/>
  <c r="H231" i="21"/>
  <c r="G231" i="21"/>
  <c r="F231" i="21"/>
  <c r="K231" i="21"/>
  <c r="A232" i="21"/>
  <c r="J232" i="21"/>
  <c r="I232" i="21"/>
  <c r="H232" i="21"/>
  <c r="G232" i="21"/>
  <c r="F232" i="21"/>
  <c r="K232" i="21"/>
  <c r="A233" i="21"/>
  <c r="J233" i="21"/>
  <c r="I233" i="21"/>
  <c r="H233" i="21"/>
  <c r="G233" i="21"/>
  <c r="F233" i="21"/>
  <c r="K233" i="21"/>
  <c r="A234" i="21"/>
  <c r="J234" i="21"/>
  <c r="I234" i="21"/>
  <c r="H234" i="21"/>
  <c r="G234" i="21"/>
  <c r="F234" i="21"/>
  <c r="K234" i="21"/>
  <c r="A235" i="21"/>
  <c r="J235" i="21"/>
  <c r="I235" i="21"/>
  <c r="H235" i="21"/>
  <c r="G235" i="21"/>
  <c r="F235" i="21"/>
  <c r="K235" i="21"/>
  <c r="A236" i="21"/>
  <c r="J236" i="21"/>
  <c r="I236" i="21"/>
  <c r="H236" i="21"/>
  <c r="G236" i="21"/>
  <c r="F236" i="21"/>
  <c r="K236" i="21"/>
  <c r="A237" i="21"/>
  <c r="J237" i="21"/>
  <c r="I237" i="21"/>
  <c r="H237" i="21"/>
  <c r="G237" i="21"/>
  <c r="F237" i="21"/>
  <c r="K237" i="21"/>
  <c r="A238" i="21"/>
  <c r="J238" i="21"/>
  <c r="I238" i="21"/>
  <c r="H238" i="21"/>
  <c r="G238" i="21"/>
  <c r="F238" i="21"/>
  <c r="K238" i="21"/>
  <c r="A239" i="21"/>
  <c r="J239" i="21"/>
  <c r="I239" i="21"/>
  <c r="H239" i="21"/>
  <c r="G239" i="21"/>
  <c r="F239" i="21"/>
  <c r="K239" i="21"/>
  <c r="A240" i="21"/>
  <c r="J240" i="21"/>
  <c r="I240" i="21"/>
  <c r="H240" i="21"/>
  <c r="G240" i="21"/>
  <c r="F240" i="21"/>
  <c r="K240" i="21"/>
  <c r="A241" i="21"/>
  <c r="J241" i="21"/>
  <c r="I241" i="21"/>
  <c r="H241" i="21"/>
  <c r="G241" i="21"/>
  <c r="F241" i="21"/>
  <c r="K241" i="21"/>
  <c r="A242" i="21"/>
  <c r="J242" i="21"/>
  <c r="I242" i="21"/>
  <c r="H242" i="21"/>
  <c r="G242" i="21"/>
  <c r="F242" i="21"/>
  <c r="K242" i="21"/>
  <c r="A243" i="21"/>
  <c r="J243" i="21"/>
  <c r="I243" i="21"/>
  <c r="H243" i="21"/>
  <c r="G243" i="21"/>
  <c r="F243" i="21"/>
  <c r="K243" i="21"/>
  <c r="A244" i="21"/>
  <c r="J244" i="21"/>
  <c r="I244" i="21"/>
  <c r="H244" i="21"/>
  <c r="G244" i="21"/>
  <c r="F244" i="21"/>
  <c r="K244" i="21"/>
  <c r="A245" i="21"/>
  <c r="J245" i="21"/>
  <c r="I245" i="21"/>
  <c r="H245" i="21"/>
  <c r="G245" i="21"/>
  <c r="F245" i="21"/>
  <c r="K245" i="21"/>
  <c r="A246" i="21"/>
  <c r="J246" i="21"/>
  <c r="I246" i="21"/>
  <c r="H246" i="21"/>
  <c r="G246" i="21"/>
  <c r="F246" i="21"/>
  <c r="K246" i="21"/>
  <c r="A247" i="21"/>
  <c r="J247" i="21"/>
  <c r="I247" i="21"/>
  <c r="H247" i="21"/>
  <c r="G247" i="21"/>
  <c r="F247" i="21"/>
  <c r="K247" i="21"/>
  <c r="A248" i="21"/>
  <c r="J248" i="21"/>
  <c r="I248" i="21"/>
  <c r="H248" i="21"/>
  <c r="G248" i="21"/>
  <c r="F248" i="21"/>
  <c r="K248" i="21"/>
  <c r="A249" i="21"/>
  <c r="J249" i="21"/>
  <c r="I249" i="21"/>
  <c r="H249" i="21"/>
  <c r="G249" i="21"/>
  <c r="F249" i="21"/>
  <c r="K249" i="21"/>
  <c r="A250" i="21"/>
  <c r="J250" i="21"/>
  <c r="I250" i="21"/>
  <c r="H250" i="21"/>
  <c r="G250" i="21"/>
  <c r="F250" i="21"/>
  <c r="K250" i="21"/>
  <c r="A251" i="21"/>
  <c r="J251" i="21"/>
  <c r="I251" i="21"/>
  <c r="H251" i="21"/>
  <c r="G251" i="21"/>
  <c r="F251" i="21"/>
  <c r="K251" i="21"/>
  <c r="A252" i="21"/>
  <c r="J252" i="21"/>
  <c r="I252" i="21"/>
  <c r="H252" i="21"/>
  <c r="G252" i="21"/>
  <c r="F252" i="21"/>
  <c r="K252" i="21"/>
  <c r="A253" i="21"/>
  <c r="J253" i="21"/>
  <c r="I253" i="21"/>
  <c r="H253" i="21"/>
  <c r="G253" i="21"/>
  <c r="F253" i="21"/>
  <c r="K253" i="21"/>
  <c r="A254" i="21"/>
  <c r="J254" i="21"/>
  <c r="I254" i="21"/>
  <c r="H254" i="21"/>
  <c r="G254" i="21"/>
  <c r="F254" i="21"/>
  <c r="K254" i="21"/>
  <c r="A255" i="21"/>
  <c r="J255" i="21"/>
  <c r="I255" i="21"/>
  <c r="H255" i="21"/>
  <c r="G255" i="21"/>
  <c r="F255" i="21"/>
  <c r="K255" i="21"/>
  <c r="A256" i="21"/>
  <c r="J256" i="21"/>
  <c r="I256" i="21"/>
  <c r="H256" i="21"/>
  <c r="G256" i="21"/>
  <c r="F256" i="21"/>
  <c r="K256" i="21"/>
  <c r="A257" i="21"/>
  <c r="J257" i="21"/>
  <c r="I257" i="21"/>
  <c r="H257" i="21"/>
  <c r="G257" i="21"/>
  <c r="F257" i="21"/>
  <c r="K257" i="21"/>
  <c r="A258" i="21"/>
  <c r="J258" i="21"/>
  <c r="I258" i="21"/>
  <c r="H258" i="21"/>
  <c r="G258" i="21"/>
  <c r="F258" i="21"/>
  <c r="K258" i="21"/>
  <c r="A259" i="21"/>
  <c r="J259" i="21"/>
  <c r="I259" i="21"/>
  <c r="H259" i="21"/>
  <c r="G259" i="21"/>
  <c r="F259" i="21"/>
  <c r="K259" i="21"/>
  <c r="A260" i="21"/>
  <c r="J260" i="21"/>
  <c r="I260" i="21"/>
  <c r="H260" i="21"/>
  <c r="G260" i="21"/>
  <c r="F260" i="21"/>
  <c r="K260" i="21"/>
  <c r="A261" i="21"/>
  <c r="J261" i="21"/>
  <c r="I261" i="21"/>
  <c r="H261" i="21"/>
  <c r="G261" i="21"/>
  <c r="F261" i="21"/>
  <c r="K261" i="21"/>
  <c r="A262" i="21"/>
  <c r="J262" i="21"/>
  <c r="I262" i="21"/>
  <c r="H262" i="21"/>
  <c r="G262" i="21"/>
  <c r="F262" i="21"/>
  <c r="K262" i="21"/>
  <c r="A263" i="21"/>
  <c r="J263" i="21"/>
  <c r="I263" i="21"/>
  <c r="H263" i="21"/>
  <c r="G263" i="21"/>
  <c r="F263" i="21"/>
  <c r="K263" i="21"/>
  <c r="A264" i="21"/>
  <c r="J264" i="21"/>
  <c r="I264" i="21"/>
  <c r="H264" i="21"/>
  <c r="G264" i="21"/>
  <c r="F264" i="21"/>
  <c r="K264" i="21"/>
  <c r="A265" i="21"/>
  <c r="J265" i="21"/>
  <c r="I265" i="21"/>
  <c r="H265" i="21"/>
  <c r="G265" i="21"/>
  <c r="F265" i="21"/>
  <c r="K265" i="21"/>
  <c r="A266" i="21"/>
  <c r="J266" i="21"/>
  <c r="I266" i="21"/>
  <c r="H266" i="21"/>
  <c r="G266" i="21"/>
  <c r="F266" i="21"/>
  <c r="K266" i="21"/>
  <c r="A267" i="21"/>
  <c r="J267" i="21"/>
  <c r="I267" i="21"/>
  <c r="H267" i="21"/>
  <c r="G267" i="21"/>
  <c r="F267" i="21"/>
  <c r="K267" i="21"/>
  <c r="A268" i="21"/>
  <c r="J268" i="21"/>
  <c r="I268" i="21"/>
  <c r="H268" i="21"/>
  <c r="G268" i="21"/>
  <c r="F268" i="21"/>
  <c r="K268" i="21"/>
  <c r="A269" i="21"/>
  <c r="J269" i="21"/>
  <c r="I269" i="21"/>
  <c r="H269" i="21"/>
  <c r="G269" i="21"/>
  <c r="F269" i="21"/>
  <c r="K269" i="21"/>
  <c r="A270" i="21"/>
  <c r="J270" i="21"/>
  <c r="I270" i="21"/>
  <c r="H270" i="21"/>
  <c r="G270" i="21"/>
  <c r="F270" i="21"/>
  <c r="K270" i="21"/>
  <c r="A271" i="21"/>
  <c r="J271" i="21"/>
  <c r="I271" i="21"/>
  <c r="H271" i="21"/>
  <c r="G271" i="21"/>
  <c r="F271" i="21"/>
  <c r="K271" i="21"/>
  <c r="A272" i="21"/>
  <c r="J272" i="21"/>
  <c r="I272" i="21"/>
  <c r="H272" i="21"/>
  <c r="G272" i="21"/>
  <c r="F272" i="21"/>
  <c r="K272" i="21"/>
  <c r="A273" i="21"/>
  <c r="J273" i="21"/>
  <c r="I273" i="21"/>
  <c r="H273" i="21"/>
  <c r="G273" i="21"/>
  <c r="F273" i="21"/>
  <c r="K273" i="21"/>
  <c r="A274" i="21"/>
  <c r="J274" i="21"/>
  <c r="I274" i="21"/>
  <c r="H274" i="21"/>
  <c r="G274" i="21"/>
  <c r="F274" i="21"/>
  <c r="K274" i="21"/>
  <c r="A275" i="21"/>
  <c r="J275" i="21"/>
  <c r="I275" i="21"/>
  <c r="H275" i="21"/>
  <c r="G275" i="21"/>
  <c r="F275" i="21"/>
  <c r="K275" i="21"/>
  <c r="A276" i="21"/>
  <c r="J276" i="21"/>
  <c r="I276" i="21"/>
  <c r="H276" i="21"/>
  <c r="G276" i="21"/>
  <c r="F276" i="21"/>
  <c r="K276" i="21"/>
  <c r="A277" i="21"/>
  <c r="J277" i="21"/>
  <c r="I277" i="21"/>
  <c r="H277" i="21"/>
  <c r="G277" i="21"/>
  <c r="F277" i="21"/>
  <c r="K277" i="21"/>
  <c r="A278" i="21"/>
  <c r="J278" i="21"/>
  <c r="I278" i="21"/>
  <c r="H278" i="21"/>
  <c r="G278" i="21"/>
  <c r="F278" i="21"/>
  <c r="K278" i="21"/>
  <c r="A279" i="21"/>
  <c r="J279" i="21"/>
  <c r="I279" i="21"/>
  <c r="H279" i="21"/>
  <c r="G279" i="21"/>
  <c r="F279" i="21"/>
  <c r="K279" i="21"/>
  <c r="A280" i="21"/>
  <c r="J280" i="21"/>
  <c r="I280" i="21"/>
  <c r="H280" i="21"/>
  <c r="G280" i="21"/>
  <c r="F280" i="21"/>
  <c r="K280" i="21"/>
  <c r="A281" i="21"/>
  <c r="J281" i="21"/>
  <c r="I281" i="21"/>
  <c r="H281" i="21"/>
  <c r="G281" i="21"/>
  <c r="F281" i="21"/>
  <c r="K281" i="21"/>
  <c r="A282" i="21"/>
  <c r="J282" i="21"/>
  <c r="I282" i="21"/>
  <c r="H282" i="21"/>
  <c r="G282" i="21"/>
  <c r="F282" i="21"/>
  <c r="K282" i="21"/>
  <c r="A283" i="21"/>
  <c r="J283" i="21"/>
  <c r="I283" i="21"/>
  <c r="H283" i="21"/>
  <c r="G283" i="21"/>
  <c r="F283" i="21"/>
  <c r="K283" i="21"/>
  <c r="A284" i="21"/>
  <c r="J284" i="21"/>
  <c r="I284" i="21"/>
  <c r="H284" i="21"/>
  <c r="G284" i="21"/>
  <c r="F284" i="21"/>
  <c r="K284" i="21"/>
  <c r="A285" i="21"/>
  <c r="J285" i="21"/>
  <c r="I285" i="21"/>
  <c r="H285" i="21"/>
  <c r="G285" i="21"/>
  <c r="F285" i="21"/>
  <c r="K285" i="21"/>
  <c r="A286" i="21"/>
  <c r="J286" i="21"/>
  <c r="I286" i="21"/>
  <c r="H286" i="21"/>
  <c r="G286" i="21"/>
  <c r="F286" i="21"/>
  <c r="K286" i="21"/>
  <c r="A287" i="21"/>
  <c r="J287" i="21"/>
  <c r="I287" i="21"/>
  <c r="H287" i="21"/>
  <c r="G287" i="21"/>
  <c r="F287" i="21"/>
  <c r="K287" i="21"/>
  <c r="A288" i="21"/>
  <c r="J288" i="21"/>
  <c r="I288" i="21"/>
  <c r="H288" i="21"/>
  <c r="G288" i="21"/>
  <c r="F288" i="21"/>
  <c r="K288" i="21"/>
  <c r="A289" i="21"/>
  <c r="J289" i="21"/>
  <c r="I289" i="21"/>
  <c r="H289" i="21"/>
  <c r="G289" i="21"/>
  <c r="F289" i="21"/>
  <c r="K289" i="21"/>
  <c r="A290" i="21"/>
  <c r="J290" i="21"/>
  <c r="I290" i="21"/>
  <c r="H290" i="21"/>
  <c r="G290" i="21"/>
  <c r="F290" i="21"/>
  <c r="K290" i="21"/>
  <c r="A291" i="21"/>
  <c r="J291" i="21"/>
  <c r="I291" i="21"/>
  <c r="H291" i="21"/>
  <c r="G291" i="21"/>
  <c r="F291" i="21"/>
  <c r="K291" i="21"/>
  <c r="A292" i="21"/>
  <c r="J292" i="21"/>
  <c r="I292" i="21"/>
  <c r="H292" i="21"/>
  <c r="G292" i="21"/>
  <c r="F292" i="21"/>
  <c r="K292" i="21"/>
  <c r="A293" i="21"/>
  <c r="J293" i="21"/>
  <c r="I293" i="21"/>
  <c r="H293" i="21"/>
  <c r="G293" i="21"/>
  <c r="F293" i="21"/>
  <c r="K293" i="21"/>
  <c r="A294" i="21"/>
  <c r="J294" i="21"/>
  <c r="I294" i="21"/>
  <c r="H294" i="21"/>
  <c r="G294" i="21"/>
  <c r="F294" i="21"/>
  <c r="K294" i="21"/>
  <c r="A295" i="21"/>
  <c r="J295" i="21"/>
  <c r="I295" i="21"/>
  <c r="H295" i="21"/>
  <c r="G295" i="21"/>
  <c r="F295" i="21"/>
  <c r="K295" i="21"/>
  <c r="A296" i="21"/>
  <c r="J296" i="21"/>
  <c r="I296" i="21"/>
  <c r="H296" i="21"/>
  <c r="G296" i="21"/>
  <c r="F296" i="21"/>
  <c r="K296" i="21"/>
  <c r="A297" i="21"/>
  <c r="J297" i="21"/>
  <c r="I297" i="21"/>
  <c r="H297" i="21"/>
  <c r="G297" i="21"/>
  <c r="F297" i="21"/>
  <c r="K297" i="21"/>
  <c r="A298" i="21"/>
  <c r="J298" i="21"/>
  <c r="I298" i="21"/>
  <c r="H298" i="21"/>
  <c r="G298" i="21"/>
  <c r="F298" i="21"/>
  <c r="K298" i="21"/>
  <c r="A299" i="21"/>
  <c r="J299" i="21"/>
  <c r="I299" i="21"/>
  <c r="H299" i="21"/>
  <c r="G299" i="21"/>
  <c r="F299" i="21"/>
  <c r="K299" i="21"/>
  <c r="A300" i="21"/>
  <c r="J300" i="21"/>
  <c r="I300" i="21"/>
  <c r="H300" i="21"/>
  <c r="G300" i="21"/>
  <c r="F300" i="21"/>
  <c r="K300" i="21"/>
  <c r="A301" i="21"/>
  <c r="J301" i="21"/>
  <c r="I301" i="21"/>
  <c r="H301" i="21"/>
  <c r="G301" i="21"/>
  <c r="F301" i="21"/>
  <c r="K301" i="21"/>
  <c r="A302" i="21"/>
  <c r="J302" i="21"/>
  <c r="I302" i="21"/>
  <c r="H302" i="21"/>
  <c r="G302" i="21"/>
  <c r="F302" i="21"/>
  <c r="K302" i="21"/>
  <c r="A303" i="21"/>
  <c r="J303" i="21"/>
  <c r="I303" i="21"/>
  <c r="H303" i="21"/>
  <c r="G303" i="21"/>
  <c r="F303" i="21"/>
  <c r="K303" i="21"/>
  <c r="A304" i="21"/>
  <c r="J304" i="21"/>
  <c r="I304" i="21"/>
  <c r="H304" i="21"/>
  <c r="G304" i="21"/>
  <c r="F304" i="21"/>
  <c r="K304" i="21"/>
  <c r="A305" i="21"/>
  <c r="J305" i="21"/>
  <c r="I305" i="21"/>
  <c r="H305" i="21"/>
  <c r="G305" i="21"/>
  <c r="F305" i="21"/>
  <c r="K305" i="21"/>
  <c r="A306" i="21"/>
  <c r="J306" i="21"/>
  <c r="I306" i="21"/>
  <c r="H306" i="21"/>
  <c r="G306" i="21"/>
  <c r="F306" i="21"/>
  <c r="K306" i="21"/>
  <c r="A307" i="21"/>
  <c r="J307" i="21"/>
  <c r="I307" i="21"/>
  <c r="H307" i="21"/>
  <c r="G307" i="21"/>
  <c r="F307" i="21"/>
  <c r="K307" i="21"/>
  <c r="A308" i="21"/>
  <c r="J308" i="21"/>
  <c r="I308" i="21"/>
  <c r="H308" i="21"/>
  <c r="G308" i="21"/>
  <c r="F308" i="21"/>
  <c r="K308" i="21"/>
  <c r="A309" i="21"/>
  <c r="J309" i="21"/>
  <c r="I309" i="21"/>
  <c r="H309" i="21"/>
  <c r="G309" i="21"/>
  <c r="F309" i="21"/>
  <c r="K309" i="21"/>
  <c r="A310" i="21"/>
  <c r="J310" i="21"/>
  <c r="I310" i="21"/>
  <c r="H310" i="21"/>
  <c r="G310" i="21"/>
  <c r="F310" i="21"/>
  <c r="K310" i="21"/>
  <c r="A311" i="21"/>
  <c r="J311" i="21"/>
  <c r="I311" i="21"/>
  <c r="H311" i="21"/>
  <c r="G311" i="21"/>
  <c r="F311" i="21"/>
  <c r="K311" i="21"/>
  <c r="A312" i="21"/>
  <c r="J312" i="21"/>
  <c r="I312" i="21"/>
  <c r="H312" i="21"/>
  <c r="G312" i="21"/>
  <c r="F312" i="21"/>
  <c r="K312" i="21"/>
  <c r="A313" i="21"/>
  <c r="J313" i="21"/>
  <c r="I313" i="21"/>
  <c r="H313" i="21"/>
  <c r="G313" i="21"/>
  <c r="F313" i="21"/>
  <c r="K313" i="21"/>
  <c r="A314" i="21"/>
  <c r="J314" i="21"/>
  <c r="I314" i="21"/>
  <c r="H314" i="21"/>
  <c r="G314" i="21"/>
  <c r="F314" i="21"/>
  <c r="K314" i="21"/>
  <c r="A315" i="21"/>
  <c r="J315" i="21"/>
  <c r="I315" i="21"/>
  <c r="H315" i="21"/>
  <c r="G315" i="21"/>
  <c r="F315" i="21"/>
  <c r="K315" i="21"/>
  <c r="A316" i="21"/>
  <c r="J316" i="21"/>
  <c r="I316" i="21"/>
  <c r="H316" i="21"/>
  <c r="G316" i="21"/>
  <c r="F316" i="21"/>
  <c r="K316" i="21"/>
  <c r="A317" i="21"/>
  <c r="J317" i="21"/>
  <c r="I317" i="21"/>
  <c r="H317" i="21"/>
  <c r="G317" i="21"/>
  <c r="F317" i="21"/>
  <c r="K317" i="21"/>
  <c r="A318" i="21"/>
  <c r="J318" i="21"/>
  <c r="I318" i="21"/>
  <c r="H318" i="21"/>
  <c r="G318" i="21"/>
  <c r="F318" i="21"/>
  <c r="K318" i="21"/>
  <c r="A319" i="21"/>
  <c r="J319" i="21"/>
  <c r="I319" i="21"/>
  <c r="H319" i="21"/>
  <c r="G319" i="21"/>
  <c r="F319" i="21"/>
  <c r="K319" i="21"/>
  <c r="A320" i="21"/>
  <c r="J320" i="21"/>
  <c r="I320" i="21"/>
  <c r="H320" i="21"/>
  <c r="G320" i="21"/>
  <c r="F320" i="21"/>
  <c r="K320" i="21"/>
  <c r="A321" i="21"/>
  <c r="J321" i="21"/>
  <c r="I321" i="21"/>
  <c r="H321" i="21"/>
  <c r="G321" i="21"/>
  <c r="F321" i="21"/>
  <c r="K321" i="21"/>
  <c r="A322" i="21"/>
  <c r="J322" i="21"/>
  <c r="I322" i="21"/>
  <c r="H322" i="21"/>
  <c r="G322" i="21"/>
  <c r="F322" i="21"/>
  <c r="K322" i="21"/>
  <c r="A323" i="21"/>
  <c r="J323" i="21"/>
  <c r="I323" i="21"/>
  <c r="H323" i="21"/>
  <c r="G323" i="21"/>
  <c r="F323" i="21"/>
  <c r="K323" i="21"/>
  <c r="A324" i="21"/>
  <c r="J324" i="21"/>
  <c r="I324" i="21"/>
  <c r="H324" i="21"/>
  <c r="G324" i="21"/>
  <c r="F324" i="21"/>
  <c r="K324" i="21"/>
  <c r="A325" i="21"/>
  <c r="J325" i="21"/>
  <c r="I325" i="21"/>
  <c r="H325" i="21"/>
  <c r="G325" i="21"/>
  <c r="F325" i="21"/>
  <c r="K325" i="21"/>
  <c r="A326" i="21"/>
  <c r="J326" i="21"/>
  <c r="I326" i="21"/>
  <c r="H326" i="21"/>
  <c r="G326" i="21"/>
  <c r="F326" i="21"/>
  <c r="K326" i="21"/>
  <c r="A327" i="21"/>
  <c r="J327" i="21"/>
  <c r="I327" i="21"/>
  <c r="H327" i="21"/>
  <c r="G327" i="21"/>
  <c r="F327" i="21"/>
  <c r="K327" i="21"/>
  <c r="A328" i="21"/>
  <c r="J328" i="21"/>
  <c r="I328" i="21"/>
  <c r="H328" i="21"/>
  <c r="G328" i="21"/>
  <c r="F328" i="21"/>
  <c r="K328" i="21"/>
  <c r="A329" i="21"/>
  <c r="J329" i="21"/>
  <c r="I329" i="21"/>
  <c r="H329" i="21"/>
  <c r="G329" i="21"/>
  <c r="F329" i="21"/>
  <c r="K329" i="21"/>
  <c r="A330" i="21"/>
  <c r="J330" i="21"/>
  <c r="I330" i="21"/>
  <c r="H330" i="21"/>
  <c r="G330" i="21"/>
  <c r="F330" i="21"/>
  <c r="K330" i="21"/>
  <c r="A331" i="21"/>
  <c r="J331" i="21"/>
  <c r="I331" i="21"/>
  <c r="H331" i="21"/>
  <c r="G331" i="21"/>
  <c r="F331" i="21"/>
  <c r="K331" i="21"/>
  <c r="A332" i="21"/>
  <c r="J332" i="21"/>
  <c r="I332" i="21"/>
  <c r="H332" i="21"/>
  <c r="G332" i="21"/>
  <c r="F332" i="21"/>
  <c r="K332" i="21"/>
  <c r="A333" i="21"/>
  <c r="J333" i="21"/>
  <c r="I333" i="21"/>
  <c r="H333" i="21"/>
  <c r="G333" i="21"/>
  <c r="F333" i="21"/>
  <c r="K333" i="21"/>
  <c r="A334" i="21"/>
  <c r="J334" i="21"/>
  <c r="I334" i="21"/>
  <c r="H334" i="21"/>
  <c r="G334" i="21"/>
  <c r="F334" i="21"/>
  <c r="K334" i="21"/>
  <c r="A335" i="21"/>
  <c r="J335" i="21"/>
  <c r="I335" i="21"/>
  <c r="H335" i="21"/>
  <c r="G335" i="21"/>
  <c r="F335" i="21"/>
  <c r="K335" i="21"/>
  <c r="A336" i="21"/>
  <c r="J336" i="21"/>
  <c r="I336" i="21"/>
  <c r="H336" i="21"/>
  <c r="G336" i="21"/>
  <c r="F336" i="21"/>
  <c r="K336" i="21"/>
  <c r="A337" i="21"/>
  <c r="J337" i="21"/>
  <c r="I337" i="21"/>
  <c r="H337" i="21"/>
  <c r="G337" i="21"/>
  <c r="F337" i="21"/>
  <c r="K337" i="21"/>
  <c r="A338" i="21"/>
  <c r="J338" i="21"/>
  <c r="I338" i="21"/>
  <c r="H338" i="21"/>
  <c r="G338" i="21"/>
  <c r="F338" i="21"/>
  <c r="K338" i="21"/>
  <c r="A339" i="21"/>
  <c r="J339" i="21"/>
  <c r="I339" i="21"/>
  <c r="H339" i="21"/>
  <c r="G339" i="21"/>
  <c r="F339" i="21"/>
  <c r="K339" i="21"/>
  <c r="A340" i="21"/>
  <c r="J340" i="21"/>
  <c r="I340" i="21"/>
  <c r="H340" i="21"/>
  <c r="G340" i="21"/>
  <c r="F340" i="21"/>
  <c r="K340" i="21"/>
  <c r="A341" i="21"/>
  <c r="J341" i="21"/>
  <c r="I341" i="21"/>
  <c r="H341" i="21"/>
  <c r="G341" i="21"/>
  <c r="F341" i="21"/>
  <c r="K341" i="21"/>
  <c r="A342" i="21"/>
  <c r="J342" i="21"/>
  <c r="I342" i="21"/>
  <c r="H342" i="21"/>
  <c r="G342" i="21"/>
  <c r="F342" i="21"/>
  <c r="K342" i="21"/>
  <c r="A343" i="21"/>
  <c r="J343" i="21"/>
  <c r="I343" i="21"/>
  <c r="H343" i="21"/>
  <c r="G343" i="21"/>
  <c r="F343" i="21"/>
  <c r="K343" i="21"/>
  <c r="A344" i="21"/>
  <c r="J344" i="21"/>
  <c r="I344" i="21"/>
  <c r="H344" i="21"/>
  <c r="G344" i="21"/>
  <c r="F344" i="21"/>
  <c r="K344" i="21"/>
  <c r="A345" i="21"/>
  <c r="J345" i="21"/>
  <c r="I345" i="21"/>
  <c r="H345" i="21"/>
  <c r="G345" i="21"/>
  <c r="F345" i="21"/>
  <c r="K345" i="21"/>
  <c r="A346" i="21"/>
  <c r="J346" i="21"/>
  <c r="I346" i="21"/>
  <c r="H346" i="21"/>
  <c r="G346" i="21"/>
  <c r="F346" i="21"/>
  <c r="K346" i="21"/>
  <c r="A347" i="21"/>
  <c r="J347" i="21"/>
  <c r="I347" i="21"/>
  <c r="H347" i="21"/>
  <c r="G347" i="21"/>
  <c r="F347" i="21"/>
  <c r="K347" i="21"/>
  <c r="A348" i="21"/>
  <c r="J348" i="21"/>
  <c r="I348" i="21"/>
  <c r="H348" i="21"/>
  <c r="G348" i="21"/>
  <c r="F348" i="21"/>
  <c r="K348" i="21"/>
  <c r="A349" i="21"/>
  <c r="J349" i="21"/>
  <c r="I349" i="21"/>
  <c r="H349" i="21"/>
  <c r="G349" i="21"/>
  <c r="F349" i="21"/>
  <c r="K349" i="21"/>
  <c r="A350" i="21"/>
  <c r="J350" i="21"/>
  <c r="I350" i="21"/>
  <c r="H350" i="21"/>
  <c r="G350" i="21"/>
  <c r="F350" i="21"/>
  <c r="K350" i="21"/>
  <c r="A351" i="21"/>
  <c r="J351" i="21"/>
  <c r="I351" i="21"/>
  <c r="H351" i="21"/>
  <c r="G351" i="21"/>
  <c r="F351" i="21"/>
  <c r="K351" i="21"/>
  <c r="A352" i="21"/>
  <c r="J352" i="21"/>
  <c r="I352" i="21"/>
  <c r="H352" i="21"/>
  <c r="G352" i="21"/>
  <c r="F352" i="21"/>
  <c r="K352" i="21"/>
  <c r="A353" i="21"/>
  <c r="J353" i="21"/>
  <c r="I353" i="21"/>
  <c r="H353" i="21"/>
  <c r="G353" i="21"/>
  <c r="F353" i="21"/>
  <c r="K353" i="21"/>
  <c r="A354" i="21"/>
  <c r="J354" i="21"/>
  <c r="I354" i="21"/>
  <c r="H354" i="21"/>
  <c r="G354" i="21"/>
  <c r="F354" i="21"/>
  <c r="K354" i="21"/>
  <c r="A355" i="21"/>
  <c r="J355" i="21"/>
  <c r="I355" i="21"/>
  <c r="H355" i="21"/>
  <c r="G355" i="21"/>
  <c r="F355" i="21"/>
  <c r="K355" i="21"/>
  <c r="A356" i="21"/>
  <c r="J356" i="21"/>
  <c r="I356" i="21"/>
  <c r="H356" i="21"/>
  <c r="G356" i="21"/>
  <c r="F356" i="21"/>
  <c r="K356" i="21"/>
  <c r="A357" i="21"/>
  <c r="J357" i="21"/>
  <c r="I357" i="21"/>
  <c r="H357" i="21"/>
  <c r="G357" i="21"/>
  <c r="F357" i="21"/>
  <c r="K357" i="21"/>
  <c r="A358" i="21"/>
  <c r="J358" i="21"/>
  <c r="I358" i="21"/>
  <c r="H358" i="21"/>
  <c r="G358" i="21"/>
  <c r="F358" i="21"/>
  <c r="K358" i="21"/>
  <c r="A359" i="21"/>
  <c r="J359" i="21"/>
  <c r="I359" i="21"/>
  <c r="H359" i="21"/>
  <c r="G359" i="21"/>
  <c r="F359" i="21"/>
  <c r="K359" i="21"/>
  <c r="A360" i="21"/>
  <c r="J360" i="21"/>
  <c r="I360" i="21"/>
  <c r="H360" i="21"/>
  <c r="G360" i="21"/>
  <c r="F360" i="21"/>
  <c r="K360" i="21"/>
  <c r="A361" i="21"/>
  <c r="J361" i="21"/>
  <c r="I361" i="21"/>
  <c r="H361" i="21"/>
  <c r="G361" i="21"/>
  <c r="F361" i="21"/>
  <c r="K361" i="21"/>
  <c r="A362" i="21"/>
  <c r="J362" i="21"/>
  <c r="I362" i="21"/>
  <c r="H362" i="21"/>
  <c r="G362" i="21"/>
  <c r="F362" i="21"/>
  <c r="K362" i="21"/>
  <c r="A363" i="21"/>
  <c r="J363" i="21"/>
  <c r="I363" i="21"/>
  <c r="H363" i="21"/>
  <c r="G363" i="21"/>
  <c r="F363" i="21"/>
  <c r="K363" i="21"/>
  <c r="A364" i="21"/>
  <c r="J364" i="21"/>
  <c r="I364" i="21"/>
  <c r="H364" i="21"/>
  <c r="G364" i="21"/>
  <c r="F364" i="21"/>
  <c r="K364" i="21"/>
  <c r="A365" i="21"/>
  <c r="J365" i="21"/>
  <c r="I365" i="21"/>
  <c r="H365" i="21"/>
  <c r="G365" i="21"/>
  <c r="F365" i="21"/>
  <c r="K365" i="21"/>
  <c r="A366" i="21"/>
  <c r="J366" i="21"/>
  <c r="I366" i="21"/>
  <c r="H366" i="21"/>
  <c r="G366" i="21"/>
  <c r="F366" i="21"/>
  <c r="K366" i="21"/>
  <c r="A367" i="21"/>
  <c r="J367" i="21"/>
  <c r="I367" i="21"/>
  <c r="H367" i="21"/>
  <c r="G367" i="21"/>
  <c r="F367" i="21"/>
  <c r="K367" i="21"/>
  <c r="A368" i="21"/>
  <c r="J368" i="21"/>
  <c r="I368" i="21"/>
  <c r="H368" i="21"/>
  <c r="G368" i="21"/>
  <c r="F368" i="21"/>
  <c r="K368" i="21"/>
  <c r="A369" i="21"/>
  <c r="J369" i="21"/>
  <c r="I369" i="21"/>
  <c r="H369" i="21"/>
  <c r="G369" i="21"/>
  <c r="F369" i="21"/>
  <c r="K369" i="21"/>
  <c r="A370" i="21"/>
  <c r="J370" i="21"/>
  <c r="I370" i="21"/>
  <c r="H370" i="21"/>
  <c r="G370" i="21"/>
  <c r="F370" i="21"/>
  <c r="K370" i="21"/>
  <c r="A371" i="21"/>
  <c r="J371" i="21"/>
  <c r="I371" i="21"/>
  <c r="H371" i="21"/>
  <c r="G371" i="21"/>
  <c r="F371" i="21"/>
  <c r="K371" i="21"/>
  <c r="A372" i="21"/>
  <c r="J372" i="21"/>
  <c r="I372" i="21"/>
  <c r="H372" i="21"/>
  <c r="G372" i="21"/>
  <c r="F372" i="21"/>
  <c r="K372" i="21"/>
  <c r="A373" i="21"/>
  <c r="J373" i="21"/>
  <c r="I373" i="21"/>
  <c r="H373" i="21"/>
  <c r="G373" i="21"/>
  <c r="F373" i="21"/>
  <c r="K373" i="21"/>
  <c r="A374" i="21"/>
  <c r="J374" i="21"/>
  <c r="I374" i="21"/>
  <c r="H374" i="21"/>
  <c r="G374" i="21"/>
  <c r="F374" i="21"/>
  <c r="K374" i="21"/>
  <c r="A375" i="21"/>
  <c r="J375" i="21"/>
  <c r="I375" i="21"/>
  <c r="H375" i="21"/>
  <c r="G375" i="21"/>
  <c r="F375" i="21"/>
  <c r="K375" i="21"/>
  <c r="A376" i="21"/>
  <c r="J376" i="21"/>
  <c r="I376" i="21"/>
  <c r="H376" i="21"/>
  <c r="G376" i="21"/>
  <c r="F376" i="21"/>
  <c r="K376" i="21"/>
  <c r="A377" i="21"/>
  <c r="J377" i="21"/>
  <c r="I377" i="21"/>
  <c r="H377" i="21"/>
  <c r="G377" i="21"/>
  <c r="F377" i="21"/>
  <c r="K377" i="21"/>
  <c r="A378" i="21"/>
  <c r="J378" i="21"/>
  <c r="I378" i="21"/>
  <c r="H378" i="21"/>
  <c r="G378" i="21"/>
  <c r="F378" i="21"/>
  <c r="K378" i="21"/>
  <c r="A379" i="21"/>
  <c r="J379" i="21"/>
  <c r="I379" i="21"/>
  <c r="H379" i="21"/>
  <c r="G379" i="21"/>
  <c r="F379" i="21"/>
  <c r="K379" i="21"/>
  <c r="A380" i="21"/>
  <c r="J380" i="21"/>
  <c r="I380" i="21"/>
  <c r="H380" i="21"/>
  <c r="G380" i="21"/>
  <c r="F380" i="21"/>
  <c r="K380" i="21"/>
  <c r="A381" i="21"/>
  <c r="J381" i="21"/>
  <c r="I381" i="21"/>
  <c r="H381" i="21"/>
  <c r="G381" i="21"/>
  <c r="F381" i="21"/>
  <c r="K381" i="21"/>
  <c r="A382" i="21"/>
  <c r="J382" i="21"/>
  <c r="I382" i="21"/>
  <c r="H382" i="21"/>
  <c r="G382" i="21"/>
  <c r="F382" i="21"/>
  <c r="K382" i="21"/>
  <c r="A383" i="21"/>
  <c r="J383" i="21"/>
  <c r="I383" i="21"/>
  <c r="H383" i="21"/>
  <c r="G383" i="21"/>
  <c r="F383" i="21"/>
  <c r="K383" i="21"/>
  <c r="A384" i="21"/>
  <c r="J384" i="21"/>
  <c r="I384" i="21"/>
  <c r="H384" i="21"/>
  <c r="G384" i="21"/>
  <c r="F384" i="21"/>
  <c r="K384" i="21"/>
  <c r="A385" i="21"/>
  <c r="J385" i="21"/>
  <c r="I385" i="21"/>
  <c r="H385" i="21"/>
  <c r="G385" i="21"/>
  <c r="F385" i="21"/>
  <c r="K385" i="21"/>
  <c r="A386" i="21"/>
  <c r="J386" i="21"/>
  <c r="I386" i="21"/>
  <c r="H386" i="21"/>
  <c r="G386" i="21"/>
  <c r="F386" i="21"/>
  <c r="K386" i="21"/>
  <c r="A387" i="21"/>
  <c r="J387" i="21"/>
  <c r="I387" i="21"/>
  <c r="H387" i="21"/>
  <c r="G387" i="21"/>
  <c r="F387" i="21"/>
  <c r="K387" i="21"/>
  <c r="A388" i="21"/>
  <c r="J388" i="21"/>
  <c r="I388" i="21"/>
  <c r="H388" i="21"/>
  <c r="G388" i="21"/>
  <c r="F388" i="21"/>
  <c r="K388" i="21"/>
  <c r="A389" i="21"/>
  <c r="J389" i="21"/>
  <c r="I389" i="21"/>
  <c r="H389" i="21"/>
  <c r="G389" i="21"/>
  <c r="F389" i="21"/>
  <c r="K389" i="21"/>
  <c r="A390" i="21"/>
  <c r="J390" i="21"/>
  <c r="I390" i="21"/>
  <c r="H390" i="21"/>
  <c r="G390" i="21"/>
  <c r="F390" i="21"/>
  <c r="K390" i="21"/>
  <c r="A391" i="21"/>
  <c r="J391" i="21"/>
  <c r="I391" i="21"/>
  <c r="H391" i="21"/>
  <c r="G391" i="21"/>
  <c r="F391" i="21"/>
  <c r="K391" i="21"/>
  <c r="A392" i="21"/>
  <c r="J392" i="21"/>
  <c r="I392" i="21"/>
  <c r="H392" i="21"/>
  <c r="G392" i="21"/>
  <c r="F392" i="21"/>
  <c r="K392" i="21"/>
  <c r="A393" i="21"/>
  <c r="J393" i="21"/>
  <c r="I393" i="21"/>
  <c r="H393" i="21"/>
  <c r="G393" i="21"/>
  <c r="F393" i="21"/>
  <c r="K393" i="21"/>
  <c r="A394" i="21"/>
  <c r="J394" i="21"/>
  <c r="I394" i="21"/>
  <c r="H394" i="21"/>
  <c r="G394" i="21"/>
  <c r="F394" i="21"/>
  <c r="K394" i="21"/>
  <c r="A395" i="21"/>
  <c r="J395" i="21"/>
  <c r="I395" i="21"/>
  <c r="H395" i="21"/>
  <c r="G395" i="21"/>
  <c r="F395" i="21"/>
  <c r="K395" i="21"/>
  <c r="A396" i="21"/>
  <c r="J396" i="21"/>
  <c r="I396" i="21"/>
  <c r="H396" i="21"/>
  <c r="G396" i="21"/>
  <c r="F396" i="21"/>
  <c r="K396" i="21"/>
  <c r="A397" i="21"/>
  <c r="J397" i="21"/>
  <c r="I397" i="21"/>
  <c r="H397" i="21"/>
  <c r="G397" i="21"/>
  <c r="F397" i="21"/>
  <c r="K397" i="21"/>
  <c r="A398" i="21"/>
  <c r="J398" i="21"/>
  <c r="I398" i="21"/>
  <c r="H398" i="21"/>
  <c r="G398" i="21"/>
  <c r="F398" i="21"/>
  <c r="K398" i="21"/>
  <c r="A399" i="21"/>
  <c r="J399" i="21"/>
  <c r="I399" i="21"/>
  <c r="H399" i="21"/>
  <c r="G399" i="21"/>
  <c r="F399" i="21"/>
  <c r="K399" i="21"/>
  <c r="A400" i="21"/>
  <c r="J400" i="21"/>
  <c r="I400" i="21"/>
  <c r="H400" i="21"/>
  <c r="G400" i="21"/>
  <c r="F400" i="21"/>
  <c r="K400" i="21"/>
  <c r="A401" i="21"/>
  <c r="J401" i="21"/>
  <c r="I401" i="21"/>
  <c r="H401" i="21"/>
  <c r="G401" i="21"/>
  <c r="F401" i="21"/>
  <c r="K401" i="21"/>
  <c r="A402" i="21"/>
  <c r="J402" i="21"/>
  <c r="I402" i="21"/>
  <c r="H402" i="21"/>
  <c r="G402" i="21"/>
  <c r="F402" i="21"/>
  <c r="K402" i="21"/>
  <c r="A403" i="21"/>
  <c r="J403" i="21"/>
  <c r="I403" i="21"/>
  <c r="H403" i="21"/>
  <c r="G403" i="21"/>
  <c r="F403" i="21"/>
  <c r="K403" i="21"/>
  <c r="A404" i="21"/>
  <c r="J404" i="21"/>
  <c r="I404" i="21"/>
  <c r="H404" i="21"/>
  <c r="G404" i="21"/>
  <c r="F404" i="21"/>
  <c r="K404" i="21"/>
  <c r="A405" i="21"/>
  <c r="J405" i="21"/>
  <c r="I405" i="21"/>
  <c r="H405" i="21"/>
  <c r="G405" i="21"/>
  <c r="F405" i="21"/>
  <c r="K405" i="21"/>
  <c r="A406" i="21"/>
  <c r="J406" i="21"/>
  <c r="I406" i="21"/>
  <c r="H406" i="21"/>
  <c r="G406" i="21"/>
  <c r="F406" i="21"/>
  <c r="K406" i="21"/>
  <c r="A407" i="21"/>
  <c r="J407" i="21"/>
  <c r="I407" i="21"/>
  <c r="H407" i="21"/>
  <c r="G407" i="21"/>
  <c r="F407" i="21"/>
  <c r="K407" i="21"/>
  <c r="A408" i="21"/>
  <c r="J408" i="21"/>
  <c r="I408" i="21"/>
  <c r="H408" i="21"/>
  <c r="G408" i="21"/>
  <c r="F408" i="21"/>
  <c r="K408" i="21"/>
  <c r="A409" i="21"/>
  <c r="J409" i="21"/>
  <c r="I409" i="21"/>
  <c r="H409" i="21"/>
  <c r="G409" i="21"/>
  <c r="F409" i="21"/>
  <c r="K409" i="21"/>
  <c r="A410" i="21"/>
  <c r="J410" i="21"/>
  <c r="I410" i="21"/>
  <c r="H410" i="21"/>
  <c r="G410" i="21"/>
  <c r="F410" i="21"/>
  <c r="K410" i="21"/>
  <c r="A411" i="21"/>
  <c r="J411" i="21"/>
  <c r="I411" i="21"/>
  <c r="H411" i="21"/>
  <c r="G411" i="21"/>
  <c r="F411" i="21"/>
  <c r="K411" i="21"/>
  <c r="A412" i="21"/>
  <c r="J412" i="21"/>
  <c r="I412" i="21"/>
  <c r="H412" i="21"/>
  <c r="G412" i="21"/>
  <c r="F412" i="21"/>
  <c r="K412" i="21"/>
  <c r="A413" i="21"/>
  <c r="J413" i="21"/>
  <c r="I413" i="21"/>
  <c r="H413" i="21"/>
  <c r="G413" i="21"/>
  <c r="F413" i="21"/>
  <c r="K413" i="21"/>
  <c r="A414" i="21"/>
  <c r="J414" i="21"/>
  <c r="I414" i="21"/>
  <c r="H414" i="21"/>
  <c r="G414" i="21"/>
  <c r="F414" i="21"/>
  <c r="K414" i="21"/>
  <c r="A415" i="21"/>
  <c r="J415" i="21"/>
  <c r="I415" i="21"/>
  <c r="H415" i="21"/>
  <c r="G415" i="21"/>
  <c r="F415" i="21"/>
  <c r="K415" i="21"/>
  <c r="A416" i="21"/>
  <c r="J416" i="21"/>
  <c r="I416" i="21"/>
  <c r="H416" i="21"/>
  <c r="G416" i="21"/>
  <c r="F416" i="21"/>
  <c r="K416" i="21"/>
  <c r="A417" i="21"/>
  <c r="J417" i="21"/>
  <c r="I417" i="21"/>
  <c r="H417" i="21"/>
  <c r="G417" i="21"/>
  <c r="F417" i="21"/>
  <c r="K417" i="21"/>
  <c r="A418" i="21"/>
  <c r="J418" i="21"/>
  <c r="I418" i="21"/>
  <c r="H418" i="21"/>
  <c r="G418" i="21"/>
  <c r="F418" i="21"/>
  <c r="K418" i="21"/>
  <c r="A419" i="21"/>
  <c r="J419" i="21"/>
  <c r="I419" i="21"/>
  <c r="H419" i="21"/>
  <c r="G419" i="21"/>
  <c r="F419" i="21"/>
  <c r="K419" i="21"/>
  <c r="A420" i="21"/>
  <c r="J420" i="21"/>
  <c r="I420" i="21"/>
  <c r="H420" i="21"/>
  <c r="G420" i="21"/>
  <c r="F420" i="21"/>
  <c r="K420" i="21"/>
  <c r="A421" i="21"/>
  <c r="J421" i="21"/>
  <c r="I421" i="21"/>
  <c r="H421" i="21"/>
  <c r="G421" i="21"/>
  <c r="F421" i="21"/>
  <c r="K421" i="21"/>
  <c r="A422" i="21"/>
  <c r="J422" i="21"/>
  <c r="I422" i="21"/>
  <c r="H422" i="21"/>
  <c r="G422" i="21"/>
  <c r="F422" i="21"/>
  <c r="K422" i="21"/>
  <c r="A423" i="21"/>
  <c r="J423" i="21"/>
  <c r="I423" i="21"/>
  <c r="H423" i="21"/>
  <c r="G423" i="21"/>
  <c r="F423" i="21"/>
  <c r="K423" i="21"/>
  <c r="A424" i="21"/>
  <c r="J424" i="21"/>
  <c r="I424" i="21"/>
  <c r="H424" i="21"/>
  <c r="G424" i="21"/>
  <c r="F424" i="21"/>
  <c r="K424" i="21"/>
  <c r="A425" i="21"/>
  <c r="J425" i="21"/>
  <c r="I425" i="21"/>
  <c r="H425" i="21"/>
  <c r="G425" i="21"/>
  <c r="F425" i="21"/>
  <c r="K425" i="21"/>
  <c r="A426" i="21"/>
  <c r="J426" i="21"/>
  <c r="I426" i="21"/>
  <c r="H426" i="21"/>
  <c r="G426" i="21"/>
  <c r="F426" i="21"/>
  <c r="K426" i="21"/>
  <c r="A427" i="21"/>
  <c r="J427" i="21"/>
  <c r="I427" i="21"/>
  <c r="H427" i="21"/>
  <c r="G427" i="21"/>
  <c r="F427" i="21"/>
  <c r="K427" i="21"/>
  <c r="A428" i="21"/>
  <c r="J428" i="21"/>
  <c r="I428" i="21"/>
  <c r="H428" i="21"/>
  <c r="G428" i="21"/>
  <c r="F428" i="21"/>
  <c r="K428" i="21"/>
  <c r="A429" i="21"/>
  <c r="J429" i="21"/>
  <c r="I429" i="21"/>
  <c r="H429" i="21"/>
  <c r="G429" i="21"/>
  <c r="F429" i="21"/>
  <c r="K429" i="21"/>
  <c r="A430" i="21"/>
  <c r="J430" i="21"/>
  <c r="I430" i="21"/>
  <c r="H430" i="21"/>
  <c r="G430" i="21"/>
  <c r="F430" i="21"/>
  <c r="K430" i="21"/>
  <c r="A431" i="21"/>
  <c r="J431" i="21"/>
  <c r="I431" i="21"/>
  <c r="H431" i="21"/>
  <c r="G431" i="21"/>
  <c r="F431" i="21"/>
  <c r="K431" i="21"/>
  <c r="A432" i="21"/>
  <c r="J432" i="21"/>
  <c r="I432" i="21"/>
  <c r="H432" i="21"/>
  <c r="G432" i="21"/>
  <c r="F432" i="21"/>
  <c r="K432" i="21"/>
  <c r="A433" i="21"/>
  <c r="J433" i="21"/>
  <c r="I433" i="21"/>
  <c r="H433" i="21"/>
  <c r="G433" i="21"/>
  <c r="F433" i="21"/>
  <c r="K433" i="21"/>
  <c r="A434" i="21"/>
  <c r="J434" i="21"/>
  <c r="I434" i="21"/>
  <c r="H434" i="21"/>
  <c r="G434" i="21"/>
  <c r="F434" i="21"/>
  <c r="K434" i="21"/>
  <c r="A435" i="21"/>
  <c r="J435" i="21"/>
  <c r="I435" i="21"/>
  <c r="H435" i="21"/>
  <c r="G435" i="21"/>
  <c r="F435" i="21"/>
  <c r="K435" i="21"/>
  <c r="A436" i="21"/>
  <c r="J436" i="21"/>
  <c r="I436" i="21"/>
  <c r="H436" i="21"/>
  <c r="G436" i="21"/>
  <c r="F436" i="21"/>
  <c r="K436" i="21"/>
  <c r="A437" i="21"/>
  <c r="J437" i="21"/>
  <c r="I437" i="21"/>
  <c r="H437" i="21"/>
  <c r="G437" i="21"/>
  <c r="F437" i="21"/>
  <c r="K437" i="21"/>
  <c r="A438" i="21"/>
  <c r="J438" i="21"/>
  <c r="I438" i="21"/>
  <c r="H438" i="21"/>
  <c r="G438" i="21"/>
  <c r="F438" i="21"/>
  <c r="K438" i="21"/>
  <c r="A439" i="21"/>
  <c r="J439" i="21"/>
  <c r="I439" i="21"/>
  <c r="H439" i="21"/>
  <c r="G439" i="21"/>
  <c r="F439" i="21"/>
  <c r="K439" i="21"/>
  <c r="A440" i="21"/>
  <c r="J440" i="21"/>
  <c r="I440" i="21"/>
  <c r="H440" i="21"/>
  <c r="G440" i="21"/>
  <c r="F440" i="21"/>
  <c r="K440" i="21"/>
  <c r="A441" i="21"/>
  <c r="J441" i="21"/>
  <c r="I441" i="21"/>
  <c r="H441" i="21"/>
  <c r="G441" i="21"/>
  <c r="F441" i="21"/>
  <c r="K441" i="21"/>
  <c r="A442" i="21"/>
  <c r="J442" i="21"/>
  <c r="I442" i="21"/>
  <c r="H442" i="21"/>
  <c r="G442" i="21"/>
  <c r="F442" i="21"/>
  <c r="K442" i="21"/>
  <c r="A443" i="21"/>
  <c r="J443" i="21"/>
  <c r="I443" i="21"/>
  <c r="H443" i="21"/>
  <c r="G443" i="21"/>
  <c r="F443" i="21"/>
  <c r="K443" i="21"/>
  <c r="A444" i="21"/>
  <c r="J444" i="21"/>
  <c r="I444" i="21"/>
  <c r="H444" i="21"/>
  <c r="G444" i="21"/>
  <c r="F444" i="21"/>
  <c r="K444" i="21"/>
  <c r="A445" i="21"/>
  <c r="J445" i="21"/>
  <c r="I445" i="21"/>
  <c r="H445" i="21"/>
  <c r="G445" i="21"/>
  <c r="F445" i="21"/>
  <c r="K445" i="21"/>
  <c r="A446" i="21"/>
  <c r="J446" i="21"/>
  <c r="I446" i="21"/>
  <c r="H446" i="21"/>
  <c r="G446" i="21"/>
  <c r="F446" i="21"/>
  <c r="K446" i="21"/>
  <c r="A447" i="21"/>
  <c r="J447" i="21"/>
  <c r="I447" i="21"/>
  <c r="H447" i="21"/>
  <c r="G447" i="21"/>
  <c r="F447" i="21"/>
  <c r="K447" i="21"/>
  <c r="A448" i="21"/>
  <c r="J448" i="21"/>
  <c r="I448" i="21"/>
  <c r="H448" i="21"/>
  <c r="G448" i="21"/>
  <c r="F448" i="21"/>
  <c r="K448" i="21"/>
  <c r="A449" i="21"/>
  <c r="J449" i="21"/>
  <c r="I449" i="21"/>
  <c r="H449" i="21"/>
  <c r="G449" i="21"/>
  <c r="F449" i="21"/>
  <c r="K449" i="21"/>
  <c r="A450" i="21"/>
  <c r="J450" i="21"/>
  <c r="I450" i="21"/>
  <c r="H450" i="21"/>
  <c r="G450" i="21"/>
  <c r="F450" i="21"/>
  <c r="K450" i="21"/>
  <c r="A451" i="21"/>
  <c r="J451" i="21"/>
  <c r="I451" i="21"/>
  <c r="H451" i="21"/>
  <c r="G451" i="21"/>
  <c r="F451" i="21"/>
  <c r="K451" i="21"/>
  <c r="A452" i="21"/>
  <c r="J452" i="21"/>
  <c r="I452" i="21"/>
  <c r="H452" i="21"/>
  <c r="G452" i="21"/>
  <c r="F452" i="21"/>
  <c r="K452" i="21"/>
  <c r="A453" i="21"/>
  <c r="J453" i="21"/>
  <c r="I453" i="21"/>
  <c r="H453" i="21"/>
  <c r="G453" i="21"/>
  <c r="F453" i="21"/>
  <c r="K453" i="21"/>
  <c r="A454" i="21"/>
  <c r="J454" i="21"/>
  <c r="I454" i="21"/>
  <c r="H454" i="21"/>
  <c r="G454" i="21"/>
  <c r="F454" i="21"/>
  <c r="K454" i="21"/>
  <c r="A455" i="21"/>
  <c r="J455" i="21"/>
  <c r="I455" i="21"/>
  <c r="H455" i="21"/>
  <c r="G455" i="21"/>
  <c r="F455" i="21"/>
  <c r="K455" i="21"/>
  <c r="A456" i="21"/>
  <c r="J456" i="21"/>
  <c r="I456" i="21"/>
  <c r="H456" i="21"/>
  <c r="G456" i="21"/>
  <c r="F456" i="21"/>
  <c r="K456" i="21"/>
  <c r="A457" i="21"/>
  <c r="J457" i="21"/>
  <c r="I457" i="21"/>
  <c r="H457" i="21"/>
  <c r="G457" i="21"/>
  <c r="F457" i="21"/>
  <c r="K457" i="21"/>
  <c r="A458" i="21"/>
  <c r="J458" i="21"/>
  <c r="I458" i="21"/>
  <c r="H458" i="21"/>
  <c r="G458" i="21"/>
  <c r="F458" i="21"/>
  <c r="K458" i="21"/>
  <c r="A459" i="21"/>
  <c r="J459" i="21"/>
  <c r="I459" i="21"/>
  <c r="H459" i="21"/>
  <c r="G459" i="21"/>
  <c r="F459" i="21"/>
  <c r="K459" i="21"/>
  <c r="A460" i="21"/>
  <c r="J460" i="21"/>
  <c r="I460" i="21"/>
  <c r="H460" i="21"/>
  <c r="G460" i="21"/>
  <c r="F460" i="21"/>
  <c r="K460" i="21"/>
  <c r="A461" i="21"/>
  <c r="J461" i="21"/>
  <c r="I461" i="21"/>
  <c r="H461" i="21"/>
  <c r="G461" i="21"/>
  <c r="F461" i="21"/>
  <c r="K461" i="21"/>
  <c r="A462" i="21"/>
  <c r="J462" i="21"/>
  <c r="I462" i="21"/>
  <c r="H462" i="21"/>
  <c r="G462" i="21"/>
  <c r="F462" i="21"/>
  <c r="K462" i="21"/>
  <c r="A463" i="21"/>
  <c r="J463" i="21"/>
  <c r="I463" i="21"/>
  <c r="H463" i="21"/>
  <c r="G463" i="21"/>
  <c r="F463" i="21"/>
  <c r="K463" i="21"/>
  <c r="A464" i="21"/>
  <c r="J464" i="21"/>
  <c r="I464" i="21"/>
  <c r="H464" i="21"/>
  <c r="G464" i="21"/>
  <c r="F464" i="21"/>
  <c r="K464" i="21"/>
  <c r="A465" i="21"/>
  <c r="J465" i="21"/>
  <c r="I465" i="21"/>
  <c r="H465" i="21"/>
  <c r="G465" i="21"/>
  <c r="F465" i="21"/>
  <c r="K465" i="21"/>
  <c r="A466" i="21"/>
  <c r="J466" i="21"/>
  <c r="I466" i="21"/>
  <c r="H466" i="21"/>
  <c r="G466" i="21"/>
  <c r="F466" i="21"/>
  <c r="K466" i="21"/>
  <c r="A467" i="21"/>
  <c r="J467" i="21"/>
  <c r="I467" i="21"/>
  <c r="H467" i="21"/>
  <c r="G467" i="21"/>
  <c r="F467" i="21"/>
  <c r="K467" i="21"/>
  <c r="A468" i="21"/>
  <c r="J468" i="21"/>
  <c r="I468" i="21"/>
  <c r="H468" i="21"/>
  <c r="G468" i="21"/>
  <c r="F468" i="21"/>
  <c r="K468" i="21"/>
  <c r="A469" i="21"/>
  <c r="J469" i="21"/>
  <c r="I469" i="21"/>
  <c r="H469" i="21"/>
  <c r="G469" i="21"/>
  <c r="F469" i="21"/>
  <c r="K469" i="21"/>
  <c r="A470" i="21"/>
  <c r="J470" i="21"/>
  <c r="I470" i="21"/>
  <c r="H470" i="21"/>
  <c r="G470" i="21"/>
  <c r="F470" i="21"/>
  <c r="K470" i="21"/>
  <c r="A471" i="21"/>
  <c r="J471" i="21"/>
  <c r="I471" i="21"/>
  <c r="H471" i="21"/>
  <c r="G471" i="21"/>
  <c r="F471" i="21"/>
  <c r="K471" i="21"/>
  <c r="A472" i="21"/>
  <c r="J472" i="21"/>
  <c r="I472" i="21"/>
  <c r="H472" i="21"/>
  <c r="G472" i="21"/>
  <c r="F472" i="21"/>
  <c r="K472" i="21"/>
  <c r="A473" i="21"/>
  <c r="J473" i="21"/>
  <c r="I473" i="21"/>
  <c r="H473" i="21"/>
  <c r="G473" i="21"/>
  <c r="F473" i="21"/>
  <c r="K473" i="21"/>
  <c r="A474" i="21"/>
  <c r="J474" i="21"/>
  <c r="I474" i="21"/>
  <c r="H474" i="21"/>
  <c r="G474" i="21"/>
  <c r="F474" i="21"/>
  <c r="K474" i="21"/>
  <c r="A475" i="21"/>
  <c r="J475" i="21"/>
  <c r="I475" i="21"/>
  <c r="H475" i="21"/>
  <c r="G475" i="21"/>
  <c r="F475" i="21"/>
  <c r="K475" i="21"/>
  <c r="A476" i="21"/>
  <c r="J476" i="21"/>
  <c r="I476" i="21"/>
  <c r="H476" i="21"/>
  <c r="G476" i="21"/>
  <c r="F476" i="21"/>
  <c r="K476" i="21"/>
  <c r="A477" i="21"/>
  <c r="J477" i="21"/>
  <c r="I477" i="21"/>
  <c r="H477" i="21"/>
  <c r="G477" i="21"/>
  <c r="F477" i="21"/>
  <c r="K477" i="21"/>
  <c r="A478" i="21"/>
  <c r="J478" i="21"/>
  <c r="I478" i="21"/>
  <c r="H478" i="21"/>
  <c r="G478" i="21"/>
  <c r="F478" i="21"/>
  <c r="K478" i="21"/>
  <c r="A479" i="21"/>
  <c r="J479" i="21"/>
  <c r="I479" i="21"/>
  <c r="H479" i="21"/>
  <c r="G479" i="21"/>
  <c r="F479" i="21"/>
  <c r="K479" i="21"/>
  <c r="A480" i="21"/>
  <c r="J480" i="21"/>
  <c r="I480" i="21"/>
  <c r="H480" i="21"/>
  <c r="G480" i="21"/>
  <c r="F480" i="21"/>
  <c r="K480" i="21"/>
  <c r="A481" i="21"/>
  <c r="J481" i="21"/>
  <c r="I481" i="21"/>
  <c r="H481" i="21"/>
  <c r="G481" i="21"/>
  <c r="F481" i="21"/>
  <c r="K481" i="21"/>
  <c r="A482" i="21"/>
  <c r="J482" i="21"/>
  <c r="I482" i="21"/>
  <c r="H482" i="21"/>
  <c r="G482" i="21"/>
  <c r="F482" i="21"/>
  <c r="K482" i="21"/>
  <c r="A483" i="21"/>
  <c r="J483" i="21"/>
  <c r="I483" i="21"/>
  <c r="H483" i="21"/>
  <c r="G483" i="21"/>
  <c r="F483" i="21"/>
  <c r="K483" i="21"/>
  <c r="A484" i="21"/>
  <c r="J484" i="21"/>
  <c r="I484" i="21"/>
  <c r="H484" i="21"/>
  <c r="G484" i="21"/>
  <c r="F484" i="21"/>
  <c r="K484" i="21"/>
  <c r="A485" i="21"/>
  <c r="J485" i="21"/>
  <c r="I485" i="21"/>
  <c r="H485" i="21"/>
  <c r="G485" i="21"/>
  <c r="F485" i="21"/>
  <c r="K485" i="21"/>
  <c r="A486" i="21"/>
  <c r="J486" i="21"/>
  <c r="I486" i="21"/>
  <c r="H486" i="21"/>
  <c r="G486" i="21"/>
  <c r="F486" i="21"/>
  <c r="K486" i="21"/>
  <c r="A487" i="21"/>
  <c r="J487" i="21"/>
  <c r="I487" i="21"/>
  <c r="H487" i="21"/>
  <c r="G487" i="21"/>
  <c r="F487" i="21"/>
  <c r="K487" i="21"/>
  <c r="A488" i="21"/>
  <c r="J488" i="21"/>
  <c r="I488" i="21"/>
  <c r="H488" i="21"/>
  <c r="G488" i="21"/>
  <c r="F488" i="21"/>
  <c r="K488" i="21"/>
  <c r="A489" i="21"/>
  <c r="J489" i="21"/>
  <c r="I489" i="21"/>
  <c r="H489" i="21"/>
  <c r="G489" i="21"/>
  <c r="F489" i="21"/>
  <c r="K489" i="21"/>
  <c r="A490" i="21"/>
  <c r="J490" i="21"/>
  <c r="I490" i="21"/>
  <c r="H490" i="21"/>
  <c r="G490" i="21"/>
  <c r="F490" i="21"/>
  <c r="K490" i="21"/>
  <c r="A491" i="21"/>
  <c r="J491" i="21"/>
  <c r="I491" i="21"/>
  <c r="H491" i="21"/>
  <c r="G491" i="21"/>
  <c r="F491" i="21"/>
  <c r="K491" i="21"/>
  <c r="A492" i="21"/>
  <c r="J492" i="21"/>
  <c r="I492" i="21"/>
  <c r="H492" i="21"/>
  <c r="G492" i="21"/>
  <c r="F492" i="21"/>
  <c r="K492" i="21"/>
  <c r="A493" i="21"/>
  <c r="J493" i="21"/>
  <c r="I493" i="21"/>
  <c r="H493" i="21"/>
  <c r="G493" i="21"/>
  <c r="F493" i="21"/>
  <c r="K493" i="21"/>
  <c r="A494" i="21"/>
  <c r="J494" i="21"/>
  <c r="I494" i="21"/>
  <c r="H494" i="21"/>
  <c r="G494" i="21"/>
  <c r="F494" i="21"/>
  <c r="K494" i="21"/>
  <c r="A495" i="21"/>
  <c r="J495" i="21"/>
  <c r="I495" i="21"/>
  <c r="H495" i="21"/>
  <c r="G495" i="21"/>
  <c r="F495" i="21"/>
  <c r="K495" i="21"/>
  <c r="A496" i="21"/>
  <c r="J496" i="21"/>
  <c r="I496" i="21"/>
  <c r="H496" i="21"/>
  <c r="G496" i="21"/>
  <c r="F496" i="21"/>
  <c r="K496" i="21"/>
  <c r="A497" i="21"/>
  <c r="J497" i="21"/>
  <c r="I497" i="21"/>
  <c r="H497" i="21"/>
  <c r="G497" i="21"/>
  <c r="F497" i="21"/>
  <c r="K497" i="21"/>
  <c r="A498" i="21"/>
  <c r="J498" i="21"/>
  <c r="I498" i="21"/>
  <c r="H498" i="21"/>
  <c r="G498" i="21"/>
  <c r="F498" i="21"/>
  <c r="K498" i="21"/>
  <c r="A499" i="21"/>
  <c r="J499" i="21"/>
  <c r="I499" i="21"/>
  <c r="H499" i="21"/>
  <c r="G499" i="21"/>
  <c r="F499" i="21"/>
  <c r="K499" i="21"/>
  <c r="A500" i="21"/>
  <c r="J500" i="21"/>
  <c r="I500" i="21"/>
  <c r="H500" i="21"/>
  <c r="G500" i="21"/>
  <c r="F500" i="21"/>
  <c r="K500" i="21"/>
  <c r="A501" i="21"/>
  <c r="J501" i="21"/>
  <c r="I501" i="21"/>
  <c r="H501" i="21"/>
  <c r="G501" i="21"/>
  <c r="F501" i="21"/>
  <c r="K501" i="21"/>
  <c r="A502" i="21"/>
  <c r="J502" i="21"/>
  <c r="I502" i="21"/>
  <c r="H502" i="21"/>
  <c r="G502" i="21"/>
  <c r="F502" i="21"/>
  <c r="K502" i="21"/>
  <c r="A503" i="21"/>
  <c r="J503" i="21"/>
  <c r="I503" i="21"/>
  <c r="H503" i="21"/>
  <c r="G503" i="21"/>
  <c r="F503" i="21"/>
  <c r="K503" i="21"/>
  <c r="A504" i="21"/>
  <c r="J504" i="21"/>
  <c r="I504" i="21"/>
  <c r="H504" i="21"/>
  <c r="G504" i="21"/>
  <c r="F504" i="21"/>
  <c r="K504" i="21"/>
  <c r="A505" i="21"/>
  <c r="J505" i="21"/>
  <c r="I505" i="21"/>
  <c r="H505" i="21"/>
  <c r="G505" i="21"/>
  <c r="F505" i="21"/>
  <c r="K505" i="21"/>
  <c r="A506" i="21"/>
  <c r="J506" i="21"/>
  <c r="I506" i="21"/>
  <c r="H506" i="21"/>
  <c r="G506" i="21"/>
  <c r="F506" i="21"/>
  <c r="K506" i="21"/>
  <c r="A507" i="21"/>
  <c r="J507" i="21"/>
  <c r="I507" i="21"/>
  <c r="H507" i="21"/>
  <c r="G507" i="21"/>
  <c r="F507" i="21"/>
  <c r="K507" i="21"/>
  <c r="A508" i="21"/>
  <c r="J508" i="21"/>
  <c r="I508" i="21"/>
  <c r="H508" i="21"/>
  <c r="G508" i="21"/>
  <c r="F508" i="21"/>
  <c r="K508" i="21"/>
  <c r="A509" i="21"/>
  <c r="J509" i="21"/>
  <c r="I509" i="21"/>
  <c r="H509" i="21"/>
  <c r="G509" i="21"/>
  <c r="F509" i="21"/>
  <c r="K509" i="21"/>
  <c r="A510" i="21"/>
  <c r="J510" i="21"/>
  <c r="I510" i="21"/>
  <c r="H510" i="21"/>
  <c r="G510" i="21"/>
  <c r="F510" i="21"/>
  <c r="K510" i="21"/>
  <c r="A511" i="21"/>
  <c r="J511" i="21"/>
  <c r="I511" i="21"/>
  <c r="H511" i="21"/>
  <c r="G511" i="21"/>
  <c r="F511" i="21"/>
  <c r="K511" i="21"/>
  <c r="A512" i="21"/>
  <c r="J512" i="21"/>
  <c r="I512" i="21"/>
  <c r="H512" i="21"/>
  <c r="G512" i="21"/>
  <c r="F512" i="21"/>
  <c r="K512" i="21"/>
  <c r="A513" i="21"/>
  <c r="J513" i="21"/>
  <c r="I513" i="21"/>
  <c r="H513" i="21"/>
  <c r="G513" i="21"/>
  <c r="F513" i="21"/>
  <c r="K513" i="21"/>
  <c r="A514" i="21"/>
  <c r="J514" i="21"/>
  <c r="I514" i="21"/>
  <c r="H514" i="21"/>
  <c r="G514" i="21"/>
  <c r="F514" i="21"/>
  <c r="K514" i="21"/>
  <c r="A515" i="21"/>
  <c r="J515" i="21"/>
  <c r="I515" i="21"/>
  <c r="H515" i="21"/>
  <c r="G515" i="21"/>
  <c r="F515" i="21"/>
  <c r="K515" i="21"/>
  <c r="A516" i="21"/>
  <c r="J516" i="21"/>
  <c r="I516" i="21"/>
  <c r="H516" i="21"/>
  <c r="G516" i="21"/>
  <c r="F516" i="21"/>
  <c r="K516" i="21"/>
  <c r="A517" i="21"/>
  <c r="J517" i="21"/>
  <c r="I517" i="21"/>
  <c r="H517" i="21"/>
  <c r="G517" i="21"/>
  <c r="F517" i="21"/>
  <c r="K517" i="21"/>
  <c r="A518" i="21"/>
  <c r="J518" i="21"/>
  <c r="I518" i="21"/>
  <c r="H518" i="21"/>
  <c r="G518" i="21"/>
  <c r="F518" i="21"/>
  <c r="K518" i="21"/>
  <c r="A519" i="21"/>
  <c r="J519" i="21"/>
  <c r="I519" i="21"/>
  <c r="H519" i="21"/>
  <c r="G519" i="21"/>
  <c r="F519" i="21"/>
  <c r="K519" i="21"/>
  <c r="A520" i="21"/>
  <c r="J520" i="21"/>
  <c r="I520" i="21"/>
  <c r="H520" i="21"/>
  <c r="G520" i="21"/>
  <c r="F520" i="21"/>
  <c r="K520" i="21"/>
  <c r="A521" i="21"/>
  <c r="J521" i="21"/>
  <c r="I521" i="21"/>
  <c r="H521" i="21"/>
  <c r="G521" i="21"/>
  <c r="F521" i="21"/>
  <c r="K521" i="21"/>
  <c r="A522" i="21"/>
  <c r="J522" i="21"/>
  <c r="I522" i="21"/>
  <c r="H522" i="21"/>
  <c r="G522" i="21"/>
  <c r="F522" i="21"/>
  <c r="K522" i="21"/>
  <c r="A523" i="21"/>
  <c r="J523" i="21"/>
  <c r="I523" i="21"/>
  <c r="H523" i="21"/>
  <c r="G523" i="21"/>
  <c r="F523" i="21"/>
  <c r="K523" i="21"/>
  <c r="A524" i="21"/>
  <c r="J524" i="21"/>
  <c r="I524" i="21"/>
  <c r="H524" i="21"/>
  <c r="G524" i="21"/>
  <c r="F524" i="21"/>
  <c r="K524" i="21"/>
  <c r="A525" i="21"/>
  <c r="J525" i="21"/>
  <c r="I525" i="21"/>
  <c r="H525" i="21"/>
  <c r="G525" i="21"/>
  <c r="F525" i="21"/>
  <c r="K525" i="21"/>
  <c r="A526" i="21"/>
  <c r="J526" i="21"/>
  <c r="I526" i="21"/>
  <c r="H526" i="21"/>
  <c r="G526" i="21"/>
  <c r="F526" i="21"/>
  <c r="K526" i="21"/>
  <c r="A527" i="21"/>
  <c r="J527" i="21"/>
  <c r="I527" i="21"/>
  <c r="H527" i="21"/>
  <c r="G527" i="21"/>
  <c r="F527" i="21"/>
  <c r="K527" i="21"/>
  <c r="A528" i="21"/>
  <c r="J528" i="21"/>
  <c r="I528" i="21"/>
  <c r="H528" i="21"/>
  <c r="G528" i="21"/>
  <c r="F528" i="21"/>
  <c r="K528" i="21"/>
  <c r="A529" i="21"/>
  <c r="J529" i="21"/>
  <c r="I529" i="21"/>
  <c r="H529" i="21"/>
  <c r="G529" i="21"/>
  <c r="F529" i="21"/>
  <c r="K529" i="21"/>
  <c r="A530" i="21"/>
  <c r="J530" i="21"/>
  <c r="I530" i="21"/>
  <c r="H530" i="21"/>
  <c r="G530" i="21"/>
  <c r="F530" i="21"/>
  <c r="K530" i="21"/>
  <c r="A531" i="21"/>
  <c r="J531" i="21"/>
  <c r="I531" i="21"/>
  <c r="H531" i="21"/>
  <c r="G531" i="21"/>
  <c r="F531" i="21"/>
  <c r="K531" i="21"/>
  <c r="A532" i="21"/>
  <c r="J532" i="21"/>
  <c r="I532" i="21"/>
  <c r="H532" i="21"/>
  <c r="G532" i="21"/>
  <c r="F532" i="21"/>
  <c r="K532" i="21"/>
  <c r="A533" i="21"/>
  <c r="J533" i="21"/>
  <c r="I533" i="21"/>
  <c r="H533" i="21"/>
  <c r="G533" i="21"/>
  <c r="F533" i="21"/>
  <c r="K533" i="21"/>
  <c r="A534" i="21"/>
  <c r="J534" i="21"/>
  <c r="I534" i="21"/>
  <c r="H534" i="21"/>
  <c r="G534" i="21"/>
  <c r="F534" i="21"/>
  <c r="K534" i="21"/>
  <c r="A535" i="21"/>
  <c r="J535" i="21"/>
  <c r="I535" i="21"/>
  <c r="H535" i="21"/>
  <c r="G535" i="21"/>
  <c r="F535" i="21"/>
  <c r="K535" i="21"/>
  <c r="A536" i="21"/>
  <c r="J536" i="21"/>
  <c r="I536" i="21"/>
  <c r="H536" i="21"/>
  <c r="G536" i="21"/>
  <c r="F536" i="21"/>
  <c r="K536" i="21"/>
  <c r="A537" i="21"/>
  <c r="J537" i="21"/>
  <c r="I537" i="21"/>
  <c r="H537" i="21"/>
  <c r="G537" i="21"/>
  <c r="F537" i="21"/>
  <c r="K537" i="21"/>
  <c r="A538" i="21"/>
  <c r="J538" i="21"/>
  <c r="I538" i="21"/>
  <c r="H538" i="21"/>
  <c r="G538" i="21"/>
  <c r="F538" i="21"/>
  <c r="K538" i="21"/>
  <c r="A539" i="21"/>
  <c r="J539" i="21"/>
  <c r="I539" i="21"/>
  <c r="H539" i="21"/>
  <c r="G539" i="21"/>
  <c r="F539" i="21"/>
  <c r="K539" i="21"/>
  <c r="A540" i="21"/>
  <c r="J540" i="21"/>
  <c r="I540" i="21"/>
  <c r="H540" i="21"/>
  <c r="G540" i="21"/>
  <c r="F540" i="21"/>
  <c r="K540" i="21"/>
  <c r="A541" i="21"/>
  <c r="J541" i="21"/>
  <c r="I541" i="21"/>
  <c r="H541" i="21"/>
  <c r="G541" i="21"/>
  <c r="F541" i="21"/>
  <c r="K541" i="21"/>
  <c r="A542" i="21"/>
  <c r="J542" i="21"/>
  <c r="I542" i="21"/>
  <c r="H542" i="21"/>
  <c r="G542" i="21"/>
  <c r="F542" i="21"/>
  <c r="K542" i="21"/>
  <c r="A543" i="21"/>
  <c r="J543" i="21"/>
  <c r="I543" i="21"/>
  <c r="H543" i="21"/>
  <c r="G543" i="21"/>
  <c r="F543" i="21"/>
  <c r="K543" i="21"/>
  <c r="A544" i="21"/>
  <c r="J544" i="21"/>
  <c r="I544" i="21"/>
  <c r="H544" i="21"/>
  <c r="G544" i="21"/>
  <c r="F544" i="21"/>
  <c r="K544" i="21"/>
  <c r="A545" i="21"/>
  <c r="J545" i="21"/>
  <c r="I545" i="21"/>
  <c r="H545" i="21"/>
  <c r="G545" i="21"/>
  <c r="F545" i="21"/>
  <c r="K545" i="21"/>
  <c r="A546" i="21"/>
  <c r="J546" i="21"/>
  <c r="I546" i="21"/>
  <c r="H546" i="21"/>
  <c r="G546" i="21"/>
  <c r="F546" i="21"/>
  <c r="K546" i="21"/>
  <c r="A547" i="21"/>
  <c r="J547" i="21"/>
  <c r="I547" i="21"/>
  <c r="H547" i="21"/>
  <c r="G547" i="21"/>
  <c r="F547" i="21"/>
  <c r="K547" i="21"/>
  <c r="A548" i="21"/>
  <c r="J548" i="21"/>
  <c r="I548" i="21"/>
  <c r="H548" i="21"/>
  <c r="G548" i="21"/>
  <c r="F548" i="21"/>
  <c r="K548" i="21"/>
  <c r="A549" i="21"/>
  <c r="J549" i="21"/>
  <c r="I549" i="21"/>
  <c r="H549" i="21"/>
  <c r="G549" i="21"/>
  <c r="F549" i="21"/>
  <c r="K549" i="21"/>
  <c r="A550" i="21"/>
  <c r="J550" i="21"/>
  <c r="I550" i="21"/>
  <c r="H550" i="21"/>
  <c r="G550" i="21"/>
  <c r="F550" i="21"/>
  <c r="K550" i="21"/>
  <c r="A551" i="21"/>
  <c r="J551" i="21"/>
  <c r="I551" i="21"/>
  <c r="H551" i="21"/>
  <c r="G551" i="21"/>
  <c r="F551" i="21"/>
  <c r="K551" i="21"/>
  <c r="A552" i="21"/>
  <c r="J552" i="21"/>
  <c r="I552" i="21"/>
  <c r="H552" i="21"/>
  <c r="G552" i="21"/>
  <c r="F552" i="21"/>
  <c r="K552" i="21"/>
  <c r="A553" i="21"/>
  <c r="J553" i="21"/>
  <c r="I553" i="21"/>
  <c r="H553" i="21"/>
  <c r="G553" i="21"/>
  <c r="F553" i="21"/>
  <c r="K553" i="21"/>
  <c r="A554" i="21"/>
  <c r="J554" i="21"/>
  <c r="I554" i="21"/>
  <c r="H554" i="21"/>
  <c r="G554" i="21"/>
  <c r="F554" i="21"/>
  <c r="K554" i="21"/>
  <c r="A555" i="21"/>
  <c r="J555" i="21"/>
  <c r="I555" i="21"/>
  <c r="H555" i="21"/>
  <c r="G555" i="21"/>
  <c r="F555" i="21"/>
  <c r="K555" i="21"/>
  <c r="A556" i="21"/>
  <c r="J556" i="21"/>
  <c r="I556" i="21"/>
  <c r="H556" i="21"/>
  <c r="G556" i="21"/>
  <c r="F556" i="21"/>
  <c r="K556" i="21"/>
  <c r="A557" i="21"/>
  <c r="J557" i="21"/>
  <c r="I557" i="21"/>
  <c r="H557" i="21"/>
  <c r="G557" i="21"/>
  <c r="F557" i="21"/>
  <c r="K557" i="21"/>
  <c r="A558" i="21"/>
  <c r="J558" i="21"/>
  <c r="I558" i="21"/>
  <c r="H558" i="21"/>
  <c r="G558" i="21"/>
  <c r="F558" i="21"/>
  <c r="K558" i="21"/>
  <c r="A559" i="21"/>
  <c r="J559" i="21"/>
  <c r="I559" i="21"/>
  <c r="H559" i="21"/>
  <c r="G559" i="21"/>
  <c r="F559" i="21"/>
  <c r="K559" i="21"/>
  <c r="A560" i="21"/>
  <c r="J560" i="21"/>
  <c r="I560" i="21"/>
  <c r="H560" i="21"/>
  <c r="G560" i="21"/>
  <c r="F560" i="21"/>
  <c r="K560" i="21"/>
  <c r="A561" i="21"/>
  <c r="J561" i="21"/>
  <c r="I561" i="21"/>
  <c r="H561" i="21"/>
  <c r="G561" i="21"/>
  <c r="F561" i="21"/>
  <c r="K561" i="21"/>
  <c r="A562" i="21"/>
  <c r="J562" i="21"/>
  <c r="I562" i="21"/>
  <c r="H562" i="21"/>
  <c r="G562" i="21"/>
  <c r="F562" i="21"/>
  <c r="K562" i="21"/>
  <c r="A563" i="21"/>
  <c r="J563" i="21"/>
  <c r="I563" i="21"/>
  <c r="H563" i="21"/>
  <c r="G563" i="21"/>
  <c r="F563" i="21"/>
  <c r="K563" i="21"/>
  <c r="A564" i="21"/>
  <c r="J564" i="21"/>
  <c r="I564" i="21"/>
  <c r="H564" i="21"/>
  <c r="G564" i="21"/>
  <c r="F564" i="21"/>
  <c r="K564" i="21"/>
  <c r="A565" i="21"/>
  <c r="J565" i="21"/>
  <c r="I565" i="21"/>
  <c r="H565" i="21"/>
  <c r="G565" i="21"/>
  <c r="F565" i="21"/>
  <c r="K565" i="21"/>
  <c r="A566" i="21"/>
  <c r="J566" i="21"/>
  <c r="I566" i="21"/>
  <c r="H566" i="21"/>
  <c r="G566" i="21"/>
  <c r="F566" i="21"/>
  <c r="K566" i="21"/>
  <c r="A567" i="21"/>
  <c r="J567" i="21"/>
  <c r="I567" i="21"/>
  <c r="H567" i="21"/>
  <c r="G567" i="21"/>
  <c r="F567" i="21"/>
  <c r="K567" i="21"/>
  <c r="A568" i="21"/>
  <c r="J568" i="21"/>
  <c r="I568" i="21"/>
  <c r="H568" i="21"/>
  <c r="G568" i="21"/>
  <c r="F568" i="21"/>
  <c r="K568" i="21"/>
  <c r="A569" i="21"/>
  <c r="J569" i="21"/>
  <c r="I569" i="21"/>
  <c r="H569" i="21"/>
  <c r="G569" i="21"/>
  <c r="F569" i="21"/>
  <c r="K569" i="21"/>
  <c r="A570" i="21"/>
  <c r="J570" i="21"/>
  <c r="I570" i="21"/>
  <c r="H570" i="21"/>
  <c r="G570" i="21"/>
  <c r="F570" i="21"/>
  <c r="K570" i="21"/>
  <c r="A571" i="21"/>
  <c r="J571" i="21"/>
  <c r="I571" i="21"/>
  <c r="H571" i="21"/>
  <c r="G571" i="21"/>
  <c r="F571" i="21"/>
  <c r="K571" i="21"/>
  <c r="A572" i="21"/>
  <c r="J572" i="21"/>
  <c r="I572" i="21"/>
  <c r="H572" i="21"/>
  <c r="G572" i="21"/>
  <c r="F572" i="21"/>
  <c r="K572" i="21"/>
  <c r="A573" i="21"/>
  <c r="J573" i="21"/>
  <c r="I573" i="21"/>
  <c r="H573" i="21"/>
  <c r="G573" i="21"/>
  <c r="F573" i="21"/>
  <c r="K573" i="21"/>
  <c r="A574" i="21"/>
  <c r="J574" i="21"/>
  <c r="I574" i="21"/>
  <c r="H574" i="21"/>
  <c r="G574" i="21"/>
  <c r="F574" i="21"/>
  <c r="K574" i="21"/>
  <c r="A575" i="21"/>
  <c r="J575" i="21"/>
  <c r="I575" i="21"/>
  <c r="H575" i="21"/>
  <c r="G575" i="21"/>
  <c r="F575" i="21"/>
  <c r="K575" i="21"/>
  <c r="A576" i="21"/>
  <c r="J576" i="21"/>
  <c r="I576" i="21"/>
  <c r="H576" i="21"/>
  <c r="G576" i="21"/>
  <c r="F576" i="21"/>
  <c r="K576" i="21"/>
  <c r="A577" i="21"/>
  <c r="J577" i="21"/>
  <c r="I577" i="21"/>
  <c r="H577" i="21"/>
  <c r="G577" i="21"/>
  <c r="F577" i="21"/>
  <c r="K577" i="21"/>
  <c r="A578" i="21"/>
  <c r="J578" i="21"/>
  <c r="I578" i="21"/>
  <c r="H578" i="21"/>
  <c r="G578" i="21"/>
  <c r="F578" i="21"/>
  <c r="K578" i="21"/>
  <c r="A579" i="21"/>
  <c r="J579" i="21"/>
  <c r="I579" i="21"/>
  <c r="H579" i="21"/>
  <c r="G579" i="21"/>
  <c r="F579" i="21"/>
  <c r="K579" i="21"/>
  <c r="A580" i="21"/>
  <c r="J580" i="21"/>
  <c r="I580" i="21"/>
  <c r="H580" i="21"/>
  <c r="G580" i="21"/>
  <c r="F580" i="21"/>
  <c r="K580" i="21"/>
  <c r="A581" i="21"/>
  <c r="J581" i="21"/>
  <c r="I581" i="21"/>
  <c r="H581" i="21"/>
  <c r="G581" i="21"/>
  <c r="F581" i="21"/>
  <c r="K581" i="21"/>
  <c r="A582" i="21"/>
  <c r="J582" i="21"/>
  <c r="I582" i="21"/>
  <c r="H582" i="21"/>
  <c r="G582" i="21"/>
  <c r="F582" i="21"/>
  <c r="K582" i="21"/>
  <c r="A583" i="21"/>
  <c r="J583" i="21"/>
  <c r="I583" i="21"/>
  <c r="H583" i="21"/>
  <c r="G583" i="21"/>
  <c r="F583" i="21"/>
  <c r="K583" i="21"/>
  <c r="A584" i="21"/>
  <c r="J584" i="21"/>
  <c r="I584" i="21"/>
  <c r="H584" i="21"/>
  <c r="G584" i="21"/>
  <c r="F584" i="21"/>
  <c r="K584" i="21"/>
  <c r="A585" i="21"/>
  <c r="J585" i="21"/>
  <c r="I585" i="21"/>
  <c r="H585" i="21"/>
  <c r="G585" i="21"/>
  <c r="F585" i="21"/>
  <c r="K585" i="21"/>
  <c r="A586" i="21"/>
  <c r="J586" i="21"/>
  <c r="I586" i="21"/>
  <c r="H586" i="21"/>
  <c r="G586" i="21"/>
  <c r="F586" i="21"/>
  <c r="K586" i="21"/>
  <c r="A587" i="21"/>
  <c r="J587" i="21"/>
  <c r="I587" i="21"/>
  <c r="H587" i="21"/>
  <c r="G587" i="21"/>
  <c r="F587" i="21"/>
  <c r="K587" i="21"/>
  <c r="A588" i="21"/>
  <c r="J588" i="21"/>
  <c r="I588" i="21"/>
  <c r="H588" i="21"/>
  <c r="G588" i="21"/>
  <c r="F588" i="21"/>
  <c r="K588" i="21"/>
  <c r="A589" i="21"/>
  <c r="J589" i="21"/>
  <c r="I589" i="21"/>
  <c r="H589" i="21"/>
  <c r="G589" i="21"/>
  <c r="F589" i="21"/>
  <c r="K589" i="21"/>
  <c r="N3" i="19"/>
  <c r="B51" i="19"/>
  <c r="B14" i="19"/>
  <c r="B7" i="19"/>
  <c r="B21" i="19"/>
  <c r="B5" i="19"/>
  <c r="B6" i="19"/>
  <c r="B8" i="19"/>
  <c r="B9" i="19"/>
  <c r="B10" i="19"/>
  <c r="B18" i="19"/>
  <c r="B15" i="19"/>
  <c r="B16" i="19"/>
  <c r="B23" i="19"/>
  <c r="B11" i="19"/>
  <c r="B12" i="19"/>
  <c r="B13" i="19"/>
  <c r="B17" i="19"/>
  <c r="B19" i="19"/>
  <c r="B20" i="19"/>
  <c r="B22" i="19"/>
  <c r="B27" i="19"/>
  <c r="B26" i="19"/>
  <c r="B24" i="19"/>
  <c r="B30" i="19"/>
  <c r="B28" i="19"/>
  <c r="B25" i="19"/>
  <c r="B29" i="19"/>
  <c r="B70" i="19"/>
  <c r="B31" i="19"/>
  <c r="B32" i="19"/>
  <c r="B35" i="19"/>
  <c r="B33" i="19"/>
  <c r="B34" i="19"/>
  <c r="B37" i="19"/>
  <c r="B38" i="19"/>
  <c r="B48" i="19"/>
  <c r="B44" i="19"/>
  <c r="B42" i="19"/>
  <c r="B39" i="19"/>
  <c r="B49" i="19"/>
  <c r="B50" i="19"/>
  <c r="B40" i="19"/>
  <c r="B45" i="19"/>
  <c r="B46" i="19"/>
  <c r="B36" i="19"/>
  <c r="B82" i="19"/>
  <c r="B83" i="19"/>
  <c r="B85" i="19"/>
  <c r="B86" i="19"/>
  <c r="B87" i="19"/>
  <c r="B88" i="19"/>
  <c r="B89" i="19"/>
  <c r="B90" i="19"/>
  <c r="B59" i="19"/>
  <c r="B43" i="19"/>
  <c r="B47" i="19"/>
  <c r="E2" i="16"/>
  <c r="D2" i="16"/>
  <c r="E3" i="16"/>
  <c r="D3" i="16"/>
  <c r="E4" i="16"/>
  <c r="D4" i="16"/>
  <c r="E5" i="16"/>
  <c r="D5" i="16"/>
  <c r="E6" i="16"/>
  <c r="D6" i="16"/>
  <c r="E7" i="16"/>
  <c r="D7" i="16"/>
  <c r="E8" i="16"/>
  <c r="D8" i="16"/>
  <c r="E9" i="16"/>
  <c r="D9" i="16"/>
  <c r="E10" i="16"/>
  <c r="D10" i="16"/>
  <c r="E11" i="16"/>
  <c r="D11" i="16"/>
  <c r="E12" i="16"/>
  <c r="D12" i="16"/>
  <c r="E13" i="16"/>
  <c r="D13" i="16"/>
  <c r="E14" i="16"/>
  <c r="D14" i="16"/>
  <c r="E15" i="16"/>
  <c r="D15" i="16"/>
  <c r="E16" i="16"/>
  <c r="D16" i="16"/>
  <c r="E17" i="16"/>
  <c r="D17" i="16"/>
  <c r="E18" i="16"/>
  <c r="D18" i="16"/>
  <c r="E19" i="16"/>
  <c r="D19" i="16"/>
  <c r="E20" i="16"/>
  <c r="D20" i="16"/>
  <c r="E21" i="16"/>
  <c r="D21" i="16"/>
  <c r="E22" i="16"/>
  <c r="D22" i="16"/>
  <c r="E23" i="16"/>
  <c r="D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D3" i="22"/>
  <c r="Q2" i="16"/>
  <c r="U2" i="16"/>
  <c r="A2" i="21"/>
  <c r="A3" i="21"/>
  <c r="A4" i="21"/>
  <c r="A5" i="21"/>
  <c r="A6" i="21"/>
  <c r="K6" i="21"/>
  <c r="K7" i="21"/>
  <c r="A7" i="21"/>
  <c r="K3" i="21"/>
  <c r="K8" i="21"/>
  <c r="A8" i="21"/>
  <c r="K5" i="21"/>
  <c r="K4" i="21"/>
  <c r="K2" i="21"/>
  <c r="A9" i="21"/>
  <c r="K9" i="21"/>
  <c r="A10" i="21"/>
  <c r="K10" i="21"/>
  <c r="A11" i="21"/>
  <c r="K11" i="21"/>
  <c r="A12" i="21"/>
  <c r="K12" i="21"/>
  <c r="K13" i="21"/>
  <c r="A13" i="21"/>
  <c r="K14" i="21"/>
  <c r="A14" i="21"/>
  <c r="A15" i="21"/>
  <c r="K15" i="21"/>
  <c r="K16" i="21"/>
  <c r="A16" i="21"/>
  <c r="K17" i="21"/>
  <c r="A17" i="21"/>
  <c r="K18" i="21"/>
  <c r="A18" i="21"/>
  <c r="A19" i="21"/>
  <c r="K19" i="21"/>
  <c r="K20" i="21"/>
  <c r="A20" i="21"/>
  <c r="K21" i="21"/>
  <c r="A21" i="21"/>
  <c r="A22" i="21"/>
  <c r="K22" i="21"/>
  <c r="A23" i="21"/>
  <c r="K23" i="21"/>
  <c r="K24" i="21"/>
  <c r="A24" i="21"/>
  <c r="K25" i="21"/>
  <c r="A25" i="21"/>
  <c r="K26" i="21"/>
  <c r="A26" i="21"/>
  <c r="A27" i="21"/>
  <c r="K27" i="21"/>
  <c r="A28" i="21"/>
  <c r="K28" i="21"/>
  <c r="K29" i="21"/>
  <c r="A29" i="21"/>
  <c r="K30" i="21"/>
  <c r="A30" i="21"/>
  <c r="K31" i="21"/>
  <c r="A31" i="21"/>
  <c r="A32" i="21"/>
  <c r="K32" i="21"/>
  <c r="K33" i="21"/>
  <c r="A33" i="21"/>
  <c r="A34" i="21"/>
  <c r="K34" i="21"/>
  <c r="A35" i="21"/>
  <c r="K35" i="21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O3" i="19"/>
  <c r="P3" i="19"/>
  <c r="D111" i="16"/>
  <c r="D110" i="16"/>
  <c r="L2" i="21"/>
  <c r="M2" i="21"/>
  <c r="N2" i="21"/>
  <c r="O2" i="21"/>
  <c r="Q2" i="21"/>
  <c r="L3" i="21"/>
  <c r="M3" i="21"/>
  <c r="N3" i="21"/>
  <c r="O3" i="21"/>
  <c r="Q3" i="21"/>
  <c r="L4" i="21"/>
  <c r="M4" i="21"/>
  <c r="N4" i="21"/>
  <c r="O4" i="21"/>
  <c r="Q4" i="21"/>
  <c r="L5" i="21"/>
  <c r="M5" i="21"/>
  <c r="N5" i="21"/>
  <c r="O5" i="21"/>
  <c r="Q5" i="21"/>
  <c r="L6" i="21"/>
  <c r="M6" i="21"/>
  <c r="N6" i="21"/>
  <c r="O6" i="21"/>
  <c r="Q6" i="21"/>
  <c r="L7" i="21"/>
  <c r="M7" i="21"/>
  <c r="N7" i="21"/>
  <c r="O7" i="21"/>
  <c r="Q7" i="21"/>
  <c r="L8" i="21"/>
  <c r="M8" i="21"/>
  <c r="N8" i="21"/>
  <c r="O8" i="21"/>
  <c r="Q8" i="21"/>
  <c r="L9" i="21"/>
  <c r="M9" i="21"/>
  <c r="N9" i="21"/>
  <c r="O9" i="21"/>
  <c r="Q9" i="21"/>
  <c r="L10" i="21"/>
  <c r="M10" i="21"/>
  <c r="N10" i="21"/>
  <c r="O10" i="21"/>
  <c r="Q10" i="21"/>
  <c r="L11" i="21"/>
  <c r="M11" i="21"/>
  <c r="N11" i="21"/>
  <c r="O11" i="21"/>
  <c r="Q11" i="21"/>
  <c r="L12" i="21"/>
  <c r="M12" i="21"/>
  <c r="N12" i="21"/>
  <c r="O12" i="21"/>
  <c r="Q12" i="21"/>
  <c r="L13" i="21"/>
  <c r="M13" i="21"/>
  <c r="N13" i="21"/>
  <c r="O13" i="21"/>
  <c r="Q13" i="21"/>
  <c r="L14" i="21"/>
  <c r="M14" i="21"/>
  <c r="N14" i="21"/>
  <c r="O14" i="21"/>
  <c r="Q14" i="21"/>
  <c r="L15" i="21"/>
  <c r="M15" i="21"/>
  <c r="N15" i="21"/>
  <c r="O15" i="21"/>
  <c r="Q15" i="21"/>
  <c r="L16" i="21"/>
  <c r="M16" i="21"/>
  <c r="N16" i="21"/>
  <c r="O16" i="21"/>
  <c r="Q16" i="21"/>
  <c r="L17" i="21"/>
  <c r="M17" i="21"/>
  <c r="N17" i="21"/>
  <c r="O17" i="21"/>
  <c r="Q17" i="21"/>
  <c r="L18" i="21"/>
  <c r="M18" i="21"/>
  <c r="N18" i="21"/>
  <c r="O18" i="21"/>
  <c r="Q18" i="21"/>
  <c r="L19" i="21"/>
  <c r="M19" i="21"/>
  <c r="N19" i="21"/>
  <c r="O19" i="21"/>
  <c r="Q19" i="21"/>
  <c r="L20" i="21"/>
  <c r="M20" i="21"/>
  <c r="N20" i="21"/>
  <c r="O20" i="21"/>
  <c r="Q20" i="21"/>
  <c r="L21" i="21"/>
  <c r="M21" i="21"/>
  <c r="N21" i="21"/>
  <c r="O21" i="21"/>
  <c r="Q21" i="21"/>
  <c r="L22" i="21"/>
  <c r="M22" i="21"/>
  <c r="N22" i="21"/>
  <c r="O22" i="21"/>
  <c r="Q22" i="21"/>
  <c r="L23" i="21"/>
  <c r="M23" i="21"/>
  <c r="N23" i="21"/>
  <c r="O23" i="21"/>
  <c r="Q23" i="21"/>
  <c r="L24" i="21"/>
  <c r="M24" i="21"/>
  <c r="N24" i="21"/>
  <c r="O24" i="21"/>
  <c r="Q24" i="21"/>
  <c r="L25" i="21"/>
  <c r="M25" i="21"/>
  <c r="N25" i="21"/>
  <c r="O25" i="21"/>
  <c r="Q25" i="21"/>
  <c r="L26" i="21"/>
  <c r="M26" i="21"/>
  <c r="N26" i="21"/>
  <c r="O26" i="21"/>
  <c r="Q26" i="21"/>
  <c r="L27" i="21"/>
  <c r="M27" i="21"/>
  <c r="N27" i="21"/>
  <c r="O27" i="21"/>
  <c r="Q27" i="21"/>
  <c r="L28" i="21"/>
  <c r="M28" i="21"/>
  <c r="N28" i="21"/>
  <c r="O28" i="21"/>
  <c r="Q28" i="21"/>
  <c r="L29" i="21"/>
  <c r="M29" i="21"/>
  <c r="N29" i="21"/>
  <c r="O29" i="21"/>
  <c r="Q29" i="21"/>
  <c r="L30" i="21"/>
  <c r="M30" i="21"/>
  <c r="N30" i="21"/>
  <c r="O30" i="21"/>
  <c r="Q30" i="21"/>
  <c r="L31" i="21"/>
  <c r="M31" i="21"/>
  <c r="N31" i="21"/>
  <c r="O31" i="21"/>
  <c r="Q31" i="21"/>
  <c r="L32" i="21"/>
  <c r="M32" i="21"/>
  <c r="N32" i="21"/>
  <c r="O32" i="21"/>
  <c r="Q32" i="21"/>
  <c r="L33" i="21"/>
  <c r="M33" i="21"/>
  <c r="N33" i="21"/>
  <c r="O33" i="21"/>
  <c r="Q33" i="21"/>
  <c r="L34" i="21"/>
  <c r="M34" i="21"/>
  <c r="N34" i="21"/>
  <c r="O34" i="21"/>
  <c r="Q34" i="21"/>
  <c r="L35" i="21"/>
  <c r="M35" i="21"/>
  <c r="N35" i="21"/>
  <c r="O35" i="21"/>
  <c r="Q35" i="21"/>
  <c r="L36" i="21"/>
  <c r="M36" i="21"/>
  <c r="N36" i="21"/>
  <c r="O36" i="21"/>
  <c r="Q36" i="21"/>
  <c r="L37" i="21"/>
  <c r="M37" i="21"/>
  <c r="N37" i="21"/>
  <c r="O37" i="21"/>
  <c r="Q37" i="21"/>
  <c r="L38" i="21"/>
  <c r="M38" i="21"/>
  <c r="N38" i="21"/>
  <c r="O38" i="21"/>
  <c r="Q38" i="21"/>
  <c r="L39" i="21"/>
  <c r="M39" i="21"/>
  <c r="N39" i="21"/>
  <c r="O39" i="21"/>
  <c r="Q39" i="21"/>
  <c r="L40" i="21"/>
  <c r="M40" i="21"/>
  <c r="N40" i="21"/>
  <c r="O40" i="21"/>
  <c r="Q40" i="21"/>
  <c r="L41" i="21"/>
  <c r="M41" i="21"/>
  <c r="N41" i="21"/>
  <c r="O41" i="21"/>
  <c r="Q41" i="21"/>
  <c r="L42" i="21"/>
  <c r="M42" i="21"/>
  <c r="N42" i="21"/>
  <c r="O42" i="21"/>
  <c r="Q42" i="21"/>
  <c r="L43" i="21"/>
  <c r="M43" i="21"/>
  <c r="N43" i="21"/>
  <c r="O43" i="21"/>
  <c r="Q43" i="21"/>
  <c r="L44" i="21"/>
  <c r="M44" i="21"/>
  <c r="N44" i="21"/>
  <c r="O44" i="21"/>
  <c r="Q44" i="21"/>
  <c r="L45" i="21"/>
  <c r="M45" i="21"/>
  <c r="N45" i="21"/>
  <c r="O45" i="21"/>
  <c r="Q45" i="21"/>
  <c r="L46" i="21"/>
  <c r="M46" i="21"/>
  <c r="N46" i="21"/>
  <c r="O46" i="21"/>
  <c r="Q46" i="21"/>
  <c r="L47" i="21"/>
  <c r="M47" i="21"/>
  <c r="N47" i="21"/>
  <c r="O47" i="21"/>
  <c r="Q47" i="21"/>
  <c r="L48" i="21"/>
  <c r="M48" i="21"/>
  <c r="N48" i="21"/>
  <c r="O48" i="21"/>
  <c r="Q48" i="21"/>
  <c r="L49" i="21"/>
  <c r="M49" i="21"/>
  <c r="N49" i="21"/>
  <c r="O49" i="21"/>
  <c r="Q49" i="21"/>
  <c r="L50" i="21"/>
  <c r="M50" i="21"/>
  <c r="N50" i="21"/>
  <c r="O50" i="21"/>
  <c r="Q50" i="21"/>
  <c r="L51" i="21"/>
  <c r="M51" i="21"/>
  <c r="N51" i="21"/>
  <c r="O51" i="21"/>
  <c r="Q51" i="21"/>
  <c r="L52" i="21"/>
  <c r="M52" i="21"/>
  <c r="N52" i="21"/>
  <c r="O52" i="21"/>
  <c r="Q52" i="21"/>
  <c r="L53" i="21"/>
  <c r="M53" i="21"/>
  <c r="N53" i="21"/>
  <c r="O53" i="21"/>
  <c r="Q53" i="21"/>
  <c r="L54" i="21"/>
  <c r="M54" i="21"/>
  <c r="N54" i="21"/>
  <c r="O54" i="21"/>
  <c r="Q54" i="21"/>
  <c r="L55" i="21"/>
  <c r="M55" i="21"/>
  <c r="N55" i="21"/>
  <c r="O55" i="21"/>
  <c r="Q55" i="21"/>
  <c r="L56" i="21"/>
  <c r="M56" i="21"/>
  <c r="N56" i="21"/>
  <c r="O56" i="21"/>
  <c r="Q56" i="21"/>
  <c r="L57" i="21"/>
  <c r="M57" i="21"/>
  <c r="N57" i="21"/>
  <c r="O57" i="21"/>
  <c r="Q57" i="21"/>
  <c r="L58" i="21"/>
  <c r="M58" i="21"/>
  <c r="N58" i="21"/>
  <c r="O58" i="21"/>
  <c r="Q58" i="21"/>
  <c r="L59" i="21"/>
  <c r="M59" i="21"/>
  <c r="N59" i="21"/>
  <c r="O59" i="21"/>
  <c r="Q59" i="21"/>
  <c r="L60" i="21"/>
  <c r="M60" i="21"/>
  <c r="N60" i="21"/>
  <c r="O60" i="21"/>
  <c r="Q60" i="21"/>
  <c r="L61" i="21"/>
  <c r="M61" i="21"/>
  <c r="N61" i="21"/>
  <c r="O61" i="21"/>
  <c r="Q61" i="21"/>
  <c r="L62" i="21"/>
  <c r="M62" i="21"/>
  <c r="N62" i="21"/>
  <c r="O62" i="21"/>
  <c r="Q62" i="21"/>
  <c r="L63" i="21"/>
  <c r="M63" i="21"/>
  <c r="N63" i="21"/>
  <c r="O63" i="21"/>
  <c r="Q63" i="21"/>
  <c r="L64" i="21"/>
  <c r="M64" i="21"/>
  <c r="N64" i="21"/>
  <c r="O64" i="21"/>
  <c r="Q64" i="21"/>
  <c r="L65" i="21"/>
  <c r="M65" i="21"/>
  <c r="N65" i="21"/>
  <c r="O65" i="21"/>
  <c r="Q65" i="21"/>
  <c r="L66" i="21"/>
  <c r="M66" i="21"/>
  <c r="N66" i="21"/>
  <c r="O66" i="21"/>
  <c r="Q66" i="21"/>
  <c r="L67" i="21"/>
  <c r="M67" i="21"/>
  <c r="N67" i="21"/>
  <c r="O67" i="21"/>
  <c r="Q67" i="21"/>
  <c r="L68" i="21"/>
  <c r="M68" i="21"/>
  <c r="N68" i="21"/>
  <c r="O68" i="21"/>
  <c r="Q68" i="21"/>
  <c r="L69" i="21"/>
  <c r="M69" i="21"/>
  <c r="N69" i="21"/>
  <c r="O69" i="21"/>
  <c r="Q69" i="21"/>
  <c r="L70" i="21"/>
  <c r="M70" i="21"/>
  <c r="N70" i="21"/>
  <c r="O70" i="21"/>
  <c r="Q70" i="21"/>
  <c r="L71" i="21"/>
  <c r="M71" i="21"/>
  <c r="N71" i="21"/>
  <c r="O71" i="21"/>
  <c r="Q71" i="21"/>
  <c r="L72" i="21"/>
  <c r="M72" i="21"/>
  <c r="N72" i="21"/>
  <c r="O72" i="21"/>
  <c r="Q72" i="21"/>
  <c r="L73" i="21"/>
  <c r="M73" i="21"/>
  <c r="N73" i="21"/>
  <c r="O73" i="21"/>
  <c r="Q73" i="21"/>
  <c r="L74" i="21"/>
  <c r="M74" i="21"/>
  <c r="N74" i="21"/>
  <c r="O74" i="21"/>
  <c r="Q74" i="21"/>
  <c r="L75" i="21"/>
  <c r="M75" i="21"/>
  <c r="N75" i="21"/>
  <c r="O75" i="21"/>
  <c r="Q75" i="21"/>
  <c r="L76" i="21"/>
  <c r="M76" i="21"/>
  <c r="N76" i="21"/>
  <c r="O76" i="21"/>
  <c r="Q76" i="21"/>
  <c r="L77" i="21"/>
  <c r="M77" i="21"/>
  <c r="N77" i="21"/>
  <c r="O77" i="21"/>
  <c r="Q77" i="21"/>
  <c r="L78" i="21"/>
  <c r="M78" i="21"/>
  <c r="N78" i="21"/>
  <c r="O78" i="21"/>
  <c r="Q78" i="21"/>
  <c r="L79" i="21"/>
  <c r="M79" i="21"/>
  <c r="N79" i="21"/>
  <c r="O79" i="21"/>
  <c r="Q79" i="21"/>
  <c r="L80" i="21"/>
  <c r="M80" i="21"/>
  <c r="N80" i="21"/>
  <c r="O80" i="21"/>
  <c r="Q80" i="21"/>
  <c r="L81" i="21"/>
  <c r="M81" i="21"/>
  <c r="N81" i="21"/>
  <c r="O81" i="21"/>
  <c r="Q81" i="21"/>
  <c r="L82" i="21"/>
  <c r="M82" i="21"/>
  <c r="N82" i="21"/>
  <c r="O82" i="21"/>
  <c r="Q82" i="21"/>
  <c r="L83" i="21"/>
  <c r="M83" i="21"/>
  <c r="N83" i="21"/>
  <c r="O83" i="21"/>
  <c r="Q83" i="21"/>
  <c r="L84" i="21"/>
  <c r="M84" i="21"/>
  <c r="N84" i="21"/>
  <c r="O84" i="21"/>
  <c r="Q84" i="21"/>
  <c r="L85" i="21"/>
  <c r="M85" i="21"/>
  <c r="N85" i="21"/>
  <c r="O85" i="21"/>
  <c r="Q85" i="21"/>
  <c r="L86" i="21"/>
  <c r="M86" i="21"/>
  <c r="N86" i="21"/>
  <c r="O86" i="21"/>
  <c r="Q86" i="21"/>
  <c r="L87" i="21"/>
  <c r="M87" i="21"/>
  <c r="N87" i="21"/>
  <c r="O87" i="21"/>
  <c r="Q87" i="21"/>
  <c r="L88" i="21"/>
  <c r="M88" i="21"/>
  <c r="N88" i="21"/>
  <c r="O88" i="21"/>
  <c r="Q88" i="21"/>
  <c r="L89" i="21"/>
  <c r="M89" i="21"/>
  <c r="N89" i="21"/>
  <c r="O89" i="21"/>
  <c r="Q89" i="21"/>
  <c r="L90" i="21"/>
  <c r="M90" i="21"/>
  <c r="N90" i="21"/>
  <c r="O90" i="21"/>
  <c r="Q90" i="21"/>
  <c r="L91" i="21"/>
  <c r="M91" i="21"/>
  <c r="N91" i="21"/>
  <c r="O91" i="21"/>
  <c r="Q91" i="21"/>
  <c r="L92" i="21"/>
  <c r="M92" i="21"/>
  <c r="N92" i="21"/>
  <c r="O92" i="21"/>
  <c r="Q92" i="21"/>
  <c r="L93" i="21"/>
  <c r="M93" i="21"/>
  <c r="N93" i="21"/>
  <c r="O93" i="21"/>
  <c r="Q93" i="21"/>
  <c r="L94" i="21"/>
  <c r="M94" i="21"/>
  <c r="N94" i="21"/>
  <c r="O94" i="21"/>
  <c r="Q94" i="21"/>
  <c r="L95" i="21"/>
  <c r="M95" i="21"/>
  <c r="N95" i="21"/>
  <c r="O95" i="21"/>
  <c r="Q95" i="21"/>
  <c r="L96" i="21"/>
  <c r="M96" i="21"/>
  <c r="N96" i="21"/>
  <c r="O96" i="21"/>
  <c r="Q96" i="21"/>
  <c r="L97" i="21"/>
  <c r="M97" i="21"/>
  <c r="N97" i="21"/>
  <c r="O97" i="21"/>
  <c r="Q97" i="21"/>
  <c r="L98" i="21"/>
  <c r="M98" i="21"/>
  <c r="N98" i="21"/>
  <c r="O98" i="21"/>
  <c r="Q98" i="21"/>
  <c r="L99" i="21"/>
  <c r="M99" i="21"/>
  <c r="N99" i="21"/>
  <c r="O99" i="21"/>
  <c r="Q99" i="21"/>
  <c r="L100" i="21"/>
  <c r="M100" i="21"/>
  <c r="N100" i="21"/>
  <c r="O100" i="21"/>
  <c r="Q100" i="21"/>
  <c r="L101" i="21"/>
  <c r="M101" i="21"/>
  <c r="N101" i="21"/>
  <c r="O101" i="21"/>
  <c r="Q101" i="21"/>
  <c r="L102" i="21"/>
  <c r="M102" i="21"/>
  <c r="N102" i="21"/>
  <c r="O102" i="21"/>
  <c r="Q102" i="21"/>
  <c r="L103" i="21"/>
  <c r="M103" i="21"/>
  <c r="N103" i="21"/>
  <c r="O103" i="21"/>
  <c r="Q103" i="21"/>
  <c r="L104" i="21"/>
  <c r="M104" i="21"/>
  <c r="N104" i="21"/>
  <c r="O104" i="21"/>
  <c r="Q104" i="21"/>
  <c r="L105" i="21"/>
  <c r="M105" i="21"/>
  <c r="N105" i="21"/>
  <c r="O105" i="21"/>
  <c r="Q105" i="21"/>
  <c r="L106" i="21"/>
  <c r="M106" i="21"/>
  <c r="N106" i="21"/>
  <c r="O106" i="21"/>
  <c r="Q106" i="21"/>
  <c r="L107" i="21"/>
  <c r="M107" i="21"/>
  <c r="N107" i="21"/>
  <c r="O107" i="21"/>
  <c r="Q107" i="21"/>
  <c r="L108" i="21"/>
  <c r="M108" i="21"/>
  <c r="N108" i="21"/>
  <c r="O108" i="21"/>
  <c r="Q108" i="21"/>
  <c r="L109" i="21"/>
  <c r="M109" i="21"/>
  <c r="N109" i="21"/>
  <c r="O109" i="21"/>
  <c r="Q109" i="21"/>
  <c r="L110" i="21"/>
  <c r="M110" i="21"/>
  <c r="N110" i="21"/>
  <c r="O110" i="21"/>
  <c r="Q110" i="21"/>
  <c r="L111" i="21"/>
  <c r="M111" i="21"/>
  <c r="N111" i="21"/>
  <c r="O111" i="21"/>
  <c r="Q111" i="21"/>
  <c r="L112" i="21"/>
  <c r="M112" i="21"/>
  <c r="N112" i="21"/>
  <c r="O112" i="21"/>
  <c r="Q112" i="21"/>
  <c r="L113" i="21"/>
  <c r="M113" i="21"/>
  <c r="N113" i="21"/>
  <c r="O113" i="21"/>
  <c r="Q113" i="21"/>
  <c r="L114" i="21"/>
  <c r="M114" i="21"/>
  <c r="N114" i="21"/>
  <c r="O114" i="21"/>
  <c r="Q114" i="21"/>
  <c r="L115" i="21"/>
  <c r="M115" i="21"/>
  <c r="N115" i="21"/>
  <c r="O115" i="21"/>
  <c r="Q115" i="21"/>
  <c r="L116" i="21"/>
  <c r="M116" i="21"/>
  <c r="N116" i="21"/>
  <c r="O116" i="21"/>
  <c r="Q116" i="21"/>
  <c r="L117" i="21"/>
  <c r="M117" i="21"/>
  <c r="N117" i="21"/>
  <c r="O117" i="21"/>
  <c r="Q117" i="21"/>
  <c r="L118" i="21"/>
  <c r="M118" i="21"/>
  <c r="N118" i="21"/>
  <c r="O118" i="21"/>
  <c r="Q118" i="21"/>
  <c r="L119" i="21"/>
  <c r="M119" i="21"/>
  <c r="N119" i="21"/>
  <c r="O119" i="21"/>
  <c r="Q119" i="21"/>
  <c r="L120" i="21"/>
  <c r="M120" i="21"/>
  <c r="N120" i="21"/>
  <c r="O120" i="21"/>
  <c r="Q120" i="21"/>
  <c r="L121" i="21"/>
  <c r="M121" i="21"/>
  <c r="N121" i="21"/>
  <c r="O121" i="21"/>
  <c r="Q121" i="21"/>
  <c r="L122" i="21"/>
  <c r="M122" i="21"/>
  <c r="N122" i="21"/>
  <c r="O122" i="21"/>
  <c r="Q122" i="21"/>
  <c r="L123" i="21"/>
  <c r="M123" i="21"/>
  <c r="N123" i="21"/>
  <c r="O123" i="21"/>
  <c r="Q123" i="21"/>
  <c r="L124" i="21"/>
  <c r="M124" i="21"/>
  <c r="N124" i="21"/>
  <c r="O124" i="21"/>
  <c r="Q124" i="21"/>
  <c r="L125" i="21"/>
  <c r="M125" i="21"/>
  <c r="N125" i="21"/>
  <c r="O125" i="21"/>
  <c r="Q125" i="21"/>
  <c r="L126" i="21"/>
  <c r="M126" i="21"/>
  <c r="N126" i="21"/>
  <c r="O126" i="21"/>
  <c r="Q126" i="21"/>
  <c r="L127" i="21"/>
  <c r="M127" i="21"/>
  <c r="N127" i="21"/>
  <c r="O127" i="21"/>
  <c r="Q127" i="21"/>
  <c r="L128" i="21"/>
  <c r="M128" i="21"/>
  <c r="N128" i="21"/>
  <c r="O128" i="21"/>
  <c r="Q128" i="21"/>
  <c r="L129" i="21"/>
  <c r="M129" i="21"/>
  <c r="N129" i="21"/>
  <c r="O129" i="21"/>
  <c r="Q129" i="21"/>
  <c r="L130" i="21"/>
  <c r="M130" i="21"/>
  <c r="N130" i="21"/>
  <c r="O130" i="21"/>
  <c r="Q130" i="21"/>
  <c r="L131" i="21"/>
  <c r="M131" i="21"/>
  <c r="N131" i="21"/>
  <c r="O131" i="21"/>
  <c r="Q131" i="21"/>
  <c r="L132" i="21"/>
  <c r="M132" i="21"/>
  <c r="N132" i="21"/>
  <c r="O132" i="21"/>
  <c r="Q132" i="21"/>
  <c r="L133" i="21"/>
  <c r="M133" i="21"/>
  <c r="N133" i="21"/>
  <c r="O133" i="21"/>
  <c r="Q133" i="21"/>
  <c r="L134" i="21"/>
  <c r="M134" i="21"/>
  <c r="N134" i="21"/>
  <c r="O134" i="21"/>
  <c r="Q134" i="21"/>
  <c r="L135" i="21"/>
  <c r="M135" i="21"/>
  <c r="N135" i="21"/>
  <c r="O135" i="21"/>
  <c r="Q135" i="21"/>
  <c r="L136" i="21"/>
  <c r="M136" i="21"/>
  <c r="N136" i="21"/>
  <c r="O136" i="21"/>
  <c r="Q136" i="21"/>
  <c r="L137" i="21"/>
  <c r="M137" i="21"/>
  <c r="N137" i="21"/>
  <c r="O137" i="21"/>
  <c r="Q137" i="21"/>
  <c r="L138" i="21"/>
  <c r="M138" i="21"/>
  <c r="N138" i="21"/>
  <c r="O138" i="21"/>
  <c r="Q138" i="21"/>
  <c r="L139" i="21"/>
  <c r="M139" i="21"/>
  <c r="N139" i="21"/>
  <c r="O139" i="21"/>
  <c r="Q139" i="21"/>
  <c r="L140" i="21"/>
  <c r="M140" i="21"/>
  <c r="N140" i="21"/>
  <c r="O140" i="21"/>
  <c r="Q140" i="21"/>
  <c r="L141" i="21"/>
  <c r="M141" i="21"/>
  <c r="N141" i="21"/>
  <c r="O141" i="21"/>
  <c r="Q141" i="21"/>
  <c r="L142" i="21"/>
  <c r="M142" i="21"/>
  <c r="N142" i="21"/>
  <c r="O142" i="21"/>
  <c r="Q142" i="21"/>
  <c r="L143" i="21"/>
  <c r="M143" i="21"/>
  <c r="N143" i="21"/>
  <c r="O143" i="21"/>
  <c r="Q143" i="21"/>
  <c r="L144" i="21"/>
  <c r="M144" i="21"/>
  <c r="N144" i="21"/>
  <c r="O144" i="21"/>
  <c r="Q144" i="21"/>
  <c r="L145" i="21"/>
  <c r="M145" i="21"/>
  <c r="N145" i="21"/>
  <c r="O145" i="21"/>
  <c r="Q145" i="21"/>
  <c r="L146" i="21"/>
  <c r="M146" i="21"/>
  <c r="N146" i="21"/>
  <c r="O146" i="21"/>
  <c r="Q146" i="21"/>
  <c r="L147" i="21"/>
  <c r="M147" i="21"/>
  <c r="N147" i="21"/>
  <c r="O147" i="21"/>
  <c r="Q147" i="21"/>
  <c r="L148" i="21"/>
  <c r="M148" i="21"/>
  <c r="N148" i="21"/>
  <c r="O148" i="21"/>
  <c r="Q148" i="21"/>
  <c r="L149" i="21"/>
  <c r="M149" i="21"/>
  <c r="N149" i="21"/>
  <c r="O149" i="21"/>
  <c r="Q149" i="21"/>
  <c r="L150" i="21"/>
  <c r="M150" i="21"/>
  <c r="N150" i="21"/>
  <c r="O150" i="21"/>
  <c r="Q150" i="21"/>
  <c r="L151" i="21"/>
  <c r="M151" i="21"/>
  <c r="N151" i="21"/>
  <c r="O151" i="21"/>
  <c r="Q151" i="21"/>
  <c r="L152" i="21"/>
  <c r="M152" i="21"/>
  <c r="N152" i="21"/>
  <c r="O152" i="21"/>
  <c r="Q152" i="21"/>
  <c r="L153" i="21"/>
  <c r="M153" i="21"/>
  <c r="N153" i="21"/>
  <c r="O153" i="21"/>
  <c r="Q153" i="21"/>
  <c r="L154" i="21"/>
  <c r="M154" i="21"/>
  <c r="N154" i="21"/>
  <c r="O154" i="21"/>
  <c r="Q154" i="21"/>
  <c r="L155" i="21"/>
  <c r="M155" i="21"/>
  <c r="N155" i="21"/>
  <c r="O155" i="21"/>
  <c r="Q155" i="21"/>
  <c r="L156" i="21"/>
  <c r="M156" i="21"/>
  <c r="N156" i="21"/>
  <c r="O156" i="21"/>
  <c r="Q156" i="21"/>
  <c r="L157" i="21"/>
  <c r="M157" i="21"/>
  <c r="N157" i="21"/>
  <c r="O157" i="21"/>
  <c r="Q157" i="21"/>
  <c r="L158" i="21"/>
  <c r="M158" i="21"/>
  <c r="N158" i="21"/>
  <c r="O158" i="21"/>
  <c r="Q158" i="21"/>
  <c r="L159" i="21"/>
  <c r="M159" i="21"/>
  <c r="N159" i="21"/>
  <c r="O159" i="21"/>
  <c r="Q159" i="21"/>
  <c r="L160" i="21"/>
  <c r="M160" i="21"/>
  <c r="N160" i="21"/>
  <c r="O160" i="21"/>
  <c r="Q160" i="21"/>
  <c r="L161" i="21"/>
  <c r="M161" i="21"/>
  <c r="N161" i="21"/>
  <c r="O161" i="21"/>
  <c r="Q161" i="21"/>
  <c r="L162" i="21"/>
  <c r="M162" i="21"/>
  <c r="N162" i="21"/>
  <c r="O162" i="21"/>
  <c r="Q162" i="21"/>
  <c r="L163" i="21"/>
  <c r="M163" i="21"/>
  <c r="N163" i="21"/>
  <c r="O163" i="21"/>
  <c r="Q163" i="21"/>
  <c r="L164" i="21"/>
  <c r="M164" i="21"/>
  <c r="N164" i="21"/>
  <c r="O164" i="21"/>
  <c r="Q164" i="21"/>
  <c r="L165" i="21"/>
  <c r="M165" i="21"/>
  <c r="N165" i="21"/>
  <c r="O165" i="21"/>
  <c r="Q165" i="21"/>
  <c r="L166" i="21"/>
  <c r="M166" i="21"/>
  <c r="N166" i="21"/>
  <c r="O166" i="21"/>
  <c r="Q166" i="21"/>
  <c r="L167" i="21"/>
  <c r="M167" i="21"/>
  <c r="N167" i="21"/>
  <c r="O167" i="21"/>
  <c r="Q167" i="21"/>
  <c r="L168" i="21"/>
  <c r="M168" i="21"/>
  <c r="N168" i="21"/>
  <c r="O168" i="21"/>
  <c r="Q168" i="21"/>
  <c r="L169" i="21"/>
  <c r="M169" i="21"/>
  <c r="N169" i="21"/>
  <c r="O169" i="21"/>
  <c r="Q169" i="21"/>
  <c r="L170" i="21"/>
  <c r="M170" i="21"/>
  <c r="N170" i="21"/>
  <c r="O170" i="21"/>
  <c r="Q170" i="21"/>
  <c r="L171" i="21"/>
  <c r="M171" i="21"/>
  <c r="N171" i="21"/>
  <c r="O171" i="21"/>
  <c r="Q171" i="21"/>
  <c r="L172" i="21"/>
  <c r="M172" i="21"/>
  <c r="N172" i="21"/>
  <c r="O172" i="21"/>
  <c r="Q172" i="21"/>
  <c r="L173" i="21"/>
  <c r="M173" i="21"/>
  <c r="N173" i="21"/>
  <c r="O173" i="21"/>
  <c r="Q173" i="21"/>
  <c r="L174" i="21"/>
  <c r="M174" i="21"/>
  <c r="N174" i="21"/>
  <c r="O174" i="21"/>
  <c r="Q174" i="21"/>
  <c r="L175" i="21"/>
  <c r="M175" i="21"/>
  <c r="N175" i="21"/>
  <c r="O175" i="21"/>
  <c r="Q175" i="21"/>
  <c r="L176" i="21"/>
  <c r="M176" i="21"/>
  <c r="N176" i="21"/>
  <c r="O176" i="21"/>
  <c r="Q176" i="21"/>
  <c r="L177" i="21"/>
  <c r="M177" i="21"/>
  <c r="N177" i="21"/>
  <c r="O177" i="21"/>
  <c r="Q177" i="21"/>
  <c r="L178" i="21"/>
  <c r="M178" i="21"/>
  <c r="N178" i="21"/>
  <c r="O178" i="21"/>
  <c r="Q178" i="21"/>
  <c r="L179" i="21"/>
  <c r="M179" i="21"/>
  <c r="N179" i="21"/>
  <c r="O179" i="21"/>
  <c r="Q179" i="21"/>
  <c r="L180" i="21"/>
  <c r="M180" i="21"/>
  <c r="N180" i="21"/>
  <c r="O180" i="21"/>
  <c r="Q180" i="21"/>
  <c r="L181" i="21"/>
  <c r="M181" i="21"/>
  <c r="N181" i="21"/>
  <c r="O181" i="21"/>
  <c r="Q181" i="21"/>
  <c r="L182" i="21"/>
  <c r="M182" i="21"/>
  <c r="N182" i="21"/>
  <c r="O182" i="21"/>
  <c r="Q182" i="21"/>
  <c r="L183" i="21"/>
  <c r="M183" i="21"/>
  <c r="N183" i="21"/>
  <c r="O183" i="21"/>
  <c r="Q183" i="21"/>
  <c r="L184" i="21"/>
  <c r="M184" i="21"/>
  <c r="N184" i="21"/>
  <c r="O184" i="21"/>
  <c r="Q184" i="21"/>
  <c r="L185" i="21"/>
  <c r="M185" i="21"/>
  <c r="N185" i="21"/>
  <c r="O185" i="21"/>
  <c r="Q185" i="21"/>
  <c r="L186" i="21"/>
  <c r="M186" i="21"/>
  <c r="N186" i="21"/>
  <c r="O186" i="21"/>
  <c r="Q186" i="21"/>
  <c r="L187" i="21"/>
  <c r="M187" i="21"/>
  <c r="N187" i="21"/>
  <c r="O187" i="21"/>
  <c r="Q187" i="21"/>
  <c r="L188" i="21"/>
  <c r="M188" i="21"/>
  <c r="N188" i="21"/>
  <c r="O188" i="21"/>
  <c r="Q188" i="21"/>
  <c r="L189" i="21"/>
  <c r="M189" i="21"/>
  <c r="N189" i="21"/>
  <c r="O189" i="21"/>
  <c r="Q189" i="21"/>
  <c r="L190" i="21"/>
  <c r="M190" i="21"/>
  <c r="N190" i="21"/>
  <c r="O190" i="21"/>
  <c r="Q190" i="21"/>
  <c r="L191" i="21"/>
  <c r="M191" i="21"/>
  <c r="N191" i="21"/>
  <c r="O191" i="21"/>
  <c r="Q191" i="21"/>
  <c r="L192" i="21"/>
  <c r="M192" i="21"/>
  <c r="N192" i="21"/>
  <c r="O192" i="21"/>
  <c r="Q192" i="21"/>
  <c r="L193" i="21"/>
  <c r="M193" i="21"/>
  <c r="N193" i="21"/>
  <c r="O193" i="21"/>
  <c r="Q193" i="21"/>
  <c r="L194" i="21"/>
  <c r="M194" i="21"/>
  <c r="N194" i="21"/>
  <c r="O194" i="21"/>
  <c r="Q194" i="21"/>
  <c r="L195" i="21"/>
  <c r="M195" i="21"/>
  <c r="N195" i="21"/>
  <c r="O195" i="21"/>
  <c r="Q195" i="21"/>
  <c r="L196" i="21"/>
  <c r="M196" i="21"/>
  <c r="N196" i="21"/>
  <c r="O196" i="21"/>
  <c r="Q196" i="21"/>
  <c r="L197" i="21"/>
  <c r="M197" i="21"/>
  <c r="N197" i="21"/>
  <c r="O197" i="21"/>
  <c r="Q197" i="21"/>
  <c r="L198" i="21"/>
  <c r="M198" i="21"/>
  <c r="N198" i="21"/>
  <c r="O198" i="21"/>
  <c r="Q198" i="21"/>
  <c r="L199" i="21"/>
  <c r="M199" i="21"/>
  <c r="N199" i="21"/>
  <c r="O199" i="21"/>
  <c r="Q199" i="21"/>
  <c r="L200" i="21"/>
  <c r="M200" i="21"/>
  <c r="N200" i="21"/>
  <c r="O200" i="21"/>
  <c r="Q200" i="21"/>
  <c r="L201" i="21"/>
  <c r="M201" i="21"/>
  <c r="N201" i="21"/>
  <c r="O201" i="21"/>
  <c r="Q201" i="21"/>
  <c r="L202" i="21"/>
  <c r="M202" i="21"/>
  <c r="N202" i="21"/>
  <c r="O202" i="21"/>
  <c r="Q202" i="21"/>
  <c r="L203" i="21"/>
  <c r="M203" i="21"/>
  <c r="N203" i="21"/>
  <c r="O203" i="21"/>
  <c r="Q203" i="21"/>
  <c r="L204" i="21"/>
  <c r="M204" i="21"/>
  <c r="N204" i="21"/>
  <c r="O204" i="21"/>
  <c r="Q204" i="21"/>
  <c r="L205" i="21"/>
  <c r="M205" i="21"/>
  <c r="N205" i="21"/>
  <c r="O205" i="21"/>
  <c r="Q205" i="21"/>
  <c r="L206" i="21"/>
  <c r="M206" i="21"/>
  <c r="N206" i="21"/>
  <c r="O206" i="21"/>
  <c r="Q206" i="21"/>
  <c r="L207" i="21"/>
  <c r="M207" i="21"/>
  <c r="N207" i="21"/>
  <c r="O207" i="21"/>
  <c r="Q207" i="21"/>
  <c r="L208" i="21"/>
  <c r="M208" i="21"/>
  <c r="N208" i="21"/>
  <c r="O208" i="21"/>
  <c r="Q208" i="21"/>
  <c r="L209" i="21"/>
  <c r="M209" i="21"/>
  <c r="N209" i="21"/>
  <c r="O209" i="21"/>
  <c r="Q209" i="21"/>
  <c r="L210" i="21"/>
  <c r="M210" i="21"/>
  <c r="N210" i="21"/>
  <c r="O210" i="21"/>
  <c r="Q210" i="21"/>
  <c r="L211" i="21"/>
  <c r="M211" i="21"/>
  <c r="N211" i="21"/>
  <c r="O211" i="21"/>
  <c r="Q211" i="21"/>
  <c r="L212" i="21"/>
  <c r="M212" i="21"/>
  <c r="N212" i="21"/>
  <c r="O212" i="21"/>
  <c r="Q212" i="21"/>
  <c r="L213" i="21"/>
  <c r="M213" i="21"/>
  <c r="N213" i="21"/>
  <c r="O213" i="21"/>
  <c r="Q213" i="21"/>
  <c r="L214" i="21"/>
  <c r="M214" i="21"/>
  <c r="N214" i="21"/>
  <c r="O214" i="21"/>
  <c r="Q214" i="21"/>
  <c r="L215" i="21"/>
  <c r="M215" i="21"/>
  <c r="N215" i="21"/>
  <c r="O215" i="21"/>
  <c r="Q215" i="21"/>
  <c r="L216" i="21"/>
  <c r="M216" i="21"/>
  <c r="N216" i="21"/>
  <c r="O216" i="21"/>
  <c r="Q216" i="21"/>
  <c r="L217" i="21"/>
  <c r="M217" i="21"/>
  <c r="N217" i="21"/>
  <c r="O217" i="21"/>
  <c r="Q217" i="21"/>
  <c r="L218" i="21"/>
  <c r="M218" i="21"/>
  <c r="N218" i="21"/>
  <c r="O218" i="21"/>
  <c r="Q218" i="21"/>
  <c r="L219" i="21"/>
  <c r="M219" i="21"/>
  <c r="N219" i="21"/>
  <c r="O219" i="21"/>
  <c r="Q219" i="21"/>
  <c r="L220" i="21"/>
  <c r="M220" i="21"/>
  <c r="N220" i="21"/>
  <c r="O220" i="21"/>
  <c r="Q220" i="21"/>
  <c r="L221" i="21"/>
  <c r="M221" i="21"/>
  <c r="N221" i="21"/>
  <c r="O221" i="21"/>
  <c r="Q221" i="21"/>
  <c r="L222" i="21"/>
  <c r="M222" i="21"/>
  <c r="N222" i="21"/>
  <c r="O222" i="21"/>
  <c r="Q222" i="21"/>
  <c r="L223" i="21"/>
  <c r="M223" i="21"/>
  <c r="N223" i="21"/>
  <c r="O223" i="21"/>
  <c r="Q223" i="21"/>
  <c r="L224" i="21"/>
  <c r="M224" i="21"/>
  <c r="N224" i="21"/>
  <c r="O224" i="21"/>
  <c r="Q224" i="21"/>
  <c r="L225" i="21"/>
  <c r="M225" i="21"/>
  <c r="N225" i="21"/>
  <c r="O225" i="21"/>
  <c r="Q225" i="21"/>
  <c r="L226" i="21"/>
  <c r="M226" i="21"/>
  <c r="N226" i="21"/>
  <c r="O226" i="21"/>
  <c r="Q226" i="21"/>
  <c r="L227" i="21"/>
  <c r="M227" i="21"/>
  <c r="N227" i="21"/>
  <c r="O227" i="21"/>
  <c r="Q227" i="21"/>
  <c r="L228" i="21"/>
  <c r="M228" i="21"/>
  <c r="N228" i="21"/>
  <c r="O228" i="21"/>
  <c r="Q228" i="21"/>
  <c r="L229" i="21"/>
  <c r="M229" i="21"/>
  <c r="N229" i="21"/>
  <c r="O229" i="21"/>
  <c r="Q229" i="21"/>
  <c r="L230" i="21"/>
  <c r="M230" i="21"/>
  <c r="N230" i="21"/>
  <c r="O230" i="21"/>
  <c r="Q230" i="21"/>
  <c r="L231" i="21"/>
  <c r="M231" i="21"/>
  <c r="N231" i="21"/>
  <c r="O231" i="21"/>
  <c r="Q231" i="21"/>
  <c r="L232" i="21"/>
  <c r="M232" i="21"/>
  <c r="N232" i="21"/>
  <c r="O232" i="21"/>
  <c r="Q232" i="21"/>
  <c r="L233" i="21"/>
  <c r="M233" i="21"/>
  <c r="N233" i="21"/>
  <c r="O233" i="21"/>
  <c r="Q233" i="21"/>
  <c r="L234" i="21"/>
  <c r="M234" i="21"/>
  <c r="N234" i="21"/>
  <c r="O234" i="21"/>
  <c r="Q234" i="21"/>
  <c r="L235" i="21"/>
  <c r="M235" i="21"/>
  <c r="N235" i="21"/>
  <c r="O235" i="21"/>
  <c r="Q235" i="21"/>
  <c r="L236" i="21"/>
  <c r="M236" i="21"/>
  <c r="N236" i="21"/>
  <c r="O236" i="21"/>
  <c r="Q236" i="21"/>
  <c r="L237" i="21"/>
  <c r="M237" i="21"/>
  <c r="N237" i="21"/>
  <c r="O237" i="21"/>
  <c r="Q237" i="21"/>
  <c r="L238" i="21"/>
  <c r="M238" i="21"/>
  <c r="N238" i="21"/>
  <c r="O238" i="21"/>
  <c r="Q238" i="21"/>
  <c r="L239" i="21"/>
  <c r="M239" i="21"/>
  <c r="N239" i="21"/>
  <c r="O239" i="21"/>
  <c r="Q239" i="21"/>
  <c r="L240" i="21"/>
  <c r="M240" i="21"/>
  <c r="N240" i="21"/>
  <c r="O240" i="21"/>
  <c r="Q240" i="21"/>
  <c r="L241" i="21"/>
  <c r="M241" i="21"/>
  <c r="N241" i="21"/>
  <c r="O241" i="21"/>
  <c r="Q241" i="21"/>
  <c r="L242" i="21"/>
  <c r="M242" i="21"/>
  <c r="N242" i="21"/>
  <c r="O242" i="21"/>
  <c r="Q242" i="21"/>
  <c r="L243" i="21"/>
  <c r="M243" i="21"/>
  <c r="N243" i="21"/>
  <c r="O243" i="21"/>
  <c r="Q243" i="21"/>
  <c r="L244" i="21"/>
  <c r="M244" i="21"/>
  <c r="N244" i="21"/>
  <c r="O244" i="21"/>
  <c r="Q244" i="21"/>
  <c r="L245" i="21"/>
  <c r="M245" i="21"/>
  <c r="N245" i="21"/>
  <c r="O245" i="21"/>
  <c r="Q245" i="21"/>
  <c r="L246" i="21"/>
  <c r="M246" i="21"/>
  <c r="N246" i="21"/>
  <c r="O246" i="21"/>
  <c r="Q246" i="21"/>
  <c r="L247" i="21"/>
  <c r="M247" i="21"/>
  <c r="N247" i="21"/>
  <c r="O247" i="21"/>
  <c r="Q247" i="21"/>
  <c r="L248" i="21"/>
  <c r="M248" i="21"/>
  <c r="N248" i="21"/>
  <c r="O248" i="21"/>
  <c r="Q248" i="21"/>
  <c r="L249" i="21"/>
  <c r="M249" i="21"/>
  <c r="N249" i="21"/>
  <c r="O249" i="21"/>
  <c r="Q249" i="21"/>
  <c r="L250" i="21"/>
  <c r="M250" i="21"/>
  <c r="N250" i="21"/>
  <c r="O250" i="21"/>
  <c r="Q250" i="21"/>
  <c r="L251" i="21"/>
  <c r="M251" i="21"/>
  <c r="N251" i="21"/>
  <c r="O251" i="21"/>
  <c r="Q251" i="21"/>
  <c r="L252" i="21"/>
  <c r="M252" i="21"/>
  <c r="N252" i="21"/>
  <c r="O252" i="21"/>
  <c r="Q252" i="21"/>
  <c r="L253" i="21"/>
  <c r="M253" i="21"/>
  <c r="N253" i="21"/>
  <c r="O253" i="21"/>
  <c r="Q253" i="21"/>
  <c r="L254" i="21"/>
  <c r="M254" i="21"/>
  <c r="N254" i="21"/>
  <c r="O254" i="21"/>
  <c r="Q254" i="21"/>
  <c r="L255" i="21"/>
  <c r="M255" i="21"/>
  <c r="N255" i="21"/>
  <c r="O255" i="21"/>
  <c r="Q255" i="21"/>
  <c r="L256" i="21"/>
  <c r="M256" i="21"/>
  <c r="N256" i="21"/>
  <c r="O256" i="21"/>
  <c r="Q256" i="21"/>
  <c r="L257" i="21"/>
  <c r="M257" i="21"/>
  <c r="N257" i="21"/>
  <c r="O257" i="21"/>
  <c r="Q257" i="21"/>
  <c r="L258" i="21"/>
  <c r="M258" i="21"/>
  <c r="N258" i="21"/>
  <c r="O258" i="21"/>
  <c r="Q258" i="21"/>
  <c r="L259" i="21"/>
  <c r="M259" i="21"/>
  <c r="N259" i="21"/>
  <c r="O259" i="21"/>
  <c r="Q259" i="21"/>
  <c r="L260" i="21"/>
  <c r="M260" i="21"/>
  <c r="N260" i="21"/>
  <c r="O260" i="21"/>
  <c r="Q260" i="21"/>
  <c r="L261" i="21"/>
  <c r="M261" i="21"/>
  <c r="N261" i="21"/>
  <c r="O261" i="21"/>
  <c r="Q261" i="21"/>
  <c r="L262" i="21"/>
  <c r="M262" i="21"/>
  <c r="N262" i="21"/>
  <c r="O262" i="21"/>
  <c r="Q262" i="21"/>
  <c r="L263" i="21"/>
  <c r="M263" i="21"/>
  <c r="N263" i="21"/>
  <c r="O263" i="21"/>
  <c r="Q263" i="21"/>
  <c r="L264" i="21"/>
  <c r="M264" i="21"/>
  <c r="N264" i="21"/>
  <c r="O264" i="21"/>
  <c r="Q264" i="21"/>
  <c r="L265" i="21"/>
  <c r="M265" i="21"/>
  <c r="N265" i="21"/>
  <c r="O265" i="21"/>
  <c r="Q265" i="21"/>
  <c r="L266" i="21"/>
  <c r="M266" i="21"/>
  <c r="N266" i="21"/>
  <c r="O266" i="21"/>
  <c r="Q266" i="21"/>
  <c r="L267" i="21"/>
  <c r="M267" i="21"/>
  <c r="N267" i="21"/>
  <c r="O267" i="21"/>
  <c r="Q267" i="21"/>
  <c r="L268" i="21"/>
  <c r="M268" i="21"/>
  <c r="N268" i="21"/>
  <c r="O268" i="21"/>
  <c r="Q268" i="21"/>
  <c r="L269" i="21"/>
  <c r="M269" i="21"/>
  <c r="N269" i="21"/>
  <c r="O269" i="21"/>
  <c r="Q269" i="21"/>
  <c r="L270" i="21"/>
  <c r="M270" i="21"/>
  <c r="N270" i="21"/>
  <c r="O270" i="21"/>
  <c r="Q270" i="21"/>
  <c r="L271" i="21"/>
  <c r="M271" i="21"/>
  <c r="N271" i="21"/>
  <c r="O271" i="21"/>
  <c r="Q271" i="21"/>
  <c r="L272" i="21"/>
  <c r="M272" i="21"/>
  <c r="N272" i="21"/>
  <c r="O272" i="21"/>
  <c r="Q272" i="21"/>
  <c r="L273" i="21"/>
  <c r="M273" i="21"/>
  <c r="N273" i="21"/>
  <c r="O273" i="21"/>
  <c r="Q273" i="21"/>
  <c r="L274" i="21"/>
  <c r="M274" i="21"/>
  <c r="N274" i="21"/>
  <c r="O274" i="21"/>
  <c r="Q274" i="21"/>
  <c r="L275" i="21"/>
  <c r="M275" i="21"/>
  <c r="N275" i="21"/>
  <c r="O275" i="21"/>
  <c r="Q275" i="21"/>
  <c r="L276" i="21"/>
  <c r="M276" i="21"/>
  <c r="N276" i="21"/>
  <c r="O276" i="21"/>
  <c r="Q276" i="21"/>
  <c r="L277" i="21"/>
  <c r="M277" i="21"/>
  <c r="N277" i="21"/>
  <c r="O277" i="21"/>
  <c r="Q277" i="21"/>
  <c r="L278" i="21"/>
  <c r="M278" i="21"/>
  <c r="N278" i="21"/>
  <c r="O278" i="21"/>
  <c r="Q278" i="21"/>
  <c r="L279" i="21"/>
  <c r="M279" i="21"/>
  <c r="N279" i="21"/>
  <c r="O279" i="21"/>
  <c r="Q279" i="21"/>
  <c r="L280" i="21"/>
  <c r="M280" i="21"/>
  <c r="N280" i="21"/>
  <c r="O280" i="21"/>
  <c r="Q280" i="21"/>
  <c r="L281" i="21"/>
  <c r="M281" i="21"/>
  <c r="N281" i="21"/>
  <c r="O281" i="21"/>
  <c r="Q281" i="21"/>
  <c r="L282" i="21"/>
  <c r="M282" i="21"/>
  <c r="N282" i="21"/>
  <c r="O282" i="21"/>
  <c r="Q282" i="21"/>
  <c r="L283" i="21"/>
  <c r="M283" i="21"/>
  <c r="N283" i="21"/>
  <c r="O283" i="21"/>
  <c r="Q283" i="21"/>
  <c r="L284" i="21"/>
  <c r="M284" i="21"/>
  <c r="N284" i="21"/>
  <c r="O284" i="21"/>
  <c r="Q284" i="21"/>
  <c r="L285" i="21"/>
  <c r="M285" i="21"/>
  <c r="N285" i="21"/>
  <c r="O285" i="21"/>
  <c r="Q285" i="21"/>
  <c r="L286" i="21"/>
  <c r="M286" i="21"/>
  <c r="N286" i="21"/>
  <c r="O286" i="21"/>
  <c r="Q286" i="21"/>
  <c r="L287" i="21"/>
  <c r="M287" i="21"/>
  <c r="N287" i="21"/>
  <c r="O287" i="21"/>
  <c r="Q287" i="21"/>
  <c r="L288" i="21"/>
  <c r="M288" i="21"/>
  <c r="N288" i="21"/>
  <c r="O288" i="21"/>
  <c r="Q288" i="21"/>
  <c r="L289" i="21"/>
  <c r="M289" i="21"/>
  <c r="N289" i="21"/>
  <c r="O289" i="21"/>
  <c r="Q289" i="21"/>
  <c r="L290" i="21"/>
  <c r="M290" i="21"/>
  <c r="N290" i="21"/>
  <c r="O290" i="21"/>
  <c r="Q290" i="21"/>
  <c r="L291" i="21"/>
  <c r="M291" i="21"/>
  <c r="N291" i="21"/>
  <c r="O291" i="21"/>
  <c r="Q291" i="21"/>
  <c r="L292" i="21"/>
  <c r="M292" i="21"/>
  <c r="N292" i="21"/>
  <c r="O292" i="21"/>
  <c r="Q292" i="21"/>
  <c r="L293" i="21"/>
  <c r="M293" i="21"/>
  <c r="N293" i="21"/>
  <c r="O293" i="21"/>
  <c r="Q293" i="21"/>
  <c r="L294" i="21"/>
  <c r="M294" i="21"/>
  <c r="N294" i="21"/>
  <c r="O294" i="21"/>
  <c r="Q294" i="21"/>
  <c r="L295" i="21"/>
  <c r="M295" i="21"/>
  <c r="N295" i="21"/>
  <c r="O295" i="21"/>
  <c r="Q295" i="21"/>
  <c r="L296" i="21"/>
  <c r="M296" i="21"/>
  <c r="N296" i="21"/>
  <c r="O296" i="21"/>
  <c r="Q296" i="21"/>
  <c r="L297" i="21"/>
  <c r="M297" i="21"/>
  <c r="N297" i="21"/>
  <c r="O297" i="21"/>
  <c r="Q297" i="21"/>
  <c r="L298" i="21"/>
  <c r="M298" i="21"/>
  <c r="N298" i="21"/>
  <c r="O298" i="21"/>
  <c r="Q298" i="21"/>
  <c r="L299" i="21"/>
  <c r="M299" i="21"/>
  <c r="N299" i="21"/>
  <c r="O299" i="21"/>
  <c r="Q299" i="21"/>
  <c r="L300" i="21"/>
  <c r="M300" i="21"/>
  <c r="N300" i="21"/>
  <c r="O300" i="21"/>
  <c r="Q300" i="21"/>
  <c r="L301" i="21"/>
  <c r="M301" i="21"/>
  <c r="N301" i="21"/>
  <c r="O301" i="21"/>
  <c r="Q301" i="21"/>
  <c r="L302" i="21"/>
  <c r="M302" i="21"/>
  <c r="N302" i="21"/>
  <c r="O302" i="21"/>
  <c r="Q302" i="21"/>
  <c r="L303" i="21"/>
  <c r="M303" i="21"/>
  <c r="N303" i="21"/>
  <c r="O303" i="21"/>
  <c r="Q303" i="21"/>
  <c r="L304" i="21"/>
  <c r="M304" i="21"/>
  <c r="N304" i="21"/>
  <c r="O304" i="21"/>
  <c r="Q304" i="21"/>
  <c r="L305" i="21"/>
  <c r="M305" i="21"/>
  <c r="N305" i="21"/>
  <c r="O305" i="21"/>
  <c r="Q305" i="21"/>
  <c r="L306" i="21"/>
  <c r="M306" i="21"/>
  <c r="N306" i="21"/>
  <c r="O306" i="21"/>
  <c r="Q306" i="21"/>
  <c r="L307" i="21"/>
  <c r="M307" i="21"/>
  <c r="N307" i="21"/>
  <c r="O307" i="21"/>
  <c r="Q307" i="21"/>
  <c r="L308" i="21"/>
  <c r="M308" i="21"/>
  <c r="N308" i="21"/>
  <c r="O308" i="21"/>
  <c r="Q308" i="21"/>
  <c r="L309" i="21"/>
  <c r="M309" i="21"/>
  <c r="N309" i="21"/>
  <c r="O309" i="21"/>
  <c r="Q309" i="21"/>
  <c r="L310" i="21"/>
  <c r="M310" i="21"/>
  <c r="N310" i="21"/>
  <c r="O310" i="21"/>
  <c r="Q310" i="21"/>
  <c r="L311" i="21"/>
  <c r="M311" i="21"/>
  <c r="N311" i="21"/>
  <c r="O311" i="21"/>
  <c r="Q311" i="21"/>
  <c r="L312" i="21"/>
  <c r="M312" i="21"/>
  <c r="N312" i="21"/>
  <c r="O312" i="21"/>
  <c r="Q312" i="21"/>
  <c r="L313" i="21"/>
  <c r="M313" i="21"/>
  <c r="N313" i="21"/>
  <c r="O313" i="21"/>
  <c r="Q313" i="21"/>
  <c r="L314" i="21"/>
  <c r="M314" i="21"/>
  <c r="N314" i="21"/>
  <c r="O314" i="21"/>
  <c r="Q314" i="21"/>
  <c r="L315" i="21"/>
  <c r="M315" i="21"/>
  <c r="N315" i="21"/>
  <c r="O315" i="21"/>
  <c r="Q315" i="21"/>
  <c r="L316" i="21"/>
  <c r="M316" i="21"/>
  <c r="N316" i="21"/>
  <c r="O316" i="21"/>
  <c r="Q316" i="21"/>
  <c r="L317" i="21"/>
  <c r="M317" i="21"/>
  <c r="N317" i="21"/>
  <c r="O317" i="21"/>
  <c r="Q317" i="21"/>
  <c r="L318" i="21"/>
  <c r="M318" i="21"/>
  <c r="N318" i="21"/>
  <c r="O318" i="21"/>
  <c r="Q318" i="21"/>
  <c r="L319" i="21"/>
  <c r="M319" i="21"/>
  <c r="N319" i="21"/>
  <c r="O319" i="21"/>
  <c r="Q319" i="21"/>
  <c r="L320" i="21"/>
  <c r="M320" i="21"/>
  <c r="N320" i="21"/>
  <c r="O320" i="21"/>
  <c r="Q320" i="21"/>
  <c r="L321" i="21"/>
  <c r="M321" i="21"/>
  <c r="N321" i="21"/>
  <c r="O321" i="21"/>
  <c r="Q321" i="21"/>
  <c r="L322" i="21"/>
  <c r="M322" i="21"/>
  <c r="N322" i="21"/>
  <c r="O322" i="21"/>
  <c r="Q322" i="21"/>
  <c r="L323" i="21"/>
  <c r="M323" i="21"/>
  <c r="N323" i="21"/>
  <c r="O323" i="21"/>
  <c r="Q323" i="21"/>
  <c r="L324" i="21"/>
  <c r="M324" i="21"/>
  <c r="N324" i="21"/>
  <c r="O324" i="21"/>
  <c r="Q324" i="21"/>
  <c r="L325" i="21"/>
  <c r="M325" i="21"/>
  <c r="N325" i="21"/>
  <c r="O325" i="21"/>
  <c r="Q325" i="21"/>
  <c r="L326" i="21"/>
  <c r="M326" i="21"/>
  <c r="N326" i="21"/>
  <c r="O326" i="21"/>
  <c r="Q326" i="21"/>
  <c r="L327" i="21"/>
  <c r="M327" i="21"/>
  <c r="N327" i="21"/>
  <c r="O327" i="21"/>
  <c r="Q327" i="21"/>
  <c r="L328" i="21"/>
  <c r="M328" i="21"/>
  <c r="N328" i="21"/>
  <c r="O328" i="21"/>
  <c r="Q328" i="21"/>
  <c r="L329" i="21"/>
  <c r="M329" i="21"/>
  <c r="N329" i="21"/>
  <c r="O329" i="21"/>
  <c r="Q329" i="21"/>
  <c r="L330" i="21"/>
  <c r="M330" i="21"/>
  <c r="N330" i="21"/>
  <c r="O330" i="21"/>
  <c r="Q330" i="21"/>
  <c r="L331" i="21"/>
  <c r="M331" i="21"/>
  <c r="N331" i="21"/>
  <c r="O331" i="21"/>
  <c r="Q331" i="21"/>
  <c r="L332" i="21"/>
  <c r="M332" i="21"/>
  <c r="N332" i="21"/>
  <c r="O332" i="21"/>
  <c r="Q332" i="21"/>
  <c r="L333" i="21"/>
  <c r="M333" i="21"/>
  <c r="N333" i="21"/>
  <c r="O333" i="21"/>
  <c r="Q333" i="21"/>
  <c r="L334" i="21"/>
  <c r="M334" i="21"/>
  <c r="N334" i="21"/>
  <c r="O334" i="21"/>
  <c r="Q334" i="21"/>
  <c r="L335" i="21"/>
  <c r="M335" i="21"/>
  <c r="N335" i="21"/>
  <c r="O335" i="21"/>
  <c r="Q335" i="21"/>
  <c r="L336" i="21"/>
  <c r="M336" i="21"/>
  <c r="N336" i="21"/>
  <c r="O336" i="21"/>
  <c r="Q336" i="21"/>
  <c r="L337" i="21"/>
  <c r="M337" i="21"/>
  <c r="N337" i="21"/>
  <c r="O337" i="21"/>
  <c r="Q337" i="21"/>
  <c r="L338" i="21"/>
  <c r="M338" i="21"/>
  <c r="N338" i="21"/>
  <c r="O338" i="21"/>
  <c r="Q338" i="21"/>
  <c r="L339" i="21"/>
  <c r="M339" i="21"/>
  <c r="N339" i="21"/>
  <c r="O339" i="21"/>
  <c r="Q339" i="21"/>
  <c r="L340" i="21"/>
  <c r="M340" i="21"/>
  <c r="N340" i="21"/>
  <c r="O340" i="21"/>
  <c r="Q340" i="21"/>
  <c r="L341" i="21"/>
  <c r="M341" i="21"/>
  <c r="N341" i="21"/>
  <c r="O341" i="21"/>
  <c r="Q341" i="21"/>
  <c r="L342" i="21"/>
  <c r="M342" i="21"/>
  <c r="N342" i="21"/>
  <c r="O342" i="21"/>
  <c r="Q342" i="21"/>
  <c r="L343" i="21"/>
  <c r="M343" i="21"/>
  <c r="N343" i="21"/>
  <c r="O343" i="21"/>
  <c r="Q343" i="21"/>
  <c r="L344" i="21"/>
  <c r="M344" i="21"/>
  <c r="N344" i="21"/>
  <c r="O344" i="21"/>
  <c r="Q344" i="21"/>
  <c r="L345" i="21"/>
  <c r="M345" i="21"/>
  <c r="N345" i="21"/>
  <c r="O345" i="21"/>
  <c r="Q345" i="21"/>
  <c r="L346" i="21"/>
  <c r="M346" i="21"/>
  <c r="N346" i="21"/>
  <c r="O346" i="21"/>
  <c r="Q346" i="21"/>
  <c r="L347" i="21"/>
  <c r="M347" i="21"/>
  <c r="N347" i="21"/>
  <c r="O347" i="21"/>
  <c r="Q347" i="21"/>
  <c r="L348" i="21"/>
  <c r="M348" i="21"/>
  <c r="N348" i="21"/>
  <c r="O348" i="21"/>
  <c r="Q348" i="21"/>
  <c r="L349" i="21"/>
  <c r="M349" i="21"/>
  <c r="N349" i="21"/>
  <c r="O349" i="21"/>
  <c r="Q349" i="21"/>
  <c r="L350" i="21"/>
  <c r="M350" i="21"/>
  <c r="N350" i="21"/>
  <c r="O350" i="21"/>
  <c r="Q350" i="21"/>
  <c r="L351" i="21"/>
  <c r="M351" i="21"/>
  <c r="N351" i="21"/>
  <c r="O351" i="21"/>
  <c r="Q351" i="21"/>
  <c r="L352" i="21"/>
  <c r="M352" i="21"/>
  <c r="N352" i="21"/>
  <c r="O352" i="21"/>
  <c r="Q352" i="21"/>
  <c r="L353" i="21"/>
  <c r="M353" i="21"/>
  <c r="N353" i="21"/>
  <c r="O353" i="21"/>
  <c r="Q353" i="21"/>
  <c r="L354" i="21"/>
  <c r="M354" i="21"/>
  <c r="N354" i="21"/>
  <c r="O354" i="21"/>
  <c r="Q354" i="21"/>
  <c r="L355" i="21"/>
  <c r="M355" i="21"/>
  <c r="N355" i="21"/>
  <c r="O355" i="21"/>
  <c r="Q355" i="21"/>
  <c r="L356" i="21"/>
  <c r="M356" i="21"/>
  <c r="N356" i="21"/>
  <c r="O356" i="21"/>
  <c r="Q356" i="21"/>
  <c r="L357" i="21"/>
  <c r="M357" i="21"/>
  <c r="N357" i="21"/>
  <c r="O357" i="21"/>
  <c r="Q357" i="21"/>
  <c r="L358" i="21"/>
  <c r="M358" i="21"/>
  <c r="N358" i="21"/>
  <c r="O358" i="21"/>
  <c r="Q358" i="21"/>
  <c r="L359" i="21"/>
  <c r="M359" i="21"/>
  <c r="N359" i="21"/>
  <c r="O359" i="21"/>
  <c r="Q359" i="21"/>
  <c r="L360" i="21"/>
  <c r="M360" i="21"/>
  <c r="N360" i="21"/>
  <c r="O360" i="21"/>
  <c r="Q360" i="21"/>
  <c r="L361" i="21"/>
  <c r="M361" i="21"/>
  <c r="N361" i="21"/>
  <c r="O361" i="21"/>
  <c r="Q361" i="21"/>
  <c r="L362" i="21"/>
  <c r="M362" i="21"/>
  <c r="N362" i="21"/>
  <c r="O362" i="21"/>
  <c r="Q362" i="21"/>
  <c r="L363" i="21"/>
  <c r="M363" i="21"/>
  <c r="N363" i="21"/>
  <c r="O363" i="21"/>
  <c r="Q363" i="21"/>
  <c r="L364" i="21"/>
  <c r="M364" i="21"/>
  <c r="N364" i="21"/>
  <c r="O364" i="21"/>
  <c r="Q364" i="21"/>
  <c r="L365" i="21"/>
  <c r="M365" i="21"/>
  <c r="N365" i="21"/>
  <c r="O365" i="21"/>
  <c r="Q365" i="21"/>
  <c r="L366" i="21"/>
  <c r="M366" i="21"/>
  <c r="N366" i="21"/>
  <c r="O366" i="21"/>
  <c r="Q366" i="21"/>
  <c r="L367" i="21"/>
  <c r="M367" i="21"/>
  <c r="N367" i="21"/>
  <c r="O367" i="21"/>
  <c r="Q367" i="21"/>
  <c r="L368" i="21"/>
  <c r="M368" i="21"/>
  <c r="N368" i="21"/>
  <c r="O368" i="21"/>
  <c r="Q368" i="21"/>
  <c r="L369" i="21"/>
  <c r="M369" i="21"/>
  <c r="N369" i="21"/>
  <c r="O369" i="21"/>
  <c r="Q369" i="21"/>
  <c r="L370" i="21"/>
  <c r="M370" i="21"/>
  <c r="N370" i="21"/>
  <c r="O370" i="21"/>
  <c r="Q370" i="21"/>
  <c r="L371" i="21"/>
  <c r="M371" i="21"/>
  <c r="N371" i="21"/>
  <c r="O371" i="21"/>
  <c r="Q371" i="21"/>
  <c r="L372" i="21"/>
  <c r="M372" i="21"/>
  <c r="N372" i="21"/>
  <c r="O372" i="21"/>
  <c r="Q372" i="21"/>
  <c r="L373" i="21"/>
  <c r="M373" i="21"/>
  <c r="N373" i="21"/>
  <c r="O373" i="21"/>
  <c r="Q373" i="21"/>
  <c r="L374" i="21"/>
  <c r="M374" i="21"/>
  <c r="N374" i="21"/>
  <c r="O374" i="21"/>
  <c r="Q374" i="21"/>
  <c r="L375" i="21"/>
  <c r="M375" i="21"/>
  <c r="N375" i="21"/>
  <c r="O375" i="21"/>
  <c r="Q375" i="21"/>
  <c r="L376" i="21"/>
  <c r="M376" i="21"/>
  <c r="N376" i="21"/>
  <c r="O376" i="21"/>
  <c r="Q376" i="21"/>
  <c r="L377" i="21"/>
  <c r="M377" i="21"/>
  <c r="N377" i="21"/>
  <c r="O377" i="21"/>
  <c r="Q377" i="21"/>
  <c r="L378" i="21"/>
  <c r="M378" i="21"/>
  <c r="N378" i="21"/>
  <c r="O378" i="21"/>
  <c r="Q378" i="21"/>
  <c r="L379" i="21"/>
  <c r="M379" i="21"/>
  <c r="N379" i="21"/>
  <c r="O379" i="21"/>
  <c r="Q379" i="21"/>
  <c r="L380" i="21"/>
  <c r="M380" i="21"/>
  <c r="N380" i="21"/>
  <c r="O380" i="21"/>
  <c r="Q380" i="21"/>
  <c r="L381" i="21"/>
  <c r="M381" i="21"/>
  <c r="N381" i="21"/>
  <c r="O381" i="21"/>
  <c r="Q381" i="21"/>
  <c r="L382" i="21"/>
  <c r="M382" i="21"/>
  <c r="N382" i="21"/>
  <c r="O382" i="21"/>
  <c r="Q382" i="21"/>
  <c r="L383" i="21"/>
  <c r="M383" i="21"/>
  <c r="N383" i="21"/>
  <c r="O383" i="21"/>
  <c r="Q383" i="21"/>
  <c r="L384" i="21"/>
  <c r="M384" i="21"/>
  <c r="N384" i="21"/>
  <c r="O384" i="21"/>
  <c r="Q384" i="21"/>
  <c r="L385" i="21"/>
  <c r="M385" i="21"/>
  <c r="N385" i="21"/>
  <c r="O385" i="21"/>
  <c r="Q385" i="21"/>
  <c r="L386" i="21"/>
  <c r="M386" i="21"/>
  <c r="N386" i="21"/>
  <c r="O386" i="21"/>
  <c r="Q386" i="21"/>
  <c r="L387" i="21"/>
  <c r="M387" i="21"/>
  <c r="N387" i="21"/>
  <c r="O387" i="21"/>
  <c r="Q387" i="21"/>
  <c r="L388" i="21"/>
  <c r="M388" i="21"/>
  <c r="N388" i="21"/>
  <c r="O388" i="21"/>
  <c r="Q388" i="21"/>
  <c r="L389" i="21"/>
  <c r="M389" i="21"/>
  <c r="N389" i="21"/>
  <c r="O389" i="21"/>
  <c r="Q389" i="21"/>
  <c r="L390" i="21"/>
  <c r="M390" i="21"/>
  <c r="N390" i="21"/>
  <c r="O390" i="21"/>
  <c r="Q390" i="21"/>
  <c r="L391" i="21"/>
  <c r="M391" i="21"/>
  <c r="N391" i="21"/>
  <c r="O391" i="21"/>
  <c r="Q391" i="21"/>
  <c r="L392" i="21"/>
  <c r="M392" i="21"/>
  <c r="N392" i="21"/>
  <c r="O392" i="21"/>
  <c r="Q392" i="21"/>
  <c r="L393" i="21"/>
  <c r="M393" i="21"/>
  <c r="N393" i="21"/>
  <c r="O393" i="21"/>
  <c r="Q393" i="21"/>
  <c r="L394" i="21"/>
  <c r="M394" i="21"/>
  <c r="N394" i="21"/>
  <c r="O394" i="21"/>
  <c r="Q394" i="21"/>
  <c r="L395" i="21"/>
  <c r="M395" i="21"/>
  <c r="N395" i="21"/>
  <c r="O395" i="21"/>
  <c r="Q395" i="21"/>
  <c r="L396" i="21"/>
  <c r="M396" i="21"/>
  <c r="N396" i="21"/>
  <c r="O396" i="21"/>
  <c r="Q396" i="21"/>
  <c r="L397" i="21"/>
  <c r="M397" i="21"/>
  <c r="N397" i="21"/>
  <c r="O397" i="21"/>
  <c r="Q397" i="21"/>
  <c r="L398" i="21"/>
  <c r="M398" i="21"/>
  <c r="N398" i="21"/>
  <c r="O398" i="21"/>
  <c r="Q398" i="21"/>
  <c r="L399" i="21"/>
  <c r="M399" i="21"/>
  <c r="N399" i="21"/>
  <c r="O399" i="21"/>
  <c r="Q399" i="21"/>
  <c r="L400" i="21"/>
  <c r="M400" i="21"/>
  <c r="N400" i="21"/>
  <c r="O400" i="21"/>
  <c r="Q400" i="21"/>
  <c r="L401" i="21"/>
  <c r="M401" i="21"/>
  <c r="N401" i="21"/>
  <c r="O401" i="21"/>
  <c r="Q401" i="21"/>
  <c r="L402" i="21"/>
  <c r="M402" i="21"/>
  <c r="N402" i="21"/>
  <c r="O402" i="21"/>
  <c r="Q402" i="21"/>
  <c r="L403" i="21"/>
  <c r="M403" i="21"/>
  <c r="N403" i="21"/>
  <c r="O403" i="21"/>
  <c r="Q403" i="21"/>
  <c r="L404" i="21"/>
  <c r="M404" i="21"/>
  <c r="N404" i="21"/>
  <c r="O404" i="21"/>
  <c r="Q404" i="21"/>
  <c r="L405" i="21"/>
  <c r="M405" i="21"/>
  <c r="N405" i="21"/>
  <c r="O405" i="21"/>
  <c r="Q405" i="21"/>
  <c r="L406" i="21"/>
  <c r="M406" i="21"/>
  <c r="N406" i="21"/>
  <c r="O406" i="21"/>
  <c r="Q406" i="21"/>
  <c r="L407" i="21"/>
  <c r="M407" i="21"/>
  <c r="N407" i="21"/>
  <c r="O407" i="21"/>
  <c r="Q407" i="21"/>
  <c r="L408" i="21"/>
  <c r="M408" i="21"/>
  <c r="N408" i="21"/>
  <c r="O408" i="21"/>
  <c r="Q408" i="21"/>
  <c r="L409" i="21"/>
  <c r="M409" i="21"/>
  <c r="N409" i="21"/>
  <c r="O409" i="21"/>
  <c r="Q409" i="21"/>
  <c r="L410" i="21"/>
  <c r="M410" i="21"/>
  <c r="N410" i="21"/>
  <c r="O410" i="21"/>
  <c r="Q410" i="21"/>
  <c r="L411" i="21"/>
  <c r="M411" i="21"/>
  <c r="N411" i="21"/>
  <c r="O411" i="21"/>
  <c r="Q411" i="21"/>
  <c r="L412" i="21"/>
  <c r="M412" i="21"/>
  <c r="N412" i="21"/>
  <c r="O412" i="21"/>
  <c r="Q412" i="21"/>
  <c r="L413" i="21"/>
  <c r="M413" i="21"/>
  <c r="N413" i="21"/>
  <c r="O413" i="21"/>
  <c r="Q413" i="21"/>
  <c r="L414" i="21"/>
  <c r="M414" i="21"/>
  <c r="N414" i="21"/>
  <c r="O414" i="21"/>
  <c r="Q414" i="21"/>
  <c r="L415" i="21"/>
  <c r="M415" i="21"/>
  <c r="N415" i="21"/>
  <c r="O415" i="21"/>
  <c r="Q415" i="21"/>
  <c r="L416" i="21"/>
  <c r="M416" i="21"/>
  <c r="N416" i="21"/>
  <c r="O416" i="21"/>
  <c r="Q416" i="21"/>
  <c r="L417" i="21"/>
  <c r="M417" i="21"/>
  <c r="N417" i="21"/>
  <c r="O417" i="21"/>
  <c r="Q417" i="21"/>
  <c r="L418" i="21"/>
  <c r="M418" i="21"/>
  <c r="N418" i="21"/>
  <c r="O418" i="21"/>
  <c r="Q418" i="21"/>
  <c r="L419" i="21"/>
  <c r="M419" i="21"/>
  <c r="N419" i="21"/>
  <c r="O419" i="21"/>
  <c r="Q419" i="21"/>
  <c r="L420" i="21"/>
  <c r="M420" i="21"/>
  <c r="N420" i="21"/>
  <c r="O420" i="21"/>
  <c r="Q420" i="21"/>
  <c r="L421" i="21"/>
  <c r="M421" i="21"/>
  <c r="N421" i="21"/>
  <c r="O421" i="21"/>
  <c r="Q421" i="21"/>
  <c r="L422" i="21"/>
  <c r="M422" i="21"/>
  <c r="N422" i="21"/>
  <c r="O422" i="21"/>
  <c r="Q422" i="21"/>
  <c r="L423" i="21"/>
  <c r="M423" i="21"/>
  <c r="N423" i="21"/>
  <c r="O423" i="21"/>
  <c r="Q423" i="21"/>
  <c r="L424" i="21"/>
  <c r="M424" i="21"/>
  <c r="N424" i="21"/>
  <c r="O424" i="21"/>
  <c r="Q424" i="21"/>
  <c r="L425" i="21"/>
  <c r="M425" i="21"/>
  <c r="N425" i="21"/>
  <c r="O425" i="21"/>
  <c r="Q425" i="21"/>
  <c r="L426" i="21"/>
  <c r="M426" i="21"/>
  <c r="N426" i="21"/>
  <c r="O426" i="21"/>
  <c r="Q426" i="21"/>
  <c r="L427" i="21"/>
  <c r="M427" i="21"/>
  <c r="N427" i="21"/>
  <c r="O427" i="21"/>
  <c r="Q427" i="21"/>
  <c r="L428" i="21"/>
  <c r="M428" i="21"/>
  <c r="N428" i="21"/>
  <c r="O428" i="21"/>
  <c r="Q428" i="21"/>
  <c r="L429" i="21"/>
  <c r="M429" i="21"/>
  <c r="N429" i="21"/>
  <c r="O429" i="21"/>
  <c r="Q429" i="21"/>
  <c r="L430" i="21"/>
  <c r="M430" i="21"/>
  <c r="N430" i="21"/>
  <c r="O430" i="21"/>
  <c r="Q430" i="21"/>
  <c r="L431" i="21"/>
  <c r="M431" i="21"/>
  <c r="N431" i="21"/>
  <c r="O431" i="21"/>
  <c r="Q431" i="21"/>
  <c r="L432" i="21"/>
  <c r="M432" i="21"/>
  <c r="N432" i="21"/>
  <c r="O432" i="21"/>
  <c r="Q432" i="21"/>
  <c r="L433" i="21"/>
  <c r="M433" i="21"/>
  <c r="N433" i="21"/>
  <c r="O433" i="21"/>
  <c r="Q433" i="21"/>
  <c r="L434" i="21"/>
  <c r="M434" i="21"/>
  <c r="N434" i="21"/>
  <c r="O434" i="21"/>
  <c r="Q434" i="21"/>
  <c r="L435" i="21"/>
  <c r="M435" i="21"/>
  <c r="N435" i="21"/>
  <c r="O435" i="21"/>
  <c r="Q435" i="21"/>
  <c r="L436" i="21"/>
  <c r="M436" i="21"/>
  <c r="N436" i="21"/>
  <c r="O436" i="21"/>
  <c r="Q436" i="21"/>
  <c r="L437" i="21"/>
  <c r="M437" i="21"/>
  <c r="N437" i="21"/>
  <c r="O437" i="21"/>
  <c r="Q437" i="21"/>
  <c r="L438" i="21"/>
  <c r="M438" i="21"/>
  <c r="N438" i="21"/>
  <c r="O438" i="21"/>
  <c r="Q438" i="21"/>
  <c r="L439" i="21"/>
  <c r="M439" i="21"/>
  <c r="N439" i="21"/>
  <c r="O439" i="21"/>
  <c r="Q439" i="21"/>
  <c r="L440" i="21"/>
  <c r="M440" i="21"/>
  <c r="N440" i="21"/>
  <c r="O440" i="21"/>
  <c r="Q440" i="21"/>
  <c r="L441" i="21"/>
  <c r="M441" i="21"/>
  <c r="N441" i="21"/>
  <c r="O441" i="21"/>
  <c r="Q441" i="21"/>
  <c r="L442" i="21"/>
  <c r="M442" i="21"/>
  <c r="N442" i="21"/>
  <c r="O442" i="21"/>
  <c r="Q442" i="21"/>
  <c r="L443" i="21"/>
  <c r="M443" i="21"/>
  <c r="N443" i="21"/>
  <c r="O443" i="21"/>
  <c r="Q443" i="21"/>
  <c r="L444" i="21"/>
  <c r="M444" i="21"/>
  <c r="N444" i="21"/>
  <c r="O444" i="21"/>
  <c r="Q444" i="21"/>
  <c r="L445" i="21"/>
  <c r="M445" i="21"/>
  <c r="N445" i="21"/>
  <c r="O445" i="21"/>
  <c r="Q445" i="21"/>
  <c r="L446" i="21"/>
  <c r="M446" i="21"/>
  <c r="N446" i="21"/>
  <c r="O446" i="21"/>
  <c r="Q446" i="21"/>
  <c r="L447" i="21"/>
  <c r="M447" i="21"/>
  <c r="N447" i="21"/>
  <c r="O447" i="21"/>
  <c r="Q447" i="21"/>
  <c r="L448" i="21"/>
  <c r="M448" i="21"/>
  <c r="N448" i="21"/>
  <c r="O448" i="21"/>
  <c r="Q448" i="21"/>
  <c r="L449" i="21"/>
  <c r="M449" i="21"/>
  <c r="N449" i="21"/>
  <c r="O449" i="21"/>
  <c r="Q449" i="21"/>
  <c r="L450" i="21"/>
  <c r="M450" i="21"/>
  <c r="N450" i="21"/>
  <c r="O450" i="21"/>
  <c r="Q450" i="21"/>
  <c r="L451" i="21"/>
  <c r="M451" i="21"/>
  <c r="N451" i="21"/>
  <c r="O451" i="21"/>
  <c r="Q451" i="21"/>
  <c r="L452" i="21"/>
  <c r="M452" i="21"/>
  <c r="N452" i="21"/>
  <c r="O452" i="21"/>
  <c r="Q452" i="21"/>
  <c r="L453" i="21"/>
  <c r="M453" i="21"/>
  <c r="N453" i="21"/>
  <c r="O453" i="21"/>
  <c r="Q453" i="21"/>
  <c r="L454" i="21"/>
  <c r="M454" i="21"/>
  <c r="N454" i="21"/>
  <c r="O454" i="21"/>
  <c r="Q454" i="21"/>
  <c r="L455" i="21"/>
  <c r="M455" i="21"/>
  <c r="N455" i="21"/>
  <c r="O455" i="21"/>
  <c r="Q455" i="21"/>
  <c r="L456" i="21"/>
  <c r="M456" i="21"/>
  <c r="N456" i="21"/>
  <c r="O456" i="21"/>
  <c r="Q456" i="21"/>
  <c r="L457" i="21"/>
  <c r="M457" i="21"/>
  <c r="N457" i="21"/>
  <c r="O457" i="21"/>
  <c r="Q457" i="21"/>
  <c r="L458" i="21"/>
  <c r="M458" i="21"/>
  <c r="N458" i="21"/>
  <c r="O458" i="21"/>
  <c r="Q458" i="21"/>
  <c r="L459" i="21"/>
  <c r="M459" i="21"/>
  <c r="N459" i="21"/>
  <c r="O459" i="21"/>
  <c r="Q459" i="21"/>
  <c r="L460" i="21"/>
  <c r="M460" i="21"/>
  <c r="N460" i="21"/>
  <c r="O460" i="21"/>
  <c r="Q460" i="21"/>
  <c r="L461" i="21"/>
  <c r="M461" i="21"/>
  <c r="N461" i="21"/>
  <c r="O461" i="21"/>
  <c r="Q461" i="21"/>
  <c r="L462" i="21"/>
  <c r="M462" i="21"/>
  <c r="N462" i="21"/>
  <c r="O462" i="21"/>
  <c r="Q462" i="21"/>
  <c r="L463" i="21"/>
  <c r="M463" i="21"/>
  <c r="N463" i="21"/>
  <c r="O463" i="21"/>
  <c r="Q463" i="21"/>
  <c r="L464" i="21"/>
  <c r="M464" i="21"/>
  <c r="N464" i="21"/>
  <c r="O464" i="21"/>
  <c r="Q464" i="21"/>
  <c r="L465" i="21"/>
  <c r="M465" i="21"/>
  <c r="N465" i="21"/>
  <c r="O465" i="21"/>
  <c r="Q465" i="21"/>
  <c r="L466" i="21"/>
  <c r="M466" i="21"/>
  <c r="N466" i="21"/>
  <c r="O466" i="21"/>
  <c r="Q466" i="21"/>
  <c r="L467" i="21"/>
  <c r="M467" i="21"/>
  <c r="N467" i="21"/>
  <c r="O467" i="21"/>
  <c r="Q467" i="21"/>
  <c r="L468" i="21"/>
  <c r="M468" i="21"/>
  <c r="N468" i="21"/>
  <c r="O468" i="21"/>
  <c r="Q468" i="21"/>
  <c r="L469" i="21"/>
  <c r="M469" i="21"/>
  <c r="N469" i="21"/>
  <c r="O469" i="21"/>
  <c r="Q469" i="21"/>
  <c r="L470" i="21"/>
  <c r="M470" i="21"/>
  <c r="N470" i="21"/>
  <c r="O470" i="21"/>
  <c r="Q470" i="21"/>
  <c r="L471" i="21"/>
  <c r="M471" i="21"/>
  <c r="N471" i="21"/>
  <c r="O471" i="21"/>
  <c r="Q471" i="21"/>
  <c r="L472" i="21"/>
  <c r="M472" i="21"/>
  <c r="N472" i="21"/>
  <c r="O472" i="21"/>
  <c r="Q472" i="21"/>
  <c r="L473" i="21"/>
  <c r="M473" i="21"/>
  <c r="N473" i="21"/>
  <c r="O473" i="21"/>
  <c r="Q473" i="21"/>
  <c r="L474" i="21"/>
  <c r="M474" i="21"/>
  <c r="N474" i="21"/>
  <c r="O474" i="21"/>
  <c r="Q474" i="21"/>
  <c r="L475" i="21"/>
  <c r="M475" i="21"/>
  <c r="N475" i="21"/>
  <c r="O475" i="21"/>
  <c r="Q475" i="21"/>
  <c r="L476" i="21"/>
  <c r="M476" i="21"/>
  <c r="N476" i="21"/>
  <c r="O476" i="21"/>
  <c r="Q476" i="21"/>
  <c r="L477" i="21"/>
  <c r="M477" i="21"/>
  <c r="N477" i="21"/>
  <c r="O477" i="21"/>
  <c r="Q477" i="21"/>
  <c r="L478" i="21"/>
  <c r="M478" i="21"/>
  <c r="N478" i="21"/>
  <c r="O478" i="21"/>
  <c r="Q478" i="21"/>
  <c r="L479" i="21"/>
  <c r="M479" i="21"/>
  <c r="N479" i="21"/>
  <c r="O479" i="21"/>
  <c r="Q479" i="21"/>
  <c r="L480" i="21"/>
  <c r="M480" i="21"/>
  <c r="N480" i="21"/>
  <c r="O480" i="21"/>
  <c r="Q480" i="21"/>
  <c r="L481" i="21"/>
  <c r="M481" i="21"/>
  <c r="N481" i="21"/>
  <c r="O481" i="21"/>
  <c r="Q481" i="21"/>
  <c r="L482" i="21"/>
  <c r="M482" i="21"/>
  <c r="N482" i="21"/>
  <c r="O482" i="21"/>
  <c r="Q482" i="21"/>
  <c r="L483" i="21"/>
  <c r="M483" i="21"/>
  <c r="N483" i="21"/>
  <c r="O483" i="21"/>
  <c r="Q483" i="21"/>
  <c r="L484" i="21"/>
  <c r="M484" i="21"/>
  <c r="N484" i="21"/>
  <c r="O484" i="21"/>
  <c r="Q484" i="21"/>
  <c r="L485" i="21"/>
  <c r="M485" i="21"/>
  <c r="N485" i="21"/>
  <c r="O485" i="21"/>
  <c r="Q485" i="21"/>
  <c r="L486" i="21"/>
  <c r="M486" i="21"/>
  <c r="N486" i="21"/>
  <c r="O486" i="21"/>
  <c r="Q486" i="21"/>
  <c r="L487" i="21"/>
  <c r="M487" i="21"/>
  <c r="N487" i="21"/>
  <c r="O487" i="21"/>
  <c r="Q487" i="21"/>
  <c r="L488" i="21"/>
  <c r="M488" i="21"/>
  <c r="N488" i="21"/>
  <c r="O488" i="21"/>
  <c r="Q488" i="21"/>
  <c r="L489" i="21"/>
  <c r="M489" i="21"/>
  <c r="N489" i="21"/>
  <c r="O489" i="21"/>
  <c r="Q489" i="21"/>
  <c r="L490" i="21"/>
  <c r="M490" i="21"/>
  <c r="N490" i="21"/>
  <c r="O490" i="21"/>
  <c r="Q490" i="21"/>
  <c r="L491" i="21"/>
  <c r="M491" i="21"/>
  <c r="N491" i="21"/>
  <c r="O491" i="21"/>
  <c r="Q491" i="21"/>
  <c r="L492" i="21"/>
  <c r="M492" i="21"/>
  <c r="N492" i="21"/>
  <c r="O492" i="21"/>
  <c r="Q492" i="21"/>
  <c r="L493" i="21"/>
  <c r="M493" i="21"/>
  <c r="N493" i="21"/>
  <c r="O493" i="21"/>
  <c r="Q493" i="21"/>
  <c r="L494" i="21"/>
  <c r="M494" i="21"/>
  <c r="N494" i="21"/>
  <c r="O494" i="21"/>
  <c r="Q494" i="21"/>
  <c r="L495" i="21"/>
  <c r="M495" i="21"/>
  <c r="N495" i="21"/>
  <c r="O495" i="21"/>
  <c r="Q495" i="21"/>
  <c r="L496" i="21"/>
  <c r="M496" i="21"/>
  <c r="N496" i="21"/>
  <c r="O496" i="21"/>
  <c r="Q496" i="21"/>
  <c r="L497" i="21"/>
  <c r="M497" i="21"/>
  <c r="N497" i="21"/>
  <c r="O497" i="21"/>
  <c r="Q497" i="21"/>
  <c r="L498" i="21"/>
  <c r="M498" i="21"/>
  <c r="N498" i="21"/>
  <c r="O498" i="21"/>
  <c r="Q498" i="21"/>
  <c r="L499" i="21"/>
  <c r="M499" i="21"/>
  <c r="N499" i="21"/>
  <c r="O499" i="21"/>
  <c r="Q499" i="21"/>
  <c r="L500" i="21"/>
  <c r="M500" i="21"/>
  <c r="N500" i="21"/>
  <c r="O500" i="21"/>
  <c r="Q500" i="21"/>
  <c r="L501" i="21"/>
  <c r="M501" i="21"/>
  <c r="N501" i="21"/>
  <c r="O501" i="21"/>
  <c r="Q501" i="21"/>
  <c r="L502" i="21"/>
  <c r="M502" i="21"/>
  <c r="N502" i="21"/>
  <c r="O502" i="21"/>
  <c r="Q502" i="21"/>
  <c r="L503" i="21"/>
  <c r="M503" i="21"/>
  <c r="N503" i="21"/>
  <c r="O503" i="21"/>
  <c r="Q503" i="21"/>
  <c r="L504" i="21"/>
  <c r="M504" i="21"/>
  <c r="N504" i="21"/>
  <c r="O504" i="21"/>
  <c r="Q504" i="21"/>
  <c r="L505" i="21"/>
  <c r="M505" i="21"/>
  <c r="N505" i="21"/>
  <c r="O505" i="21"/>
  <c r="Q505" i="21"/>
  <c r="L506" i="21"/>
  <c r="M506" i="21"/>
  <c r="N506" i="21"/>
  <c r="O506" i="21"/>
  <c r="Q506" i="21"/>
  <c r="L507" i="21"/>
  <c r="M507" i="21"/>
  <c r="N507" i="21"/>
  <c r="O507" i="21"/>
  <c r="Q507" i="21"/>
  <c r="L508" i="21"/>
  <c r="M508" i="21"/>
  <c r="N508" i="21"/>
  <c r="O508" i="21"/>
  <c r="Q508" i="21"/>
  <c r="L509" i="21"/>
  <c r="M509" i="21"/>
  <c r="N509" i="21"/>
  <c r="O509" i="21"/>
  <c r="Q509" i="21"/>
  <c r="L510" i="21"/>
  <c r="M510" i="21"/>
  <c r="N510" i="21"/>
  <c r="O510" i="21"/>
  <c r="Q510" i="21"/>
  <c r="L511" i="21"/>
  <c r="M511" i="21"/>
  <c r="N511" i="21"/>
  <c r="O511" i="21"/>
  <c r="Q511" i="21"/>
  <c r="L512" i="21"/>
  <c r="M512" i="21"/>
  <c r="N512" i="21"/>
  <c r="O512" i="21"/>
  <c r="Q512" i="21"/>
  <c r="L513" i="21"/>
  <c r="M513" i="21"/>
  <c r="N513" i="21"/>
  <c r="O513" i="21"/>
  <c r="Q513" i="21"/>
  <c r="L514" i="21"/>
  <c r="M514" i="21"/>
  <c r="N514" i="21"/>
  <c r="O514" i="21"/>
  <c r="Q514" i="21"/>
  <c r="L515" i="21"/>
  <c r="M515" i="21"/>
  <c r="N515" i="21"/>
  <c r="O515" i="21"/>
  <c r="Q515" i="21"/>
  <c r="L516" i="21"/>
  <c r="M516" i="21"/>
  <c r="N516" i="21"/>
  <c r="O516" i="21"/>
  <c r="Q516" i="21"/>
  <c r="L517" i="21"/>
  <c r="M517" i="21"/>
  <c r="N517" i="21"/>
  <c r="O517" i="21"/>
  <c r="Q517" i="21"/>
  <c r="L518" i="21"/>
  <c r="M518" i="21"/>
  <c r="N518" i="21"/>
  <c r="O518" i="21"/>
  <c r="Q518" i="21"/>
  <c r="L519" i="21"/>
  <c r="M519" i="21"/>
  <c r="N519" i="21"/>
  <c r="O519" i="21"/>
  <c r="Q519" i="21"/>
  <c r="L520" i="21"/>
  <c r="M520" i="21"/>
  <c r="N520" i="21"/>
  <c r="O520" i="21"/>
  <c r="Q520" i="21"/>
  <c r="L521" i="21"/>
  <c r="M521" i="21"/>
  <c r="N521" i="21"/>
  <c r="O521" i="21"/>
  <c r="Q521" i="21"/>
  <c r="L522" i="21"/>
  <c r="M522" i="21"/>
  <c r="N522" i="21"/>
  <c r="O522" i="21"/>
  <c r="Q522" i="21"/>
  <c r="L523" i="21"/>
  <c r="M523" i="21"/>
  <c r="N523" i="21"/>
  <c r="O523" i="21"/>
  <c r="Q523" i="21"/>
  <c r="L524" i="21"/>
  <c r="M524" i="21"/>
  <c r="N524" i="21"/>
  <c r="O524" i="21"/>
  <c r="Q524" i="21"/>
  <c r="L525" i="21"/>
  <c r="M525" i="21"/>
  <c r="N525" i="21"/>
  <c r="O525" i="21"/>
  <c r="Q525" i="21"/>
  <c r="L526" i="21"/>
  <c r="M526" i="21"/>
  <c r="N526" i="21"/>
  <c r="O526" i="21"/>
  <c r="Q526" i="21"/>
  <c r="L527" i="21"/>
  <c r="M527" i="21"/>
  <c r="N527" i="21"/>
  <c r="O527" i="21"/>
  <c r="Q527" i="21"/>
  <c r="L528" i="21"/>
  <c r="M528" i="21"/>
  <c r="N528" i="21"/>
  <c r="O528" i="21"/>
  <c r="Q528" i="21"/>
  <c r="L529" i="21"/>
  <c r="M529" i="21"/>
  <c r="N529" i="21"/>
  <c r="O529" i="21"/>
  <c r="Q529" i="21"/>
  <c r="L530" i="21"/>
  <c r="M530" i="21"/>
  <c r="N530" i="21"/>
  <c r="O530" i="21"/>
  <c r="Q530" i="21"/>
  <c r="L531" i="21"/>
  <c r="M531" i="21"/>
  <c r="N531" i="21"/>
  <c r="O531" i="21"/>
  <c r="Q531" i="21"/>
  <c r="L532" i="21"/>
  <c r="M532" i="21"/>
  <c r="N532" i="21"/>
  <c r="O532" i="21"/>
  <c r="Q532" i="21"/>
  <c r="L533" i="21"/>
  <c r="M533" i="21"/>
  <c r="N533" i="21"/>
  <c r="O533" i="21"/>
  <c r="Q533" i="21"/>
  <c r="L534" i="21"/>
  <c r="M534" i="21"/>
  <c r="N534" i="21"/>
  <c r="O534" i="21"/>
  <c r="Q534" i="21"/>
  <c r="L535" i="21"/>
  <c r="M535" i="21"/>
  <c r="N535" i="21"/>
  <c r="O535" i="21"/>
  <c r="Q535" i="21"/>
  <c r="L536" i="21"/>
  <c r="M536" i="21"/>
  <c r="N536" i="21"/>
  <c r="O536" i="21"/>
  <c r="Q536" i="21"/>
  <c r="L537" i="21"/>
  <c r="M537" i="21"/>
  <c r="N537" i="21"/>
  <c r="O537" i="21"/>
  <c r="Q537" i="21"/>
  <c r="L538" i="21"/>
  <c r="M538" i="21"/>
  <c r="N538" i="21"/>
  <c r="O538" i="21"/>
  <c r="Q538" i="21"/>
  <c r="L539" i="21"/>
  <c r="M539" i="21"/>
  <c r="N539" i="21"/>
  <c r="O539" i="21"/>
  <c r="Q539" i="21"/>
  <c r="L540" i="21"/>
  <c r="M540" i="21"/>
  <c r="N540" i="21"/>
  <c r="O540" i="21"/>
  <c r="Q540" i="21"/>
  <c r="L541" i="21"/>
  <c r="M541" i="21"/>
  <c r="N541" i="21"/>
  <c r="O541" i="21"/>
  <c r="Q541" i="21"/>
  <c r="L542" i="21"/>
  <c r="M542" i="21"/>
  <c r="N542" i="21"/>
  <c r="O542" i="21"/>
  <c r="Q542" i="21"/>
  <c r="L543" i="21"/>
  <c r="M543" i="21"/>
  <c r="N543" i="21"/>
  <c r="O543" i="21"/>
  <c r="Q543" i="21"/>
  <c r="L544" i="21"/>
  <c r="M544" i="21"/>
  <c r="N544" i="21"/>
  <c r="O544" i="21"/>
  <c r="Q544" i="21"/>
  <c r="L545" i="21"/>
  <c r="M545" i="21"/>
  <c r="N545" i="21"/>
  <c r="O545" i="21"/>
  <c r="Q545" i="21"/>
  <c r="L546" i="21"/>
  <c r="M546" i="21"/>
  <c r="N546" i="21"/>
  <c r="O546" i="21"/>
  <c r="Q546" i="21"/>
  <c r="L547" i="21"/>
  <c r="M547" i="21"/>
  <c r="N547" i="21"/>
  <c r="O547" i="21"/>
  <c r="Q547" i="21"/>
  <c r="L548" i="21"/>
  <c r="M548" i="21"/>
  <c r="N548" i="21"/>
  <c r="O548" i="21"/>
  <c r="Q548" i="21"/>
  <c r="L549" i="21"/>
  <c r="M549" i="21"/>
  <c r="N549" i="21"/>
  <c r="O549" i="21"/>
  <c r="Q549" i="21"/>
  <c r="L550" i="21"/>
  <c r="M550" i="21"/>
  <c r="N550" i="21"/>
  <c r="O550" i="21"/>
  <c r="Q550" i="21"/>
  <c r="L551" i="21"/>
  <c r="M551" i="21"/>
  <c r="N551" i="21"/>
  <c r="O551" i="21"/>
  <c r="Q551" i="21"/>
  <c r="L552" i="21"/>
  <c r="M552" i="21"/>
  <c r="N552" i="21"/>
  <c r="O552" i="21"/>
  <c r="Q552" i="21"/>
  <c r="L553" i="21"/>
  <c r="M553" i="21"/>
  <c r="N553" i="21"/>
  <c r="O553" i="21"/>
  <c r="Q553" i="21"/>
  <c r="L554" i="21"/>
  <c r="M554" i="21"/>
  <c r="N554" i="21"/>
  <c r="O554" i="21"/>
  <c r="Q554" i="21"/>
  <c r="L555" i="21"/>
  <c r="M555" i="21"/>
  <c r="N555" i="21"/>
  <c r="O555" i="21"/>
  <c r="Q555" i="21"/>
  <c r="L556" i="21"/>
  <c r="M556" i="21"/>
  <c r="N556" i="21"/>
  <c r="O556" i="21"/>
  <c r="Q556" i="21"/>
  <c r="L557" i="21"/>
  <c r="M557" i="21"/>
  <c r="N557" i="21"/>
  <c r="O557" i="21"/>
  <c r="Q557" i="21"/>
  <c r="L558" i="21"/>
  <c r="M558" i="21"/>
  <c r="N558" i="21"/>
  <c r="O558" i="21"/>
  <c r="Q558" i="21"/>
  <c r="L559" i="21"/>
  <c r="M559" i="21"/>
  <c r="N559" i="21"/>
  <c r="O559" i="21"/>
  <c r="Q559" i="21"/>
  <c r="L560" i="21"/>
  <c r="M560" i="21"/>
  <c r="N560" i="21"/>
  <c r="O560" i="21"/>
  <c r="Q560" i="21"/>
  <c r="L561" i="21"/>
  <c r="M561" i="21"/>
  <c r="N561" i="21"/>
  <c r="O561" i="21"/>
  <c r="Q561" i="21"/>
  <c r="L562" i="21"/>
  <c r="M562" i="21"/>
  <c r="N562" i="21"/>
  <c r="O562" i="21"/>
  <c r="Q562" i="21"/>
  <c r="L563" i="21"/>
  <c r="M563" i="21"/>
  <c r="N563" i="21"/>
  <c r="O563" i="21"/>
  <c r="Q563" i="21"/>
  <c r="L564" i="21"/>
  <c r="M564" i="21"/>
  <c r="N564" i="21"/>
  <c r="O564" i="21"/>
  <c r="Q564" i="21"/>
  <c r="L565" i="21"/>
  <c r="M565" i="21"/>
  <c r="N565" i="21"/>
  <c r="O565" i="21"/>
  <c r="Q565" i="21"/>
  <c r="L566" i="21"/>
  <c r="M566" i="21"/>
  <c r="N566" i="21"/>
  <c r="O566" i="21"/>
  <c r="Q566" i="21"/>
  <c r="L567" i="21"/>
  <c r="M567" i="21"/>
  <c r="N567" i="21"/>
  <c r="O567" i="21"/>
  <c r="Q567" i="21"/>
  <c r="L568" i="21"/>
  <c r="M568" i="21"/>
  <c r="N568" i="21"/>
  <c r="O568" i="21"/>
  <c r="Q568" i="21"/>
  <c r="L569" i="21"/>
  <c r="M569" i="21"/>
  <c r="N569" i="21"/>
  <c r="O569" i="21"/>
  <c r="Q569" i="21"/>
  <c r="L570" i="21"/>
  <c r="M570" i="21"/>
  <c r="N570" i="21"/>
  <c r="O570" i="21"/>
  <c r="Q570" i="21"/>
  <c r="L571" i="21"/>
  <c r="M571" i="21"/>
  <c r="N571" i="21"/>
  <c r="O571" i="21"/>
  <c r="Q571" i="21"/>
  <c r="L572" i="21"/>
  <c r="M572" i="21"/>
  <c r="N572" i="21"/>
  <c r="O572" i="21"/>
  <c r="Q572" i="21"/>
  <c r="L573" i="21"/>
  <c r="M573" i="21"/>
  <c r="N573" i="21"/>
  <c r="O573" i="21"/>
  <c r="Q573" i="21"/>
  <c r="L574" i="21"/>
  <c r="M574" i="21"/>
  <c r="N574" i="21"/>
  <c r="O574" i="21"/>
  <c r="Q574" i="21"/>
  <c r="L575" i="21"/>
  <c r="M575" i="21"/>
  <c r="N575" i="21"/>
  <c r="O575" i="21"/>
  <c r="Q575" i="21"/>
  <c r="L576" i="21"/>
  <c r="M576" i="21"/>
  <c r="N576" i="21"/>
  <c r="O576" i="21"/>
  <c r="Q576" i="21"/>
  <c r="L577" i="21"/>
  <c r="M577" i="21"/>
  <c r="N577" i="21"/>
  <c r="O577" i="21"/>
  <c r="Q577" i="21"/>
  <c r="L578" i="21"/>
  <c r="M578" i="21"/>
  <c r="N578" i="21"/>
  <c r="O578" i="21"/>
  <c r="Q578" i="21"/>
  <c r="L579" i="21"/>
  <c r="M579" i="21"/>
  <c r="N579" i="21"/>
  <c r="O579" i="21"/>
  <c r="Q579" i="21"/>
  <c r="L580" i="21"/>
  <c r="M580" i="21"/>
  <c r="N580" i="21"/>
  <c r="O580" i="21"/>
  <c r="Q580" i="21"/>
  <c r="L581" i="21"/>
  <c r="M581" i="21"/>
  <c r="N581" i="21"/>
  <c r="O581" i="21"/>
  <c r="Q581" i="21"/>
  <c r="L582" i="21"/>
  <c r="M582" i="21"/>
  <c r="N582" i="21"/>
  <c r="O582" i="21"/>
  <c r="Q582" i="21"/>
  <c r="L583" i="21"/>
  <c r="M583" i="21"/>
  <c r="N583" i="21"/>
  <c r="O583" i="21"/>
  <c r="Q583" i="21"/>
  <c r="L584" i="21"/>
  <c r="M584" i="21"/>
  <c r="N584" i="21"/>
  <c r="O584" i="21"/>
  <c r="Q584" i="21"/>
  <c r="L585" i="21"/>
  <c r="M585" i="21"/>
  <c r="N585" i="21"/>
  <c r="O585" i="21"/>
  <c r="Q585" i="21"/>
  <c r="L586" i="21"/>
  <c r="M586" i="21"/>
  <c r="N586" i="21"/>
  <c r="O586" i="21"/>
  <c r="Q586" i="21"/>
  <c r="L587" i="21"/>
  <c r="M587" i="21"/>
  <c r="N587" i="21"/>
  <c r="O587" i="21"/>
  <c r="Q587" i="21"/>
  <c r="L588" i="21"/>
  <c r="M588" i="21"/>
  <c r="N588" i="21"/>
  <c r="O588" i="21"/>
  <c r="Q588" i="21"/>
  <c r="L589" i="21"/>
  <c r="M589" i="21"/>
  <c r="N589" i="21"/>
  <c r="O589" i="21"/>
  <c r="Q589" i="21"/>
  <c r="L590" i="21"/>
  <c r="M590" i="21"/>
  <c r="N590" i="21"/>
  <c r="O590" i="21"/>
  <c r="Q590" i="21"/>
  <c r="L591" i="21"/>
  <c r="M591" i="21"/>
  <c r="N591" i="21"/>
  <c r="O591" i="21"/>
  <c r="Q591" i="21"/>
  <c r="L592" i="21"/>
  <c r="M592" i="21"/>
  <c r="N592" i="21"/>
  <c r="O592" i="21"/>
  <c r="Q592" i="21"/>
  <c r="L593" i="21"/>
  <c r="M593" i="21"/>
  <c r="N593" i="21"/>
  <c r="O593" i="21"/>
  <c r="Q593" i="21"/>
  <c r="L594" i="21"/>
  <c r="M594" i="21"/>
  <c r="N594" i="21"/>
  <c r="O594" i="21"/>
  <c r="Q594" i="21"/>
  <c r="L595" i="21"/>
  <c r="M595" i="21"/>
  <c r="N595" i="21"/>
  <c r="O595" i="21"/>
  <c r="Q595" i="21"/>
  <c r="L596" i="21"/>
  <c r="M596" i="21"/>
  <c r="N596" i="21"/>
  <c r="O596" i="21"/>
  <c r="Q596" i="21"/>
  <c r="L597" i="21"/>
  <c r="M597" i="21"/>
  <c r="N597" i="21"/>
  <c r="O597" i="21"/>
  <c r="Q597" i="21"/>
  <c r="L598" i="21"/>
  <c r="M598" i="21"/>
  <c r="N598" i="21"/>
  <c r="O598" i="21"/>
  <c r="Q598" i="21"/>
  <c r="L599" i="21"/>
  <c r="M599" i="21"/>
  <c r="N599" i="21"/>
  <c r="O599" i="21"/>
  <c r="Q599" i="21"/>
  <c r="L600" i="21"/>
  <c r="M600" i="21"/>
  <c r="N600" i="21"/>
  <c r="O600" i="21"/>
  <c r="Q600" i="21"/>
  <c r="S2" i="21"/>
  <c r="S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63" i="21"/>
  <c r="S64" i="21"/>
  <c r="S65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214" i="21"/>
  <c r="S215" i="21"/>
  <c r="S216" i="21"/>
  <c r="S217" i="21"/>
  <c r="S218" i="21"/>
  <c r="S219" i="21"/>
  <c r="S220" i="21"/>
  <c r="S221" i="21"/>
  <c r="S222" i="21"/>
  <c r="S223" i="21"/>
  <c r="S224" i="21"/>
  <c r="S225" i="21"/>
  <c r="S226" i="21"/>
  <c r="S227" i="21"/>
  <c r="S228" i="21"/>
  <c r="S229" i="21"/>
  <c r="S230" i="21"/>
  <c r="S231" i="21"/>
  <c r="S232" i="21"/>
  <c r="S233" i="21"/>
  <c r="S234" i="21"/>
  <c r="S235" i="21"/>
  <c r="S236" i="21"/>
  <c r="S237" i="21"/>
  <c r="S238" i="21"/>
  <c r="S239" i="21"/>
  <c r="S240" i="21"/>
  <c r="S241" i="21"/>
  <c r="S242" i="21"/>
  <c r="S243" i="21"/>
  <c r="S244" i="21"/>
  <c r="S245" i="21"/>
  <c r="S246" i="21"/>
  <c r="S247" i="21"/>
  <c r="S248" i="21"/>
  <c r="S249" i="21"/>
  <c r="S250" i="21"/>
  <c r="S251" i="21"/>
  <c r="S252" i="21"/>
  <c r="S253" i="21"/>
  <c r="S254" i="21"/>
  <c r="S255" i="21"/>
  <c r="S256" i="21"/>
  <c r="S257" i="21"/>
  <c r="S258" i="21"/>
  <c r="S259" i="21"/>
  <c r="S260" i="21"/>
  <c r="S261" i="21"/>
  <c r="S262" i="21"/>
  <c r="S263" i="21"/>
  <c r="S264" i="21"/>
  <c r="S265" i="21"/>
  <c r="S266" i="21"/>
  <c r="S267" i="21"/>
  <c r="S268" i="21"/>
  <c r="S269" i="21"/>
  <c r="S270" i="21"/>
  <c r="S271" i="21"/>
  <c r="S272" i="21"/>
  <c r="S273" i="21"/>
  <c r="S274" i="21"/>
  <c r="S275" i="21"/>
  <c r="S276" i="21"/>
  <c r="S277" i="21"/>
  <c r="S278" i="21"/>
  <c r="S279" i="21"/>
  <c r="S280" i="21"/>
  <c r="S281" i="21"/>
  <c r="S282" i="21"/>
  <c r="S283" i="21"/>
  <c r="S284" i="21"/>
  <c r="S285" i="21"/>
  <c r="S286" i="21"/>
  <c r="S287" i="21"/>
  <c r="S288" i="21"/>
  <c r="S289" i="21"/>
  <c r="S290" i="21"/>
  <c r="S291" i="21"/>
  <c r="S292" i="21"/>
  <c r="S293" i="21"/>
  <c r="S294" i="21"/>
  <c r="S295" i="21"/>
  <c r="S296" i="21"/>
  <c r="S297" i="21"/>
  <c r="S298" i="21"/>
  <c r="S299" i="21"/>
  <c r="S300" i="21"/>
  <c r="S301" i="21"/>
  <c r="S302" i="21"/>
  <c r="S303" i="21"/>
  <c r="S304" i="21"/>
  <c r="S305" i="21"/>
  <c r="S306" i="21"/>
  <c r="S307" i="21"/>
  <c r="S308" i="21"/>
  <c r="S309" i="21"/>
  <c r="S310" i="21"/>
  <c r="S311" i="21"/>
  <c r="S312" i="21"/>
  <c r="S313" i="21"/>
  <c r="S314" i="21"/>
  <c r="S315" i="21"/>
  <c r="S316" i="21"/>
  <c r="S317" i="21"/>
  <c r="S318" i="21"/>
  <c r="S319" i="21"/>
  <c r="S320" i="21"/>
  <c r="S321" i="21"/>
  <c r="S322" i="21"/>
  <c r="S323" i="21"/>
  <c r="S324" i="21"/>
  <c r="S325" i="21"/>
  <c r="S326" i="21"/>
  <c r="S327" i="21"/>
  <c r="S328" i="21"/>
  <c r="S329" i="21"/>
  <c r="S330" i="21"/>
  <c r="S331" i="21"/>
  <c r="S332" i="21"/>
  <c r="S333" i="21"/>
  <c r="S334" i="21"/>
  <c r="S335" i="21"/>
  <c r="S336" i="21"/>
  <c r="S337" i="21"/>
  <c r="S338" i="21"/>
  <c r="S339" i="21"/>
  <c r="S340" i="21"/>
  <c r="S341" i="21"/>
  <c r="S342" i="21"/>
  <c r="S343" i="21"/>
  <c r="S344" i="21"/>
  <c r="S345" i="21"/>
  <c r="S346" i="21"/>
  <c r="S347" i="21"/>
  <c r="S348" i="21"/>
  <c r="S349" i="21"/>
  <c r="S350" i="21"/>
  <c r="S351" i="21"/>
  <c r="S352" i="21"/>
  <c r="S353" i="21"/>
  <c r="S354" i="21"/>
  <c r="S355" i="21"/>
  <c r="S356" i="21"/>
  <c r="S357" i="21"/>
  <c r="S358" i="21"/>
  <c r="S359" i="21"/>
  <c r="S360" i="21"/>
  <c r="S361" i="21"/>
  <c r="S362" i="21"/>
  <c r="S363" i="21"/>
  <c r="S364" i="21"/>
  <c r="S365" i="21"/>
  <c r="S366" i="21"/>
  <c r="S367" i="21"/>
  <c r="S368" i="21"/>
  <c r="S369" i="21"/>
  <c r="S370" i="21"/>
  <c r="S371" i="21"/>
  <c r="S372" i="21"/>
  <c r="S373" i="21"/>
  <c r="S374" i="21"/>
  <c r="S375" i="21"/>
  <c r="S376" i="21"/>
  <c r="S377" i="21"/>
  <c r="S378" i="21"/>
  <c r="S379" i="21"/>
  <c r="S380" i="21"/>
  <c r="S381" i="21"/>
  <c r="S382" i="21"/>
  <c r="S383" i="21"/>
  <c r="S384" i="21"/>
  <c r="S385" i="21"/>
  <c r="S386" i="21"/>
  <c r="S387" i="21"/>
  <c r="S388" i="21"/>
  <c r="S389" i="21"/>
  <c r="S390" i="21"/>
  <c r="S391" i="21"/>
  <c r="S392" i="21"/>
  <c r="S393" i="21"/>
  <c r="S394" i="21"/>
  <c r="S395" i="21"/>
  <c r="S396" i="21"/>
  <c r="S397" i="21"/>
  <c r="S398" i="21"/>
  <c r="S399" i="21"/>
  <c r="S400" i="21"/>
  <c r="S401" i="21"/>
  <c r="S402" i="21"/>
  <c r="S403" i="21"/>
  <c r="S404" i="21"/>
  <c r="S405" i="21"/>
  <c r="S406" i="21"/>
  <c r="S407" i="21"/>
  <c r="S408" i="21"/>
  <c r="S409" i="21"/>
  <c r="S410" i="21"/>
  <c r="S411" i="21"/>
  <c r="S412" i="21"/>
  <c r="S413" i="21"/>
  <c r="S414" i="21"/>
  <c r="S415" i="21"/>
  <c r="S416" i="21"/>
  <c r="S417" i="21"/>
  <c r="S418" i="21"/>
  <c r="S419" i="21"/>
  <c r="S420" i="21"/>
  <c r="S421" i="21"/>
  <c r="S422" i="21"/>
  <c r="S423" i="21"/>
  <c r="S424" i="21"/>
  <c r="S425" i="21"/>
  <c r="S426" i="21"/>
  <c r="S427" i="21"/>
  <c r="S428" i="21"/>
  <c r="S429" i="21"/>
  <c r="S430" i="21"/>
  <c r="S431" i="21"/>
  <c r="S432" i="21"/>
  <c r="S433" i="21"/>
  <c r="S434" i="21"/>
  <c r="S435" i="21"/>
  <c r="S436" i="21"/>
  <c r="S437" i="21"/>
  <c r="S438" i="21"/>
  <c r="S439" i="21"/>
  <c r="S440" i="21"/>
  <c r="S441" i="21"/>
  <c r="S442" i="21"/>
  <c r="S443" i="21"/>
  <c r="S444" i="21"/>
  <c r="S445" i="21"/>
  <c r="S446" i="21"/>
  <c r="S447" i="21"/>
  <c r="S448" i="21"/>
  <c r="S449" i="21"/>
  <c r="S450" i="21"/>
  <c r="S451" i="21"/>
  <c r="S452" i="21"/>
  <c r="S453" i="21"/>
  <c r="S454" i="21"/>
  <c r="S455" i="21"/>
  <c r="S456" i="21"/>
  <c r="S457" i="21"/>
  <c r="S458" i="21"/>
  <c r="S459" i="21"/>
  <c r="S460" i="21"/>
  <c r="S461" i="21"/>
  <c r="S462" i="21"/>
  <c r="S463" i="21"/>
  <c r="S464" i="21"/>
  <c r="S465" i="21"/>
  <c r="S466" i="21"/>
  <c r="S467" i="21"/>
  <c r="S468" i="21"/>
  <c r="S469" i="21"/>
  <c r="S470" i="21"/>
  <c r="S471" i="21"/>
  <c r="S472" i="21"/>
  <c r="S473" i="21"/>
  <c r="S474" i="21"/>
  <c r="S475" i="21"/>
  <c r="S476" i="21"/>
  <c r="S477" i="21"/>
  <c r="S478" i="21"/>
  <c r="S479" i="21"/>
  <c r="S480" i="21"/>
  <c r="S481" i="21"/>
  <c r="S482" i="21"/>
  <c r="S483" i="21"/>
  <c r="S484" i="21"/>
  <c r="S485" i="21"/>
  <c r="S486" i="21"/>
  <c r="S487" i="21"/>
  <c r="S488" i="21"/>
  <c r="S489" i="21"/>
  <c r="S490" i="21"/>
  <c r="S491" i="21"/>
  <c r="S492" i="21"/>
  <c r="S493" i="21"/>
  <c r="S494" i="21"/>
  <c r="S495" i="21"/>
  <c r="S496" i="21"/>
  <c r="S497" i="21"/>
  <c r="S498" i="21"/>
  <c r="S499" i="21"/>
  <c r="S500" i="21"/>
  <c r="S501" i="21"/>
  <c r="S502" i="21"/>
  <c r="S503" i="21"/>
  <c r="S504" i="21"/>
  <c r="S505" i="21"/>
  <c r="S506" i="21"/>
  <c r="S507" i="21"/>
  <c r="S508" i="21"/>
  <c r="S509" i="21"/>
  <c r="S510" i="21"/>
  <c r="S511" i="21"/>
  <c r="S512" i="21"/>
  <c r="S513" i="21"/>
  <c r="S514" i="21"/>
  <c r="S515" i="21"/>
  <c r="S516" i="21"/>
  <c r="S517" i="21"/>
  <c r="S518" i="21"/>
  <c r="S519" i="21"/>
  <c r="S520" i="21"/>
  <c r="S521" i="21"/>
  <c r="S522" i="21"/>
  <c r="S523" i="21"/>
  <c r="S524" i="21"/>
  <c r="S525" i="21"/>
  <c r="S526" i="21"/>
  <c r="S527" i="21"/>
  <c r="S528" i="21"/>
  <c r="S529" i="21"/>
  <c r="S530" i="21"/>
  <c r="S531" i="21"/>
  <c r="S532" i="21"/>
  <c r="S533" i="21"/>
  <c r="S534" i="21"/>
  <c r="S535" i="21"/>
  <c r="S536" i="21"/>
  <c r="S537" i="21"/>
  <c r="S538" i="21"/>
  <c r="S539" i="21"/>
  <c r="S540" i="21"/>
  <c r="S541" i="21"/>
  <c r="S542" i="21"/>
  <c r="S543" i="21"/>
  <c r="S544" i="21"/>
  <c r="S545" i="21"/>
  <c r="S546" i="21"/>
  <c r="S547" i="21"/>
  <c r="S548" i="21"/>
  <c r="S549" i="21"/>
  <c r="S550" i="21"/>
  <c r="S551" i="21"/>
  <c r="S552" i="21"/>
  <c r="S553" i="21"/>
  <c r="S554" i="21"/>
  <c r="S555" i="21"/>
  <c r="S556" i="21"/>
  <c r="S557" i="21"/>
  <c r="S558" i="21"/>
  <c r="S559" i="21"/>
  <c r="S560" i="21"/>
  <c r="S561" i="21"/>
  <c r="S562" i="21"/>
  <c r="S563" i="21"/>
  <c r="S564" i="21"/>
  <c r="S565" i="21"/>
  <c r="S566" i="21"/>
  <c r="S567" i="21"/>
  <c r="S568" i="21"/>
  <c r="S569" i="21"/>
  <c r="S570" i="21"/>
  <c r="S571" i="21"/>
  <c r="S572" i="21"/>
  <c r="S573" i="21"/>
  <c r="S574" i="21"/>
  <c r="S575" i="21"/>
  <c r="S576" i="21"/>
  <c r="S577" i="21"/>
  <c r="S578" i="21"/>
  <c r="S579" i="21"/>
  <c r="S580" i="21"/>
  <c r="S581" i="21"/>
  <c r="S582" i="21"/>
  <c r="S583" i="21"/>
  <c r="S584" i="21"/>
  <c r="S585" i="21"/>
  <c r="S586" i="21"/>
  <c r="S587" i="21"/>
  <c r="S588" i="21"/>
  <c r="S589" i="21"/>
  <c r="S590" i="21"/>
  <c r="S591" i="21"/>
  <c r="S592" i="21"/>
  <c r="S593" i="21"/>
  <c r="S594" i="21"/>
  <c r="S595" i="21"/>
  <c r="S596" i="21"/>
  <c r="S597" i="21"/>
  <c r="S598" i="21"/>
  <c r="S599" i="21"/>
  <c r="S600" i="21"/>
  <c r="P600" i="21"/>
  <c r="P599" i="21"/>
  <c r="P598" i="21"/>
  <c r="P597" i="21"/>
  <c r="P596" i="21"/>
  <c r="P595" i="21"/>
  <c r="P594" i="21"/>
  <c r="P593" i="21"/>
  <c r="P592" i="21"/>
  <c r="P591" i="21"/>
  <c r="P590" i="21"/>
  <c r="P589" i="21"/>
  <c r="P588" i="21"/>
  <c r="P587" i="21"/>
  <c r="P586" i="21"/>
  <c r="P585" i="21"/>
  <c r="P584" i="21"/>
  <c r="P583" i="21"/>
  <c r="P582" i="21"/>
  <c r="P581" i="21"/>
  <c r="P580" i="21"/>
  <c r="P579" i="21"/>
  <c r="P578" i="21"/>
  <c r="P577" i="21"/>
  <c r="P576" i="21"/>
  <c r="P575" i="21"/>
  <c r="P574" i="21"/>
  <c r="P573" i="21"/>
  <c r="P572" i="21"/>
  <c r="P571" i="21"/>
  <c r="P570" i="21"/>
  <c r="P569" i="21"/>
  <c r="P568" i="21"/>
  <c r="P567" i="21"/>
  <c r="P566" i="21"/>
  <c r="P565" i="21"/>
  <c r="P564" i="21"/>
  <c r="P563" i="21"/>
  <c r="P562" i="21"/>
  <c r="P561" i="21"/>
  <c r="P560" i="21"/>
  <c r="P559" i="21"/>
  <c r="P558" i="21"/>
  <c r="P557" i="21"/>
  <c r="P556" i="21"/>
  <c r="P555" i="21"/>
  <c r="P554" i="21"/>
  <c r="P553" i="21"/>
  <c r="P552" i="21"/>
  <c r="P551" i="21"/>
  <c r="P550" i="21"/>
  <c r="P549" i="21"/>
  <c r="P548" i="21"/>
  <c r="P547" i="21"/>
  <c r="P546" i="21"/>
  <c r="P545" i="21"/>
  <c r="P544" i="21"/>
  <c r="P543" i="21"/>
  <c r="P542" i="21"/>
  <c r="P541" i="21"/>
  <c r="P540" i="21"/>
  <c r="P539" i="21"/>
  <c r="P538" i="21"/>
  <c r="P537" i="21"/>
  <c r="P536" i="21"/>
  <c r="P535" i="21"/>
  <c r="P534" i="21"/>
  <c r="P533" i="21"/>
  <c r="P532" i="21"/>
  <c r="P531" i="21"/>
  <c r="P530" i="21"/>
  <c r="P529" i="21"/>
  <c r="P528" i="21"/>
  <c r="P527" i="21"/>
  <c r="P526" i="21"/>
  <c r="P525" i="21"/>
  <c r="P524" i="21"/>
  <c r="P523" i="21"/>
  <c r="P522" i="21"/>
  <c r="P521" i="21"/>
  <c r="P520" i="21"/>
  <c r="P519" i="21"/>
  <c r="P518" i="21"/>
  <c r="P517" i="21"/>
  <c r="P516" i="21"/>
  <c r="P515" i="21"/>
  <c r="P514" i="21"/>
  <c r="P513" i="21"/>
  <c r="P512" i="21"/>
  <c r="P511" i="21"/>
  <c r="P510" i="21"/>
  <c r="P509" i="21"/>
  <c r="P508" i="21"/>
  <c r="P507" i="21"/>
  <c r="P506" i="21"/>
  <c r="P505" i="21"/>
  <c r="P504" i="21"/>
  <c r="P503" i="21"/>
  <c r="P502" i="21"/>
  <c r="P501" i="21"/>
  <c r="P500" i="21"/>
  <c r="P499" i="21"/>
  <c r="P498" i="21"/>
  <c r="P497" i="21"/>
  <c r="P496" i="21"/>
  <c r="P495" i="21"/>
  <c r="P494" i="21"/>
  <c r="P493" i="21"/>
  <c r="P492" i="21"/>
  <c r="P491" i="21"/>
  <c r="P490" i="21"/>
  <c r="P489" i="21"/>
  <c r="P488" i="21"/>
  <c r="P487" i="21"/>
  <c r="P486" i="21"/>
  <c r="P485" i="21"/>
  <c r="P484" i="21"/>
  <c r="P483" i="21"/>
  <c r="P482" i="21"/>
  <c r="P481" i="21"/>
  <c r="P480" i="21"/>
  <c r="P479" i="21"/>
  <c r="P478" i="21"/>
  <c r="P477" i="21"/>
  <c r="P476" i="21"/>
  <c r="P475" i="21"/>
  <c r="P474" i="21"/>
  <c r="P473" i="21"/>
  <c r="P472" i="21"/>
  <c r="P471" i="21"/>
  <c r="P470" i="21"/>
  <c r="P469" i="21"/>
  <c r="P468" i="21"/>
  <c r="P467" i="21"/>
  <c r="P466" i="21"/>
  <c r="P465" i="21"/>
  <c r="P464" i="21"/>
  <c r="P463" i="21"/>
  <c r="P462" i="21"/>
  <c r="P461" i="21"/>
  <c r="P460" i="21"/>
  <c r="P459" i="21"/>
  <c r="P458" i="21"/>
  <c r="P457" i="21"/>
  <c r="P456" i="21"/>
  <c r="P455" i="21"/>
  <c r="P454" i="21"/>
  <c r="P453" i="21"/>
  <c r="P452" i="21"/>
  <c r="P451" i="21"/>
  <c r="P450" i="21"/>
  <c r="P449" i="21"/>
  <c r="P448" i="21"/>
  <c r="P447" i="21"/>
  <c r="P446" i="21"/>
  <c r="P445" i="21"/>
  <c r="P444" i="21"/>
  <c r="P443" i="21"/>
  <c r="P442" i="21"/>
  <c r="P441" i="21"/>
  <c r="P440" i="21"/>
  <c r="P439" i="21"/>
  <c r="P438" i="21"/>
  <c r="P437" i="21"/>
  <c r="P436" i="21"/>
  <c r="P435" i="21"/>
  <c r="P434" i="21"/>
  <c r="P433" i="21"/>
  <c r="P432" i="21"/>
  <c r="P431" i="21"/>
  <c r="P430" i="21"/>
  <c r="P429" i="21"/>
  <c r="P428" i="21"/>
  <c r="P427" i="21"/>
  <c r="P426" i="21"/>
  <c r="P425" i="21"/>
  <c r="P424" i="21"/>
  <c r="P423" i="21"/>
  <c r="P422" i="21"/>
  <c r="P421" i="21"/>
  <c r="P420" i="21"/>
  <c r="P419" i="21"/>
  <c r="P418" i="21"/>
  <c r="P417" i="21"/>
  <c r="P416" i="21"/>
  <c r="P415" i="21"/>
  <c r="P414" i="21"/>
  <c r="P413" i="21"/>
  <c r="P412" i="21"/>
  <c r="P411" i="21"/>
  <c r="P410" i="21"/>
  <c r="P409" i="21"/>
  <c r="P408" i="21"/>
  <c r="P407" i="21"/>
  <c r="P406" i="21"/>
  <c r="P405" i="21"/>
  <c r="P404" i="21"/>
  <c r="P403" i="21"/>
  <c r="P402" i="21"/>
  <c r="P401" i="21"/>
  <c r="P400" i="21"/>
  <c r="P399" i="21"/>
  <c r="P398" i="21"/>
  <c r="P397" i="21"/>
  <c r="P396" i="21"/>
  <c r="P395" i="21"/>
  <c r="P394" i="21"/>
  <c r="P393" i="21"/>
  <c r="P392" i="21"/>
  <c r="P391" i="21"/>
  <c r="P390" i="21"/>
  <c r="P389" i="21"/>
  <c r="P388" i="21"/>
  <c r="P387" i="21"/>
  <c r="P386" i="21"/>
  <c r="P385" i="21"/>
  <c r="P384" i="21"/>
  <c r="P383" i="21"/>
  <c r="P382" i="21"/>
  <c r="P381" i="21"/>
  <c r="P380" i="21"/>
  <c r="P379" i="21"/>
  <c r="P378" i="21"/>
  <c r="P377" i="21"/>
  <c r="P376" i="21"/>
  <c r="P375" i="21"/>
  <c r="P374" i="21"/>
  <c r="P373" i="21"/>
  <c r="P372" i="21"/>
  <c r="P371" i="21"/>
  <c r="P370" i="21"/>
  <c r="P369" i="21"/>
  <c r="P368" i="21"/>
  <c r="P367" i="21"/>
  <c r="P366" i="21"/>
  <c r="P365" i="21"/>
  <c r="P364" i="21"/>
  <c r="P363" i="21"/>
  <c r="P362" i="21"/>
  <c r="P361" i="21"/>
  <c r="P360" i="21"/>
  <c r="P359" i="21"/>
  <c r="P358" i="21"/>
  <c r="P357" i="21"/>
  <c r="P356" i="21"/>
  <c r="P355" i="21"/>
  <c r="P354" i="21"/>
  <c r="P353" i="21"/>
  <c r="P352" i="21"/>
  <c r="P351" i="21"/>
  <c r="P350" i="21"/>
  <c r="P349" i="21"/>
  <c r="P348" i="21"/>
  <c r="P347" i="21"/>
  <c r="P346" i="21"/>
  <c r="P345" i="21"/>
  <c r="P344" i="21"/>
  <c r="P343" i="21"/>
  <c r="P342" i="21"/>
  <c r="P341" i="21"/>
  <c r="P340" i="21"/>
  <c r="P339" i="21"/>
  <c r="P338" i="21"/>
  <c r="P337" i="21"/>
  <c r="P336" i="21"/>
  <c r="P335" i="21"/>
  <c r="P334" i="21"/>
  <c r="P333" i="21"/>
  <c r="P332" i="21"/>
  <c r="P331" i="21"/>
  <c r="P330" i="21"/>
  <c r="P329" i="21"/>
  <c r="P328" i="21"/>
  <c r="P327" i="21"/>
  <c r="P326" i="21"/>
  <c r="P325" i="21"/>
  <c r="P324" i="21"/>
  <c r="P323" i="21"/>
  <c r="P322" i="21"/>
  <c r="P321" i="21"/>
  <c r="P320" i="21"/>
  <c r="P319" i="21"/>
  <c r="P318" i="21"/>
  <c r="P317" i="21"/>
  <c r="P316" i="21"/>
  <c r="P315" i="21"/>
  <c r="P314" i="21"/>
  <c r="P313" i="21"/>
  <c r="P312" i="21"/>
  <c r="P311" i="21"/>
  <c r="P310" i="21"/>
  <c r="P309" i="21"/>
  <c r="P308" i="21"/>
  <c r="P307" i="21"/>
  <c r="P306" i="21"/>
  <c r="P305" i="21"/>
  <c r="P304" i="21"/>
  <c r="P303" i="21"/>
  <c r="P302" i="21"/>
  <c r="P301" i="21"/>
  <c r="P300" i="21"/>
  <c r="P299" i="21"/>
  <c r="P298" i="21"/>
  <c r="P297" i="21"/>
  <c r="P296" i="21"/>
  <c r="P295" i="21"/>
  <c r="P294" i="21"/>
  <c r="P293" i="21"/>
  <c r="P292" i="21"/>
  <c r="P291" i="21"/>
  <c r="P290" i="21"/>
  <c r="P289" i="21"/>
  <c r="P288" i="21"/>
  <c r="P287" i="21"/>
  <c r="P286" i="21"/>
  <c r="P285" i="21"/>
  <c r="P284" i="21"/>
  <c r="P283" i="21"/>
  <c r="P282" i="21"/>
  <c r="P281" i="21"/>
  <c r="P280" i="21"/>
  <c r="P279" i="21"/>
  <c r="P278" i="21"/>
  <c r="P277" i="21"/>
  <c r="P276" i="21"/>
  <c r="P275" i="21"/>
  <c r="P274" i="21"/>
  <c r="P273" i="21"/>
  <c r="P272" i="21"/>
  <c r="P271" i="21"/>
  <c r="P270" i="21"/>
  <c r="P269" i="21"/>
  <c r="P268" i="21"/>
  <c r="P267" i="21"/>
  <c r="P266" i="21"/>
  <c r="P265" i="21"/>
  <c r="P264" i="21"/>
  <c r="P263" i="21"/>
  <c r="P262" i="21"/>
  <c r="P261" i="21"/>
  <c r="P260" i="21"/>
  <c r="P259" i="21"/>
  <c r="P258" i="21"/>
  <c r="P257" i="21"/>
  <c r="P256" i="21"/>
  <c r="P255" i="21"/>
  <c r="P254" i="21"/>
  <c r="P253" i="21"/>
  <c r="P252" i="21"/>
  <c r="P251" i="21"/>
  <c r="P250" i="21"/>
  <c r="P249" i="21"/>
  <c r="P248" i="21"/>
  <c r="P247" i="21"/>
  <c r="P246" i="21"/>
  <c r="P245" i="21"/>
  <c r="P244" i="21"/>
  <c r="P243" i="21"/>
  <c r="P242" i="21"/>
  <c r="P241" i="21"/>
  <c r="P240" i="21"/>
  <c r="P239" i="21"/>
  <c r="P238" i="21"/>
  <c r="P237" i="21"/>
  <c r="P236" i="21"/>
  <c r="P235" i="21"/>
  <c r="P234" i="21"/>
  <c r="P233" i="21"/>
  <c r="P232" i="21"/>
  <c r="P231" i="21"/>
  <c r="P230" i="21"/>
  <c r="P229" i="21"/>
  <c r="P228" i="21"/>
  <c r="P227" i="21"/>
  <c r="P226" i="21"/>
  <c r="P225" i="21"/>
  <c r="P224" i="21"/>
  <c r="P223" i="21"/>
  <c r="P222" i="21"/>
  <c r="P221" i="21"/>
  <c r="P220" i="21"/>
  <c r="P219" i="21"/>
  <c r="P218" i="21"/>
  <c r="P217" i="21"/>
  <c r="P216" i="21"/>
  <c r="P215" i="21"/>
  <c r="P214" i="21"/>
  <c r="P213" i="21"/>
  <c r="P212" i="21"/>
  <c r="P211" i="21"/>
  <c r="P210" i="21"/>
  <c r="P209" i="21"/>
  <c r="P208" i="21"/>
  <c r="P207" i="21"/>
  <c r="P206" i="21"/>
  <c r="P205" i="21"/>
  <c r="P204" i="21"/>
  <c r="P203" i="21"/>
  <c r="P202" i="21"/>
  <c r="P201" i="21"/>
  <c r="P200" i="21"/>
  <c r="P199" i="21"/>
  <c r="P198" i="21"/>
  <c r="P197" i="21"/>
  <c r="P196" i="21"/>
  <c r="P195" i="21"/>
  <c r="P194" i="21"/>
  <c r="P193" i="21"/>
  <c r="P192" i="21"/>
  <c r="P191" i="21"/>
  <c r="P190" i="21"/>
  <c r="P189" i="21"/>
  <c r="P188" i="21"/>
  <c r="P187" i="21"/>
  <c r="P186" i="21"/>
  <c r="P185" i="21"/>
  <c r="P184" i="21"/>
  <c r="P183" i="21"/>
  <c r="P182" i="21"/>
  <c r="P181" i="21"/>
  <c r="P180" i="21"/>
  <c r="P179" i="21"/>
  <c r="P178" i="21"/>
  <c r="P177" i="21"/>
  <c r="P176" i="21"/>
  <c r="P175" i="21"/>
  <c r="P174" i="21"/>
  <c r="P173" i="21"/>
  <c r="P172" i="21"/>
  <c r="P171" i="21"/>
  <c r="P170" i="21"/>
  <c r="P169" i="21"/>
  <c r="P168" i="21"/>
  <c r="P167" i="21"/>
  <c r="P166" i="21"/>
  <c r="P165" i="21"/>
  <c r="P164" i="21"/>
  <c r="P163" i="21"/>
  <c r="P162" i="21"/>
  <c r="P161" i="21"/>
  <c r="P160" i="21"/>
  <c r="P159" i="21"/>
  <c r="P158" i="21"/>
  <c r="P157" i="21"/>
  <c r="P156" i="21"/>
  <c r="P155" i="21"/>
  <c r="P154" i="21"/>
  <c r="P153" i="21"/>
  <c r="P152" i="21"/>
  <c r="P151" i="21"/>
  <c r="P150" i="21"/>
  <c r="P149" i="21"/>
  <c r="P148" i="21"/>
  <c r="P147" i="21"/>
  <c r="P146" i="21"/>
  <c r="P145" i="21"/>
  <c r="P144" i="21"/>
  <c r="P143" i="21"/>
  <c r="P142" i="21"/>
  <c r="P141" i="21"/>
  <c r="P140" i="21"/>
  <c r="P139" i="21"/>
  <c r="P138" i="21"/>
  <c r="P137" i="21"/>
  <c r="P136" i="21"/>
  <c r="P135" i="21"/>
  <c r="P134" i="21"/>
  <c r="P133" i="21"/>
  <c r="P132" i="21"/>
  <c r="P131" i="21"/>
  <c r="P130" i="21"/>
  <c r="P129" i="21"/>
  <c r="P128" i="21"/>
  <c r="P127" i="21"/>
  <c r="P126" i="21"/>
  <c r="P125" i="21"/>
  <c r="P124" i="21"/>
  <c r="P123" i="21"/>
  <c r="P122" i="21"/>
  <c r="P121" i="2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P6" i="21"/>
  <c r="P5" i="21"/>
  <c r="P4" i="21"/>
  <c r="P3" i="21"/>
  <c r="P2" i="21"/>
  <c r="R11" i="21"/>
  <c r="R10" i="21"/>
  <c r="R9" i="21"/>
  <c r="R8" i="21"/>
  <c r="R7" i="21"/>
  <c r="R6" i="21"/>
  <c r="R5" i="21"/>
  <c r="R4" i="21"/>
  <c r="R3" i="21"/>
  <c r="R2" i="21"/>
  <c r="R14" i="21"/>
  <c r="R13" i="21"/>
  <c r="R12" i="21"/>
  <c r="R15" i="21"/>
  <c r="R600" i="21"/>
  <c r="R599" i="21"/>
  <c r="R598" i="21"/>
  <c r="R597" i="21"/>
  <c r="R596" i="21"/>
  <c r="R595" i="21"/>
  <c r="R594" i="21"/>
  <c r="R593" i="21"/>
  <c r="R592" i="21"/>
  <c r="R591" i="21"/>
  <c r="R590" i="21"/>
  <c r="R589" i="21"/>
  <c r="R588" i="21"/>
  <c r="R587" i="21"/>
  <c r="R586" i="21"/>
  <c r="R585" i="21"/>
  <c r="R584" i="21"/>
  <c r="R583" i="21"/>
  <c r="R582" i="21"/>
  <c r="R581" i="21"/>
  <c r="R580" i="21"/>
  <c r="R579" i="21"/>
  <c r="R578" i="21"/>
  <c r="R577" i="21"/>
  <c r="R576" i="21"/>
  <c r="R575" i="21"/>
  <c r="R574" i="21"/>
  <c r="R573" i="21"/>
  <c r="R572" i="21"/>
  <c r="R571" i="21"/>
  <c r="R570" i="21"/>
  <c r="R569" i="21"/>
  <c r="R568" i="21"/>
  <c r="R567" i="21"/>
  <c r="R566" i="21"/>
  <c r="R565" i="21"/>
  <c r="R564" i="21"/>
  <c r="R563" i="21"/>
  <c r="R562" i="21"/>
  <c r="R561" i="21"/>
  <c r="R560" i="21"/>
  <c r="R559" i="21"/>
  <c r="R558" i="21"/>
  <c r="R557" i="21"/>
  <c r="R556" i="21"/>
  <c r="R555" i="21"/>
  <c r="R554" i="21"/>
  <c r="R553" i="21"/>
  <c r="R552" i="21"/>
  <c r="R551" i="21"/>
  <c r="R550" i="21"/>
  <c r="R549" i="21"/>
  <c r="R548" i="21"/>
  <c r="R547" i="21"/>
  <c r="R546" i="21"/>
  <c r="R545" i="21"/>
  <c r="R544" i="21"/>
  <c r="R543" i="21"/>
  <c r="R542" i="21"/>
  <c r="R541" i="21"/>
  <c r="R540" i="21"/>
  <c r="R539" i="21"/>
  <c r="R538" i="21"/>
  <c r="R537" i="21"/>
  <c r="R536" i="21"/>
  <c r="R535" i="21"/>
  <c r="R534" i="21"/>
  <c r="R533" i="21"/>
  <c r="R532" i="21"/>
  <c r="R531" i="21"/>
  <c r="R530" i="21"/>
  <c r="R529" i="21"/>
  <c r="R528" i="21"/>
  <c r="R527" i="21"/>
  <c r="R526" i="21"/>
  <c r="R525" i="21"/>
  <c r="R524" i="21"/>
  <c r="R523" i="21"/>
  <c r="R522" i="21"/>
  <c r="R521" i="21"/>
  <c r="R520" i="21"/>
  <c r="R519" i="21"/>
  <c r="R518" i="21"/>
  <c r="R517" i="21"/>
  <c r="R516" i="21"/>
  <c r="R515" i="21"/>
  <c r="R514" i="21"/>
  <c r="R513" i="21"/>
  <c r="R512" i="21"/>
  <c r="R511" i="21"/>
  <c r="R510" i="21"/>
  <c r="R509" i="21"/>
  <c r="R508" i="21"/>
  <c r="R507" i="21"/>
  <c r="R506" i="21"/>
  <c r="R505" i="21"/>
  <c r="R504" i="21"/>
  <c r="R503" i="21"/>
  <c r="R502" i="21"/>
  <c r="R501" i="21"/>
  <c r="R500" i="21"/>
  <c r="R499" i="21"/>
  <c r="R498" i="21"/>
  <c r="R497" i="21"/>
  <c r="R496" i="21"/>
  <c r="R495" i="21"/>
  <c r="R494" i="21"/>
  <c r="R493" i="21"/>
  <c r="R492" i="21"/>
  <c r="R491" i="21"/>
  <c r="R490" i="21"/>
  <c r="R489" i="21"/>
  <c r="R488" i="21"/>
  <c r="R487" i="21"/>
  <c r="R486" i="21"/>
  <c r="R485" i="21"/>
  <c r="R484" i="21"/>
  <c r="R483" i="21"/>
  <c r="R482" i="21"/>
  <c r="R481" i="21"/>
  <c r="R480" i="21"/>
  <c r="R479" i="21"/>
  <c r="R478" i="21"/>
  <c r="R477" i="21"/>
  <c r="R476" i="21"/>
  <c r="R475" i="21"/>
  <c r="R474" i="21"/>
  <c r="R473" i="21"/>
  <c r="R472" i="21"/>
  <c r="R471" i="21"/>
  <c r="R470" i="21"/>
  <c r="R469" i="21"/>
  <c r="R468" i="21"/>
  <c r="R467" i="21"/>
  <c r="R466" i="21"/>
  <c r="R465" i="21"/>
  <c r="R464" i="21"/>
  <c r="R463" i="21"/>
  <c r="R462" i="21"/>
  <c r="R461" i="21"/>
  <c r="R460" i="21"/>
  <c r="R459" i="21"/>
  <c r="R458" i="21"/>
  <c r="R457" i="21"/>
  <c r="R456" i="21"/>
  <c r="R455" i="21"/>
  <c r="R454" i="21"/>
  <c r="R453" i="21"/>
  <c r="R452" i="21"/>
  <c r="R451" i="21"/>
  <c r="R450" i="21"/>
  <c r="R449" i="21"/>
  <c r="R448" i="21"/>
  <c r="R447" i="21"/>
  <c r="R446" i="21"/>
  <c r="R445" i="21"/>
  <c r="R444" i="21"/>
  <c r="R443" i="21"/>
  <c r="R442" i="21"/>
  <c r="R441" i="21"/>
  <c r="R440" i="21"/>
  <c r="R439" i="21"/>
  <c r="R438" i="21"/>
  <c r="R437" i="21"/>
  <c r="R436" i="21"/>
  <c r="R435" i="21"/>
  <c r="R434" i="21"/>
  <c r="R433" i="21"/>
  <c r="R432" i="21"/>
  <c r="R431" i="21"/>
  <c r="R430" i="21"/>
  <c r="R429" i="21"/>
  <c r="R428" i="21"/>
  <c r="R427" i="21"/>
  <c r="R426" i="21"/>
  <c r="R425" i="21"/>
  <c r="R424" i="21"/>
  <c r="R423" i="21"/>
  <c r="R422" i="21"/>
  <c r="R421" i="21"/>
  <c r="R420" i="21"/>
  <c r="R419" i="21"/>
  <c r="R418" i="21"/>
  <c r="R417" i="21"/>
  <c r="R416" i="21"/>
  <c r="R415" i="21"/>
  <c r="R414" i="21"/>
  <c r="R413" i="21"/>
  <c r="R412" i="21"/>
  <c r="R411" i="21"/>
  <c r="R410" i="21"/>
  <c r="R409" i="21"/>
  <c r="R408" i="21"/>
  <c r="R407" i="21"/>
  <c r="R406" i="21"/>
  <c r="R405" i="21"/>
  <c r="R404" i="21"/>
  <c r="R403" i="21"/>
  <c r="R402" i="21"/>
  <c r="R401" i="21"/>
  <c r="R400" i="21"/>
  <c r="R399" i="21"/>
  <c r="R398" i="21"/>
  <c r="R397" i="21"/>
  <c r="R396" i="21"/>
  <c r="R395" i="21"/>
  <c r="R394" i="21"/>
  <c r="R393" i="21"/>
  <c r="R392" i="21"/>
  <c r="R391" i="21"/>
  <c r="R390" i="21"/>
  <c r="R389" i="21"/>
  <c r="R388" i="21"/>
  <c r="R387" i="21"/>
  <c r="R386" i="21"/>
  <c r="R385" i="21"/>
  <c r="R384" i="21"/>
  <c r="R383" i="21"/>
  <c r="R382" i="21"/>
  <c r="R381" i="21"/>
  <c r="R380" i="21"/>
  <c r="R379" i="21"/>
  <c r="R378" i="21"/>
  <c r="R377" i="21"/>
  <c r="R376" i="21"/>
  <c r="R375" i="21"/>
  <c r="R374" i="21"/>
  <c r="R373" i="21"/>
  <c r="R372" i="21"/>
  <c r="R371" i="21"/>
  <c r="R370" i="21"/>
  <c r="R369" i="21"/>
  <c r="R368" i="21"/>
  <c r="R367" i="21"/>
  <c r="R366" i="21"/>
  <c r="R365" i="21"/>
  <c r="R364" i="21"/>
  <c r="R363" i="21"/>
  <c r="R362" i="21"/>
  <c r="R361" i="21"/>
  <c r="R360" i="21"/>
  <c r="R359" i="21"/>
  <c r="R358" i="21"/>
  <c r="R357" i="21"/>
  <c r="R356" i="21"/>
  <c r="R355" i="21"/>
  <c r="R354" i="21"/>
  <c r="R353" i="21"/>
  <c r="R352" i="21"/>
  <c r="R351" i="21"/>
  <c r="R350" i="21"/>
  <c r="R349" i="21"/>
  <c r="R348" i="21"/>
  <c r="R347" i="21"/>
  <c r="R346" i="21"/>
  <c r="R345" i="21"/>
  <c r="R344" i="21"/>
  <c r="R343" i="21"/>
  <c r="R342" i="21"/>
  <c r="R341" i="21"/>
  <c r="R340" i="21"/>
  <c r="R339" i="21"/>
  <c r="R338" i="21"/>
  <c r="R337" i="21"/>
  <c r="R336" i="21"/>
  <c r="R335" i="21"/>
  <c r="R334" i="21"/>
  <c r="R333" i="21"/>
  <c r="R332" i="21"/>
  <c r="R331" i="21"/>
  <c r="R330" i="21"/>
  <c r="R329" i="21"/>
  <c r="R328" i="21"/>
  <c r="R327" i="21"/>
  <c r="R326" i="21"/>
  <c r="R325" i="21"/>
  <c r="R324" i="21"/>
  <c r="R323" i="21"/>
  <c r="R322" i="21"/>
  <c r="R321" i="21"/>
  <c r="R320" i="21"/>
  <c r="R319" i="21"/>
  <c r="R318" i="21"/>
  <c r="R317" i="21"/>
  <c r="R316" i="21"/>
  <c r="R315" i="21"/>
  <c r="R314" i="21"/>
  <c r="R313" i="21"/>
  <c r="R312" i="21"/>
  <c r="R311" i="21"/>
  <c r="R310" i="21"/>
  <c r="R309" i="21"/>
  <c r="R308" i="21"/>
  <c r="R307" i="21"/>
  <c r="R306" i="21"/>
  <c r="R305" i="21"/>
  <c r="R304" i="21"/>
  <c r="R303" i="21"/>
  <c r="R302" i="21"/>
  <c r="R301" i="21"/>
  <c r="R300" i="21"/>
  <c r="R299" i="21"/>
  <c r="R298" i="21"/>
  <c r="R297" i="21"/>
  <c r="R296" i="21"/>
  <c r="R295" i="21"/>
  <c r="R294" i="21"/>
  <c r="R293" i="21"/>
  <c r="R292" i="21"/>
  <c r="R291" i="21"/>
  <c r="R290" i="21"/>
  <c r="R289" i="21"/>
  <c r="R288" i="21"/>
  <c r="R287" i="21"/>
  <c r="R286" i="21"/>
  <c r="R285" i="21"/>
  <c r="R284" i="21"/>
  <c r="R283" i="21"/>
  <c r="R282" i="21"/>
  <c r="R281" i="21"/>
  <c r="R280" i="21"/>
  <c r="R279" i="21"/>
  <c r="R278" i="21"/>
  <c r="R277" i="21"/>
  <c r="R276" i="21"/>
  <c r="R275" i="21"/>
  <c r="R274" i="21"/>
  <c r="R273" i="21"/>
  <c r="R272" i="21"/>
  <c r="R271" i="21"/>
  <c r="R270" i="21"/>
  <c r="R269" i="21"/>
  <c r="R268" i="21"/>
  <c r="R267" i="21"/>
  <c r="R266" i="21"/>
  <c r="R265" i="21"/>
  <c r="R264" i="21"/>
  <c r="R263" i="21"/>
  <c r="R262" i="21"/>
  <c r="R261" i="21"/>
  <c r="R260" i="21"/>
  <c r="R259" i="21"/>
  <c r="R258" i="21"/>
  <c r="R257" i="21"/>
  <c r="R256" i="21"/>
  <c r="R255" i="21"/>
  <c r="R254" i="21"/>
  <c r="R253" i="21"/>
  <c r="R252" i="21"/>
  <c r="R251" i="21"/>
  <c r="R250" i="21"/>
  <c r="R249" i="21"/>
  <c r="R248" i="21"/>
  <c r="R247" i="21"/>
  <c r="R246" i="21"/>
  <c r="R245" i="21"/>
  <c r="R244" i="21"/>
  <c r="R243" i="21"/>
  <c r="R242" i="21"/>
  <c r="R241" i="21"/>
  <c r="R240" i="21"/>
  <c r="R239" i="21"/>
  <c r="R238" i="21"/>
  <c r="R237" i="21"/>
  <c r="R236" i="21"/>
  <c r="R235" i="21"/>
  <c r="R234" i="21"/>
  <c r="R233" i="21"/>
  <c r="R232" i="21"/>
  <c r="R231" i="21"/>
  <c r="R230" i="21"/>
  <c r="R229" i="21"/>
  <c r="R228" i="21"/>
  <c r="R227" i="21"/>
  <c r="R226" i="21"/>
  <c r="R225" i="21"/>
  <c r="R224" i="21"/>
  <c r="R223" i="21"/>
  <c r="R222" i="21"/>
  <c r="R221" i="21"/>
  <c r="R220" i="21"/>
  <c r="R219" i="21"/>
  <c r="R218" i="21"/>
  <c r="R217" i="21"/>
  <c r="R216" i="21"/>
  <c r="R215" i="21"/>
  <c r="R214" i="21"/>
  <c r="R213" i="21"/>
  <c r="R212" i="21"/>
  <c r="R211" i="21"/>
  <c r="R210" i="21"/>
  <c r="R209" i="21"/>
  <c r="R208" i="21"/>
  <c r="R207" i="21"/>
  <c r="R206" i="21"/>
  <c r="R205" i="21"/>
  <c r="R204" i="21"/>
  <c r="R203" i="21"/>
  <c r="R202" i="21"/>
  <c r="R201" i="21"/>
  <c r="R200" i="21"/>
  <c r="R199" i="21"/>
  <c r="R198" i="21"/>
  <c r="R197" i="21"/>
  <c r="R196" i="21"/>
  <c r="R195" i="21"/>
  <c r="R194" i="21"/>
  <c r="R193" i="21"/>
  <c r="R192" i="21"/>
  <c r="R191" i="21"/>
  <c r="R190" i="21"/>
  <c r="R189" i="21"/>
  <c r="R188" i="21"/>
  <c r="R187" i="21"/>
  <c r="R186" i="21"/>
  <c r="R185" i="21"/>
  <c r="R184" i="21"/>
  <c r="R183" i="21"/>
  <c r="R182" i="21"/>
  <c r="R181" i="21"/>
  <c r="R180" i="21"/>
  <c r="R179" i="21"/>
  <c r="R178" i="21"/>
  <c r="R177" i="21"/>
  <c r="R176" i="21"/>
  <c r="R175" i="21"/>
  <c r="R174" i="21"/>
  <c r="R173" i="21"/>
  <c r="R172" i="21"/>
  <c r="R171" i="21"/>
  <c r="R170" i="21"/>
  <c r="R169" i="21"/>
  <c r="R168" i="21"/>
  <c r="R167" i="21"/>
  <c r="R166" i="21"/>
  <c r="R165" i="21"/>
  <c r="R164" i="21"/>
  <c r="R163" i="21"/>
  <c r="R162" i="21"/>
  <c r="R161" i="21"/>
  <c r="R160" i="21"/>
  <c r="R159" i="21"/>
  <c r="R158" i="21"/>
  <c r="R157" i="21"/>
  <c r="R156" i="21"/>
  <c r="R155" i="21"/>
  <c r="R154" i="21"/>
  <c r="R153" i="21"/>
  <c r="R152" i="21"/>
  <c r="R151" i="21"/>
  <c r="R150" i="21"/>
  <c r="R149" i="21"/>
  <c r="R148" i="21"/>
  <c r="R147" i="21"/>
  <c r="R146" i="21"/>
  <c r="R145" i="21"/>
  <c r="R144" i="21"/>
  <c r="R143" i="21"/>
  <c r="R142" i="21"/>
  <c r="R141" i="21"/>
  <c r="R140" i="21"/>
  <c r="R139" i="21"/>
  <c r="R138" i="21"/>
  <c r="R137" i="21"/>
  <c r="R136" i="21"/>
  <c r="R135" i="21"/>
  <c r="R134" i="21"/>
  <c r="R133" i="21"/>
  <c r="R132" i="21"/>
  <c r="R131" i="21"/>
  <c r="R130" i="21"/>
  <c r="R129" i="21"/>
  <c r="R128" i="21"/>
  <c r="R127" i="21"/>
  <c r="R126" i="21"/>
  <c r="R125" i="21"/>
  <c r="R124" i="21"/>
  <c r="R123" i="21"/>
  <c r="R122" i="21"/>
  <c r="R121" i="21"/>
  <c r="R120" i="21"/>
  <c r="R119" i="21"/>
  <c r="R118" i="21"/>
  <c r="R117" i="21"/>
  <c r="R116" i="21"/>
  <c r="R115" i="21"/>
  <c r="R114" i="21"/>
  <c r="R113" i="21"/>
  <c r="R112" i="21"/>
  <c r="R111" i="21"/>
  <c r="R110" i="21"/>
  <c r="R109" i="21"/>
  <c r="R108" i="21"/>
  <c r="R107" i="21"/>
  <c r="R106" i="21"/>
  <c r="R105" i="21"/>
  <c r="R104" i="21"/>
  <c r="R103" i="21"/>
  <c r="R102" i="21"/>
  <c r="R101" i="21"/>
  <c r="R100" i="21"/>
  <c r="R99" i="21"/>
  <c r="R98" i="21"/>
  <c r="R97" i="21"/>
  <c r="R96" i="21"/>
  <c r="R95" i="21"/>
  <c r="R94" i="21"/>
  <c r="R93" i="21"/>
  <c r="R92" i="21"/>
  <c r="R91" i="21"/>
  <c r="R90" i="21"/>
  <c r="R89" i="21"/>
  <c r="R88" i="21"/>
  <c r="R87" i="21"/>
  <c r="R86" i="21"/>
  <c r="R85" i="21"/>
  <c r="R84" i="21"/>
  <c r="R83" i="21"/>
  <c r="R82" i="21"/>
  <c r="R81" i="21"/>
  <c r="R80" i="21"/>
  <c r="R79" i="21"/>
  <c r="R78" i="21"/>
  <c r="R77" i="21"/>
  <c r="R76" i="21"/>
  <c r="R75" i="21"/>
  <c r="R74" i="21"/>
  <c r="R73" i="21"/>
  <c r="R72" i="21"/>
  <c r="R71" i="21"/>
  <c r="R70" i="21"/>
  <c r="R69" i="21"/>
  <c r="R68" i="21"/>
  <c r="R67" i="21"/>
  <c r="R66" i="21"/>
  <c r="R65" i="21"/>
  <c r="R64" i="21"/>
  <c r="R63" i="21"/>
  <c r="R62" i="21"/>
  <c r="R61" i="21"/>
  <c r="R60" i="21"/>
  <c r="R59" i="21"/>
  <c r="R58" i="21"/>
  <c r="R57" i="21"/>
  <c r="R56" i="21"/>
  <c r="R55" i="21"/>
  <c r="R54" i="21"/>
  <c r="R53" i="21"/>
  <c r="R52" i="21"/>
  <c r="R51" i="21"/>
  <c r="R50" i="21"/>
  <c r="R49" i="21"/>
  <c r="R48" i="21"/>
  <c r="R47" i="21"/>
  <c r="R46" i="21"/>
  <c r="R45" i="21"/>
  <c r="R44" i="21"/>
  <c r="R43" i="21"/>
  <c r="R42" i="21"/>
  <c r="R41" i="21"/>
  <c r="R40" i="21"/>
  <c r="R39" i="21"/>
  <c r="R38" i="21"/>
  <c r="R37" i="21"/>
  <c r="R36" i="21"/>
  <c r="R35" i="21"/>
  <c r="R34" i="21"/>
  <c r="R33" i="21"/>
  <c r="R32" i="21"/>
  <c r="R31" i="21"/>
  <c r="R30" i="21"/>
  <c r="R29" i="21"/>
  <c r="R28" i="21"/>
  <c r="R27" i="21"/>
  <c r="R26" i="21"/>
  <c r="R25" i="21"/>
  <c r="R24" i="21"/>
  <c r="R23" i="21"/>
  <c r="R22" i="21"/>
  <c r="R21" i="21"/>
  <c r="R20" i="21"/>
  <c r="R19" i="21"/>
  <c r="R18" i="21"/>
  <c r="R17" i="21"/>
  <c r="R16" i="21"/>
  <c r="T13" i="25"/>
  <c r="D112" i="16"/>
  <c r="D116" i="16"/>
  <c r="D115" i="16"/>
  <c r="D114" i="16"/>
  <c r="D113" i="16"/>
</calcChain>
</file>

<file path=xl/sharedStrings.xml><?xml version="1.0" encoding="utf-8"?>
<sst xmlns="http://schemas.openxmlformats.org/spreadsheetml/2006/main" count="284" uniqueCount="182">
  <si>
    <t>Worst Case</t>
  </si>
  <si>
    <t>Date</t>
  </si>
  <si>
    <t>AvgDaily</t>
  </si>
  <si>
    <t>Backlog</t>
  </si>
  <si>
    <t>Future Ready</t>
  </si>
  <si>
    <t>Comments</t>
  </si>
  <si>
    <t>First date</t>
  </si>
  <si>
    <t>Total</t>
  </si>
  <si>
    <t>Lead Start</t>
  </si>
  <si>
    <t>Lead End</t>
  </si>
  <si>
    <t>Lead Time</t>
  </si>
  <si>
    <t>Target</t>
  </si>
  <si>
    <t>Work Item ID</t>
  </si>
  <si>
    <t>Title</t>
  </si>
  <si>
    <t>Dates</t>
  </si>
  <si>
    <t>Weighting</t>
  </si>
  <si>
    <t>DaysToIgnoreOnAvg</t>
  </si>
  <si>
    <t>Best Case</t>
  </si>
  <si>
    <t>To Do</t>
  </si>
  <si>
    <t>Done</t>
  </si>
  <si>
    <t>In Progress</t>
  </si>
  <si>
    <t>Percentile High</t>
  </si>
  <si>
    <t>Deviation</t>
  </si>
  <si>
    <t xml:space="preserve"> this lets you offset the average line to start a number of days in. usefull for 'priming' a new system. Set it to the first day a work item finishes</t>
  </si>
  <si>
    <t>In case of story points or T-shirt sizes being used</t>
  </si>
  <si>
    <t>Median Prediction</t>
  </si>
  <si>
    <t>lowDaily</t>
  </si>
  <si>
    <t>highDaily</t>
  </si>
  <si>
    <t>lookupHigh</t>
  </si>
  <si>
    <t>lookupLow</t>
  </si>
  <si>
    <t>lookupMedian</t>
  </si>
  <si>
    <t>thia percentile(I suggest  85th, or  90th) affects variance on the CFD</t>
  </si>
  <si>
    <t>LeadTime</t>
  </si>
  <si>
    <t>percent</t>
  </si>
  <si>
    <t>cumulative percent</t>
  </si>
  <si>
    <t>Type</t>
  </si>
  <si>
    <t>Spike</t>
  </si>
  <si>
    <t>Work item type</t>
  </si>
  <si>
    <t>All</t>
  </si>
  <si>
    <t>spike</t>
  </si>
  <si>
    <t>WIP</t>
  </si>
  <si>
    <t>Rounded Lead Time</t>
  </si>
  <si>
    <t>Work Item types</t>
  </si>
  <si>
    <t>Story</t>
  </si>
  <si>
    <t>Ready</t>
  </si>
  <si>
    <t>TechPod</t>
  </si>
  <si>
    <t>Ready For Demo</t>
  </si>
  <si>
    <t>Demo</t>
  </si>
  <si>
    <t>Ready for Demo</t>
  </si>
  <si>
    <t>Epic</t>
  </si>
  <si>
    <t>Emergence</t>
  </si>
  <si>
    <t>Goal Done</t>
  </si>
  <si>
    <t>Sort</t>
  </si>
  <si>
    <t>Future</t>
  </si>
  <si>
    <t>AVG Lead Time</t>
  </si>
  <si>
    <t>Delivery Rate</t>
  </si>
  <si>
    <t>Avg WIP</t>
  </si>
  <si>
    <t>Bank holidays</t>
  </si>
  <si>
    <t>Avg Lead Time</t>
  </si>
  <si>
    <t>Day</t>
  </si>
  <si>
    <t>Uncommitted Future Work</t>
  </si>
  <si>
    <t>BlankLeadTime</t>
  </si>
  <si>
    <t>Basic SLA</t>
  </si>
  <si>
    <t>Moving 11D Goal</t>
  </si>
  <si>
    <t>&lt;-Future work type</t>
  </si>
  <si>
    <t>Sprint Finished</t>
  </si>
  <si>
    <t>Freq</t>
  </si>
  <si>
    <t>People</t>
  </si>
  <si>
    <t>people</t>
  </si>
  <si>
    <t>Future Work</t>
  </si>
  <si>
    <t>story</t>
  </si>
  <si>
    <t>Date override (normally empty) -&gt;</t>
  </si>
  <si>
    <t xml:space="preserve">&lt;-DO NOT CHANGE THIS CELL it is used to show the date on the CFD chart </t>
  </si>
  <si>
    <t>Deadline -&gt;</t>
  </si>
  <si>
    <t xml:space="preserve">&lt;-DO NOT CHANGE THIS CELL it is used to show the deadline date on the CFD chart </t>
  </si>
  <si>
    <t>Deadline</t>
  </si>
  <si>
    <t>mean average -&gt;</t>
  </si>
  <si>
    <t>This work is licensed under the Creative Commons Attribution-ShareAlike 4.0 International License. To view a copy of this license, visit http://creativecommons.org/licenses/by-sa/4.0/.</t>
  </si>
  <si>
    <r>
      <t>Predictive Cumulative Flow Sheet by </t>
    </r>
    <r>
      <rPr>
        <sz val="14"/>
        <color rgb="FF428BCA"/>
        <rFont val="Helvetica Neue"/>
      </rPr>
      <t>Dan Brown</t>
    </r>
    <r>
      <rPr>
        <sz val="14"/>
        <color rgb="FF000000"/>
        <rFont val="Helvetica Neue"/>
      </rPr>
      <t> is licensed under a </t>
    </r>
    <r>
      <rPr>
        <sz val="14"/>
        <color rgb="FF428BCA"/>
        <rFont val="Helvetica Neue"/>
      </rPr>
      <t>Creative Commons Attribution-ShareAlike 4.0 International License</t>
    </r>
    <r>
      <rPr>
        <sz val="14"/>
        <color rgb="FF000000"/>
        <rFont val="Helvetica Neue"/>
      </rPr>
      <t>.</t>
    </r>
  </si>
  <si>
    <t>@KanbanDan</t>
  </si>
  <si>
    <t>www.kanbandan.com</t>
  </si>
  <si>
    <t>Story 1</t>
  </si>
  <si>
    <t>Story 2</t>
  </si>
  <si>
    <t>Story 3</t>
  </si>
  <si>
    <t>Story 4</t>
  </si>
  <si>
    <t>Story 5</t>
  </si>
  <si>
    <t>Story 6</t>
  </si>
  <si>
    <t>Story 7</t>
  </si>
  <si>
    <t>Story 8</t>
  </si>
  <si>
    <t>Story 9</t>
  </si>
  <si>
    <t>Story 10</t>
  </si>
  <si>
    <t>Story 11</t>
  </si>
  <si>
    <t>Story 12</t>
  </si>
  <si>
    <t>Story 13</t>
  </si>
  <si>
    <t>Story 14</t>
  </si>
  <si>
    <t>Story 15</t>
  </si>
  <si>
    <t>Story 16</t>
  </si>
  <si>
    <t>Story 17</t>
  </si>
  <si>
    <t>Story 18</t>
  </si>
  <si>
    <t>Story 19</t>
  </si>
  <si>
    <t>Story 20</t>
  </si>
  <si>
    <t>Story 21</t>
  </si>
  <si>
    <t>Story 22</t>
  </si>
  <si>
    <t>Story 23</t>
  </si>
  <si>
    <t>Story 24</t>
  </si>
  <si>
    <t>Story 25</t>
  </si>
  <si>
    <t>Story 26</t>
  </si>
  <si>
    <t>Story 27</t>
  </si>
  <si>
    <t>Story 28</t>
  </si>
  <si>
    <t>Story 29</t>
  </si>
  <si>
    <t>Story 30</t>
  </si>
  <si>
    <t>Story 31</t>
  </si>
  <si>
    <t>Story 32</t>
  </si>
  <si>
    <t>Story 33</t>
  </si>
  <si>
    <t>Story 34</t>
  </si>
  <si>
    <t>Story 35</t>
  </si>
  <si>
    <t>Story 36</t>
  </si>
  <si>
    <t>Story 37</t>
  </si>
  <si>
    <t>Story 38</t>
  </si>
  <si>
    <t>Story 39</t>
  </si>
  <si>
    <t>Story 40</t>
  </si>
  <si>
    <t>Story 41</t>
  </si>
  <si>
    <t>Story 42</t>
  </si>
  <si>
    <t>Story 43</t>
  </si>
  <si>
    <t>Story 44</t>
  </si>
  <si>
    <t>Story 45</t>
  </si>
  <si>
    <t>Story 46</t>
  </si>
  <si>
    <t>Story 47</t>
  </si>
  <si>
    <t>Story 48</t>
  </si>
  <si>
    <t>Story 49</t>
  </si>
  <si>
    <t>Story 50</t>
  </si>
  <si>
    <t>Story 51</t>
  </si>
  <si>
    <t>Story 52</t>
  </si>
  <si>
    <t>Story 53</t>
  </si>
  <si>
    <t>Story 54</t>
  </si>
  <si>
    <t>Story 55</t>
  </si>
  <si>
    <t>Story 56</t>
  </si>
  <si>
    <t>Story 57</t>
  </si>
  <si>
    <t>Story 58</t>
  </si>
  <si>
    <t>Story 59</t>
  </si>
  <si>
    <t>Story 60</t>
  </si>
  <si>
    <t>Story 61</t>
  </si>
  <si>
    <t>Story 62</t>
  </si>
  <si>
    <t>Story 63</t>
  </si>
  <si>
    <t>Story 64</t>
  </si>
  <si>
    <t>Story 65</t>
  </si>
  <si>
    <t>Story 66</t>
  </si>
  <si>
    <t>Story 67</t>
  </si>
  <si>
    <t>Story 68</t>
  </si>
  <si>
    <t>Story 69</t>
  </si>
  <si>
    <t>Story 70</t>
  </si>
  <si>
    <t>Story 71</t>
  </si>
  <si>
    <t>Story 72</t>
  </si>
  <si>
    <t>Story 73</t>
  </si>
  <si>
    <t>Story 74</t>
  </si>
  <si>
    <t>Story 75</t>
  </si>
  <si>
    <t>Story 76</t>
  </si>
  <si>
    <t>Story 77</t>
  </si>
  <si>
    <t>Story 78</t>
  </si>
  <si>
    <t>Story 79</t>
  </si>
  <si>
    <t>Story 80</t>
  </si>
  <si>
    <t>Story 81</t>
  </si>
  <si>
    <t>Story 82</t>
  </si>
  <si>
    <t>Story 83</t>
  </si>
  <si>
    <t>Story 84</t>
  </si>
  <si>
    <t>Story 85</t>
  </si>
  <si>
    <t>Story 86</t>
  </si>
  <si>
    <t>Story 87</t>
  </si>
  <si>
    <t>Story 88</t>
  </si>
  <si>
    <t>Story 89</t>
  </si>
  <si>
    <t>Story 90</t>
  </si>
  <si>
    <t>Historic</t>
  </si>
  <si>
    <t>Historic Numbers</t>
  </si>
  <si>
    <t>AvgOffsetedTorange</t>
  </si>
  <si>
    <t>Done Today</t>
  </si>
  <si>
    <t>Old Deviation</t>
  </si>
  <si>
    <t>OLD AvgDaily</t>
  </si>
  <si>
    <t>FutureWork2</t>
  </si>
  <si>
    <t>Added Work</t>
  </si>
  <si>
    <t>avg added</t>
  </si>
  <si>
    <t>Known Backlog</t>
  </si>
  <si>
    <t>known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</si>
</sst>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d"/>
  </numFmts>
  <fonts count="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i/>
      <sz val="11"/>
      <color theme="1"/>
      <name val="Calibri"/>
      <scheme val="minor"/>
    </font>
    <font>
      <sz val="14"/>
      <name val="Arial"/>
    </font>
    <font>
      <b/>
      <sz val="14"/>
      <color rgb="FF3F3F76"/>
      <name val="Calibri"/>
      <scheme val="minor"/>
    </font>
    <font>
      <sz val="8"/>
      <name val="Arial"/>
    </font>
    <font>
      <b/>
      <sz val="11"/>
      <color theme="1"/>
      <name val="Calibri"/>
      <family val="2"/>
      <scheme val="minor"/>
    </font>
    <font>
      <sz val="14"/>
      <color rgb="FF000000"/>
      <name val="Helvetica Neue"/>
    </font>
    <font>
      <sz val="14"/>
      <color rgb="FF428BCA"/>
      <name val="Helvetica Neue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auto="1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/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189">
    <xf numFmtId="0" fontId="0" fillId="0" borderId="0"/>
    <xf numFmtId="0" fontId="4" fillId="0" borderId="0"/>
    <xf numFmtId="0" fontId="3" fillId="0" borderId="0"/>
    <xf numFmtId="0" fontId="5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10" fillId="2" borderId="1" applyNumberFormat="0" applyAlignment="0" applyProtection="0"/>
    <xf numFmtId="0" fontId="11" fillId="3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0" fontId="3" fillId="0" borderId="0" xfId="4"/>
    <xf numFmtId="0" fontId="3" fillId="0" borderId="0" xfId="4" applyFill="1"/>
    <xf numFmtId="164" fontId="8" fillId="0" borderId="0" xfId="4" applyNumberFormat="1" applyFont="1"/>
    <xf numFmtId="0" fontId="2" fillId="0" borderId="0" xfId="41"/>
    <xf numFmtId="0" fontId="2" fillId="0" borderId="0" xfId="41" applyFill="1" applyBorder="1"/>
    <xf numFmtId="14" fontId="2" fillId="0" borderId="0" xfId="41" applyNumberFormat="1" applyFill="1" applyBorder="1"/>
    <xf numFmtId="0" fontId="9" fillId="0" borderId="0" xfId="0" applyFont="1"/>
    <xf numFmtId="165" fontId="11" fillId="3" borderId="1" xfId="43" applyNumberFormat="1"/>
    <xf numFmtId="164" fontId="11" fillId="3" borderId="1" xfId="43" applyNumberFormat="1"/>
    <xf numFmtId="0" fontId="11" fillId="3" borderId="1" xfId="43"/>
    <xf numFmtId="14" fontId="11" fillId="3" borderId="1" xfId="43" applyNumberFormat="1"/>
    <xf numFmtId="0" fontId="11" fillId="3" borderId="1" xfId="43" applyNumberFormat="1"/>
    <xf numFmtId="0" fontId="10" fillId="2" borderId="1" xfId="42"/>
    <xf numFmtId="0" fontId="10" fillId="2" borderId="1" xfId="42" applyNumberFormat="1"/>
    <xf numFmtId="14" fontId="10" fillId="2" borderId="1" xfId="42" applyNumberFormat="1"/>
    <xf numFmtId="14" fontId="1" fillId="0" borderId="0" xfId="41" applyNumberFormat="1" applyFont="1" applyFill="1" applyBorder="1"/>
    <xf numFmtId="0" fontId="1" fillId="0" borderId="0" xfId="41" applyFont="1"/>
    <xf numFmtId="0" fontId="10" fillId="2" borderId="2" xfId="42" applyBorder="1"/>
    <xf numFmtId="0" fontId="1" fillId="0" borderId="0" xfId="41" applyFont="1" applyAlignment="1">
      <alignment wrapText="1"/>
    </xf>
    <xf numFmtId="0" fontId="2" fillId="0" borderId="0" xfId="41" applyAlignment="1">
      <alignment wrapText="1"/>
    </xf>
    <xf numFmtId="14" fontId="1" fillId="0" borderId="0" xfId="41" applyNumberFormat="1" applyFont="1" applyFill="1" applyBorder="1" applyAlignment="1">
      <alignment wrapText="1"/>
    </xf>
    <xf numFmtId="14" fontId="12" fillId="0" borderId="0" xfId="41" applyNumberFormat="1" applyFont="1" applyFill="1" applyBorder="1"/>
    <xf numFmtId="0" fontId="14" fillId="0" borderId="0" xfId="41" applyFont="1"/>
    <xf numFmtId="0" fontId="1" fillId="0" borderId="0" xfId="41" applyFont="1" applyAlignment="1">
      <alignment wrapText="1"/>
    </xf>
    <xf numFmtId="0" fontId="10" fillId="2" borderId="6" xfId="42" applyBorder="1"/>
    <xf numFmtId="0" fontId="10" fillId="2" borderId="1" xfId="42" applyBorder="1"/>
    <xf numFmtId="0" fontId="11" fillId="3" borderId="1" xfId="43" applyBorder="1"/>
    <xf numFmtId="0" fontId="10" fillId="2" borderId="7" xfId="42" applyBorder="1"/>
    <xf numFmtId="0" fontId="10" fillId="2" borderId="8" xfId="42" applyBorder="1"/>
    <xf numFmtId="0" fontId="10" fillId="2" borderId="9" xfId="42" applyBorder="1"/>
    <xf numFmtId="0" fontId="9" fillId="0" borderId="0" xfId="0" applyFont="1" applyAlignment="1">
      <alignment wrapText="1"/>
    </xf>
    <xf numFmtId="9" fontId="0" fillId="0" borderId="0" xfId="0" applyNumberFormat="1"/>
    <xf numFmtId="0" fontId="15" fillId="0" borderId="0" xfId="0" applyFont="1"/>
    <xf numFmtId="0" fontId="13" fillId="0" borderId="0" xfId="0" applyFont="1" applyAlignment="1">
      <alignment wrapText="1"/>
    </xf>
    <xf numFmtId="0" fontId="16" fillId="2" borderId="1" xfId="42" applyFont="1"/>
    <xf numFmtId="0" fontId="1" fillId="0" borderId="0" xfId="41" applyFont="1" applyAlignment="1">
      <alignment wrapText="1"/>
    </xf>
    <xf numFmtId="14" fontId="18" fillId="0" borderId="0" xfId="41" applyNumberFormat="1" applyFont="1" applyFill="1" applyBorder="1"/>
    <xf numFmtId="164" fontId="11" fillId="3" borderId="2" xfId="43" applyNumberFormat="1" applyBorder="1"/>
    <xf numFmtId="14" fontId="10" fillId="2" borderId="1" xfId="42" applyNumberFormat="1" applyFont="1"/>
    <xf numFmtId="0" fontId="0" fillId="0" borderId="0" xfId="0" applyNumberFormat="1"/>
    <xf numFmtId="14" fontId="10" fillId="4" borderId="1" xfId="42" applyNumberFormat="1" applyFill="1" applyBorder="1"/>
    <xf numFmtId="0" fontId="1" fillId="0" borderId="0" xfId="41" applyFont="1" applyAlignment="1">
      <alignment wrapText="1"/>
    </xf>
    <xf numFmtId="2" fontId="1" fillId="0" borderId="0" xfId="41" applyNumberFormat="1" applyFont="1"/>
    <xf numFmtId="2" fontId="11" fillId="3" borderId="1" xfId="43" applyNumberFormat="1"/>
    <xf numFmtId="14" fontId="0" fillId="0" borderId="0" xfId="0" applyNumberFormat="1"/>
    <xf numFmtId="14" fontId="11" fillId="5" borderId="1" xfId="43" applyNumberFormat="1" applyFill="1"/>
    <xf numFmtId="0" fontId="11" fillId="5" borderId="1" xfId="43" applyFill="1"/>
    <xf numFmtId="0" fontId="11" fillId="5" borderId="1" xfId="43" applyNumberFormat="1" applyFill="1"/>
    <xf numFmtId="2" fontId="11" fillId="5" borderId="1" xfId="43" applyNumberFormat="1" applyFill="1"/>
    <xf numFmtId="14" fontId="10" fillId="2" borderId="2" xfId="42" applyNumberFormat="1" applyBorder="1"/>
    <xf numFmtId="165" fontId="11" fillId="3" borderId="10" xfId="43" applyNumberFormat="1" applyBorder="1"/>
    <xf numFmtId="165" fontId="11" fillId="5" borderId="10" xfId="43" applyNumberFormat="1" applyFill="1" applyBorder="1"/>
    <xf numFmtId="2" fontId="11" fillId="3" borderId="11" xfId="43" applyNumberFormat="1" applyBorder="1"/>
    <xf numFmtId="165" fontId="11" fillId="3" borderId="12" xfId="43" applyNumberFormat="1" applyBorder="1"/>
    <xf numFmtId="14" fontId="11" fillId="3" borderId="13" xfId="43" applyNumberFormat="1" applyBorder="1"/>
    <xf numFmtId="0" fontId="11" fillId="3" borderId="13" xfId="43" applyBorder="1"/>
    <xf numFmtId="0" fontId="11" fillId="3" borderId="13" xfId="43" applyNumberFormat="1" applyBorder="1"/>
    <xf numFmtId="2" fontId="11" fillId="3" borderId="13" xfId="43" applyNumberFormat="1" applyBorder="1"/>
    <xf numFmtId="2" fontId="11" fillId="3" borderId="14" xfId="43" applyNumberFormat="1" applyBorder="1"/>
    <xf numFmtId="0" fontId="13" fillId="0" borderId="0" xfId="0" applyFont="1" applyBorder="1" applyAlignment="1">
      <alignment horizontal="center"/>
    </xf>
    <xf numFmtId="0" fontId="10" fillId="4" borderId="1" xfId="42" applyNumberFormat="1" applyFill="1" applyBorder="1"/>
    <xf numFmtId="0" fontId="10" fillId="2" borderId="1" xfId="42" applyNumberFormat="1" applyFont="1"/>
    <xf numFmtId="0" fontId="10" fillId="2" borderId="1" xfId="42" applyNumberFormat="1" applyBorder="1"/>
    <xf numFmtId="14" fontId="10" fillId="2" borderId="1" xfId="42" applyNumberFormat="1" applyBorder="1"/>
    <xf numFmtId="0" fontId="0" fillId="0" borderId="0" xfId="0" applyAlignment="1">
      <alignment horizontal="right"/>
    </xf>
    <xf numFmtId="0" fontId="3" fillId="0" borderId="0" xfId="4" applyNumberFormat="1"/>
    <xf numFmtId="0" fontId="15" fillId="0" borderId="0" xfId="0" applyFont="1" applyAlignment="1">
      <alignment horizontal="right"/>
    </xf>
    <xf numFmtId="22" fontId="10" fillId="2" borderId="1" xfId="42" applyNumberFormat="1" applyProtection="1">
      <protection locked="0"/>
    </xf>
    <xf numFmtId="0" fontId="0" fillId="6" borderId="0" xfId="0" applyFill="1" applyProtection="1">
      <protection locked="0"/>
    </xf>
    <xf numFmtId="0" fontId="10" fillId="2" borderId="0" xfId="42" applyNumberFormat="1" applyBorder="1" applyProtection="1">
      <protection locked="0"/>
    </xf>
    <xf numFmtId="0" fontId="10" fillId="2" borderId="1" xfId="42" applyNumberFormat="1" applyProtection="1">
      <protection locked="0"/>
    </xf>
    <xf numFmtId="14" fontId="10" fillId="2" borderId="1" xfId="42" applyNumberFormat="1" applyProtection="1">
      <protection locked="0"/>
    </xf>
    <xf numFmtId="0" fontId="10" fillId="2" borderId="1" xfId="42" applyProtection="1">
      <protection locked="0"/>
    </xf>
    <xf numFmtId="16" fontId="10" fillId="2" borderId="1" xfId="42" applyNumberFormat="1"/>
    <xf numFmtId="14" fontId="10" fillId="2" borderId="1" xfId="42" quotePrefix="1" applyNumberFormat="1" applyProtection="1">
      <protection locked="0"/>
    </xf>
    <xf numFmtId="14" fontId="12" fillId="0" borderId="5" xfId="41" applyNumberFormat="1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" fillId="0" borderId="0" xfId="41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 applyAlignment="1"/>
    <xf numFmtId="0" fontId="0" fillId="0" borderId="0" xfId="0" applyAlignment="1"/>
    <xf numFmtId="0" fontId="6" fillId="0" borderId="0" xfId="188" applyAlignment="1"/>
    <xf numFmtId="0" fontId="6" fillId="0" borderId="0" xfId="188" quotePrefix="1" applyAlignment="1"/>
  </cellXfs>
  <cellStyles count="189">
    <cellStyle name="Calculation" xfId="43" builtinId="2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4" builtinId="9" hidden="1"/>
    <cellStyle name="Followed Hyperlink" xfId="18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5" builtinId="8" hidden="1"/>
    <cellStyle name="Hyperlink" xfId="187" builtinId="8" hidden="1"/>
    <cellStyle name="Hyperlink" xfId="188" builtinId="8"/>
    <cellStyle name="Input" xfId="42" builtinId="20"/>
    <cellStyle name="Normal" xfId="0" builtinId="0"/>
    <cellStyle name="Normal 2" xfId="1" xr:uid="{00000000-0005-0000-0000-0000B8000000}"/>
    <cellStyle name="Normal 2 2" xfId="4" xr:uid="{00000000-0005-0000-0000-0000B9000000}"/>
    <cellStyle name="Normal 3" xfId="3" xr:uid="{00000000-0005-0000-0000-0000BA000000}"/>
    <cellStyle name="Normal 4" xfId="2" xr:uid="{00000000-0005-0000-0000-0000BB000000}"/>
    <cellStyle name="Normal 5" xfId="41" xr:uid="{00000000-0005-0000-0000-0000BC000000}"/>
  </cellStyles>
  <dxfs count="63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2" formatCode="0.00"/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19" formatCode="dd/mm/yyyy"/>
    </dxf>
    <dxf>
      <numFmt numFmtId="165" formatCode="ddd"/>
      <border diagonalUp="0" diagonalDown="0">
        <left/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border outline="0">
        <top style="thin">
          <color rgb="FF7F7F7F"/>
        </top>
      </border>
    </dxf>
    <dxf>
      <border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outline="0">
        <bottom style="thin">
          <color rgb="FF7F7F7F"/>
        </bottom>
      </border>
    </dxf>
    <dxf>
      <numFmt numFmtId="2" formatCode="0.0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;@"/>
    </dxf>
    <dxf>
      <numFmt numFmtId="165" formatCode="ddd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border outline="0">
        <bottom style="thin">
          <color rgb="FF7F7F7F"/>
        </bottom>
      </border>
    </dxf>
    <dxf>
      <alignment horizontal="general" vertical="bottom" textRotation="0" wrapText="1" justifyLastLine="0" shrinkToFit="0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E68392"/>
      <color rgb="FFB974E4"/>
      <color rgb="FF00A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1.xml"/><Relationship Id="rId16" Type="http://schemas.openxmlformats.org/officeDocument/2006/relationships/customXml" Target="../customXml/item3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TEAM AA</a:t>
            </a:r>
            <a:r>
              <a:rPr lang="en-GB" baseline="0"/>
              <a:t>A </a:t>
            </a:r>
            <a:r>
              <a:rPr lang="en-GB"/>
              <a:t>Cumulative</a:t>
            </a:r>
            <a:r>
              <a:rPr lang="en-GB" baseline="0"/>
              <a:t> Flow - With Projections</a:t>
            </a:r>
          </a:p>
        </c:rich>
      </c:tx>
      <c:layout>
        <c:manualLayout>
          <c:xMode val="edge"/>
          <c:yMode val="edge"/>
          <c:x val="0.30740233192004801"/>
          <c:y val="4.1436464088397797E-3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'On The Board'!$K$4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tx1">
                <a:alpha val="95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Data'!$L$2:$L$187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48</c:v>
                </c:pt>
                <c:pt idx="53">
                  <c:v>48</c:v>
                </c:pt>
                <c:pt idx="54">
                  <c:v>49</c:v>
                </c:pt>
                <c:pt idx="55">
                  <c:v>49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54</c:v>
                </c:pt>
                <c:pt idx="62">
                  <c:v>56</c:v>
                </c:pt>
                <c:pt idx="63">
                  <c:v>56</c:v>
                </c:pt>
                <c:pt idx="64">
                  <c:v>59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61</c:v>
                </c:pt>
                <c:pt idx="69">
                  <c:v>61</c:v>
                </c:pt>
                <c:pt idx="70">
                  <c:v>62</c:v>
                </c:pt>
                <c:pt idx="71">
                  <c:v>65</c:v>
                </c:pt>
                <c:pt idx="72">
                  <c:v>66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69</c:v>
                </c:pt>
                <c:pt idx="78">
                  <c:v>70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0-4617-8F43-B5F7B1149700}"/>
            </c:ext>
          </c:extLst>
        </c:ser>
        <c:ser>
          <c:idx val="2"/>
          <c:order val="4"/>
          <c:tx>
            <c:strRef>
              <c:f>'On The Board'!$J$4</c:f>
              <c:strCache>
                <c:ptCount val="1"/>
                <c:pt idx="0">
                  <c:v>Demo</c:v>
                </c:pt>
              </c:strCache>
            </c:strRef>
          </c:tx>
          <c:spPr>
            <a:solidFill>
              <a:srgbClr val="00AA00">
                <a:alpha val="95000"/>
              </a:srgb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Data'!$K$2:$K$187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0-4617-8F43-B5F7B1149700}"/>
            </c:ext>
          </c:extLst>
        </c:ser>
        <c:ser>
          <c:idx val="10"/>
          <c:order val="5"/>
          <c:tx>
            <c:strRef>
              <c:f>'On The Board'!$I$4</c:f>
              <c:strCache>
                <c:ptCount val="1"/>
                <c:pt idx="0">
                  <c:v>Ready For Demo</c:v>
                </c:pt>
              </c:strCache>
            </c:strRef>
          </c:tx>
          <c:spPr>
            <a:solidFill>
              <a:srgbClr val="0000FF">
                <a:alpha val="95000"/>
              </a:srgb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Data'!$J$2:$J$187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0-4617-8F43-B5F7B1149700}"/>
            </c:ext>
          </c:extLst>
        </c:ser>
        <c:ser>
          <c:idx val="1"/>
          <c:order val="6"/>
          <c:tx>
            <c:strRef>
              <c:f>'On The Board'!$H$4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rgbClr val="B974E4"/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Data'!$I$2:$I$187</c:f>
              <c:numCache>
                <c:formatCode>General</c:formatCode>
                <c:ptCount val="18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3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8</c:v>
                </c:pt>
                <c:pt idx="45">
                  <c:v>7</c:v>
                </c:pt>
                <c:pt idx="46">
                  <c:v>9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4</c:v>
                </c:pt>
                <c:pt idx="62">
                  <c:v>2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6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0-4617-8F43-B5F7B1149700}"/>
            </c:ext>
          </c:extLst>
        </c:ser>
        <c:ser>
          <c:idx val="8"/>
          <c:order val="7"/>
          <c:tx>
            <c:strRef>
              <c:f>'On The Board'!$G$4</c:f>
              <c:strCache>
                <c:ptCount val="1"/>
                <c:pt idx="0">
                  <c:v>Ready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Data'!$H$2:$H$187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0-4617-8F43-B5F7B1149700}"/>
            </c:ext>
          </c:extLst>
        </c:ser>
        <c:ser>
          <c:idx val="9"/>
          <c:order val="8"/>
          <c:tx>
            <c:strRef>
              <c:f>'CFD Data'!$C$1</c:f>
              <c:strCache>
                <c:ptCount val="1"/>
                <c:pt idx="0">
                  <c:v>Future Ready</c:v>
                </c:pt>
              </c:strCache>
            </c:strRef>
          </c:tx>
          <c:spPr>
            <a:noFill/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Data'!$C$2:$C$187</c:f>
              <c:numCache>
                <c:formatCode>General</c:formatCode>
                <c:ptCount val="1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77</c:v>
                </c:pt>
                <c:pt idx="116">
                  <c:v>77</c:v>
                </c:pt>
                <c:pt idx="117">
                  <c:v>77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77</c:v>
                </c:pt>
                <c:pt idx="127">
                  <c:v>77</c:v>
                </c:pt>
                <c:pt idx="128">
                  <c:v>77</c:v>
                </c:pt>
                <c:pt idx="129">
                  <c:v>77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77</c:v>
                </c:pt>
                <c:pt idx="151">
                  <c:v>77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77</c:v>
                </c:pt>
                <c:pt idx="173">
                  <c:v>77</c:v>
                </c:pt>
                <c:pt idx="174">
                  <c:v>77</c:v>
                </c:pt>
                <c:pt idx="175">
                  <c:v>77</c:v>
                </c:pt>
                <c:pt idx="176">
                  <c:v>77</c:v>
                </c:pt>
                <c:pt idx="177">
                  <c:v>77</c:v>
                </c:pt>
                <c:pt idx="178">
                  <c:v>77</c:v>
                </c:pt>
                <c:pt idx="179">
                  <c:v>77</c:v>
                </c:pt>
                <c:pt idx="180">
                  <c:v>77</c:v>
                </c:pt>
                <c:pt idx="181">
                  <c:v>77</c:v>
                </c:pt>
                <c:pt idx="182">
                  <c:v>77</c:v>
                </c:pt>
                <c:pt idx="183">
                  <c:v>77</c:v>
                </c:pt>
                <c:pt idx="184">
                  <c:v>77</c:v>
                </c:pt>
                <c:pt idx="18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50-4617-8F43-B5F7B1149700}"/>
            </c:ext>
          </c:extLst>
        </c:ser>
        <c:ser>
          <c:idx val="0"/>
          <c:order val="9"/>
          <c:tx>
            <c:strRef>
              <c:f>'On The Board'!$F$4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40000"/>
              </a:scheme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Data'!$F$2:$F$187</c:f>
              <c:numCache>
                <c:formatCode>General</c:formatCode>
                <c:ptCount val="18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56</c:v>
                </c:pt>
                <c:pt idx="23">
                  <c:v>59</c:v>
                </c:pt>
                <c:pt idx="24">
                  <c:v>59</c:v>
                </c:pt>
                <c:pt idx="25">
                  <c:v>58</c:v>
                </c:pt>
                <c:pt idx="26">
                  <c:v>57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58</c:v>
                </c:pt>
                <c:pt idx="32">
                  <c:v>54</c:v>
                </c:pt>
                <c:pt idx="33">
                  <c:v>53</c:v>
                </c:pt>
                <c:pt idx="34">
                  <c:v>52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49</c:v>
                </c:pt>
                <c:pt idx="43">
                  <c:v>48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44</c:v>
                </c:pt>
                <c:pt idx="51">
                  <c:v>45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49</c:v>
                </c:pt>
                <c:pt idx="63">
                  <c:v>48</c:v>
                </c:pt>
                <c:pt idx="64">
                  <c:v>47</c:v>
                </c:pt>
                <c:pt idx="65">
                  <c:v>47</c:v>
                </c:pt>
                <c:pt idx="66">
                  <c:v>48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48</c:v>
                </c:pt>
                <c:pt idx="72">
                  <c:v>48</c:v>
                </c:pt>
                <c:pt idx="73">
                  <c:v>47</c:v>
                </c:pt>
                <c:pt idx="74">
                  <c:v>48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50-4617-8F43-B5F7B114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638992"/>
        <c:axId val="1795200496"/>
      </c:areaChart>
      <c:barChart>
        <c:barDir val="col"/>
        <c:grouping val="clustered"/>
        <c:varyColors val="0"/>
        <c:ser>
          <c:idx val="12"/>
          <c:order val="12"/>
          <c:tx>
            <c:strRef>
              <c:f>'CFD Data'!$AF$1</c:f>
              <c:strCache>
                <c:ptCount val="1"/>
                <c:pt idx="0">
                  <c:v>Deadline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9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750-4617-8F43-B5F7B1149700}"/>
              </c:ext>
            </c:extLst>
          </c:dPt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Data'!$AF$2:$AF$187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173.14285714285697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50-4617-8F43-B5F7B114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axId val="1796638992"/>
        <c:axId val="1795200496"/>
      </c:barChart>
      <c:lineChart>
        <c:grouping val="standard"/>
        <c:varyColors val="0"/>
        <c:ser>
          <c:idx val="7"/>
          <c:order val="1"/>
          <c:tx>
            <c:strRef>
              <c:f>'CFD Data'!$N$1</c:f>
              <c:strCache>
                <c:ptCount val="1"/>
                <c:pt idx="0">
                  <c:v>Worst Case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Data'!$N$2:$N$187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48</c:v>
                </c:pt>
                <c:pt idx="53">
                  <c:v>48</c:v>
                </c:pt>
                <c:pt idx="54">
                  <c:v>49</c:v>
                </c:pt>
                <c:pt idx="55">
                  <c:v>49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54</c:v>
                </c:pt>
                <c:pt idx="62">
                  <c:v>56</c:v>
                </c:pt>
                <c:pt idx="63">
                  <c:v>56</c:v>
                </c:pt>
                <c:pt idx="64">
                  <c:v>59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61</c:v>
                </c:pt>
                <c:pt idx="69">
                  <c:v>61</c:v>
                </c:pt>
                <c:pt idx="70">
                  <c:v>62</c:v>
                </c:pt>
                <c:pt idx="71">
                  <c:v>65</c:v>
                </c:pt>
                <c:pt idx="72">
                  <c:v>66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69</c:v>
                </c:pt>
                <c:pt idx="78">
                  <c:v>70</c:v>
                </c:pt>
                <c:pt idx="79">
                  <c:v>70.80952380952381</c:v>
                </c:pt>
                <c:pt idx="80">
                  <c:v>71.61904761904762</c:v>
                </c:pt>
                <c:pt idx="81">
                  <c:v>72.428571428571431</c:v>
                </c:pt>
                <c:pt idx="82">
                  <c:v>73.238095238095241</c:v>
                </c:pt>
                <c:pt idx="83">
                  <c:v>74.047619047619051</c:v>
                </c:pt>
                <c:pt idx="84">
                  <c:v>74.857142857142861</c:v>
                </c:pt>
                <c:pt idx="85">
                  <c:v>75.666666666666671</c:v>
                </c:pt>
                <c:pt idx="86">
                  <c:v>76.476190476190482</c:v>
                </c:pt>
                <c:pt idx="87">
                  <c:v>77.285714285714292</c:v>
                </c:pt>
                <c:pt idx="88">
                  <c:v>78.095238095238102</c:v>
                </c:pt>
                <c:pt idx="89">
                  <c:v>78.904761904761912</c:v>
                </c:pt>
                <c:pt idx="90">
                  <c:v>79.714285714285722</c:v>
                </c:pt>
                <c:pt idx="91">
                  <c:v>80.523809523809533</c:v>
                </c:pt>
                <c:pt idx="92">
                  <c:v>81.333333333333343</c:v>
                </c:pt>
                <c:pt idx="93">
                  <c:v>82.142857142857153</c:v>
                </c:pt>
                <c:pt idx="94">
                  <c:v>82.952380952380963</c:v>
                </c:pt>
                <c:pt idx="95">
                  <c:v>83.761904761904773</c:v>
                </c:pt>
                <c:pt idx="96">
                  <c:v>84.571428571428584</c:v>
                </c:pt>
                <c:pt idx="97">
                  <c:v>85.380952380952394</c:v>
                </c:pt>
                <c:pt idx="98">
                  <c:v>86.190476190476204</c:v>
                </c:pt>
                <c:pt idx="99">
                  <c:v>87.000000000000014</c:v>
                </c:pt>
                <c:pt idx="100">
                  <c:v>87.809523809523824</c:v>
                </c:pt>
                <c:pt idx="101">
                  <c:v>88.619047619047635</c:v>
                </c:pt>
                <c:pt idx="102">
                  <c:v>89.428571428571445</c:v>
                </c:pt>
                <c:pt idx="103">
                  <c:v>90.238095238095255</c:v>
                </c:pt>
                <c:pt idx="104">
                  <c:v>91.047619047619065</c:v>
                </c:pt>
                <c:pt idx="105">
                  <c:v>91.857142857142875</c:v>
                </c:pt>
                <c:pt idx="106">
                  <c:v>92.666666666666686</c:v>
                </c:pt>
                <c:pt idx="107">
                  <c:v>93.476190476190496</c:v>
                </c:pt>
                <c:pt idx="108">
                  <c:v>94.285714285714306</c:v>
                </c:pt>
                <c:pt idx="109">
                  <c:v>95.095238095238116</c:v>
                </c:pt>
                <c:pt idx="110">
                  <c:v>95.904761904761926</c:v>
                </c:pt>
                <c:pt idx="111">
                  <c:v>96.714285714285737</c:v>
                </c:pt>
                <c:pt idx="112">
                  <c:v>97.523809523809547</c:v>
                </c:pt>
                <c:pt idx="113">
                  <c:v>98.333333333333357</c:v>
                </c:pt>
                <c:pt idx="114">
                  <c:v>99.142857142857167</c:v>
                </c:pt>
                <c:pt idx="115">
                  <c:v>99.952380952380977</c:v>
                </c:pt>
                <c:pt idx="116">
                  <c:v>100.76190476190479</c:v>
                </c:pt>
                <c:pt idx="117">
                  <c:v>101.5714285714286</c:v>
                </c:pt>
                <c:pt idx="118">
                  <c:v>102.38095238095241</c:v>
                </c:pt>
                <c:pt idx="119">
                  <c:v>103.19047619047622</c:v>
                </c:pt>
                <c:pt idx="120">
                  <c:v>104.00000000000003</c:v>
                </c:pt>
                <c:pt idx="121">
                  <c:v>104.80952380952384</c:v>
                </c:pt>
                <c:pt idx="122">
                  <c:v>105.61904761904765</c:v>
                </c:pt>
                <c:pt idx="123">
                  <c:v>106.42857142857146</c:v>
                </c:pt>
                <c:pt idx="124">
                  <c:v>107.23809523809527</c:v>
                </c:pt>
                <c:pt idx="125">
                  <c:v>108.04761904761908</c:v>
                </c:pt>
                <c:pt idx="126">
                  <c:v>108.85714285714289</c:v>
                </c:pt>
                <c:pt idx="127">
                  <c:v>109.6666666666667</c:v>
                </c:pt>
                <c:pt idx="128">
                  <c:v>110.47619047619051</c:v>
                </c:pt>
                <c:pt idx="129">
                  <c:v>111.28571428571432</c:v>
                </c:pt>
                <c:pt idx="130">
                  <c:v>112.09523809523813</c:v>
                </c:pt>
                <c:pt idx="131">
                  <c:v>112.90476190476194</c:v>
                </c:pt>
                <c:pt idx="132">
                  <c:v>113.71428571428575</c:v>
                </c:pt>
                <c:pt idx="133">
                  <c:v>114.52380952380956</c:v>
                </c:pt>
                <c:pt idx="134">
                  <c:v>115.33333333333337</c:v>
                </c:pt>
                <c:pt idx="135">
                  <c:v>116.14285714285718</c:v>
                </c:pt>
                <c:pt idx="136">
                  <c:v>116.95238095238099</c:v>
                </c:pt>
                <c:pt idx="137">
                  <c:v>117.7619047619048</c:v>
                </c:pt>
                <c:pt idx="138">
                  <c:v>118.57142857142861</c:v>
                </c:pt>
                <c:pt idx="139">
                  <c:v>119.38095238095242</c:v>
                </c:pt>
                <c:pt idx="140">
                  <c:v>120.19047619047623</c:v>
                </c:pt>
                <c:pt idx="141">
                  <c:v>121.00000000000004</c:v>
                </c:pt>
                <c:pt idx="142">
                  <c:v>121.80952380952385</c:v>
                </c:pt>
                <c:pt idx="143">
                  <c:v>122.61904761904766</c:v>
                </c:pt>
                <c:pt idx="144">
                  <c:v>123.42857142857147</c:v>
                </c:pt>
                <c:pt idx="145">
                  <c:v>124.23809523809528</c:v>
                </c:pt>
                <c:pt idx="146">
                  <c:v>125.04761904761909</c:v>
                </c:pt>
                <c:pt idx="147">
                  <c:v>125.8571428571429</c:v>
                </c:pt>
                <c:pt idx="148">
                  <c:v>126.66666666666671</c:v>
                </c:pt>
                <c:pt idx="149">
                  <c:v>127.47619047619052</c:v>
                </c:pt>
                <c:pt idx="150">
                  <c:v>128.28571428571433</c:v>
                </c:pt>
                <c:pt idx="151">
                  <c:v>129.09523809523813</c:v>
                </c:pt>
                <c:pt idx="152">
                  <c:v>129.90476190476193</c:v>
                </c:pt>
                <c:pt idx="153">
                  <c:v>130.71428571428572</c:v>
                </c:pt>
                <c:pt idx="154">
                  <c:v>131.52380952380952</c:v>
                </c:pt>
                <c:pt idx="155">
                  <c:v>132.33333333333331</c:v>
                </c:pt>
                <c:pt idx="156">
                  <c:v>133.14285714285711</c:v>
                </c:pt>
                <c:pt idx="157">
                  <c:v>133.95238095238091</c:v>
                </c:pt>
                <c:pt idx="158">
                  <c:v>134.7619047619047</c:v>
                </c:pt>
                <c:pt idx="159">
                  <c:v>135.5714285714285</c:v>
                </c:pt>
                <c:pt idx="160">
                  <c:v>136.38095238095229</c:v>
                </c:pt>
                <c:pt idx="161">
                  <c:v>137.19047619047609</c:v>
                </c:pt>
                <c:pt idx="162">
                  <c:v>137.99999999999989</c:v>
                </c:pt>
                <c:pt idx="163">
                  <c:v>138.80952380952368</c:v>
                </c:pt>
                <c:pt idx="164">
                  <c:v>139.61904761904748</c:v>
                </c:pt>
                <c:pt idx="165">
                  <c:v>140.42857142857127</c:v>
                </c:pt>
                <c:pt idx="166">
                  <c:v>141.23809523809507</c:v>
                </c:pt>
                <c:pt idx="167">
                  <c:v>142.04761904761887</c:v>
                </c:pt>
                <c:pt idx="168">
                  <c:v>142.85714285714266</c:v>
                </c:pt>
                <c:pt idx="169">
                  <c:v>143.66666666666646</c:v>
                </c:pt>
                <c:pt idx="170">
                  <c:v>144.47619047619025</c:v>
                </c:pt>
                <c:pt idx="171">
                  <c:v>145.28571428571405</c:v>
                </c:pt>
                <c:pt idx="172">
                  <c:v>146.09523809523785</c:v>
                </c:pt>
                <c:pt idx="173">
                  <c:v>146.90476190476164</c:v>
                </c:pt>
                <c:pt idx="174">
                  <c:v>147.71428571428544</c:v>
                </c:pt>
                <c:pt idx="175">
                  <c:v>148.52380952380923</c:v>
                </c:pt>
                <c:pt idx="176">
                  <c:v>149.33333333333303</c:v>
                </c:pt>
                <c:pt idx="177">
                  <c:v>150.14285714285683</c:v>
                </c:pt>
                <c:pt idx="178">
                  <c:v>150.95238095238062</c:v>
                </c:pt>
                <c:pt idx="179">
                  <c:v>151.76190476190442</c:v>
                </c:pt>
                <c:pt idx="180">
                  <c:v>152.57142857142821</c:v>
                </c:pt>
                <c:pt idx="181">
                  <c:v>153.38095238095201</c:v>
                </c:pt>
                <c:pt idx="182">
                  <c:v>154.19047619047581</c:v>
                </c:pt>
                <c:pt idx="183">
                  <c:v>154.9999999999996</c:v>
                </c:pt>
                <c:pt idx="184">
                  <c:v>155.8095238095234</c:v>
                </c:pt>
                <c:pt idx="185">
                  <c:v>156.61904761904719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50-4617-8F43-B5F7B1149700}"/>
            </c:ext>
          </c:extLst>
        </c:ser>
        <c:ser>
          <c:idx val="6"/>
          <c:order val="2"/>
          <c:tx>
            <c:strRef>
              <c:f>'CFD Data'!$O$1</c:f>
              <c:strCache>
                <c:ptCount val="1"/>
                <c:pt idx="0">
                  <c:v>Median Prediction</c:v>
                </c:pt>
              </c:strCache>
            </c:strRef>
          </c:tx>
          <c:spPr>
            <a:ln>
              <a:solidFill>
                <a:schemeClr val="tx1"/>
              </a:solidFill>
              <a:prstDash val="dash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Data'!$O$2:$O$187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48</c:v>
                </c:pt>
                <c:pt idx="53">
                  <c:v>48</c:v>
                </c:pt>
                <c:pt idx="54">
                  <c:v>49</c:v>
                </c:pt>
                <c:pt idx="55">
                  <c:v>49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54</c:v>
                </c:pt>
                <c:pt idx="62">
                  <c:v>56</c:v>
                </c:pt>
                <c:pt idx="63">
                  <c:v>56</c:v>
                </c:pt>
                <c:pt idx="64">
                  <c:v>59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61</c:v>
                </c:pt>
                <c:pt idx="69">
                  <c:v>61</c:v>
                </c:pt>
                <c:pt idx="70">
                  <c:v>62</c:v>
                </c:pt>
                <c:pt idx="71">
                  <c:v>65</c:v>
                </c:pt>
                <c:pt idx="72">
                  <c:v>66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69</c:v>
                </c:pt>
                <c:pt idx="78">
                  <c:v>70</c:v>
                </c:pt>
                <c:pt idx="79">
                  <c:v>70.952380952380949</c:v>
                </c:pt>
                <c:pt idx="80">
                  <c:v>71.904761904761898</c:v>
                </c:pt>
                <c:pt idx="81">
                  <c:v>72.857142857142847</c:v>
                </c:pt>
                <c:pt idx="82">
                  <c:v>73.809523809523796</c:v>
                </c:pt>
                <c:pt idx="83">
                  <c:v>74.761904761904745</c:v>
                </c:pt>
                <c:pt idx="84">
                  <c:v>75.714285714285694</c:v>
                </c:pt>
                <c:pt idx="85">
                  <c:v>76.666666666666643</c:v>
                </c:pt>
                <c:pt idx="86">
                  <c:v>77.619047619047592</c:v>
                </c:pt>
                <c:pt idx="87">
                  <c:v>78.571428571428541</c:v>
                </c:pt>
                <c:pt idx="88">
                  <c:v>79.52380952380949</c:v>
                </c:pt>
                <c:pt idx="89">
                  <c:v>80.476190476190439</c:v>
                </c:pt>
                <c:pt idx="90">
                  <c:v>81.428571428571388</c:v>
                </c:pt>
                <c:pt idx="91">
                  <c:v>82.380952380952337</c:v>
                </c:pt>
                <c:pt idx="92">
                  <c:v>83.333333333333286</c:v>
                </c:pt>
                <c:pt idx="93">
                  <c:v>84.285714285714235</c:v>
                </c:pt>
                <c:pt idx="94">
                  <c:v>85.238095238095184</c:v>
                </c:pt>
                <c:pt idx="95">
                  <c:v>86.190476190476133</c:v>
                </c:pt>
                <c:pt idx="96">
                  <c:v>87.142857142857082</c:v>
                </c:pt>
                <c:pt idx="97">
                  <c:v>88.095238095238031</c:v>
                </c:pt>
                <c:pt idx="98">
                  <c:v>89.04761904761898</c:v>
                </c:pt>
                <c:pt idx="99">
                  <c:v>89.999999999999929</c:v>
                </c:pt>
                <c:pt idx="100">
                  <c:v>90.952380952380878</c:v>
                </c:pt>
                <c:pt idx="101">
                  <c:v>91.904761904761827</c:v>
                </c:pt>
                <c:pt idx="102">
                  <c:v>92.857142857142776</c:v>
                </c:pt>
                <c:pt idx="103">
                  <c:v>93.809523809523725</c:v>
                </c:pt>
                <c:pt idx="104">
                  <c:v>94.761904761904674</c:v>
                </c:pt>
                <c:pt idx="105">
                  <c:v>95.714285714285623</c:v>
                </c:pt>
                <c:pt idx="106">
                  <c:v>96.666666666666572</c:v>
                </c:pt>
                <c:pt idx="107">
                  <c:v>97.619047619047521</c:v>
                </c:pt>
                <c:pt idx="108">
                  <c:v>98.57142857142847</c:v>
                </c:pt>
                <c:pt idx="109">
                  <c:v>99.523809523809419</c:v>
                </c:pt>
                <c:pt idx="110">
                  <c:v>100.47619047619037</c:v>
                </c:pt>
                <c:pt idx="111">
                  <c:v>101.42857142857132</c:v>
                </c:pt>
                <c:pt idx="112">
                  <c:v>102.38095238095227</c:v>
                </c:pt>
                <c:pt idx="113">
                  <c:v>103.33333333333321</c:v>
                </c:pt>
                <c:pt idx="114">
                  <c:v>104.28571428571416</c:v>
                </c:pt>
                <c:pt idx="115">
                  <c:v>105.23809523809511</c:v>
                </c:pt>
                <c:pt idx="116">
                  <c:v>106.19047619047606</c:v>
                </c:pt>
                <c:pt idx="117">
                  <c:v>107.14285714285701</c:v>
                </c:pt>
                <c:pt idx="118">
                  <c:v>108.09523809523796</c:v>
                </c:pt>
                <c:pt idx="119">
                  <c:v>109.04761904761891</c:v>
                </c:pt>
                <c:pt idx="120">
                  <c:v>109.99999999999986</c:v>
                </c:pt>
                <c:pt idx="121">
                  <c:v>110.95238095238081</c:v>
                </c:pt>
                <c:pt idx="122">
                  <c:v>111.90476190476176</c:v>
                </c:pt>
                <c:pt idx="123">
                  <c:v>112.8571428571427</c:v>
                </c:pt>
                <c:pt idx="124">
                  <c:v>113.80952380952365</c:v>
                </c:pt>
                <c:pt idx="125">
                  <c:v>114.7619047619046</c:v>
                </c:pt>
                <c:pt idx="126">
                  <c:v>115.71428571428555</c:v>
                </c:pt>
                <c:pt idx="127">
                  <c:v>116.6666666666665</c:v>
                </c:pt>
                <c:pt idx="128">
                  <c:v>117.61904761904745</c:v>
                </c:pt>
                <c:pt idx="129">
                  <c:v>118.5714285714284</c:v>
                </c:pt>
                <c:pt idx="130">
                  <c:v>119.52380952380935</c:v>
                </c:pt>
                <c:pt idx="131">
                  <c:v>120.4761904761903</c:v>
                </c:pt>
                <c:pt idx="132">
                  <c:v>121.42857142857125</c:v>
                </c:pt>
                <c:pt idx="133">
                  <c:v>122.38095238095219</c:v>
                </c:pt>
                <c:pt idx="134">
                  <c:v>123.33333333333314</c:v>
                </c:pt>
                <c:pt idx="135">
                  <c:v>124.28571428571409</c:v>
                </c:pt>
                <c:pt idx="136">
                  <c:v>125.23809523809504</c:v>
                </c:pt>
                <c:pt idx="137">
                  <c:v>126.19047619047599</c:v>
                </c:pt>
                <c:pt idx="138">
                  <c:v>127.14285714285694</c:v>
                </c:pt>
                <c:pt idx="139">
                  <c:v>128.0952380952379</c:v>
                </c:pt>
                <c:pt idx="140">
                  <c:v>129.04761904761887</c:v>
                </c:pt>
                <c:pt idx="141">
                  <c:v>129.99999999999983</c:v>
                </c:pt>
                <c:pt idx="142">
                  <c:v>130.95238095238079</c:v>
                </c:pt>
                <c:pt idx="143">
                  <c:v>131.90476190476176</c:v>
                </c:pt>
                <c:pt idx="144">
                  <c:v>132.85714285714272</c:v>
                </c:pt>
                <c:pt idx="145">
                  <c:v>133.80952380952368</c:v>
                </c:pt>
                <c:pt idx="146">
                  <c:v>134.76190476190465</c:v>
                </c:pt>
                <c:pt idx="147">
                  <c:v>135.71428571428561</c:v>
                </c:pt>
                <c:pt idx="148">
                  <c:v>136.66666666666657</c:v>
                </c:pt>
                <c:pt idx="149">
                  <c:v>137.61904761904754</c:v>
                </c:pt>
                <c:pt idx="150">
                  <c:v>138.5714285714285</c:v>
                </c:pt>
                <c:pt idx="151">
                  <c:v>139.52380952380946</c:v>
                </c:pt>
                <c:pt idx="152">
                  <c:v>140.47619047619042</c:v>
                </c:pt>
                <c:pt idx="153">
                  <c:v>141.42857142857139</c:v>
                </c:pt>
                <c:pt idx="154">
                  <c:v>142.38095238095235</c:v>
                </c:pt>
                <c:pt idx="155">
                  <c:v>143.33333333333331</c:v>
                </c:pt>
                <c:pt idx="156">
                  <c:v>144.28571428571428</c:v>
                </c:pt>
                <c:pt idx="157">
                  <c:v>145.23809523809524</c:v>
                </c:pt>
                <c:pt idx="158">
                  <c:v>146.1904761904762</c:v>
                </c:pt>
                <c:pt idx="159">
                  <c:v>147.14285714285717</c:v>
                </c:pt>
                <c:pt idx="160">
                  <c:v>148.09523809523813</c:v>
                </c:pt>
                <c:pt idx="161">
                  <c:v>149.04761904761909</c:v>
                </c:pt>
                <c:pt idx="162">
                  <c:v>150.00000000000006</c:v>
                </c:pt>
                <c:pt idx="163">
                  <c:v>150.95238095238102</c:v>
                </c:pt>
                <c:pt idx="164">
                  <c:v>151.90476190476198</c:v>
                </c:pt>
                <c:pt idx="165">
                  <c:v>152.85714285714295</c:v>
                </c:pt>
                <c:pt idx="166">
                  <c:v>153.80952380952391</c:v>
                </c:pt>
                <c:pt idx="167">
                  <c:v>154.76190476190487</c:v>
                </c:pt>
                <c:pt idx="168">
                  <c:v>155.71428571428584</c:v>
                </c:pt>
                <c:pt idx="169">
                  <c:v>156.6666666666668</c:v>
                </c:pt>
                <c:pt idx="170">
                  <c:v>157.61904761904776</c:v>
                </c:pt>
                <c:pt idx="171">
                  <c:v>158.57142857142873</c:v>
                </c:pt>
                <c:pt idx="172">
                  <c:v>159.52380952380969</c:v>
                </c:pt>
                <c:pt idx="173">
                  <c:v>160.47619047619065</c:v>
                </c:pt>
                <c:pt idx="174">
                  <c:v>161.42857142857162</c:v>
                </c:pt>
                <c:pt idx="175">
                  <c:v>162.38095238095258</c:v>
                </c:pt>
                <c:pt idx="176">
                  <c:v>163.33333333333354</c:v>
                </c:pt>
                <c:pt idx="177">
                  <c:v>164.2857142857145</c:v>
                </c:pt>
                <c:pt idx="178">
                  <c:v>165.23809523809547</c:v>
                </c:pt>
                <c:pt idx="179">
                  <c:v>166.19047619047643</c:v>
                </c:pt>
                <c:pt idx="180">
                  <c:v>167.14285714285739</c:v>
                </c:pt>
                <c:pt idx="181">
                  <c:v>168.09523809523836</c:v>
                </c:pt>
                <c:pt idx="182">
                  <c:v>169.04761904761932</c:v>
                </c:pt>
                <c:pt idx="183">
                  <c:v>170.00000000000028</c:v>
                </c:pt>
                <c:pt idx="184">
                  <c:v>170.95238095238125</c:v>
                </c:pt>
                <c:pt idx="185">
                  <c:v>171.90476190476221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50-4617-8F43-B5F7B1149700}"/>
            </c:ext>
          </c:extLst>
        </c:ser>
        <c:ser>
          <c:idx val="4"/>
          <c:order val="3"/>
          <c:tx>
            <c:strRef>
              <c:f>'CFD Data'!$P$1</c:f>
              <c:strCache>
                <c:ptCount val="1"/>
                <c:pt idx="0">
                  <c:v>Best Case</c:v>
                </c:pt>
              </c:strCache>
            </c:strRef>
          </c:tx>
          <c:spPr>
            <a:ln cap="rnd">
              <a:prstDash val="sys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Data'!$P$2:$P$187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48</c:v>
                </c:pt>
                <c:pt idx="53">
                  <c:v>48</c:v>
                </c:pt>
                <c:pt idx="54">
                  <c:v>49</c:v>
                </c:pt>
                <c:pt idx="55">
                  <c:v>49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54</c:v>
                </c:pt>
                <c:pt idx="62">
                  <c:v>56</c:v>
                </c:pt>
                <c:pt idx="63">
                  <c:v>56</c:v>
                </c:pt>
                <c:pt idx="64">
                  <c:v>59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61</c:v>
                </c:pt>
                <c:pt idx="69">
                  <c:v>61</c:v>
                </c:pt>
                <c:pt idx="70">
                  <c:v>62</c:v>
                </c:pt>
                <c:pt idx="71">
                  <c:v>65</c:v>
                </c:pt>
                <c:pt idx="72">
                  <c:v>66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69</c:v>
                </c:pt>
                <c:pt idx="78">
                  <c:v>70</c:v>
                </c:pt>
                <c:pt idx="79">
                  <c:v>71.095238095238102</c:v>
                </c:pt>
                <c:pt idx="80">
                  <c:v>72.190476190476204</c:v>
                </c:pt>
                <c:pt idx="81">
                  <c:v>73.285714285714306</c:v>
                </c:pt>
                <c:pt idx="82">
                  <c:v>74.380952380952408</c:v>
                </c:pt>
                <c:pt idx="83">
                  <c:v>75.47619047619051</c:v>
                </c:pt>
                <c:pt idx="84">
                  <c:v>76.571428571428612</c:v>
                </c:pt>
                <c:pt idx="85">
                  <c:v>77.666666666666714</c:v>
                </c:pt>
                <c:pt idx="86">
                  <c:v>78.761904761904816</c:v>
                </c:pt>
                <c:pt idx="87">
                  <c:v>79.857142857142918</c:v>
                </c:pt>
                <c:pt idx="88">
                  <c:v>80.95238095238102</c:v>
                </c:pt>
                <c:pt idx="89">
                  <c:v>82.047619047619122</c:v>
                </c:pt>
                <c:pt idx="90">
                  <c:v>83.142857142857224</c:v>
                </c:pt>
                <c:pt idx="91">
                  <c:v>84.238095238095326</c:v>
                </c:pt>
                <c:pt idx="92">
                  <c:v>85.333333333333428</c:v>
                </c:pt>
                <c:pt idx="93">
                  <c:v>86.42857142857153</c:v>
                </c:pt>
                <c:pt idx="94">
                  <c:v>87.523809523809632</c:v>
                </c:pt>
                <c:pt idx="95">
                  <c:v>88.619047619047734</c:v>
                </c:pt>
                <c:pt idx="96">
                  <c:v>89.714285714285836</c:v>
                </c:pt>
                <c:pt idx="97">
                  <c:v>90.809523809523938</c:v>
                </c:pt>
                <c:pt idx="98">
                  <c:v>91.90476190476204</c:v>
                </c:pt>
                <c:pt idx="99">
                  <c:v>93.000000000000142</c:v>
                </c:pt>
                <c:pt idx="100">
                  <c:v>94.095238095238244</c:v>
                </c:pt>
                <c:pt idx="101">
                  <c:v>95.190476190476346</c:v>
                </c:pt>
                <c:pt idx="102">
                  <c:v>96.285714285714448</c:v>
                </c:pt>
                <c:pt idx="103">
                  <c:v>97.38095238095255</c:v>
                </c:pt>
                <c:pt idx="104">
                  <c:v>98.476190476190652</c:v>
                </c:pt>
                <c:pt idx="105">
                  <c:v>99.571428571428754</c:v>
                </c:pt>
                <c:pt idx="106">
                  <c:v>100.66666666666686</c:v>
                </c:pt>
                <c:pt idx="107">
                  <c:v>101.76190476190496</c:v>
                </c:pt>
                <c:pt idx="108">
                  <c:v>102.85714285714306</c:v>
                </c:pt>
                <c:pt idx="109">
                  <c:v>103.95238095238116</c:v>
                </c:pt>
                <c:pt idx="110">
                  <c:v>105.04761904761926</c:v>
                </c:pt>
                <c:pt idx="111">
                  <c:v>106.14285714285737</c:v>
                </c:pt>
                <c:pt idx="112">
                  <c:v>107.23809523809547</c:v>
                </c:pt>
                <c:pt idx="113">
                  <c:v>108.33333333333357</c:v>
                </c:pt>
                <c:pt idx="114">
                  <c:v>109.42857142857167</c:v>
                </c:pt>
                <c:pt idx="115">
                  <c:v>110.52380952380977</c:v>
                </c:pt>
                <c:pt idx="116">
                  <c:v>111.61904761904788</c:v>
                </c:pt>
                <c:pt idx="117">
                  <c:v>112.71428571428598</c:v>
                </c:pt>
                <c:pt idx="118">
                  <c:v>113.80952380952408</c:v>
                </c:pt>
                <c:pt idx="119">
                  <c:v>114.90476190476218</c:v>
                </c:pt>
                <c:pt idx="120">
                  <c:v>116.00000000000028</c:v>
                </c:pt>
                <c:pt idx="121">
                  <c:v>117.09523809523839</c:v>
                </c:pt>
                <c:pt idx="122">
                  <c:v>118.19047619047649</c:v>
                </c:pt>
                <c:pt idx="123">
                  <c:v>119.28571428571459</c:v>
                </c:pt>
                <c:pt idx="124">
                  <c:v>120.38095238095269</c:v>
                </c:pt>
                <c:pt idx="125">
                  <c:v>121.47619047619079</c:v>
                </c:pt>
                <c:pt idx="126">
                  <c:v>122.5714285714289</c:v>
                </c:pt>
                <c:pt idx="127">
                  <c:v>123.666666666667</c:v>
                </c:pt>
                <c:pt idx="128">
                  <c:v>124.7619047619051</c:v>
                </c:pt>
                <c:pt idx="129">
                  <c:v>125.8571428571432</c:v>
                </c:pt>
                <c:pt idx="130">
                  <c:v>126.9523809523813</c:v>
                </c:pt>
                <c:pt idx="131">
                  <c:v>128.04761904761941</c:v>
                </c:pt>
                <c:pt idx="132">
                  <c:v>129.14285714285751</c:v>
                </c:pt>
                <c:pt idx="133">
                  <c:v>130.23809523809561</c:v>
                </c:pt>
                <c:pt idx="134">
                  <c:v>131.33333333333371</c:v>
                </c:pt>
                <c:pt idx="135">
                  <c:v>132.42857142857181</c:v>
                </c:pt>
                <c:pt idx="136">
                  <c:v>133.52380952380992</c:v>
                </c:pt>
                <c:pt idx="137">
                  <c:v>134.61904761904802</c:v>
                </c:pt>
                <c:pt idx="138">
                  <c:v>135.71428571428612</c:v>
                </c:pt>
                <c:pt idx="139">
                  <c:v>136.80952380952422</c:v>
                </c:pt>
                <c:pt idx="140">
                  <c:v>137.90476190476232</c:v>
                </c:pt>
                <c:pt idx="141">
                  <c:v>139.00000000000043</c:v>
                </c:pt>
                <c:pt idx="142">
                  <c:v>140.09523809523853</c:v>
                </c:pt>
                <c:pt idx="143">
                  <c:v>141.19047619047663</c:v>
                </c:pt>
                <c:pt idx="144">
                  <c:v>142.28571428571473</c:v>
                </c:pt>
                <c:pt idx="145">
                  <c:v>143.38095238095283</c:v>
                </c:pt>
                <c:pt idx="146">
                  <c:v>144.47619047619094</c:v>
                </c:pt>
                <c:pt idx="147">
                  <c:v>145.57142857142904</c:v>
                </c:pt>
                <c:pt idx="148">
                  <c:v>146.66666666666714</c:v>
                </c:pt>
                <c:pt idx="149">
                  <c:v>147.76190476190524</c:v>
                </c:pt>
                <c:pt idx="150">
                  <c:v>148.85714285714334</c:v>
                </c:pt>
                <c:pt idx="151">
                  <c:v>149.95238095238145</c:v>
                </c:pt>
                <c:pt idx="152">
                  <c:v>151.04761904761955</c:v>
                </c:pt>
                <c:pt idx="153">
                  <c:v>152.14285714285765</c:v>
                </c:pt>
                <c:pt idx="154">
                  <c:v>153.23809523809575</c:v>
                </c:pt>
                <c:pt idx="155">
                  <c:v>154.33333333333385</c:v>
                </c:pt>
                <c:pt idx="156">
                  <c:v>155.42857142857196</c:v>
                </c:pt>
                <c:pt idx="157">
                  <c:v>156.52380952381006</c:v>
                </c:pt>
                <c:pt idx="158">
                  <c:v>157.61904761904816</c:v>
                </c:pt>
                <c:pt idx="159">
                  <c:v>158.71428571428626</c:v>
                </c:pt>
                <c:pt idx="160">
                  <c:v>159.80952380952436</c:v>
                </c:pt>
                <c:pt idx="161">
                  <c:v>160.90476190476247</c:v>
                </c:pt>
                <c:pt idx="162">
                  <c:v>162.00000000000057</c:v>
                </c:pt>
                <c:pt idx="163">
                  <c:v>163.09523809523867</c:v>
                </c:pt>
                <c:pt idx="164">
                  <c:v>164.19047619047677</c:v>
                </c:pt>
                <c:pt idx="165">
                  <c:v>165.28571428571487</c:v>
                </c:pt>
                <c:pt idx="166">
                  <c:v>166.38095238095298</c:v>
                </c:pt>
                <c:pt idx="167">
                  <c:v>167.47619047619108</c:v>
                </c:pt>
                <c:pt idx="168">
                  <c:v>168.57142857142918</c:v>
                </c:pt>
                <c:pt idx="169">
                  <c:v>169.66666666666728</c:v>
                </c:pt>
                <c:pt idx="170">
                  <c:v>170.76190476190538</c:v>
                </c:pt>
                <c:pt idx="171">
                  <c:v>171.85714285714349</c:v>
                </c:pt>
                <c:pt idx="172">
                  <c:v>172.95238095238159</c:v>
                </c:pt>
                <c:pt idx="173">
                  <c:v>174.04761904761969</c:v>
                </c:pt>
                <c:pt idx="174">
                  <c:v>175.14285714285779</c:v>
                </c:pt>
                <c:pt idx="175">
                  <c:v>176.23809523809589</c:v>
                </c:pt>
                <c:pt idx="176">
                  <c:v>177.333333333334</c:v>
                </c:pt>
                <c:pt idx="177">
                  <c:v>178.4285714285721</c:v>
                </c:pt>
                <c:pt idx="178">
                  <c:v>179.5238095238102</c:v>
                </c:pt>
                <c:pt idx="179">
                  <c:v>180.6190476190483</c:v>
                </c:pt>
                <c:pt idx="180">
                  <c:v>181.7142857142864</c:v>
                </c:pt>
                <c:pt idx="181">
                  <c:v>182.80952380952451</c:v>
                </c:pt>
                <c:pt idx="182">
                  <c:v>183.90476190476261</c:v>
                </c:pt>
                <c:pt idx="183">
                  <c:v>185.00000000000071</c:v>
                </c:pt>
                <c:pt idx="184">
                  <c:v>186.09523809523881</c:v>
                </c:pt>
                <c:pt idx="185">
                  <c:v>187.19047619047691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50-4617-8F43-B5F7B1149700}"/>
            </c:ext>
          </c:extLst>
        </c:ser>
        <c:ser>
          <c:idx val="5"/>
          <c:order val="10"/>
          <c:tx>
            <c:strRef>
              <c:f>'CFD Data'!$Z$1</c:f>
              <c:strCache>
                <c:ptCount val="1"/>
                <c:pt idx="0">
                  <c:v>FutureWork2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Data'!$Z$2:$Z$187</c:f>
              <c:numCache>
                <c:formatCode>General</c:formatCode>
                <c:ptCount val="18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21</c:v>
                </c:pt>
                <c:pt idx="16">
                  <c:v>21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79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94</c:v>
                </c:pt>
                <c:pt idx="52">
                  <c:v>96</c:v>
                </c:pt>
                <c:pt idx="53">
                  <c:v>96</c:v>
                </c:pt>
                <c:pt idx="54">
                  <c:v>97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101</c:v>
                </c:pt>
                <c:pt idx="60">
                  <c:v>102</c:v>
                </c:pt>
                <c:pt idx="61">
                  <c:v>102</c:v>
                </c:pt>
                <c:pt idx="62">
                  <c:v>107</c:v>
                </c:pt>
                <c:pt idx="63">
                  <c:v>109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119</c:v>
                </c:pt>
                <c:pt idx="72">
                  <c:v>119</c:v>
                </c:pt>
                <c:pt idx="73">
                  <c:v>119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123</c:v>
                </c:pt>
                <c:pt idx="78">
                  <c:v>124</c:v>
                </c:pt>
                <c:pt idx="79">
                  <c:v>125.14285714285714</c:v>
                </c:pt>
                <c:pt idx="80">
                  <c:v>126.28571428571428</c:v>
                </c:pt>
                <c:pt idx="81">
                  <c:v>127.42857142857142</c:v>
                </c:pt>
                <c:pt idx="82">
                  <c:v>128.57142857142856</c:v>
                </c:pt>
                <c:pt idx="83">
                  <c:v>129.71428571428569</c:v>
                </c:pt>
                <c:pt idx="84">
                  <c:v>130.85714285714283</c:v>
                </c:pt>
                <c:pt idx="85">
                  <c:v>131.99999999999997</c:v>
                </c:pt>
                <c:pt idx="86">
                  <c:v>133.14285714285711</c:v>
                </c:pt>
                <c:pt idx="87">
                  <c:v>134.28571428571425</c:v>
                </c:pt>
                <c:pt idx="88">
                  <c:v>135.42857142857139</c:v>
                </c:pt>
                <c:pt idx="89">
                  <c:v>136.57142857142853</c:v>
                </c:pt>
                <c:pt idx="90">
                  <c:v>137.71428571428567</c:v>
                </c:pt>
                <c:pt idx="91">
                  <c:v>138.8571428571428</c:v>
                </c:pt>
                <c:pt idx="92">
                  <c:v>139.99999999999994</c:v>
                </c:pt>
                <c:pt idx="93">
                  <c:v>141.14285714285708</c:v>
                </c:pt>
                <c:pt idx="94">
                  <c:v>142.28571428571422</c:v>
                </c:pt>
                <c:pt idx="95">
                  <c:v>143.42857142857136</c:v>
                </c:pt>
                <c:pt idx="96">
                  <c:v>144.5714285714285</c:v>
                </c:pt>
                <c:pt idx="97">
                  <c:v>145.71428571428564</c:v>
                </c:pt>
                <c:pt idx="98">
                  <c:v>146.85714285714278</c:v>
                </c:pt>
                <c:pt idx="99">
                  <c:v>147.99999999999991</c:v>
                </c:pt>
                <c:pt idx="100">
                  <c:v>149.14285714285705</c:v>
                </c:pt>
                <c:pt idx="101">
                  <c:v>150.28571428571419</c:v>
                </c:pt>
                <c:pt idx="102">
                  <c:v>151.42857142857133</c:v>
                </c:pt>
                <c:pt idx="103">
                  <c:v>152.57142857142847</c:v>
                </c:pt>
                <c:pt idx="104">
                  <c:v>153.71428571428561</c:v>
                </c:pt>
                <c:pt idx="105">
                  <c:v>154.85714285714275</c:v>
                </c:pt>
                <c:pt idx="106">
                  <c:v>155.99999999999989</c:v>
                </c:pt>
                <c:pt idx="107">
                  <c:v>157.14285714285703</c:v>
                </c:pt>
                <c:pt idx="108">
                  <c:v>158.28571428571416</c:v>
                </c:pt>
                <c:pt idx="109">
                  <c:v>159.4285714285713</c:v>
                </c:pt>
                <c:pt idx="110">
                  <c:v>160.57142857142844</c:v>
                </c:pt>
                <c:pt idx="111">
                  <c:v>161.71428571428558</c:v>
                </c:pt>
                <c:pt idx="112">
                  <c:v>162.85714285714272</c:v>
                </c:pt>
                <c:pt idx="113">
                  <c:v>163.99999999999986</c:v>
                </c:pt>
                <c:pt idx="114">
                  <c:v>165.142857142857</c:v>
                </c:pt>
                <c:pt idx="115">
                  <c:v>166.28571428571414</c:v>
                </c:pt>
                <c:pt idx="116">
                  <c:v>167.42857142857127</c:v>
                </c:pt>
                <c:pt idx="117">
                  <c:v>168.57142857142841</c:v>
                </c:pt>
                <c:pt idx="118">
                  <c:v>169.71428571428555</c:v>
                </c:pt>
                <c:pt idx="119">
                  <c:v>170.85714285714269</c:v>
                </c:pt>
                <c:pt idx="120">
                  <c:v>171.99999999999983</c:v>
                </c:pt>
                <c:pt idx="121">
                  <c:v>173.14285714285697</c:v>
                </c:pt>
                <c:pt idx="122">
                  <c:v>174.28571428571411</c:v>
                </c:pt>
                <c:pt idx="123">
                  <c:v>175.42857142857125</c:v>
                </c:pt>
                <c:pt idx="124">
                  <c:v>176.57142857142838</c:v>
                </c:pt>
                <c:pt idx="125">
                  <c:v>177.71428571428552</c:v>
                </c:pt>
                <c:pt idx="126">
                  <c:v>178.85714285714266</c:v>
                </c:pt>
                <c:pt idx="127">
                  <c:v>179.9999999999998</c:v>
                </c:pt>
                <c:pt idx="128">
                  <c:v>181.14285714285694</c:v>
                </c:pt>
                <c:pt idx="129">
                  <c:v>182.28571428571408</c:v>
                </c:pt>
                <c:pt idx="130">
                  <c:v>183.42857142857122</c:v>
                </c:pt>
                <c:pt idx="131">
                  <c:v>184.57142857142836</c:v>
                </c:pt>
                <c:pt idx="132">
                  <c:v>185.7142857142855</c:v>
                </c:pt>
                <c:pt idx="133">
                  <c:v>186.85714285714263</c:v>
                </c:pt>
                <c:pt idx="134">
                  <c:v>187.99999999999977</c:v>
                </c:pt>
                <c:pt idx="135">
                  <c:v>189.14285714285691</c:v>
                </c:pt>
                <c:pt idx="136">
                  <c:v>190.28571428571405</c:v>
                </c:pt>
                <c:pt idx="137">
                  <c:v>191.42857142857119</c:v>
                </c:pt>
                <c:pt idx="138">
                  <c:v>192.57142857142833</c:v>
                </c:pt>
                <c:pt idx="139">
                  <c:v>193.71428571428547</c:v>
                </c:pt>
                <c:pt idx="140">
                  <c:v>194.85714285714261</c:v>
                </c:pt>
                <c:pt idx="141">
                  <c:v>195.99999999999974</c:v>
                </c:pt>
                <c:pt idx="142">
                  <c:v>197.14285714285688</c:v>
                </c:pt>
                <c:pt idx="143">
                  <c:v>198.28571428571402</c:v>
                </c:pt>
                <c:pt idx="144">
                  <c:v>199.42857142857116</c:v>
                </c:pt>
                <c:pt idx="145">
                  <c:v>200.5714285714283</c:v>
                </c:pt>
                <c:pt idx="146">
                  <c:v>201.71428571428544</c:v>
                </c:pt>
                <c:pt idx="147">
                  <c:v>202.85714285714258</c:v>
                </c:pt>
                <c:pt idx="148">
                  <c:v>203.99999999999972</c:v>
                </c:pt>
                <c:pt idx="149">
                  <c:v>205.14285714285685</c:v>
                </c:pt>
                <c:pt idx="150">
                  <c:v>206.28571428571399</c:v>
                </c:pt>
                <c:pt idx="151">
                  <c:v>207.42857142857113</c:v>
                </c:pt>
                <c:pt idx="152">
                  <c:v>208.57142857142827</c:v>
                </c:pt>
                <c:pt idx="153">
                  <c:v>209.71428571428541</c:v>
                </c:pt>
                <c:pt idx="154">
                  <c:v>210.85714285714255</c:v>
                </c:pt>
                <c:pt idx="155">
                  <c:v>211.99999999999969</c:v>
                </c:pt>
                <c:pt idx="156">
                  <c:v>213.14285714285683</c:v>
                </c:pt>
                <c:pt idx="157">
                  <c:v>214.28571428571396</c:v>
                </c:pt>
                <c:pt idx="158">
                  <c:v>215.4285714285711</c:v>
                </c:pt>
                <c:pt idx="159">
                  <c:v>216.57142857142824</c:v>
                </c:pt>
                <c:pt idx="160">
                  <c:v>217.71428571428538</c:v>
                </c:pt>
                <c:pt idx="161">
                  <c:v>218.85714285714252</c:v>
                </c:pt>
                <c:pt idx="162">
                  <c:v>219.99999999999966</c:v>
                </c:pt>
                <c:pt idx="163">
                  <c:v>221.1428571428568</c:v>
                </c:pt>
                <c:pt idx="164">
                  <c:v>222.28571428571394</c:v>
                </c:pt>
                <c:pt idx="165">
                  <c:v>223.42857142857108</c:v>
                </c:pt>
                <c:pt idx="166">
                  <c:v>224.57142857142821</c:v>
                </c:pt>
                <c:pt idx="167">
                  <c:v>225.71428571428535</c:v>
                </c:pt>
                <c:pt idx="168">
                  <c:v>226.85714285714249</c:v>
                </c:pt>
                <c:pt idx="169">
                  <c:v>227.99999999999963</c:v>
                </c:pt>
                <c:pt idx="170">
                  <c:v>229.14285714285677</c:v>
                </c:pt>
                <c:pt idx="171">
                  <c:v>230.28571428571391</c:v>
                </c:pt>
                <c:pt idx="172">
                  <c:v>231.42857142857105</c:v>
                </c:pt>
                <c:pt idx="173">
                  <c:v>232.57142857142819</c:v>
                </c:pt>
                <c:pt idx="174">
                  <c:v>233.71428571428532</c:v>
                </c:pt>
                <c:pt idx="175">
                  <c:v>234.85714285714246</c:v>
                </c:pt>
                <c:pt idx="176">
                  <c:v>235.9999999999996</c:v>
                </c:pt>
                <c:pt idx="177">
                  <c:v>237.14285714285674</c:v>
                </c:pt>
                <c:pt idx="178">
                  <c:v>238.28571428571388</c:v>
                </c:pt>
                <c:pt idx="179">
                  <c:v>239.42857142857102</c:v>
                </c:pt>
                <c:pt idx="180">
                  <c:v>240.57142857142816</c:v>
                </c:pt>
                <c:pt idx="181">
                  <c:v>241.7142857142853</c:v>
                </c:pt>
                <c:pt idx="182">
                  <c:v>242.85714285714243</c:v>
                </c:pt>
                <c:pt idx="183">
                  <c:v>243.99999999999957</c:v>
                </c:pt>
                <c:pt idx="184">
                  <c:v>245.14285714285671</c:v>
                </c:pt>
                <c:pt idx="185">
                  <c:v>246.28571428571385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50-4617-8F43-B5F7B1149700}"/>
            </c:ext>
          </c:extLst>
        </c:ser>
        <c:ser>
          <c:idx val="11"/>
          <c:order val="11"/>
          <c:tx>
            <c:strRef>
              <c:f>'CFD Data'!$D$1</c:f>
              <c:strCache>
                <c:ptCount val="1"/>
                <c:pt idx="0">
                  <c:v>Goal Done</c:v>
                </c:pt>
              </c:strCache>
            </c:strRef>
          </c:tx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Data'!$D$2:$D$187</c:f>
              <c:numCache>
                <c:formatCode>General</c:formatCode>
                <c:ptCount val="1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50-4617-8F43-B5F7B114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38992"/>
        <c:axId val="1795200496"/>
      </c:lineChart>
      <c:catAx>
        <c:axId val="1796638992"/>
        <c:scaling>
          <c:orientation val="minMax"/>
          <c:min val="1"/>
        </c:scaling>
        <c:delete val="0"/>
        <c:axPos val="b"/>
        <c:majorGridlines>
          <c:spPr>
            <a:ln>
              <a:solidFill>
                <a:schemeClr val="accent1">
                  <a:alpha val="66000"/>
                </a:schemeClr>
              </a:solidFill>
            </a:ln>
          </c:spPr>
        </c:majorGridlines>
        <c:numFmt formatCode="dd/mm/yyyy;@" sourceLinked="1"/>
        <c:majorTickMark val="out"/>
        <c:minorTickMark val="none"/>
        <c:tickLblPos val="nextTo"/>
        <c:crossAx val="1795200496"/>
        <c:crosses val="autoZero"/>
        <c:auto val="0"/>
        <c:lblAlgn val="ctr"/>
        <c:lblOffset val="100"/>
        <c:noMultiLvlLbl val="1"/>
      </c:catAx>
      <c:valAx>
        <c:axId val="179520049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accent1">
                  <a:alpha val="56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Work</a:t>
                </a:r>
                <a:r>
                  <a:rPr lang="en-GB" baseline="0"/>
                  <a:t> Items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638992"/>
        <c:crosses val="autoZero"/>
        <c:crossBetween val="between"/>
        <c:majorUnit val="5"/>
        <c:minorUnit val="5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7.1842716479062804E-2"/>
          <c:y val="9.9211341922789395E-2"/>
          <c:w val="0.13875754234387699"/>
          <c:h val="0.49639114601404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</a:t>
            </a:r>
            <a:r>
              <a:rPr lang="en-US" baseline="0"/>
              <a:t> Time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LtDistribution!$A$2</c:f>
              <c:strCache>
                <c:ptCount val="1"/>
                <c:pt idx="0">
                  <c:v>LeadTime</c:v>
                </c:pt>
              </c:strCache>
            </c:strRef>
          </c:tx>
          <c:invertIfNegative val="0"/>
          <c:cat>
            <c:numRef>
              <c:f>LtDistribution!$A$3:$A$45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LtDistribution!$B$3:$B$45</c:f>
              <c:numCache>
                <c:formatCode>General</c:formatCode>
                <c:ptCount val="43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E-4820-9F07-EF8C2D4D0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331760"/>
        <c:axId val="1776334560"/>
      </c:barChart>
      <c:catAx>
        <c:axId val="177633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6334560"/>
        <c:crosses val="autoZero"/>
        <c:auto val="1"/>
        <c:lblAlgn val="ctr"/>
        <c:lblOffset val="100"/>
        <c:noMultiLvlLbl val="0"/>
      </c:catAx>
      <c:valAx>
        <c:axId val="17763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331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'On The Board'!$N$4</c:f>
              <c:strCache>
                <c:ptCount val="1"/>
                <c:pt idx="0">
                  <c:v>Lead 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 cap="sq">
                <a:noFill/>
                <a:round/>
              </a:ln>
              <a:effectLst/>
            </c:spPr>
          </c:marker>
          <c:xVal>
            <c:numRef>
              <c:f>'On The Board'!$K$5:$K$100</c:f>
              <c:numCache>
                <c:formatCode>m/d/yyyy</c:formatCode>
                <c:ptCount val="96"/>
                <c:pt idx="0">
                  <c:v>42409</c:v>
                </c:pt>
                <c:pt idx="1">
                  <c:v>42409</c:v>
                </c:pt>
                <c:pt idx="2">
                  <c:v>42422</c:v>
                </c:pt>
                <c:pt idx="3">
                  <c:v>42423</c:v>
                </c:pt>
                <c:pt idx="4">
                  <c:v>42423</c:v>
                </c:pt>
                <c:pt idx="5">
                  <c:v>42423</c:v>
                </c:pt>
                <c:pt idx="6">
                  <c:v>42424</c:v>
                </c:pt>
                <c:pt idx="7">
                  <c:v>42424</c:v>
                </c:pt>
                <c:pt idx="8">
                  <c:v>42429</c:v>
                </c:pt>
                <c:pt idx="9">
                  <c:v>42430</c:v>
                </c:pt>
                <c:pt idx="10">
                  <c:v>42430</c:v>
                </c:pt>
                <c:pt idx="11">
                  <c:v>42430</c:v>
                </c:pt>
                <c:pt idx="12">
                  <c:v>42430</c:v>
                </c:pt>
                <c:pt idx="13">
                  <c:v>42432</c:v>
                </c:pt>
                <c:pt idx="14">
                  <c:v>42432</c:v>
                </c:pt>
                <c:pt idx="15">
                  <c:v>42432</c:v>
                </c:pt>
                <c:pt idx="16">
                  <c:v>42436</c:v>
                </c:pt>
                <c:pt idx="17">
                  <c:v>42436</c:v>
                </c:pt>
                <c:pt idx="18">
                  <c:v>42437</c:v>
                </c:pt>
                <c:pt idx="19">
                  <c:v>42439</c:v>
                </c:pt>
                <c:pt idx="20">
                  <c:v>42443</c:v>
                </c:pt>
                <c:pt idx="21">
                  <c:v>42445</c:v>
                </c:pt>
                <c:pt idx="22">
                  <c:v>42450</c:v>
                </c:pt>
                <c:pt idx="23">
                  <c:v>42450</c:v>
                </c:pt>
                <c:pt idx="24">
                  <c:v>42450</c:v>
                </c:pt>
                <c:pt idx="25">
                  <c:v>42451</c:v>
                </c:pt>
                <c:pt idx="26">
                  <c:v>42452</c:v>
                </c:pt>
                <c:pt idx="27">
                  <c:v>42458</c:v>
                </c:pt>
                <c:pt idx="28">
                  <c:v>42458</c:v>
                </c:pt>
                <c:pt idx="29">
                  <c:v>42458</c:v>
                </c:pt>
                <c:pt idx="30">
                  <c:v>42461</c:v>
                </c:pt>
                <c:pt idx="31">
                  <c:v>42464</c:v>
                </c:pt>
                <c:pt idx="32">
                  <c:v>42466</c:v>
                </c:pt>
                <c:pt idx="33">
                  <c:v>42466</c:v>
                </c:pt>
                <c:pt idx="34">
                  <c:v>42471</c:v>
                </c:pt>
                <c:pt idx="35">
                  <c:v>42471</c:v>
                </c:pt>
                <c:pt idx="36">
                  <c:v>42475</c:v>
                </c:pt>
                <c:pt idx="37">
                  <c:v>42475</c:v>
                </c:pt>
                <c:pt idx="38">
                  <c:v>42475</c:v>
                </c:pt>
                <c:pt idx="39">
                  <c:v>42475</c:v>
                </c:pt>
                <c:pt idx="40">
                  <c:v>42475</c:v>
                </c:pt>
                <c:pt idx="41">
                  <c:v>42480</c:v>
                </c:pt>
                <c:pt idx="42">
                  <c:v>42481</c:v>
                </c:pt>
                <c:pt idx="43">
                  <c:v>42482</c:v>
                </c:pt>
                <c:pt idx="44">
                  <c:v>42482</c:v>
                </c:pt>
                <c:pt idx="45">
                  <c:v>42482</c:v>
                </c:pt>
                <c:pt idx="46">
                  <c:v>42482</c:v>
                </c:pt>
                <c:pt idx="47">
                  <c:v>42482</c:v>
                </c:pt>
                <c:pt idx="48">
                  <c:v>42486</c:v>
                </c:pt>
                <c:pt idx="49">
                  <c:v>42488</c:v>
                </c:pt>
                <c:pt idx="50">
                  <c:v>42496</c:v>
                </c:pt>
                <c:pt idx="51">
                  <c:v>42496</c:v>
                </c:pt>
                <c:pt idx="52">
                  <c:v>42496</c:v>
                </c:pt>
                <c:pt idx="53">
                  <c:v>42496</c:v>
                </c:pt>
                <c:pt idx="54">
                  <c:v>42499</c:v>
                </c:pt>
                <c:pt idx="55">
                  <c:v>42499</c:v>
                </c:pt>
                <c:pt idx="56">
                  <c:v>42501</c:v>
                </c:pt>
                <c:pt idx="57">
                  <c:v>42501</c:v>
                </c:pt>
                <c:pt idx="58">
                  <c:v>42501</c:v>
                </c:pt>
                <c:pt idx="59">
                  <c:v>42502</c:v>
                </c:pt>
                <c:pt idx="60">
                  <c:v>42507</c:v>
                </c:pt>
                <c:pt idx="61">
                  <c:v>42509</c:v>
                </c:pt>
                <c:pt idx="62">
                  <c:v>42510</c:v>
                </c:pt>
                <c:pt idx="63">
                  <c:v>42510</c:v>
                </c:pt>
                <c:pt idx="64">
                  <c:v>42510</c:v>
                </c:pt>
                <c:pt idx="65">
                  <c:v>42513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42522</c:v>
                </c:pt>
              </c:numCache>
            </c:numRef>
          </c:xVal>
          <c:yVal>
            <c:numRef>
              <c:f>'On The Board'!$N$5:$N$100</c:f>
              <c:numCache>
                <c:formatCode>General</c:formatCode>
                <c:ptCount val="96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15</c:v>
                </c:pt>
                <c:pt idx="10">
                  <c:v>6</c:v>
                </c:pt>
                <c:pt idx="11">
                  <c:v>9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21</c:v>
                </c:pt>
                <c:pt idx="17">
                  <c:v>5</c:v>
                </c:pt>
                <c:pt idx="18">
                  <c:v>9</c:v>
                </c:pt>
                <c:pt idx="19">
                  <c:v>5</c:v>
                </c:pt>
                <c:pt idx="20">
                  <c:v>1</c:v>
                </c:pt>
                <c:pt idx="21">
                  <c:v>10</c:v>
                </c:pt>
                <c:pt idx="22">
                  <c:v>15</c:v>
                </c:pt>
                <c:pt idx="23">
                  <c:v>4</c:v>
                </c:pt>
                <c:pt idx="24">
                  <c:v>5</c:v>
                </c:pt>
                <c:pt idx="25">
                  <c:v>10</c:v>
                </c:pt>
                <c:pt idx="26">
                  <c:v>7</c:v>
                </c:pt>
                <c:pt idx="27">
                  <c:v>9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2</c:v>
                </c:pt>
                <c:pt idx="32">
                  <c:v>8</c:v>
                </c:pt>
                <c:pt idx="33">
                  <c:v>7</c:v>
                </c:pt>
                <c:pt idx="34">
                  <c:v>9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1</c:v>
                </c:pt>
                <c:pt idx="42">
                  <c:v>9</c:v>
                </c:pt>
                <c:pt idx="43">
                  <c:v>13</c:v>
                </c:pt>
                <c:pt idx="44">
                  <c:v>10</c:v>
                </c:pt>
                <c:pt idx="45">
                  <c:v>7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5</c:v>
                </c:pt>
                <c:pt idx="50">
                  <c:v>10</c:v>
                </c:pt>
                <c:pt idx="51">
                  <c:v>2</c:v>
                </c:pt>
                <c:pt idx="52">
                  <c:v>7</c:v>
                </c:pt>
                <c:pt idx="53">
                  <c:v>7</c:v>
                </c:pt>
                <c:pt idx="54">
                  <c:v>9</c:v>
                </c:pt>
                <c:pt idx="55">
                  <c:v>7</c:v>
                </c:pt>
                <c:pt idx="56">
                  <c:v>2</c:v>
                </c:pt>
                <c:pt idx="57">
                  <c:v>6</c:v>
                </c:pt>
                <c:pt idx="58">
                  <c:v>2</c:v>
                </c:pt>
                <c:pt idx="59">
                  <c:v>1</c:v>
                </c:pt>
                <c:pt idx="60">
                  <c:v>5</c:v>
                </c:pt>
                <c:pt idx="61">
                  <c:v>7</c:v>
                </c:pt>
                <c:pt idx="62">
                  <c:v>4</c:v>
                </c:pt>
                <c:pt idx="63">
                  <c:v>5</c:v>
                </c:pt>
                <c:pt idx="64">
                  <c:v>1</c:v>
                </c:pt>
                <c:pt idx="65">
                  <c:v>41</c:v>
                </c:pt>
                <c:pt idx="66">
                  <c:v>4</c:v>
                </c:pt>
                <c:pt idx="67">
                  <c:v>12</c:v>
                </c:pt>
                <c:pt idx="68">
                  <c:v>4</c:v>
                </c:pt>
                <c:pt idx="69">
                  <c:v>5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16-4522-80DA-9DBD79542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815480"/>
        <c:axId val="908815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 The Board'!$K$4</c15:sqref>
                        </c15:formulaRef>
                      </c:ext>
                    </c:extLst>
                    <c:strCache>
                      <c:ptCount val="1"/>
                      <c:pt idx="0">
                        <c:v>Done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'On The Board'!$K$5:$K$100</c15:sqref>
                        </c15:formulaRef>
                      </c:ext>
                    </c:extLst>
                    <c:numCache>
                      <c:formatCode>m/d/yyyy</c:formatCode>
                      <c:ptCount val="96"/>
                      <c:pt idx="0">
                        <c:v>42409</c:v>
                      </c:pt>
                      <c:pt idx="1">
                        <c:v>42409</c:v>
                      </c:pt>
                      <c:pt idx="2">
                        <c:v>42422</c:v>
                      </c:pt>
                      <c:pt idx="3">
                        <c:v>42423</c:v>
                      </c:pt>
                      <c:pt idx="4">
                        <c:v>42423</c:v>
                      </c:pt>
                      <c:pt idx="5">
                        <c:v>42423</c:v>
                      </c:pt>
                      <c:pt idx="6">
                        <c:v>42424</c:v>
                      </c:pt>
                      <c:pt idx="7">
                        <c:v>42424</c:v>
                      </c:pt>
                      <c:pt idx="8">
                        <c:v>42429</c:v>
                      </c:pt>
                      <c:pt idx="9">
                        <c:v>42430</c:v>
                      </c:pt>
                      <c:pt idx="10">
                        <c:v>42430</c:v>
                      </c:pt>
                      <c:pt idx="11">
                        <c:v>42430</c:v>
                      </c:pt>
                      <c:pt idx="12">
                        <c:v>42430</c:v>
                      </c:pt>
                      <c:pt idx="13">
                        <c:v>42432</c:v>
                      </c:pt>
                      <c:pt idx="14">
                        <c:v>42432</c:v>
                      </c:pt>
                      <c:pt idx="15">
                        <c:v>42432</c:v>
                      </c:pt>
                      <c:pt idx="16">
                        <c:v>42436</c:v>
                      </c:pt>
                      <c:pt idx="17">
                        <c:v>42436</c:v>
                      </c:pt>
                      <c:pt idx="18">
                        <c:v>42437</c:v>
                      </c:pt>
                      <c:pt idx="19">
                        <c:v>42439</c:v>
                      </c:pt>
                      <c:pt idx="20">
                        <c:v>42443</c:v>
                      </c:pt>
                      <c:pt idx="21">
                        <c:v>42445</c:v>
                      </c:pt>
                      <c:pt idx="22">
                        <c:v>42450</c:v>
                      </c:pt>
                      <c:pt idx="23">
                        <c:v>42450</c:v>
                      </c:pt>
                      <c:pt idx="24">
                        <c:v>42450</c:v>
                      </c:pt>
                      <c:pt idx="25">
                        <c:v>42451</c:v>
                      </c:pt>
                      <c:pt idx="26">
                        <c:v>42452</c:v>
                      </c:pt>
                      <c:pt idx="27">
                        <c:v>42458</c:v>
                      </c:pt>
                      <c:pt idx="28">
                        <c:v>42458</c:v>
                      </c:pt>
                      <c:pt idx="29">
                        <c:v>42458</c:v>
                      </c:pt>
                      <c:pt idx="30">
                        <c:v>42461</c:v>
                      </c:pt>
                      <c:pt idx="31">
                        <c:v>42464</c:v>
                      </c:pt>
                      <c:pt idx="32">
                        <c:v>42466</c:v>
                      </c:pt>
                      <c:pt idx="33">
                        <c:v>42466</c:v>
                      </c:pt>
                      <c:pt idx="34">
                        <c:v>42471</c:v>
                      </c:pt>
                      <c:pt idx="35">
                        <c:v>42471</c:v>
                      </c:pt>
                      <c:pt idx="36">
                        <c:v>42475</c:v>
                      </c:pt>
                      <c:pt idx="37">
                        <c:v>42475</c:v>
                      </c:pt>
                      <c:pt idx="38">
                        <c:v>42475</c:v>
                      </c:pt>
                      <c:pt idx="39">
                        <c:v>42475</c:v>
                      </c:pt>
                      <c:pt idx="40">
                        <c:v>42475</c:v>
                      </c:pt>
                      <c:pt idx="41">
                        <c:v>42480</c:v>
                      </c:pt>
                      <c:pt idx="42">
                        <c:v>42481</c:v>
                      </c:pt>
                      <c:pt idx="43">
                        <c:v>42482</c:v>
                      </c:pt>
                      <c:pt idx="44">
                        <c:v>42482</c:v>
                      </c:pt>
                      <c:pt idx="45">
                        <c:v>42482</c:v>
                      </c:pt>
                      <c:pt idx="46">
                        <c:v>42482</c:v>
                      </c:pt>
                      <c:pt idx="47">
                        <c:v>42482</c:v>
                      </c:pt>
                      <c:pt idx="48">
                        <c:v>42486</c:v>
                      </c:pt>
                      <c:pt idx="49">
                        <c:v>42488</c:v>
                      </c:pt>
                      <c:pt idx="50">
                        <c:v>42496</c:v>
                      </c:pt>
                      <c:pt idx="51">
                        <c:v>42496</c:v>
                      </c:pt>
                      <c:pt idx="52">
                        <c:v>42496</c:v>
                      </c:pt>
                      <c:pt idx="53">
                        <c:v>42496</c:v>
                      </c:pt>
                      <c:pt idx="54">
                        <c:v>42499</c:v>
                      </c:pt>
                      <c:pt idx="55">
                        <c:v>42499</c:v>
                      </c:pt>
                      <c:pt idx="56">
                        <c:v>42501</c:v>
                      </c:pt>
                      <c:pt idx="57">
                        <c:v>42501</c:v>
                      </c:pt>
                      <c:pt idx="58">
                        <c:v>42501</c:v>
                      </c:pt>
                      <c:pt idx="59">
                        <c:v>42502</c:v>
                      </c:pt>
                      <c:pt idx="60">
                        <c:v>42507</c:v>
                      </c:pt>
                      <c:pt idx="61">
                        <c:v>42509</c:v>
                      </c:pt>
                      <c:pt idx="62">
                        <c:v>42510</c:v>
                      </c:pt>
                      <c:pt idx="63">
                        <c:v>42510</c:v>
                      </c:pt>
                      <c:pt idx="64">
                        <c:v>42510</c:v>
                      </c:pt>
                      <c:pt idx="65">
                        <c:v>42513</c:v>
                      </c:pt>
                      <c:pt idx="66">
                        <c:v>42515</c:v>
                      </c:pt>
                      <c:pt idx="67">
                        <c:v>42516</c:v>
                      </c:pt>
                      <c:pt idx="68">
                        <c:v>42517</c:v>
                      </c:pt>
                      <c:pt idx="69">
                        <c:v>42522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C16-4522-80DA-9DBD795427D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 The Board'!$L$4</c15:sqref>
                        </c15:formulaRef>
                      </c:ext>
                    </c:extLst>
                    <c:strCache>
                      <c:ptCount val="1"/>
                      <c:pt idx="0">
                        <c:v>Sprint Finished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 The Board'!$L$5:$L$100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9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13</c:v>
                      </c:pt>
                      <c:pt idx="61">
                        <c:v>13</c:v>
                      </c:pt>
                      <c:pt idx="62">
                        <c:v>13</c:v>
                      </c:pt>
                      <c:pt idx="63">
                        <c:v>13</c:v>
                      </c:pt>
                      <c:pt idx="64">
                        <c:v>13</c:v>
                      </c:pt>
                      <c:pt idx="65">
                        <c:v>13</c:v>
                      </c:pt>
                      <c:pt idx="66">
                        <c:v>13</c:v>
                      </c:pt>
                      <c:pt idx="67">
                        <c:v>13</c:v>
                      </c:pt>
                      <c:pt idx="68">
                        <c:v>13</c:v>
                      </c:pt>
                      <c:pt idx="69">
                        <c:v>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16-4522-80DA-9DBD795427D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 The Board'!$M$4</c15:sqref>
                        </c15:formulaRef>
                      </c:ext>
                    </c:extLst>
                    <c:strCache>
                      <c:ptCount val="1"/>
                      <c:pt idx="0">
                        <c:v>Weighting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 The Board'!$M$5:$M$100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5</c:v>
                      </c:pt>
                      <c:pt idx="79">
                        <c:v>8</c:v>
                      </c:pt>
                      <c:pt idx="80">
                        <c:v>6</c:v>
                      </c:pt>
                      <c:pt idx="81">
                        <c:v>2</c:v>
                      </c:pt>
                      <c:pt idx="82">
                        <c:v>1</c:v>
                      </c:pt>
                      <c:pt idx="83">
                        <c:v>15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16-4522-80DA-9DBD795427D1}"/>
                  </c:ext>
                </c:extLst>
              </c15:ser>
            </c15:filteredScatterSeries>
          </c:ext>
        </c:extLst>
      </c:scatterChart>
      <c:valAx>
        <c:axId val="9088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15808"/>
        <c:crosses val="autoZero"/>
        <c:crossBetween val="midCat"/>
      </c:valAx>
      <c:valAx>
        <c:axId val="9088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154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Data!$L$1</c:f>
              <c:strCache>
                <c:ptCount val="1"/>
                <c:pt idx="0">
                  <c:v>WIP</c:v>
                </c:pt>
              </c:strCache>
            </c:strRef>
          </c:tx>
          <c:marker>
            <c:symbol val="none"/>
          </c:marker>
          <c:cat>
            <c:numRef>
              <c:f>Data!$B$2:$B$65</c:f>
              <c:numCache>
                <c:formatCode>m/d/yyyy</c:formatCode>
                <c:ptCount val="64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</c:numCache>
            </c:numRef>
          </c:cat>
          <c:val>
            <c:numRef>
              <c:f>Data!$L$2:$L$65</c:f>
              <c:numCache>
                <c:formatCode>General</c:formatCode>
                <c:ptCount val="6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3</c:v>
                </c:pt>
                <c:pt idx="31">
                  <c:v>2</c:v>
                </c:pt>
                <c:pt idx="32">
                  <c:v>5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8</c:v>
                </c:pt>
                <c:pt idx="45">
                  <c:v>8</c:v>
                </c:pt>
                <c:pt idx="46">
                  <c:v>10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4</c:v>
                </c:pt>
                <c:pt idx="62">
                  <c:v>2</c:v>
                </c:pt>
                <c:pt idx="6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F-4274-90DA-7DC6EC5C8DC3}"/>
            </c:ext>
          </c:extLst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Avg WIP</c:v>
                </c:pt>
              </c:strCache>
            </c:strRef>
          </c:tx>
          <c:marker>
            <c:symbol val="none"/>
          </c:marker>
          <c:val>
            <c:numRef>
              <c:f>Data!$M$2:$M$65</c:f>
              <c:numCache>
                <c:formatCode>0.00</c:formatCode>
                <c:ptCount val="64"/>
                <c:pt idx="0">
                  <c:v>3</c:v>
                </c:pt>
                <c:pt idx="1">
                  <c:v>2</c:v>
                </c:pt>
                <c:pt idx="2">
                  <c:v>2.3333333333333335</c:v>
                </c:pt>
                <c:pt idx="3">
                  <c:v>2.5</c:v>
                </c:pt>
                <c:pt idx="4">
                  <c:v>2.6</c:v>
                </c:pt>
                <c:pt idx="5">
                  <c:v>2.6666666666666665</c:v>
                </c:pt>
                <c:pt idx="6">
                  <c:v>2.8571428571428572</c:v>
                </c:pt>
                <c:pt idx="7">
                  <c:v>3.125</c:v>
                </c:pt>
                <c:pt idx="8">
                  <c:v>3.5555555555555554</c:v>
                </c:pt>
                <c:pt idx="9">
                  <c:v>4</c:v>
                </c:pt>
                <c:pt idx="10">
                  <c:v>4.3636363636363633</c:v>
                </c:pt>
                <c:pt idx="11">
                  <c:v>4.6363636363636367</c:v>
                </c:pt>
                <c:pt idx="12">
                  <c:v>4.9090909090909092</c:v>
                </c:pt>
                <c:pt idx="13">
                  <c:v>5.2727272727272725</c:v>
                </c:pt>
                <c:pt idx="14">
                  <c:v>5.6363636363636367</c:v>
                </c:pt>
                <c:pt idx="15">
                  <c:v>6.0909090909090908</c:v>
                </c:pt>
                <c:pt idx="16">
                  <c:v>6.4545454545454541</c:v>
                </c:pt>
                <c:pt idx="17">
                  <c:v>6.7272727272727275</c:v>
                </c:pt>
                <c:pt idx="18">
                  <c:v>6.7272727272727275</c:v>
                </c:pt>
                <c:pt idx="19">
                  <c:v>6.6363636363636367</c:v>
                </c:pt>
                <c:pt idx="20">
                  <c:v>6.2727272727272725</c:v>
                </c:pt>
                <c:pt idx="21">
                  <c:v>5.8181818181818183</c:v>
                </c:pt>
                <c:pt idx="22">
                  <c:v>5.6363636363636367</c:v>
                </c:pt>
                <c:pt idx="23">
                  <c:v>5.5454545454545459</c:v>
                </c:pt>
                <c:pt idx="24">
                  <c:v>5.1818181818181817</c:v>
                </c:pt>
                <c:pt idx="25">
                  <c:v>4.8181818181818183</c:v>
                </c:pt>
                <c:pt idx="26">
                  <c:v>4.6363636363636367</c:v>
                </c:pt>
                <c:pt idx="27">
                  <c:v>4.5454545454545459</c:v>
                </c:pt>
                <c:pt idx="28">
                  <c:v>4.4545454545454541</c:v>
                </c:pt>
                <c:pt idx="29">
                  <c:v>4.5454545454545459</c:v>
                </c:pt>
                <c:pt idx="30">
                  <c:v>4.2727272727272725</c:v>
                </c:pt>
                <c:pt idx="31">
                  <c:v>4.0909090909090908</c:v>
                </c:pt>
                <c:pt idx="32">
                  <c:v>4.2727272727272725</c:v>
                </c:pt>
                <c:pt idx="33">
                  <c:v>4.4545454545454541</c:v>
                </c:pt>
                <c:pt idx="34">
                  <c:v>4.5454545454545459</c:v>
                </c:pt>
                <c:pt idx="35">
                  <c:v>4.7272727272727275</c:v>
                </c:pt>
                <c:pt idx="36">
                  <c:v>4.9090909090909092</c:v>
                </c:pt>
                <c:pt idx="37">
                  <c:v>4.8181818181818183</c:v>
                </c:pt>
                <c:pt idx="38">
                  <c:v>4.6363636363636367</c:v>
                </c:pt>
                <c:pt idx="39">
                  <c:v>4.4545454545454541</c:v>
                </c:pt>
                <c:pt idx="40">
                  <c:v>4.1818181818181817</c:v>
                </c:pt>
                <c:pt idx="41">
                  <c:v>4.2727272727272725</c:v>
                </c:pt>
                <c:pt idx="42">
                  <c:v>4.4545454545454541</c:v>
                </c:pt>
                <c:pt idx="43">
                  <c:v>4.4545454545454541</c:v>
                </c:pt>
                <c:pt idx="44">
                  <c:v>4.6363636363636367</c:v>
                </c:pt>
                <c:pt idx="45">
                  <c:v>5</c:v>
                </c:pt>
                <c:pt idx="46">
                  <c:v>5.4545454545454541</c:v>
                </c:pt>
                <c:pt idx="47">
                  <c:v>5.4545454545454541</c:v>
                </c:pt>
                <c:pt idx="48">
                  <c:v>5.4545454545454541</c:v>
                </c:pt>
                <c:pt idx="49">
                  <c:v>5.5454545454545459</c:v>
                </c:pt>
                <c:pt idx="50">
                  <c:v>5.6363636363636367</c:v>
                </c:pt>
                <c:pt idx="51">
                  <c:v>5.9090909090909092</c:v>
                </c:pt>
                <c:pt idx="52">
                  <c:v>5.9090909090909092</c:v>
                </c:pt>
                <c:pt idx="53">
                  <c:v>5.9090909090909092</c:v>
                </c:pt>
                <c:pt idx="54">
                  <c:v>5.8181818181818183</c:v>
                </c:pt>
                <c:pt idx="55">
                  <c:v>5.6363636363636367</c:v>
                </c:pt>
                <c:pt idx="56">
                  <c:v>5.4545454545454541</c:v>
                </c:pt>
                <c:pt idx="57">
                  <c:v>5.0909090909090908</c:v>
                </c:pt>
                <c:pt idx="58">
                  <c:v>5.1818181818181817</c:v>
                </c:pt>
                <c:pt idx="59">
                  <c:v>5.3636363636363633</c:v>
                </c:pt>
                <c:pt idx="60">
                  <c:v>5.6363636363636367</c:v>
                </c:pt>
                <c:pt idx="61">
                  <c:v>5.5454545454545459</c:v>
                </c:pt>
                <c:pt idx="62">
                  <c:v>5.1818181818181817</c:v>
                </c:pt>
                <c:pt idx="63">
                  <c:v>5.2727272727272725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F-4274-90DA-7DC6EC5C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247872"/>
        <c:axId val="1780281376"/>
      </c:lineChart>
      <c:dateAx>
        <c:axId val="1780247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80281376"/>
        <c:crosses val="autoZero"/>
        <c:auto val="1"/>
        <c:lblOffset val="100"/>
        <c:baseTimeUnit val="days"/>
      </c:dateAx>
      <c:valAx>
        <c:axId val="17802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2478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1534860627584802"/>
          <c:y val="5.4857142857142799E-2"/>
          <c:w val="0.17523738872403599"/>
          <c:h val="4.5903802024746899E-2"/>
        </c:manualLayout>
      </c:layout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Data!$O$1</c:f>
              <c:strCache>
                <c:ptCount val="1"/>
                <c:pt idx="0">
                  <c:v>Lead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Data!$O$2:$O$600</c:f>
              <c:numCache>
                <c:formatCode>0.00</c:formatCode>
                <c:ptCount val="599"/>
                <c:pt idx="0">
                  <c:v>#N/A</c:v>
                </c:pt>
                <c:pt idx="1">
                  <c:v>2</c:v>
                </c:pt>
                <c:pt idx="2">
                  <c:v>3.5000000000000004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10</c:v>
                </c:pt>
                <c:pt idx="7">
                  <c:v>12.5</c:v>
                </c:pt>
                <c:pt idx="8">
                  <c:v>16</c:v>
                </c:pt>
                <c:pt idx="9">
                  <c:v>20</c:v>
                </c:pt>
                <c:pt idx="10">
                  <c:v>16</c:v>
                </c:pt>
                <c:pt idx="11">
                  <c:v>12.75</c:v>
                </c:pt>
                <c:pt idx="12">
                  <c:v>9</c:v>
                </c:pt>
                <c:pt idx="13">
                  <c:v>9.6666666666666661</c:v>
                </c:pt>
                <c:pt idx="14">
                  <c:v>10.333333333333334</c:v>
                </c:pt>
                <c:pt idx="15">
                  <c:v>9.5714285714285712</c:v>
                </c:pt>
                <c:pt idx="16">
                  <c:v>6.4545454545454541</c:v>
                </c:pt>
                <c:pt idx="17">
                  <c:v>6.7272727272727275</c:v>
                </c:pt>
                <c:pt idx="18">
                  <c:v>5.2857142857142856</c:v>
                </c:pt>
                <c:pt idx="19">
                  <c:v>5.2142857142857144</c:v>
                </c:pt>
                <c:pt idx="20">
                  <c:v>4.6000000000000005</c:v>
                </c:pt>
                <c:pt idx="21">
                  <c:v>4.9230769230769234</c:v>
                </c:pt>
                <c:pt idx="22">
                  <c:v>5.6363636363636367</c:v>
                </c:pt>
                <c:pt idx="23">
                  <c:v>5.0833333333333339</c:v>
                </c:pt>
                <c:pt idx="24">
                  <c:v>4.75</c:v>
                </c:pt>
                <c:pt idx="25">
                  <c:v>4.416666666666667</c:v>
                </c:pt>
                <c:pt idx="26">
                  <c:v>6.375</c:v>
                </c:pt>
                <c:pt idx="27">
                  <c:v>5.5555555555555554</c:v>
                </c:pt>
                <c:pt idx="28">
                  <c:v>8.1666666666666661</c:v>
                </c:pt>
                <c:pt idx="29">
                  <c:v>8.3333333333333339</c:v>
                </c:pt>
                <c:pt idx="30">
                  <c:v>6.7142857142857144</c:v>
                </c:pt>
                <c:pt idx="31">
                  <c:v>6.4285714285714288</c:v>
                </c:pt>
                <c:pt idx="32">
                  <c:v>5.8749999999999991</c:v>
                </c:pt>
                <c:pt idx="33">
                  <c:v>6.9999999999999991</c:v>
                </c:pt>
                <c:pt idx="34">
                  <c:v>5.0000000000000009</c:v>
                </c:pt>
                <c:pt idx="35">
                  <c:v>5.7777777777777777</c:v>
                </c:pt>
                <c:pt idx="36">
                  <c:v>6</c:v>
                </c:pt>
                <c:pt idx="37">
                  <c:v>5.8888888888888884</c:v>
                </c:pt>
                <c:pt idx="38">
                  <c:v>5.1000000000000005</c:v>
                </c:pt>
                <c:pt idx="39">
                  <c:v>4.8999999999999995</c:v>
                </c:pt>
                <c:pt idx="40">
                  <c:v>5.1111111111111107</c:v>
                </c:pt>
                <c:pt idx="41">
                  <c:v>5.8749999999999991</c:v>
                </c:pt>
                <c:pt idx="42">
                  <c:v>6.9999999999999991</c:v>
                </c:pt>
                <c:pt idx="43">
                  <c:v>5.4444444444444438</c:v>
                </c:pt>
                <c:pt idx="44">
                  <c:v>8.5000000000000018</c:v>
                </c:pt>
                <c:pt idx="45">
                  <c:v>9.1666666666666679</c:v>
                </c:pt>
                <c:pt idx="46">
                  <c:v>10</c:v>
                </c:pt>
                <c:pt idx="47">
                  <c:v>6</c:v>
                </c:pt>
                <c:pt idx="48">
                  <c:v>6.6666666666666661</c:v>
                </c:pt>
                <c:pt idx="49">
                  <c:v>6.7777777777777777</c:v>
                </c:pt>
                <c:pt idx="50">
                  <c:v>7.75</c:v>
                </c:pt>
                <c:pt idx="51">
                  <c:v>7.2222222222222214</c:v>
                </c:pt>
                <c:pt idx="52">
                  <c:v>4.6428571428571432</c:v>
                </c:pt>
                <c:pt idx="53">
                  <c:v>5.416666666666667</c:v>
                </c:pt>
                <c:pt idx="54">
                  <c:v>4.9230769230769234</c:v>
                </c:pt>
                <c:pt idx="55">
                  <c:v>4.7692307692307692</c:v>
                </c:pt>
                <c:pt idx="56">
                  <c:v>4.2857142857142856</c:v>
                </c:pt>
                <c:pt idx="57">
                  <c:v>6.2222222222222214</c:v>
                </c:pt>
                <c:pt idx="58">
                  <c:v>6.333333333333333</c:v>
                </c:pt>
                <c:pt idx="59">
                  <c:v>6.5555555555555545</c:v>
                </c:pt>
                <c:pt idx="60">
                  <c:v>7.75</c:v>
                </c:pt>
                <c:pt idx="61">
                  <c:v>5.5454545454545459</c:v>
                </c:pt>
                <c:pt idx="62">
                  <c:v>7.125</c:v>
                </c:pt>
                <c:pt idx="63">
                  <c:v>7.2499999999999991</c:v>
                </c:pt>
                <c:pt idx="64">
                  <c:v>6</c:v>
                </c:pt>
                <c:pt idx="65">
                  <c:v>5.6363636363636367</c:v>
                </c:pt>
                <c:pt idx="66">
                  <c:v>6.2</c:v>
                </c:pt>
                <c:pt idx="67">
                  <c:v>6.4</c:v>
                </c:pt>
                <c:pt idx="68">
                  <c:v>6</c:v>
                </c:pt>
                <c:pt idx="69">
                  <c:v>6.1818181818181817</c:v>
                </c:pt>
                <c:pt idx="70">
                  <c:v>5.666666666666667</c:v>
                </c:pt>
                <c:pt idx="71">
                  <c:v>6</c:v>
                </c:pt>
                <c:pt idx="72">
                  <c:v>6.7</c:v>
                </c:pt>
                <c:pt idx="73">
                  <c:v>7.1</c:v>
                </c:pt>
                <c:pt idx="74">
                  <c:v>9</c:v>
                </c:pt>
                <c:pt idx="75">
                  <c:v>9.125</c:v>
                </c:pt>
                <c:pt idx="76">
                  <c:v>8.2222222222222214</c:v>
                </c:pt>
                <c:pt idx="77">
                  <c:v>8.3333333333333321</c:v>
                </c:pt>
                <c:pt idx="78">
                  <c:v>8.2222222222222214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757-8FF7-56A24DD78B29}"/>
            </c:ext>
          </c:extLst>
        </c:ser>
        <c:ser>
          <c:idx val="2"/>
          <c:order val="1"/>
          <c:tx>
            <c:strRef>
              <c:f>Data!$R$1</c:f>
              <c:strCache>
                <c:ptCount val="1"/>
                <c:pt idx="0">
                  <c:v>Moving 11D Goal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Data!$R$2:$R$600</c:f>
              <c:numCache>
                <c:formatCode>0.00</c:formatCode>
                <c:ptCount val="5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15.350000000000001</c:v>
                </c:pt>
                <c:pt idx="13">
                  <c:v>15.350000000000001</c:v>
                </c:pt>
                <c:pt idx="14">
                  <c:v>15.350000000000001</c:v>
                </c:pt>
                <c:pt idx="15">
                  <c:v>15.350000000000001</c:v>
                </c:pt>
                <c:pt idx="16">
                  <c:v>15.350000000000001</c:v>
                </c:pt>
                <c:pt idx="17">
                  <c:v>15.350000000000001</c:v>
                </c:pt>
                <c:pt idx="18">
                  <c:v>15.350000000000001</c:v>
                </c:pt>
                <c:pt idx="19">
                  <c:v>15.350000000000001</c:v>
                </c:pt>
                <c:pt idx="20">
                  <c:v>12.266666666666669</c:v>
                </c:pt>
                <c:pt idx="21">
                  <c:v>10.200000000000001</c:v>
                </c:pt>
                <c:pt idx="22">
                  <c:v>9.6476190476190471</c:v>
                </c:pt>
                <c:pt idx="23">
                  <c:v>9.4571428571428573</c:v>
                </c:pt>
                <c:pt idx="24">
                  <c:v>9.002597402597404</c:v>
                </c:pt>
                <c:pt idx="25">
                  <c:v>6.6727272727272728</c:v>
                </c:pt>
                <c:pt idx="26">
                  <c:v>6.4386363636363635</c:v>
                </c:pt>
                <c:pt idx="27">
                  <c:v>6.2272727272727275</c:v>
                </c:pt>
                <c:pt idx="28">
                  <c:v>6.2272727272727275</c:v>
                </c:pt>
                <c:pt idx="29">
                  <c:v>6.2272727272727275</c:v>
                </c:pt>
                <c:pt idx="30">
                  <c:v>6.6464285714285722</c:v>
                </c:pt>
                <c:pt idx="31">
                  <c:v>6.6571428571428575</c:v>
                </c:pt>
                <c:pt idx="32">
                  <c:v>6.6571428571428575</c:v>
                </c:pt>
                <c:pt idx="33">
                  <c:v>6.9428571428571422</c:v>
                </c:pt>
                <c:pt idx="34">
                  <c:v>6.9428571428571422</c:v>
                </c:pt>
                <c:pt idx="35">
                  <c:v>6.9428571428571422</c:v>
                </c:pt>
                <c:pt idx="36">
                  <c:v>6.9428571428571422</c:v>
                </c:pt>
                <c:pt idx="37">
                  <c:v>6.9428571428571422</c:v>
                </c:pt>
                <c:pt idx="38">
                  <c:v>6.9428571428571422</c:v>
                </c:pt>
                <c:pt idx="39">
                  <c:v>6.9428571428571422</c:v>
                </c:pt>
                <c:pt idx="40">
                  <c:v>6.6571428571428575</c:v>
                </c:pt>
                <c:pt idx="41">
                  <c:v>6.3428571428571434</c:v>
                </c:pt>
                <c:pt idx="42">
                  <c:v>6.3428571428571434</c:v>
                </c:pt>
                <c:pt idx="43">
                  <c:v>5.9777777777777779</c:v>
                </c:pt>
                <c:pt idx="44">
                  <c:v>6.8</c:v>
                </c:pt>
                <c:pt idx="45">
                  <c:v>6.8</c:v>
                </c:pt>
                <c:pt idx="46">
                  <c:v>8.2000000000000028</c:v>
                </c:pt>
                <c:pt idx="47">
                  <c:v>8.2000000000000028</c:v>
                </c:pt>
                <c:pt idx="48">
                  <c:v>8.2000000000000028</c:v>
                </c:pt>
                <c:pt idx="49">
                  <c:v>8.2000000000000028</c:v>
                </c:pt>
                <c:pt idx="50">
                  <c:v>8.3500000000000014</c:v>
                </c:pt>
                <c:pt idx="51">
                  <c:v>8.3500000000000014</c:v>
                </c:pt>
                <c:pt idx="52">
                  <c:v>8.3500000000000014</c:v>
                </c:pt>
                <c:pt idx="53">
                  <c:v>8.3500000000000014</c:v>
                </c:pt>
                <c:pt idx="54">
                  <c:v>8.3500000000000014</c:v>
                </c:pt>
                <c:pt idx="55">
                  <c:v>8.3500000000000014</c:v>
                </c:pt>
                <c:pt idx="56">
                  <c:v>7.6444444444444448</c:v>
                </c:pt>
                <c:pt idx="57">
                  <c:v>7.1333333333333329</c:v>
                </c:pt>
                <c:pt idx="58">
                  <c:v>6.7555555555555555</c:v>
                </c:pt>
                <c:pt idx="59">
                  <c:v>6.7555555555555555</c:v>
                </c:pt>
                <c:pt idx="60">
                  <c:v>7.1333333333333329</c:v>
                </c:pt>
                <c:pt idx="61">
                  <c:v>7.0888888888888886</c:v>
                </c:pt>
                <c:pt idx="62">
                  <c:v>7.0111111111111111</c:v>
                </c:pt>
                <c:pt idx="63">
                  <c:v>7.0111111111111111</c:v>
                </c:pt>
                <c:pt idx="64">
                  <c:v>7.0111111111111111</c:v>
                </c:pt>
                <c:pt idx="65">
                  <c:v>7.0111111111111111</c:v>
                </c:pt>
                <c:pt idx="66">
                  <c:v>7.0111111111111111</c:v>
                </c:pt>
                <c:pt idx="67">
                  <c:v>7.0111111111111111</c:v>
                </c:pt>
                <c:pt idx="68">
                  <c:v>7.0111111111111111</c:v>
                </c:pt>
                <c:pt idx="69">
                  <c:v>7.0111111111111111</c:v>
                </c:pt>
                <c:pt idx="70">
                  <c:v>7.0111111111111111</c:v>
                </c:pt>
                <c:pt idx="71">
                  <c:v>6.98</c:v>
                </c:pt>
                <c:pt idx="72">
                  <c:v>6.6400000000000006</c:v>
                </c:pt>
                <c:pt idx="73">
                  <c:v>7.02</c:v>
                </c:pt>
                <c:pt idx="74">
                  <c:v>7.02</c:v>
                </c:pt>
                <c:pt idx="75">
                  <c:v>7.02</c:v>
                </c:pt>
                <c:pt idx="76">
                  <c:v>7.9977777777777774</c:v>
                </c:pt>
                <c:pt idx="77">
                  <c:v>8.31111111111111</c:v>
                </c:pt>
                <c:pt idx="78">
                  <c:v>8.31111111111111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757-8FF7-56A24DD78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031360"/>
        <c:axId val="1794034608"/>
      </c:lineChart>
      <c:catAx>
        <c:axId val="17940313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34608"/>
        <c:crosses val="autoZero"/>
        <c:auto val="1"/>
        <c:lblAlgn val="ctr"/>
        <c:lblOffset val="100"/>
        <c:noMultiLvlLbl val="1"/>
      </c:catAx>
      <c:valAx>
        <c:axId val="17940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878567913385797"/>
          <c:y val="7.1465346534653501E-2"/>
          <c:w val="0.235434527090983"/>
          <c:h val="7.23184601924758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Delivery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Data!$N$2:$N$600</c:f>
              <c:numCache>
                <c:formatCode>0.00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0.36363636363636365</c:v>
                </c:pt>
                <c:pt idx="12">
                  <c:v>0.54545454545454541</c:v>
                </c:pt>
                <c:pt idx="13">
                  <c:v>0.54545454545454541</c:v>
                </c:pt>
                <c:pt idx="14">
                  <c:v>0.54545454545454541</c:v>
                </c:pt>
                <c:pt idx="15">
                  <c:v>0.63636363636363635</c:v>
                </c:pt>
                <c:pt idx="16">
                  <c:v>1</c:v>
                </c:pt>
                <c:pt idx="17">
                  <c:v>1</c:v>
                </c:pt>
                <c:pt idx="18">
                  <c:v>1.2727272727272727</c:v>
                </c:pt>
                <c:pt idx="19">
                  <c:v>1.2727272727272727</c:v>
                </c:pt>
                <c:pt idx="20">
                  <c:v>1.3636363636363635</c:v>
                </c:pt>
                <c:pt idx="21">
                  <c:v>1.1818181818181819</c:v>
                </c:pt>
                <c:pt idx="22">
                  <c:v>1</c:v>
                </c:pt>
                <c:pt idx="23">
                  <c:v>1.0909090909090908</c:v>
                </c:pt>
                <c:pt idx="24">
                  <c:v>1.0909090909090908</c:v>
                </c:pt>
                <c:pt idx="25">
                  <c:v>1.0909090909090908</c:v>
                </c:pt>
                <c:pt idx="26">
                  <c:v>0.72727272727272729</c:v>
                </c:pt>
                <c:pt idx="27">
                  <c:v>0.81818181818181823</c:v>
                </c:pt>
                <c:pt idx="28">
                  <c:v>0.54545454545454541</c:v>
                </c:pt>
                <c:pt idx="29">
                  <c:v>0.54545454545454541</c:v>
                </c:pt>
                <c:pt idx="30">
                  <c:v>0.63636363636363635</c:v>
                </c:pt>
                <c:pt idx="31">
                  <c:v>0.63636363636363635</c:v>
                </c:pt>
                <c:pt idx="32">
                  <c:v>0.72727272727272729</c:v>
                </c:pt>
                <c:pt idx="33">
                  <c:v>0.63636363636363635</c:v>
                </c:pt>
                <c:pt idx="34">
                  <c:v>0.90909090909090906</c:v>
                </c:pt>
                <c:pt idx="35">
                  <c:v>0.81818181818181823</c:v>
                </c:pt>
                <c:pt idx="36">
                  <c:v>0.81818181818181823</c:v>
                </c:pt>
                <c:pt idx="37">
                  <c:v>0.81818181818181823</c:v>
                </c:pt>
                <c:pt idx="38">
                  <c:v>0.90909090909090906</c:v>
                </c:pt>
                <c:pt idx="39">
                  <c:v>0.90909090909090906</c:v>
                </c:pt>
                <c:pt idx="40">
                  <c:v>0.81818181818181823</c:v>
                </c:pt>
                <c:pt idx="41">
                  <c:v>0.72727272727272729</c:v>
                </c:pt>
                <c:pt idx="42">
                  <c:v>0.63636363636363635</c:v>
                </c:pt>
                <c:pt idx="43">
                  <c:v>0.81818181818181823</c:v>
                </c:pt>
                <c:pt idx="44">
                  <c:v>0.54545454545454541</c:v>
                </c:pt>
                <c:pt idx="45">
                  <c:v>0.54545454545454541</c:v>
                </c:pt>
                <c:pt idx="46">
                  <c:v>0.54545454545454541</c:v>
                </c:pt>
                <c:pt idx="47">
                  <c:v>0.90909090909090906</c:v>
                </c:pt>
                <c:pt idx="48">
                  <c:v>0.81818181818181823</c:v>
                </c:pt>
                <c:pt idx="49">
                  <c:v>0.81818181818181823</c:v>
                </c:pt>
                <c:pt idx="50">
                  <c:v>0.72727272727272729</c:v>
                </c:pt>
                <c:pt idx="51">
                  <c:v>0.81818181818181823</c:v>
                </c:pt>
                <c:pt idx="52">
                  <c:v>1.2727272727272727</c:v>
                </c:pt>
                <c:pt idx="53">
                  <c:v>1.0909090909090908</c:v>
                </c:pt>
                <c:pt idx="54">
                  <c:v>1.1818181818181819</c:v>
                </c:pt>
                <c:pt idx="55">
                  <c:v>1.1818181818181819</c:v>
                </c:pt>
                <c:pt idx="56">
                  <c:v>1.2727272727272727</c:v>
                </c:pt>
                <c:pt idx="57">
                  <c:v>0.81818181818181823</c:v>
                </c:pt>
                <c:pt idx="58">
                  <c:v>0.81818181818181823</c:v>
                </c:pt>
                <c:pt idx="59">
                  <c:v>0.81818181818181823</c:v>
                </c:pt>
                <c:pt idx="60">
                  <c:v>0.72727272727272729</c:v>
                </c:pt>
                <c:pt idx="61">
                  <c:v>1</c:v>
                </c:pt>
                <c:pt idx="62">
                  <c:v>0.72727272727272729</c:v>
                </c:pt>
                <c:pt idx="63">
                  <c:v>0.72727272727272729</c:v>
                </c:pt>
                <c:pt idx="64">
                  <c:v>0.90909090909090906</c:v>
                </c:pt>
                <c:pt idx="65">
                  <c:v>1</c:v>
                </c:pt>
                <c:pt idx="66">
                  <c:v>0.90909090909090906</c:v>
                </c:pt>
                <c:pt idx="67">
                  <c:v>0.90909090909090906</c:v>
                </c:pt>
                <c:pt idx="68">
                  <c:v>1</c:v>
                </c:pt>
                <c:pt idx="69">
                  <c:v>1</c:v>
                </c:pt>
                <c:pt idx="70">
                  <c:v>1.0909090909090908</c:v>
                </c:pt>
                <c:pt idx="71">
                  <c:v>1</c:v>
                </c:pt>
                <c:pt idx="72">
                  <c:v>0.90909090909090906</c:v>
                </c:pt>
                <c:pt idx="73">
                  <c:v>0.90909090909090906</c:v>
                </c:pt>
                <c:pt idx="74">
                  <c:v>0.72727272727272729</c:v>
                </c:pt>
                <c:pt idx="75">
                  <c:v>0.72727272727272729</c:v>
                </c:pt>
                <c:pt idx="76">
                  <c:v>0.81818181818181823</c:v>
                </c:pt>
                <c:pt idx="77">
                  <c:v>0.81818181818181823</c:v>
                </c:pt>
                <c:pt idx="78">
                  <c:v>0.81818181818181823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E-44E5-B036-44C8FDE39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162640"/>
        <c:axId val="-2109489072"/>
      </c:lineChart>
      <c:catAx>
        <c:axId val="178016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489072"/>
        <c:crosses val="autoZero"/>
        <c:auto val="1"/>
        <c:lblAlgn val="ctr"/>
        <c:lblOffset val="100"/>
        <c:noMultiLvlLbl val="0"/>
      </c:catAx>
      <c:valAx>
        <c:axId val="-21094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6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>
    <tabColor theme="6"/>
  </sheetPr>
  <sheetViews>
    <sheetView tabSelected="1" zoomScale="87" workbookViewId="0"/>
  </sheetViews>
  <pageMargins left="1.2600000000000002" right="0.71" top="0.75000000000000011" bottom="0.75000000000000011" header="0.31" footer="0.31"/>
  <pageSetup paperSize="8" orientation="landscape"/>
  <drawing r:id="rId1"/>
  <legacyDrawingHF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8E223F-255E-4F54-9BD7-50DEBE88FF28}">
  <sheetPr>
    <tabColor theme="6" tint="0.39997558519241921"/>
  </sheetPr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hyperlink" Target="http://creativecommons.org/licenses/by-sa/4.0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225517" cy="92184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0.64327</cdr:x>
      <cdr:y>0.00138</cdr:y>
    </cdr:from>
    <cdr:to>
      <cdr:x>0.75673</cdr:x>
      <cdr:y>0.03729</cdr:y>
    </cdr:to>
    <cdr:sp macro="" textlink="[0]!TodaysDate">
      <cdr:nvSpPr>
        <cdr:cNvPr id="2" name="TextBox 1"/>
        <cdr:cNvSpPr txBox="1"/>
      </cdr:nvSpPr>
      <cdr:spPr>
        <a:xfrm xmlns:a="http://schemas.openxmlformats.org/drawingml/2006/main">
          <a:off x="8496300" y="12700"/>
          <a:ext cx="14986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5F69AD7-9922-144B-8FF6-66CB4BF09968}" type="TxLink">
            <a:rPr lang="en-US" sz="1800" b="1" i="0" u="none" strike="noStrike">
              <a:solidFill>
                <a:srgbClr val="000000"/>
              </a:solidFill>
              <a:latin typeface="+mn-lt"/>
              <a:ea typeface="Arial"/>
              <a:cs typeface="Arial"/>
            </a:rPr>
            <a:pPr/>
            <a:t>01/06/2016</a:t>
          </a:fld>
          <a:endParaRPr lang="en-US" sz="2400" b="1">
            <a:latin typeface="+mn-lt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</xdr:row>
      <xdr:rowOff>38100</xdr:rowOff>
    </xdr:from>
    <xdr:to>
      <xdr:col>15</xdr:col>
      <xdr:colOff>762000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407D-E15F-4425-BEED-EB626418B8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133350</xdr:rowOff>
    </xdr:from>
    <xdr:to>
      <xdr:col>11</xdr:col>
      <xdr:colOff>304800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38100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18</xdr:col>
      <xdr:colOff>63500</xdr:colOff>
      <xdr:row>39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16</xdr:row>
      <xdr:rowOff>38100</xdr:rowOff>
    </xdr:from>
    <xdr:to>
      <xdr:col>0</xdr:col>
      <xdr:colOff>1219200</xdr:colOff>
      <xdr:row>18</xdr:row>
      <xdr:rowOff>38100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00" y="2781300"/>
          <a:ext cx="1117600" cy="393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LtDistTbl" displayName="LtDistTbl" ref="A2:D45" totalsRowShown="0" headerRowDxfId="62">
  <autoFilter ref="A2:D45" xr:uid="{00000000-0009-0000-0100-000004000000}"/>
  <tableColumns count="4">
    <tableColumn id="1" xr3:uid="{00000000-0010-0000-0000-000001000000}" name="LeadTime"/>
    <tableColumn id="2" xr3:uid="{00000000-0010-0000-0000-000002000000}" name="Freq">
      <calculatedColumnFormula>IF( $B$1="All",COUNTIF(Stories[[#All],[Rounded Lead Time]],"=" &amp;LtDistribution!$A3),COUNTIFS(Stories[[#All],[Rounded Lead Time]],"=" &amp;LtDistribution!$A3,Stories[[#All],[Type]],"="&amp;LtDistribution!$B$1))</calculatedColumnFormula>
    </tableColumn>
    <tableColumn id="3" xr3:uid="{00000000-0010-0000-0000-000003000000}" name="percent" dataDxfId="61">
      <calculatedColumnFormula>B3/SUM($B$3:$B$45)</calculatedColumnFormula>
    </tableColumn>
    <tableColumn id="4" xr3:uid="{00000000-0010-0000-0000-000004000000}" name="cumulative percent" dataDxfId="60">
      <calculatedColumnFormula>D2+C3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tories" displayName="Stories" ref="A4:P100" totalsRowShown="0" headerRowDxfId="59" tableBorderDxfId="58" dataCellStyle="Input">
  <autoFilter ref="A4:P100" xr:uid="{00000000-0009-0000-0100-000001000000}"/>
  <sortState ref="A5:P100">
    <sortCondition ref="B5:B100"/>
    <sortCondition ref="L5:L100"/>
    <sortCondition ref="K5:K100"/>
  </sortState>
  <tableColumns count="16">
    <tableColumn id="1" xr3:uid="{00000000-0010-0000-0100-000001000000}" name="Work Item ID" dataCellStyle="Input"/>
    <tableColumn id="14" xr3:uid="{00000000-0010-0000-0100-00000E000000}" name="Sort" dataDxfId="57" dataCellStyle="Input">
      <calculatedColumnFormula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calculatedColumnFormula>
    </tableColumn>
    <tableColumn id="2" xr3:uid="{00000000-0010-0000-0100-000002000000}" name="Epic" dataCellStyle="Input"/>
    <tableColumn id="3" xr3:uid="{00000000-0010-0000-0100-000003000000}" name="Title" dataCellStyle="Input"/>
    <tableColumn id="13" xr3:uid="{00000000-0010-0000-0100-00000D000000}" name="Type" dataCellStyle="Input"/>
    <tableColumn id="4" xr3:uid="{00000000-0010-0000-0100-000004000000}" name="Backlog" dataDxfId="56" dataCellStyle="Input"/>
    <tableColumn id="5" xr3:uid="{00000000-0010-0000-0100-000005000000}" name="Ready" dataDxfId="55" dataCellStyle="Input"/>
    <tableColumn id="6" xr3:uid="{00000000-0010-0000-0100-000006000000}" name="In Progress" dataDxfId="54" dataCellStyle="Input"/>
    <tableColumn id="15" xr3:uid="{00000000-0010-0000-0100-00000F000000}" name="Ready For Demo" dataDxfId="53" dataCellStyle="Input"/>
    <tableColumn id="7" xr3:uid="{00000000-0010-0000-0100-000007000000}" name="Demo" dataDxfId="52" dataCellStyle="Input"/>
    <tableColumn id="8" xr3:uid="{00000000-0010-0000-0100-000008000000}" name="Done" dataDxfId="51">
      <calculatedColumnFormula>Stories[[#This Row],[Ready]]+6</calculatedColumnFormula>
    </tableColumn>
    <tableColumn id="16" xr3:uid="{00000000-0010-0000-0100-000010000000}" name="Sprint Finished" dataDxfId="50" dataCellStyle="Input"/>
    <tableColumn id="9" xr3:uid="{00000000-0010-0000-0100-000009000000}" name="Weighting" dataCellStyle="Input"/>
    <tableColumn id="10" xr3:uid="{00000000-0010-0000-0100-00000A000000}" name="Lead Time" dataDxfId="49" dataCellStyle="Calculation">
      <calculatedColumnFormula>IF(K5&gt;0,(((NETWORKDAYS(G5,K5,BankHolidays))/M5)),NA())</calculatedColumnFormula>
    </tableColumn>
    <tableColumn id="12" xr3:uid="{00000000-0010-0000-0100-00000C000000}" name="Rounded Lead Time" dataDxfId="48" dataCellStyle="Calculation">
      <calculatedColumnFormula>ROUND(Stories[[#This Row],[Lead Time]],0)</calculatedColumnFormula>
    </tableColumn>
    <tableColumn id="11" xr3:uid="{00000000-0010-0000-0100-00000B000000}" name="Comments" dataCellStyle="Inpu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CFDTable" displayName="CFDTable" ref="A1:AF187" totalsRowShown="0" headerRowCellStyle="Calculation" dataCellStyle="Calculation">
  <tableColumns count="32">
    <tableColumn id="24" xr3:uid="{00000000-0010-0000-0200-000018000000}" name="Day" dataDxfId="47" dataCellStyle="Calculation">
      <calculatedColumnFormula>CFDTable[[#This Row],[Date]]</calculatedColumnFormula>
    </tableColumn>
    <tableColumn id="1" xr3:uid="{00000000-0010-0000-0200-000001000000}" name="Date" dataDxfId="46" dataCellStyle="Calculation">
      <calculatedColumnFormula>Data!B2</calculatedColumnFormula>
    </tableColumn>
    <tableColumn id="17" xr3:uid="{00000000-0010-0000-0200-000011000000}" name="Future Ready" dataDxfId="45" dataCellStyle="Calculation">
      <calculatedColumnFormula>IF(ISNUMBER(CFDTable[[#This Row],[Ready]]),NA(),CFDTable[[#This Row],[Target]]-CFDTable[[#This Row],[To Do]])</calculatedColumnFormula>
    </tableColumn>
    <tableColumn id="23" xr3:uid="{00000000-0010-0000-0200-000017000000}" name="Goal Done" dataDxfId="44" dataCellStyle="Calculation">
      <calculatedColumnFormula>IF(CFDTable[[#This Row],[Emergence]]&gt;0,CFDTable[[#This Row],[Future Work]]-CFDTable[[#This Row],[Emergence]],NA())</calculatedColumnFormula>
    </tableColumn>
    <tableColumn id="22" xr3:uid="{00000000-0010-0000-0200-000016000000}" name="Emergence" dataCellStyle="Calculation">
      <calculatedColumnFormula>Data!C2</calculatedColumnFormula>
    </tableColumn>
    <tableColumn id="32" xr3:uid="{8F6B7B67-78DF-4351-A4A3-436BFDC4AD1D}" name="known Backlog" dataCellStyle="Calculation">
      <calculatedColumnFormula>Data!D2</calculatedColumnFormula>
    </tableColumn>
    <tableColumn id="2" xr3:uid="{00000000-0010-0000-0200-000002000000}" name="To Do" dataDxfId="43" dataCellStyle="Calculation">
      <calculatedColumnFormula>Data!E2</calculatedColumnFormula>
    </tableColumn>
    <tableColumn id="15" xr3:uid="{00000000-0010-0000-0200-00000F000000}" name="Ready" dataCellStyle="Calculation">
      <calculatedColumnFormula>Data!F2</calculatedColumnFormula>
    </tableColumn>
    <tableColumn id="3" xr3:uid="{00000000-0010-0000-0200-000003000000}" name="In Progress" dataCellStyle="Calculation">
      <calculatedColumnFormula>IF(TODAY()&gt;=$B2,Data!G2,NA())</calculatedColumnFormula>
    </tableColumn>
    <tableColumn id="13" xr3:uid="{00000000-0010-0000-0200-00000D000000}" name="Ready for Demo" dataDxfId="42" dataCellStyle="Calculation">
      <calculatedColumnFormula>IF(TODAY()&gt;=$B2,Data!H2,NA())</calculatedColumnFormula>
    </tableColumn>
    <tableColumn id="4" xr3:uid="{00000000-0010-0000-0200-000004000000}" name="Demo" dataDxfId="41" dataCellStyle="Calculation">
      <calculatedColumnFormula>IF(TODAY()&gt;=$B2,Data!I2,NA())</calculatedColumnFormula>
    </tableColumn>
    <tableColumn id="5" xr3:uid="{00000000-0010-0000-0200-000005000000}" name="Done" dataDxfId="40" dataCellStyle="Calculation">
      <calculatedColumnFormula>IF(TODAY()&gt;=$B2,Data!J2,NA())</calculatedColumnFormula>
    </tableColumn>
    <tableColumn id="12" xr3:uid="{00000000-0010-0000-0200-00000C000000}" name="Done Today" dataDxfId="39" dataCellStyle="Calculation">
      <calculatedColumnFormula>CFDTable[[#This Row],[Demo]]-K1</calculatedColumnFormula>
    </tableColumn>
    <tableColumn id="9" xr3:uid="{00000000-0010-0000-0200-000009000000}" name="Worst Case" dataDxfId="38" dataCellStyle="Calculation">
      <calculatedColumnFormula>IF(ISNUMBER($M2),CFDTable[[#This Row],[Demo]],IF(SUM(LOOKUP(2,1/(N$1:N1&lt;&gt;""),N$1:N1)+Q2)&gt;=$AB2+Q2,NA(),SUM(LOOKUP(2,1/(N$1:N1&lt;&gt;""),N$1:N1)+Q2)))</calculatedColumnFormula>
    </tableColumn>
    <tableColumn id="10" xr3:uid="{00000000-0010-0000-0200-00000A000000}" name="Median Prediction" dataDxfId="37" dataCellStyle="Calculation"/>
    <tableColumn id="7" xr3:uid="{00000000-0010-0000-0200-000007000000}" name="Best Case" dataDxfId="36" dataCellStyle="Calculation">
      <calculatedColumnFormula>IF(ISNUMBER($M2),CFDTable[[#This Row],[Demo]],IF(SUM(LOOKUP(2,1/(P$1:P1&lt;&gt;""),P$1:P1)+U2)&gt;=$AB2+U2,NA(),SUM(LOOKUP(2,1/(P$1:P1&lt;&gt;""),P$1:P1)+U2)))</calculatedColumnFormula>
    </tableColumn>
    <tableColumn id="8" xr3:uid="{00000000-0010-0000-0200-000008000000}" name="lowDaily" dataCellStyle="Calculation">
      <calculatedColumnFormula>CFDTable[[#This Row],[AvgDaily]]-CFDTable[[#This Row],[Deviation]]</calculatedColumnFormula>
    </tableColumn>
    <tableColumn id="11" xr3:uid="{00000000-0010-0000-0200-00000B000000}" name="AvgDaily" dataCellStyle="Calculation"/>
    <tableColumn id="26" xr3:uid="{00000000-0010-0000-0200-00001A000000}" name="AvgOffsetedTorange" dataCellStyle="Calculation"/>
    <tableColumn id="27" xr3:uid="{00000000-0010-0000-0200-00001B000000}" name="OLD AvgDaily" dataDxfId="35" dataCellStyle="Calculation">
      <calculatedColumnFormula>IF(ISNUMBER(OFFSET(R2,-Historic,0)),OFFSET(R2,-Historic,0),R$2)</calculatedColumnFormula>
    </tableColumn>
    <tableColumn id="6" xr3:uid="{00000000-0010-0000-0200-000006000000}" name="highDaily" dataCellStyle="Calculation">
      <calculatedColumnFormula>CFDTable[[#This Row],[AvgDaily]]+CFDTable[[#This Row],[Deviation]]</calculatedColumnFormula>
    </tableColumn>
    <tableColumn id="16" xr3:uid="{00000000-0010-0000-0200-000010000000}" name="Deviation" dataDxfId="34" dataCellStyle="Calculation">
      <calculatedColumnFormula>IF(ISNUMBER(M2),((_xlfn.PERCENTILE.INC(IF(ISNUMBER(OFFSET(R2,-Historic,0)),OFFSET(R2,-Historic,0),R$2):R2,PercentileHigh/100))-(MEDIAN(IF(ISNUMBER(OFFSET(R2,-Historic,0)),OFFSET(R2,-Historic,0),R$2):R2))),V1)</calculatedColumnFormula>
    </tableColumn>
    <tableColumn id="28" xr3:uid="{00000000-0010-0000-0200-00001C000000}" name="Old Deviation" dataDxfId="33" dataCellStyle="Calculation">
      <calculatedColumnFormula>IF(ISNUMBER(M2),((_xlfn.PERCENTILE.INC(R$2:R2,PercentileHigh/100))-(MEDIAN(R$2:R2))),V1)</calculatedColumnFormula>
    </tableColumn>
    <tableColumn id="30" xr3:uid="{54D98DFA-4D85-449A-A26B-2FFD3042A698}" name="Added Work" dataCellStyle="Calculation"/>
    <tableColumn id="31" xr3:uid="{0B123B2A-7D19-498F-AB6B-2B001BD75F38}" name="avg added" dataCellStyle="Calculation"/>
    <tableColumn id="29" xr3:uid="{E48E6988-2052-4C0D-82AB-28AD408D39A5}" name="FutureWork2" dataDxfId="7" dataCellStyle="Calculation">
      <calculatedColumnFormula>IF(ISNUMBER(CFDTable[[#This Row],[Done Today]]),SUM($G2:$L2),Z1+CFDTable[[#This Row],[avg added]])</calculatedColumnFormula>
    </tableColumn>
    <tableColumn id="21" xr3:uid="{00000000-0010-0000-0200-000015000000}" name="Future Work" dataDxfId="32" dataCellStyle="Calculation">
      <calculatedColumnFormula>IF(ISNUMBER(CFDTable[[#This Row],[Done Today]]),SUM($G2:$L2),$AA1)</calculatedColumnFormula>
    </tableColumn>
    <tableColumn id="14" xr3:uid="{00000000-0010-0000-0200-00000E000000}" name="Target" dataDxfId="31" dataCellStyle="Calculation">
      <calculatedColumnFormula>SUM(CFDTable[[#This Row],[To Do]:[Done]])</calculatedColumnFormula>
    </tableColumn>
    <tableColumn id="18" xr3:uid="{00000000-0010-0000-0200-000012000000}" name="lookupLow" dataDxfId="30" dataCellStyle="Calculation">
      <calculatedColumnFormula>SUM(LOOKUP(2,1/(N$1:N1&lt;&gt;""),N$1:N1)+Q2)</calculatedColumnFormula>
    </tableColumn>
    <tableColumn id="20" xr3:uid="{00000000-0010-0000-0200-000014000000}" name="lookupMedian" dataDxfId="29" dataCellStyle="Calculation">
      <calculatedColumnFormula>SUM(LOOKUP(2,1/(O$1:O1&lt;&gt;""),O$1:O1)+R2)</calculatedColumnFormula>
    </tableColumn>
    <tableColumn id="19" xr3:uid="{00000000-0010-0000-0200-000013000000}" name="lookupHigh" dataDxfId="28" dataCellStyle="Calculation">
      <calculatedColumnFormula>SUM(LOOKUP(2,1/(P$1:P1&lt;&gt;""),P$1:P1)+U2)</calculatedColumnFormula>
    </tableColumn>
    <tableColumn id="25" xr3:uid="{00000000-0010-0000-0200-000019000000}" name="Deadline" dataDxfId="0" dataCellStyle="Calculation">
      <calculatedColumnFormula>IF(CFDTable[[#This Row],[Date]]=DeadlineDate,CFDTable[[#This Row],[FutureWork2]],0)</calculatedColumnFormula>
    </tableColumn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DayByDayTable" displayName="DayByDayTable" ref="A1:S600" totalsRowShown="0" headerRowDxfId="27" headerRowBorderDxfId="26" tableBorderDxfId="25" totalsRowBorderDxfId="24" headerRowCellStyle="Calculation" dataCellStyle="Calculation">
  <autoFilter ref="A1:S600" xr:uid="{00000000-0009-0000-0100-000003000000}"/>
  <tableColumns count="19">
    <tableColumn id="1" xr3:uid="{00000000-0010-0000-0300-000001000000}" name="Day" dataDxfId="23" dataCellStyle="Calculation">
      <calculatedColumnFormula>B2</calculatedColumnFormula>
    </tableColumn>
    <tableColumn id="2" xr3:uid="{00000000-0010-0000-0300-000002000000}" name="Date" dataDxfId="22" dataCellStyle="Calculation">
      <calculatedColumnFormula>IF(NETWORKDAYS(B1,B1+1,BankHolidays)=2,B1+1,IF(NETWORKDAYS(B1,B1+2,BankHolidays)=2,B1+2,IF(NETWORKDAYS(B1,B1+3,BankHolidays)=2,B1+3,IF(NETWORKDAYS(B1,B1+4,BankHolidays)=2,B1+4,IF(NETWORKDAYS(B1,B1+5,BankHolidays)=2,B1+5,NA())))))</calculatedColumnFormula>
    </tableColumn>
    <tableColumn id="4" xr3:uid="{00000000-0010-0000-0300-000004000000}" name="Uncommitted Future Work" dataDxfId="21" dataCellStyle="Calculation">
      <calculatedColumnFormula>SUMIFS('On The Board'!$M$5:$M$219,'On The Board'!F$5:F$219,"&lt;="&amp;$B2,'On The Board'!E$5:E$219,"="&amp;FutureWork)</calculatedColumnFormula>
    </tableColumn>
    <tableColumn id="3" xr3:uid="{05D10A81-2D3C-48B5-AF58-B3BCD5F25C7D}" name="Known Backlog" dataDxfId="6" dataCellStyle="Calculation">
      <calculatedColumnFormula>IF(TodaysDate&gt;=B2,SUMIF('On The Board'!F$5:F$219,"&lt;="&amp;$B2,'On The Board'!$M$5:$M$219)-SUM(F2:J2),"")</calculatedColumnFormula>
    </tableColumn>
    <tableColumn id="5" xr3:uid="{00000000-0010-0000-0300-000005000000}" name="Backlog" dataDxfId="20" dataCellStyle="Calculation">
      <calculatedColumnFormula>IF(TodaysDate&gt;=B2,SUMIF('On The Board'!F$5:F$219,"&lt;="&amp;$B2,'On The Board'!$M$5:$M$219)-SUM(F2:J2),E1)</calculatedColumnFormula>
    </tableColumn>
    <tableColumn id="6" xr3:uid="{00000000-0010-0000-0300-000006000000}" name="Ready" dataDxfId="19" dataCellStyle="Calculation">
      <calculatedColumnFormula>SUMIF('On The Board'!G$5:G$219,"&lt;="&amp;$B2,'On The Board'!$M$5:$M$219)-SUM(G2:J2)</calculatedColumnFormula>
    </tableColumn>
    <tableColumn id="7" xr3:uid="{00000000-0010-0000-0300-000007000000}" name="In Progress" dataDxfId="18" dataCellStyle="Calculation">
      <calculatedColumnFormula>SUMIF('On The Board'!H$5:H$219,"&lt;="&amp;$B2,'On The Board'!$M$5:$M$219)-SUM(H2:J2)</calculatedColumnFormula>
    </tableColumn>
    <tableColumn id="8" xr3:uid="{00000000-0010-0000-0300-000008000000}" name="Ready for Demo" dataDxfId="17" dataCellStyle="Calculation">
      <calculatedColumnFormula>SUMIF('On The Board'!I$5:I$219,"&lt;="&amp;$B2,'On The Board'!$M$5:$M$219)-SUM(I2,J2)</calculatedColumnFormula>
    </tableColumn>
    <tableColumn id="9" xr3:uid="{00000000-0010-0000-0300-000009000000}" name="Demo" dataDxfId="16" dataCellStyle="Calculation">
      <calculatedColumnFormula>SUMIF('On The Board'!J$5:J$219,"&lt;="&amp;$B2,'On The Board'!$M$5:$M$219)-SUM(J2)</calculatedColumnFormula>
    </tableColumn>
    <tableColumn id="10" xr3:uid="{00000000-0010-0000-0300-00000A000000}" name="Done" dataDxfId="15" dataCellStyle="Calculation">
      <calculatedColumnFormula>SUMIF('On The Board'!K$5:K$219,"&lt;="&amp;$B2,'On The Board'!$M$5:$M$219)</calculatedColumnFormula>
    </tableColumn>
    <tableColumn id="11" xr3:uid="{00000000-0010-0000-0300-00000B000000}" name="Total" dataCellStyle="Calculation">
      <calculatedColumnFormula>SUM(F2:J2)</calculatedColumnFormula>
    </tableColumn>
    <tableColumn id="12" xr3:uid="{00000000-0010-0000-0300-00000C000000}" name="WIP" dataCellStyle="Calculation">
      <calculatedColumnFormula>IF(TODAY()&gt;=B2,SUM(F2:I2),NA())</calculatedColumnFormula>
    </tableColumn>
    <tableColumn id="13" xr3:uid="{00000000-0010-0000-0300-00000D000000}" name="Avg WIP" dataDxfId="14" dataCellStyle="Calculation"/>
    <tableColumn id="14" xr3:uid="{00000000-0010-0000-0300-00000E000000}" name="Delivery Rate" dataDxfId="13" dataCellStyle="Calculation"/>
    <tableColumn id="15" xr3:uid="{00000000-0010-0000-0300-00000F000000}" name="Lead Time" dataDxfId="12" dataCellStyle="Calculation">
      <calculatedColumnFormula>IF(N2&gt;0,M2/N2,NA())</calculatedColumnFormula>
    </tableColumn>
    <tableColumn id="16" xr3:uid="{00000000-0010-0000-0300-000010000000}" name="Avg Lead Time" dataDxfId="11" dataCellStyle="Calculation"/>
    <tableColumn id="18" xr3:uid="{00000000-0010-0000-0300-000012000000}" name="BlankLeadTime" dataDxfId="10" dataCellStyle="Calculation">
      <calculatedColumnFormula>ife</calculatedColumnFormula>
    </tableColumn>
    <tableColumn id="19" xr3:uid="{00000000-0010-0000-0300-000013000000}" name="Moving 11D Goal" dataDxfId="9" dataCellStyle="Calculation">
      <calculatedColumnFormula>IF(Q2&gt;0,P2/Q2,NA())</calculatedColumnFormula>
    </tableColumn>
    <tableColumn id="17" xr3:uid="{00000000-0010-0000-0300-000011000000}" name="Basic SLA" dataDxfId="8" dataCellStyle="Calculation">
      <calculatedColumnFormula>ROUND(PERCENTILE(DayByDayTable[[#Data],[BlankLeadTime]],0.8),0)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creativecommons.org/licenses/by-sa/4.0/" TargetMode="External"/><Relationship Id="rId13" Type="http://schemas.openxmlformats.org/officeDocument/2006/relationships/hyperlink" Target="http://creativecommons.org/licenses/by-sa/4.0/" TargetMode="External"/><Relationship Id="rId18" Type="http://schemas.openxmlformats.org/officeDocument/2006/relationships/hyperlink" Target="http://creativecommons.org/licenses/by-sa/4.0/" TargetMode="External"/><Relationship Id="rId3" Type="http://schemas.openxmlformats.org/officeDocument/2006/relationships/hyperlink" Target="http://creativecommons.org/licenses/by-sa/4.0/" TargetMode="External"/><Relationship Id="rId7" Type="http://schemas.openxmlformats.org/officeDocument/2006/relationships/hyperlink" Target="http://creativecommons.org/licenses/by-sa/4.0/" TargetMode="External"/><Relationship Id="rId12" Type="http://schemas.openxmlformats.org/officeDocument/2006/relationships/hyperlink" Target="http://creativecommons.org/licenses/by-sa/4.0/" TargetMode="External"/><Relationship Id="rId17" Type="http://schemas.openxmlformats.org/officeDocument/2006/relationships/hyperlink" Target="http://creativecommons.org/licenses/by-sa/4.0/" TargetMode="External"/><Relationship Id="rId2" Type="http://schemas.openxmlformats.org/officeDocument/2006/relationships/hyperlink" Target="http://www.kanbandan.com/" TargetMode="External"/><Relationship Id="rId16" Type="http://schemas.openxmlformats.org/officeDocument/2006/relationships/hyperlink" Target="http://creativecommons.org/licenses/by-sa/4.0/" TargetMode="External"/><Relationship Id="rId1" Type="http://schemas.openxmlformats.org/officeDocument/2006/relationships/hyperlink" Target="http://twitter.com/kanbandan" TargetMode="External"/><Relationship Id="rId6" Type="http://schemas.openxmlformats.org/officeDocument/2006/relationships/hyperlink" Target="http://creativecommons.org/licenses/by-sa/4.0/" TargetMode="External"/><Relationship Id="rId11" Type="http://schemas.openxmlformats.org/officeDocument/2006/relationships/hyperlink" Target="http://creativecommons.org/licenses/by-sa/4.0/" TargetMode="External"/><Relationship Id="rId5" Type="http://schemas.openxmlformats.org/officeDocument/2006/relationships/hyperlink" Target="http://creativecommons.org/licenses/by-sa/4.0/" TargetMode="External"/><Relationship Id="rId15" Type="http://schemas.openxmlformats.org/officeDocument/2006/relationships/hyperlink" Target="http://creativecommons.org/licenses/by-sa/4.0/" TargetMode="External"/><Relationship Id="rId10" Type="http://schemas.openxmlformats.org/officeDocument/2006/relationships/hyperlink" Target="http://creativecommons.org/licenses/by-sa/4.0/" TargetMode="External"/><Relationship Id="rId19" Type="http://schemas.openxmlformats.org/officeDocument/2006/relationships/drawing" Target="../drawings/drawing7.xml"/><Relationship Id="rId4" Type="http://schemas.openxmlformats.org/officeDocument/2006/relationships/hyperlink" Target="http://creativecommons.org/licenses/by-sa/4.0/" TargetMode="External"/><Relationship Id="rId9" Type="http://schemas.openxmlformats.org/officeDocument/2006/relationships/hyperlink" Target="http://creativecommons.org/licenses/by-sa/4.0/" TargetMode="External"/><Relationship Id="rId14" Type="http://schemas.openxmlformats.org/officeDocument/2006/relationships/hyperlink" Target="http://creativecommons.org/licenses/by-sa/4.0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fitToPage="1"/>
  </sheetPr>
  <dimension ref="A1:H45"/>
  <sheetViews>
    <sheetView topLeftCell="A4" workbookViewId="0">
      <selection activeCell="P46" sqref="A1:P46"/>
    </sheetView>
  </sheetViews>
  <sheetFormatPr defaultColWidth="11.42578125" defaultRowHeight="12.75"/>
  <cols>
    <col min="1" max="1" width="13.140625" bestFit="1" customWidth="1"/>
    <col min="4" max="4" width="18.85546875" customWidth="1"/>
  </cols>
  <sheetData>
    <row r="1" spans="1:8" s="33" customFormat="1" ht="54.75">
      <c r="A1" s="34" t="s">
        <v>37</v>
      </c>
      <c r="B1" s="35" t="s">
        <v>38</v>
      </c>
      <c r="D1" s="33" t="str">
        <f>LtDistTbl[[#Headers],[Freq]]</f>
        <v>Freq</v>
      </c>
      <c r="E1" s="33" t="str">
        <f>LtDistTbl[[#Headers],[Freq]]</f>
        <v>Freq</v>
      </c>
      <c r="G1" s="67" t="s">
        <v>76</v>
      </c>
      <c r="H1" s="33">
        <f>AVERAGEIF(Stories[Lead Time],"&gt;0",Stories[Lead Time])</f>
        <v>6.2428571428571429</v>
      </c>
    </row>
    <row r="2" spans="1:8">
      <c r="A2" s="31" t="s">
        <v>32</v>
      </c>
      <c r="B2" s="31" t="s">
        <v>66</v>
      </c>
      <c r="C2" s="31" t="s">
        <v>33</v>
      </c>
      <c r="D2" s="31" t="s">
        <v>34</v>
      </c>
    </row>
    <row r="3" spans="1:8">
      <c r="A3">
        <v>0</v>
      </c>
      <c r="B3">
        <f>IF( $B$1="All",COUNTIF(Stories[[#All],[Rounded Lead Time]],"=" &amp;LtDistribution!$A3),COUNTIFS(Stories[[#All],[Rounded Lead Time]],"=" &amp;LtDistribution!$A3,Stories[[#All],[Type]],"="&amp;LtDistribution!$B$1))</f>
        <v>0</v>
      </c>
      <c r="C3" s="32">
        <f t="shared" ref="C3:C45" si="0">B3/SUM($B$3:$B$45)</f>
        <v>0</v>
      </c>
      <c r="D3" s="32">
        <f>C3</f>
        <v>0</v>
      </c>
    </row>
    <row r="4" spans="1:8">
      <c r="A4">
        <v>1</v>
      </c>
      <c r="B4">
        <f>IF( $B$1="All",COUNTIF(Stories[[#All],[Rounded Lead Time]],"=" &amp;LtDistribution!$A4),COUNTIFS(Stories[[#All],[Rounded Lead Time]],"=" &amp;LtDistribution!$A4,Stories[[#All],[Type]],"="&amp;LtDistribution!$B$1))</f>
        <v>5</v>
      </c>
      <c r="C4" s="32">
        <f t="shared" si="0"/>
        <v>7.1428571428571425E-2</v>
      </c>
      <c r="D4" s="32">
        <f>SUM(C3:C4)</f>
        <v>7.1428571428571425E-2</v>
      </c>
    </row>
    <row r="5" spans="1:8">
      <c r="A5">
        <v>2</v>
      </c>
      <c r="B5">
        <f>IF( $B$1="All",COUNTIF(Stories[[#All],[Rounded Lead Time]],"=" &amp;LtDistribution!$A5),COUNTIFS(Stories[[#All],[Rounded Lead Time]],"=" &amp;LtDistribution!$A5,Stories[[#All],[Type]],"="&amp;LtDistribution!$B$1))</f>
        <v>9</v>
      </c>
      <c r="C5" s="32">
        <f t="shared" si="0"/>
        <v>0.12857142857142856</v>
      </c>
      <c r="D5" s="32">
        <f>SUM(C$3:C5)</f>
        <v>0.19999999999999998</v>
      </c>
    </row>
    <row r="6" spans="1:8">
      <c r="A6">
        <v>3</v>
      </c>
      <c r="B6">
        <f>IF( $B$1="All",COUNTIF(Stories[[#All],[Rounded Lead Time]],"=" &amp;LtDistribution!$A6),COUNTIFS(Stories[[#All],[Rounded Lead Time]],"=" &amp;LtDistribution!$A6,Stories[[#All],[Type]],"="&amp;LtDistribution!$B$1))</f>
        <v>7</v>
      </c>
      <c r="C6" s="32">
        <f t="shared" si="0"/>
        <v>0.1</v>
      </c>
      <c r="D6" s="32">
        <f>SUM(C$3:C6)</f>
        <v>0.3</v>
      </c>
    </row>
    <row r="7" spans="1:8">
      <c r="A7">
        <v>4</v>
      </c>
      <c r="B7">
        <f>IF( $B$1="All",COUNTIF(Stories[[#All],[Rounded Lead Time]],"=" &amp;LtDistribution!$A7),COUNTIFS(Stories[[#All],[Rounded Lead Time]],"=" &amp;LtDistribution!$A7,Stories[[#All],[Type]],"="&amp;LtDistribution!$B$1))</f>
        <v>9</v>
      </c>
      <c r="C7" s="32">
        <f t="shared" si="0"/>
        <v>0.12857142857142856</v>
      </c>
      <c r="D7" s="32">
        <f>SUM(C$3:C7)</f>
        <v>0.42857142857142855</v>
      </c>
    </row>
    <row r="8" spans="1:8">
      <c r="A8">
        <v>5</v>
      </c>
      <c r="B8">
        <f>IF( $B$1="All",COUNTIF(Stories[[#All],[Rounded Lead Time]],"=" &amp;LtDistribution!$A8),COUNTIFS(Stories[[#All],[Rounded Lead Time]],"=" &amp;LtDistribution!$A8,Stories[[#All],[Type]],"="&amp;LtDistribution!$B$1))</f>
        <v>10</v>
      </c>
      <c r="C8" s="32">
        <f t="shared" si="0"/>
        <v>0.14285714285714285</v>
      </c>
      <c r="D8" s="32">
        <f>SUM(C$3:C8)</f>
        <v>0.5714285714285714</v>
      </c>
    </row>
    <row r="9" spans="1:8">
      <c r="A9">
        <v>6</v>
      </c>
      <c r="B9">
        <f>IF( $B$1="All",COUNTIF(Stories[[#All],[Rounded Lead Time]],"=" &amp;LtDistribution!$A9),COUNTIFS(Stories[[#All],[Rounded Lead Time]],"=" &amp;LtDistribution!$A9,Stories[[#All],[Type]],"="&amp;LtDistribution!$B$1))</f>
        <v>5</v>
      </c>
      <c r="C9" s="32">
        <f t="shared" si="0"/>
        <v>7.1428571428571425E-2</v>
      </c>
      <c r="D9" s="32">
        <f>SUM(C$3:C9)</f>
        <v>0.64285714285714279</v>
      </c>
    </row>
    <row r="10" spans="1:8">
      <c r="A10">
        <v>7</v>
      </c>
      <c r="B10">
        <f>IF( $B$1="All",COUNTIF(Stories[[#All],[Rounded Lead Time]],"=" &amp;LtDistribution!$A10),COUNTIFS(Stories[[#All],[Rounded Lead Time]],"=" &amp;LtDistribution!$A10,Stories[[#All],[Type]],"="&amp;LtDistribution!$B$1))</f>
        <v>7</v>
      </c>
      <c r="C10" s="32">
        <f t="shared" si="0"/>
        <v>0.1</v>
      </c>
      <c r="D10" s="32">
        <f>SUM(C$3:C10)</f>
        <v>0.74285714285714277</v>
      </c>
    </row>
    <row r="11" spans="1:8">
      <c r="A11">
        <v>8</v>
      </c>
      <c r="B11">
        <f>IF( $B$1="All",COUNTIF(Stories[[#All],[Rounded Lead Time]],"=" &amp;LtDistribution!$A11),COUNTIFS(Stories[[#All],[Rounded Lead Time]],"=" &amp;LtDistribution!$A11,Stories[[#All],[Type]],"="&amp;LtDistribution!$B$1))</f>
        <v>1</v>
      </c>
      <c r="C11" s="32">
        <f t="shared" si="0"/>
        <v>1.4285714285714285E-2</v>
      </c>
      <c r="D11" s="32">
        <f>SUM(C$3:C11)</f>
        <v>0.75714285714285701</v>
      </c>
    </row>
    <row r="12" spans="1:8">
      <c r="A12">
        <v>9</v>
      </c>
      <c r="B12">
        <f>IF( $B$1="All",COUNTIF(Stories[[#All],[Rounded Lead Time]],"=" &amp;LtDistribution!$A12),COUNTIFS(Stories[[#All],[Rounded Lead Time]],"=" &amp;LtDistribution!$A12,Stories[[#All],[Type]],"="&amp;LtDistribution!$B$1))</f>
        <v>7</v>
      </c>
      <c r="C12" s="32">
        <f t="shared" si="0"/>
        <v>0.1</v>
      </c>
      <c r="D12" s="32">
        <f>SUM(C$3:C12)</f>
        <v>0.85714285714285698</v>
      </c>
    </row>
    <row r="13" spans="1:8">
      <c r="A13">
        <v>10</v>
      </c>
      <c r="B13">
        <f>IF( $B$1="All",COUNTIF(Stories[[#All],[Rounded Lead Time]],"=" &amp;LtDistribution!$A13),COUNTIFS(Stories[[#All],[Rounded Lead Time]],"=" &amp;LtDistribution!$A13,Stories[[#All],[Type]],"="&amp;LtDistribution!$B$1))</f>
        <v>4</v>
      </c>
      <c r="C13" s="32">
        <f t="shared" si="0"/>
        <v>5.7142857142857141E-2</v>
      </c>
      <c r="D13" s="32">
        <f>SUM(C$3:C13)</f>
        <v>0.91428571428571415</v>
      </c>
    </row>
    <row r="14" spans="1:8">
      <c r="A14">
        <v>11</v>
      </c>
      <c r="B14">
        <f>IF( $B$1="All",COUNTIF(Stories[[#All],[Rounded Lead Time]],"=" &amp;LtDistribution!$A14),COUNTIFS(Stories[[#All],[Rounded Lead Time]],"=" &amp;LtDistribution!$A14,Stories[[#All],[Type]],"="&amp;LtDistribution!$B$1))</f>
        <v>0</v>
      </c>
      <c r="C14" s="32">
        <f t="shared" si="0"/>
        <v>0</v>
      </c>
      <c r="D14" s="32">
        <f>SUM(C$3:C14)</f>
        <v>0.91428571428571415</v>
      </c>
    </row>
    <row r="15" spans="1:8">
      <c r="A15">
        <v>12</v>
      </c>
      <c r="B15">
        <f>IF( $B$1="All",COUNTIF(Stories[[#All],[Rounded Lead Time]],"=" &amp;LtDistribution!$A15),COUNTIFS(Stories[[#All],[Rounded Lead Time]],"=" &amp;LtDistribution!$A15,Stories[[#All],[Type]],"="&amp;LtDistribution!$B$1))</f>
        <v>1</v>
      </c>
      <c r="C15" s="32">
        <f t="shared" si="0"/>
        <v>1.4285714285714285E-2</v>
      </c>
      <c r="D15" s="32">
        <f>SUM(C$3:C15)</f>
        <v>0.92857142857142838</v>
      </c>
    </row>
    <row r="16" spans="1:8">
      <c r="A16">
        <v>13</v>
      </c>
      <c r="B16">
        <f>IF( $B$1="All",COUNTIF(Stories[[#All],[Rounded Lead Time]],"=" &amp;LtDistribution!$A16),COUNTIFS(Stories[[#All],[Rounded Lead Time]],"=" &amp;LtDistribution!$A16,Stories[[#All],[Type]],"="&amp;LtDistribution!$B$1))</f>
        <v>1</v>
      </c>
      <c r="C16" s="32">
        <f t="shared" si="0"/>
        <v>1.4285714285714285E-2</v>
      </c>
      <c r="D16" s="32">
        <f>SUM(C$3:C16)</f>
        <v>0.94285714285714262</v>
      </c>
    </row>
    <row r="17" spans="1:4">
      <c r="A17">
        <v>14</v>
      </c>
      <c r="B17">
        <f>IF( $B$1="All",COUNTIF(Stories[[#All],[Rounded Lead Time]],"=" &amp;LtDistribution!$A17),COUNTIFS(Stories[[#All],[Rounded Lead Time]],"=" &amp;LtDistribution!$A17,Stories[[#All],[Type]],"="&amp;LtDistribution!$B$1))</f>
        <v>0</v>
      </c>
      <c r="C17" s="32">
        <f t="shared" si="0"/>
        <v>0</v>
      </c>
      <c r="D17" s="32">
        <f>SUM(C$3:C17)</f>
        <v>0.94285714285714262</v>
      </c>
    </row>
    <row r="18" spans="1:4">
      <c r="A18">
        <v>15</v>
      </c>
      <c r="B18">
        <f>IF( $B$1="All",COUNTIF(Stories[[#All],[Rounded Lead Time]],"=" &amp;LtDistribution!$A18),COUNTIFS(Stories[[#All],[Rounded Lead Time]],"=" &amp;LtDistribution!$A18,Stories[[#All],[Type]],"="&amp;LtDistribution!$B$1))</f>
        <v>2</v>
      </c>
      <c r="C18" s="32">
        <f t="shared" si="0"/>
        <v>2.8571428571428571E-2</v>
      </c>
      <c r="D18" s="32">
        <f>SUM(C$3:C18)</f>
        <v>0.9714285714285712</v>
      </c>
    </row>
    <row r="19" spans="1:4">
      <c r="A19">
        <v>16</v>
      </c>
      <c r="B19">
        <f>IF( $B$1="All",COUNTIF(Stories[[#All],[Rounded Lead Time]],"=" &amp;LtDistribution!$A19),COUNTIFS(Stories[[#All],[Rounded Lead Time]],"=" &amp;LtDistribution!$A19,Stories[[#All],[Type]],"="&amp;LtDistribution!$B$1))</f>
        <v>0</v>
      </c>
      <c r="C19" s="32">
        <f t="shared" si="0"/>
        <v>0</v>
      </c>
      <c r="D19" s="32">
        <f>SUM(C$3:C19)</f>
        <v>0.9714285714285712</v>
      </c>
    </row>
    <row r="20" spans="1:4">
      <c r="A20">
        <v>17</v>
      </c>
      <c r="B20">
        <f>IF( $B$1="All",COUNTIF(Stories[[#All],[Rounded Lead Time]],"=" &amp;LtDistribution!$A20),COUNTIFS(Stories[[#All],[Rounded Lead Time]],"=" &amp;LtDistribution!$A20,Stories[[#All],[Type]],"="&amp;LtDistribution!$B$1))</f>
        <v>0</v>
      </c>
      <c r="C20" s="32">
        <f t="shared" si="0"/>
        <v>0</v>
      </c>
      <c r="D20" s="32">
        <f>SUM(C$3:C20)</f>
        <v>0.9714285714285712</v>
      </c>
    </row>
    <row r="21" spans="1:4">
      <c r="A21">
        <v>18</v>
      </c>
      <c r="B21">
        <f>IF( $B$1="All",COUNTIF(Stories[[#All],[Rounded Lead Time]],"=" &amp;LtDistribution!$A21),COUNTIFS(Stories[[#All],[Rounded Lead Time]],"=" &amp;LtDistribution!$A21,Stories[[#All],[Type]],"="&amp;LtDistribution!$B$1))</f>
        <v>0</v>
      </c>
      <c r="C21" s="32">
        <f t="shared" si="0"/>
        <v>0</v>
      </c>
      <c r="D21" s="32">
        <f>SUM(C$3:C21)</f>
        <v>0.9714285714285712</v>
      </c>
    </row>
    <row r="22" spans="1:4">
      <c r="A22">
        <v>19</v>
      </c>
      <c r="B22">
        <f>IF( $B$1="All",COUNTIF(Stories[[#All],[Rounded Lead Time]],"=" &amp;LtDistribution!$A22),COUNTIFS(Stories[[#All],[Rounded Lead Time]],"=" &amp;LtDistribution!$A22,Stories[[#All],[Type]],"="&amp;LtDistribution!$B$1))</f>
        <v>0</v>
      </c>
      <c r="C22" s="32">
        <f t="shared" si="0"/>
        <v>0</v>
      </c>
      <c r="D22" s="32">
        <f>SUM(C$3:C22)</f>
        <v>0.9714285714285712</v>
      </c>
    </row>
    <row r="23" spans="1:4">
      <c r="A23">
        <v>20</v>
      </c>
      <c r="B23">
        <f>IF( $B$1="All",COUNTIF(Stories[[#All],[Rounded Lead Time]],"=" &amp;LtDistribution!$A23),COUNTIFS(Stories[[#All],[Rounded Lead Time]],"=" &amp;LtDistribution!$A23,Stories[[#All],[Type]],"="&amp;LtDistribution!$B$1))</f>
        <v>0</v>
      </c>
      <c r="C23" s="32">
        <f t="shared" si="0"/>
        <v>0</v>
      </c>
      <c r="D23" s="32">
        <f>SUM(C$3:C23)</f>
        <v>0.9714285714285712</v>
      </c>
    </row>
    <row r="24" spans="1:4">
      <c r="A24">
        <v>21</v>
      </c>
      <c r="B24">
        <f>IF( $B$1="All",COUNTIF(Stories[[#All],[Rounded Lead Time]],"=" &amp;LtDistribution!$A24),COUNTIFS(Stories[[#All],[Rounded Lead Time]],"=" &amp;LtDistribution!$A24,Stories[[#All],[Type]],"="&amp;LtDistribution!$B$1))</f>
        <v>1</v>
      </c>
      <c r="C24" s="32">
        <f t="shared" si="0"/>
        <v>1.4285714285714285E-2</v>
      </c>
      <c r="D24" s="32">
        <f>SUM(C$3:C24)</f>
        <v>0.98571428571428543</v>
      </c>
    </row>
    <row r="25" spans="1:4">
      <c r="A25">
        <v>22</v>
      </c>
      <c r="B25">
        <f>IF( $B$1="All",COUNTIF(Stories[[#All],[Rounded Lead Time]],"=" &amp;LtDistribution!$A25),COUNTIFS(Stories[[#All],[Rounded Lead Time]],"=" &amp;LtDistribution!$A25,Stories[[#All],[Type]],"="&amp;LtDistribution!$B$1))</f>
        <v>0</v>
      </c>
      <c r="C25" s="32">
        <f t="shared" si="0"/>
        <v>0</v>
      </c>
      <c r="D25" s="32">
        <f>SUM(C$3:C25)</f>
        <v>0.98571428571428543</v>
      </c>
    </row>
    <row r="26" spans="1:4">
      <c r="A26">
        <v>23</v>
      </c>
      <c r="B26">
        <f>IF( $B$1="All",COUNTIF(Stories[[#All],[Rounded Lead Time]],"=" &amp;LtDistribution!$A26),COUNTIFS(Stories[[#All],[Rounded Lead Time]],"=" &amp;LtDistribution!$A26,Stories[[#All],[Type]],"="&amp;LtDistribution!$B$1))</f>
        <v>0</v>
      </c>
      <c r="C26" s="32">
        <f t="shared" si="0"/>
        <v>0</v>
      </c>
      <c r="D26" s="32">
        <f>SUM(C$3:C26)</f>
        <v>0.98571428571428543</v>
      </c>
    </row>
    <row r="27" spans="1:4">
      <c r="A27">
        <v>24</v>
      </c>
      <c r="B27">
        <f>IF( $B$1="All",COUNTIF(Stories[[#All],[Rounded Lead Time]],"=" &amp;LtDistribution!$A27),COUNTIFS(Stories[[#All],[Rounded Lead Time]],"=" &amp;LtDistribution!$A27,Stories[[#All],[Type]],"="&amp;LtDistribution!$B$1))</f>
        <v>0</v>
      </c>
      <c r="C27" s="32">
        <f t="shared" si="0"/>
        <v>0</v>
      </c>
      <c r="D27" s="32">
        <f>SUM(C$3:C27)</f>
        <v>0.98571428571428543</v>
      </c>
    </row>
    <row r="28" spans="1:4">
      <c r="A28">
        <v>25</v>
      </c>
      <c r="B28">
        <f>IF( $B$1="All",COUNTIF(Stories[[#All],[Rounded Lead Time]],"=" &amp;LtDistribution!$A28),COUNTIFS(Stories[[#All],[Rounded Lead Time]],"=" &amp;LtDistribution!$A28,Stories[[#All],[Type]],"="&amp;LtDistribution!$B$1))</f>
        <v>0</v>
      </c>
      <c r="C28" s="32">
        <f t="shared" si="0"/>
        <v>0</v>
      </c>
      <c r="D28" s="32">
        <f>SUM(C$3:C28)</f>
        <v>0.98571428571428543</v>
      </c>
    </row>
    <row r="29" spans="1:4">
      <c r="A29">
        <v>26</v>
      </c>
      <c r="B29">
        <f>IF( $B$1="All",COUNTIF(Stories[[#All],[Rounded Lead Time]],"=" &amp;LtDistribution!$A29),COUNTIFS(Stories[[#All],[Rounded Lead Time]],"=" &amp;LtDistribution!$A29,Stories[[#All],[Type]],"="&amp;LtDistribution!$B$1))</f>
        <v>0</v>
      </c>
      <c r="C29" s="32">
        <f t="shared" si="0"/>
        <v>0</v>
      </c>
      <c r="D29" s="32">
        <f>SUM(C$3:C29)</f>
        <v>0.98571428571428543</v>
      </c>
    </row>
    <row r="30" spans="1:4">
      <c r="A30">
        <v>27</v>
      </c>
      <c r="B30">
        <f>IF( $B$1="All",COUNTIF(Stories[[#All],[Rounded Lead Time]],"=" &amp;LtDistribution!$A30),COUNTIFS(Stories[[#All],[Rounded Lead Time]],"=" &amp;LtDistribution!$A30,Stories[[#All],[Type]],"="&amp;LtDistribution!$B$1))</f>
        <v>0</v>
      </c>
      <c r="C30" s="32">
        <f t="shared" si="0"/>
        <v>0</v>
      </c>
      <c r="D30" s="32">
        <f>SUM(C$3:C30)</f>
        <v>0.98571428571428543</v>
      </c>
    </row>
    <row r="31" spans="1:4">
      <c r="A31">
        <v>28</v>
      </c>
      <c r="B31">
        <f>IF( $B$1="All",COUNTIF(Stories[[#All],[Rounded Lead Time]],"=" &amp;LtDistribution!$A31),COUNTIFS(Stories[[#All],[Rounded Lead Time]],"=" &amp;LtDistribution!$A31,Stories[[#All],[Type]],"="&amp;LtDistribution!$B$1))</f>
        <v>0</v>
      </c>
      <c r="C31" s="32">
        <f t="shared" si="0"/>
        <v>0</v>
      </c>
      <c r="D31" s="32">
        <f>SUM(C$3:C31)</f>
        <v>0.98571428571428543</v>
      </c>
    </row>
    <row r="32" spans="1:4">
      <c r="A32">
        <v>29</v>
      </c>
      <c r="B32">
        <f>IF( $B$1="All",COUNTIF(Stories[[#All],[Rounded Lead Time]],"=" &amp;LtDistribution!$A32),COUNTIFS(Stories[[#All],[Rounded Lead Time]],"=" &amp;LtDistribution!$A32,Stories[[#All],[Type]],"="&amp;LtDistribution!$B$1))</f>
        <v>0</v>
      </c>
      <c r="C32" s="32">
        <f t="shared" si="0"/>
        <v>0</v>
      </c>
      <c r="D32" s="32">
        <f>SUM(C$3:C32)</f>
        <v>0.98571428571428543</v>
      </c>
    </row>
    <row r="33" spans="1:4">
      <c r="A33">
        <v>30</v>
      </c>
      <c r="B33">
        <f>IF( $B$1="All",COUNTIF(Stories[[#All],[Rounded Lead Time]],"=" &amp;LtDistribution!$A33),COUNTIFS(Stories[[#All],[Rounded Lead Time]],"=" &amp;LtDistribution!$A33,Stories[[#All],[Type]],"="&amp;LtDistribution!$B$1))</f>
        <v>0</v>
      </c>
      <c r="C33" s="32">
        <f t="shared" si="0"/>
        <v>0</v>
      </c>
      <c r="D33" s="32">
        <f>SUM(C$3:C33)</f>
        <v>0.98571428571428543</v>
      </c>
    </row>
    <row r="34" spans="1:4">
      <c r="A34">
        <v>31</v>
      </c>
      <c r="B34">
        <f>IF( $B$1="All",COUNTIF(Stories[[#All],[Rounded Lead Time]],"=" &amp;LtDistribution!$A34),COUNTIFS(Stories[[#All],[Rounded Lead Time]],"=" &amp;LtDistribution!$A34,Stories[[#All],[Type]],"="&amp;LtDistribution!$B$1))</f>
        <v>0</v>
      </c>
      <c r="C34" s="32">
        <f t="shared" si="0"/>
        <v>0</v>
      </c>
      <c r="D34" s="32">
        <f>SUM(C$3:C34)</f>
        <v>0.98571428571428543</v>
      </c>
    </row>
    <row r="35" spans="1:4">
      <c r="A35">
        <v>32</v>
      </c>
      <c r="B35">
        <f>IF( $B$1="All",COUNTIF(Stories[[#All],[Rounded Lead Time]],"=" &amp;LtDistribution!$A35),COUNTIFS(Stories[[#All],[Rounded Lead Time]],"=" &amp;LtDistribution!$A35,Stories[[#All],[Type]],"="&amp;LtDistribution!$B$1))</f>
        <v>0</v>
      </c>
      <c r="C35" s="32">
        <f t="shared" si="0"/>
        <v>0</v>
      </c>
      <c r="D35" s="32">
        <f>SUM(C$3:C35)</f>
        <v>0.98571428571428543</v>
      </c>
    </row>
    <row r="36" spans="1:4">
      <c r="A36">
        <v>33</v>
      </c>
      <c r="B36">
        <f>IF( $B$1="All",COUNTIF(Stories[[#All],[Rounded Lead Time]],"=" &amp;LtDistribution!$A36),COUNTIFS(Stories[[#All],[Rounded Lead Time]],"=" &amp;LtDistribution!$A36,Stories[[#All],[Type]],"="&amp;LtDistribution!$B$1))</f>
        <v>0</v>
      </c>
      <c r="C36" s="32">
        <f t="shared" si="0"/>
        <v>0</v>
      </c>
      <c r="D36" s="32">
        <f>SUM(C$3:C36)</f>
        <v>0.98571428571428543</v>
      </c>
    </row>
    <row r="37" spans="1:4">
      <c r="A37">
        <v>34</v>
      </c>
      <c r="B37">
        <f>IF( $B$1="All",COUNTIF(Stories[[#All],[Rounded Lead Time]],"=" &amp;LtDistribution!$A37),COUNTIFS(Stories[[#All],[Rounded Lead Time]],"=" &amp;LtDistribution!$A37,Stories[[#All],[Type]],"="&amp;LtDistribution!$B$1))</f>
        <v>0</v>
      </c>
      <c r="C37" s="32">
        <f t="shared" si="0"/>
        <v>0</v>
      </c>
      <c r="D37" s="32">
        <f>SUM(C$3:C37)</f>
        <v>0.98571428571428543</v>
      </c>
    </row>
    <row r="38" spans="1:4">
      <c r="A38">
        <v>35</v>
      </c>
      <c r="B38">
        <f>IF( $B$1="All",COUNTIF(Stories[[#All],[Rounded Lead Time]],"=" &amp;LtDistribution!$A38),COUNTIFS(Stories[[#All],[Rounded Lead Time]],"=" &amp;LtDistribution!$A38,Stories[[#All],[Type]],"="&amp;LtDistribution!$B$1))</f>
        <v>0</v>
      </c>
      <c r="C38" s="32">
        <f t="shared" si="0"/>
        <v>0</v>
      </c>
      <c r="D38" s="32">
        <f>SUM(C$3:C38)</f>
        <v>0.98571428571428543</v>
      </c>
    </row>
    <row r="39" spans="1:4">
      <c r="A39">
        <v>36</v>
      </c>
      <c r="B39">
        <f>IF( $B$1="All",COUNTIF(Stories[[#All],[Rounded Lead Time]],"=" &amp;LtDistribution!$A39),COUNTIFS(Stories[[#All],[Rounded Lead Time]],"=" &amp;LtDistribution!$A39,Stories[[#All],[Type]],"="&amp;LtDistribution!$B$1))</f>
        <v>0</v>
      </c>
      <c r="C39" s="32">
        <f t="shared" si="0"/>
        <v>0</v>
      </c>
      <c r="D39" s="32">
        <f>SUM(C$3:C39)</f>
        <v>0.98571428571428543</v>
      </c>
    </row>
    <row r="40" spans="1:4">
      <c r="A40">
        <v>37</v>
      </c>
      <c r="B40">
        <f>IF( $B$1="All",COUNTIF(Stories[[#All],[Rounded Lead Time]],"=" &amp;LtDistribution!$A40),COUNTIFS(Stories[[#All],[Rounded Lead Time]],"=" &amp;LtDistribution!$A40,Stories[[#All],[Type]],"="&amp;LtDistribution!$B$1))</f>
        <v>0</v>
      </c>
      <c r="C40" s="32">
        <f t="shared" si="0"/>
        <v>0</v>
      </c>
      <c r="D40" s="32">
        <f>SUM(C$3:C40)</f>
        <v>0.98571428571428543</v>
      </c>
    </row>
    <row r="41" spans="1:4">
      <c r="A41">
        <v>38</v>
      </c>
      <c r="B41">
        <f>IF( $B$1="All",COUNTIF(Stories[[#All],[Rounded Lead Time]],"=" &amp;LtDistribution!$A41),COUNTIFS(Stories[[#All],[Rounded Lead Time]],"=" &amp;LtDistribution!$A41,Stories[[#All],[Type]],"="&amp;LtDistribution!$B$1))</f>
        <v>0</v>
      </c>
      <c r="C41" s="32">
        <f t="shared" si="0"/>
        <v>0</v>
      </c>
      <c r="D41" s="32">
        <f>SUM(C$3:C41)</f>
        <v>0.98571428571428543</v>
      </c>
    </row>
    <row r="42" spans="1:4">
      <c r="A42">
        <v>39</v>
      </c>
      <c r="B42">
        <f>IF( $B$1="All",COUNTIF(Stories[[#All],[Rounded Lead Time]],"=" &amp;LtDistribution!$A42),COUNTIFS(Stories[[#All],[Rounded Lead Time]],"=" &amp;LtDistribution!$A42,Stories[[#All],[Type]],"="&amp;LtDistribution!$B$1))</f>
        <v>0</v>
      </c>
      <c r="C42" s="32">
        <f t="shared" si="0"/>
        <v>0</v>
      </c>
      <c r="D42" s="32">
        <f>SUM(C$3:C42)</f>
        <v>0.98571428571428543</v>
      </c>
    </row>
    <row r="43" spans="1:4">
      <c r="A43">
        <v>40</v>
      </c>
      <c r="B43">
        <f>IF( $B$1="All",COUNTIF(Stories[[#All],[Rounded Lead Time]],"=" &amp;LtDistribution!$A43),COUNTIFS(Stories[[#All],[Rounded Lead Time]],"=" &amp;LtDistribution!$A43,Stories[[#All],[Type]],"="&amp;LtDistribution!$B$1))</f>
        <v>0</v>
      </c>
      <c r="C43" s="32">
        <f t="shared" si="0"/>
        <v>0</v>
      </c>
      <c r="D43" s="32">
        <f>SUM(C$3:C43)</f>
        <v>0.98571428571428543</v>
      </c>
    </row>
    <row r="44" spans="1:4">
      <c r="A44">
        <v>41</v>
      </c>
      <c r="B44">
        <f>IF( $B$1="All",COUNTIF(Stories[[#All],[Rounded Lead Time]],"=" &amp;LtDistribution!$A44),COUNTIFS(Stories[[#All],[Rounded Lead Time]],"=" &amp;LtDistribution!$A44,Stories[[#All],[Type]],"="&amp;LtDistribution!$B$1))</f>
        <v>1</v>
      </c>
      <c r="C44" s="32">
        <f t="shared" si="0"/>
        <v>1.4285714285714285E-2</v>
      </c>
      <c r="D44" s="32">
        <f>SUM(C$3:C44)</f>
        <v>0.99999999999999967</v>
      </c>
    </row>
    <row r="45" spans="1:4">
      <c r="A45">
        <v>42</v>
      </c>
      <c r="B45">
        <f>IF( $B$1="All",COUNTIF(Stories[[#All],[Rounded Lead Time]],"=" &amp;LtDistribution!$A45),COUNTIFS(Stories[[#All],[Rounded Lead Time]],"=" &amp;LtDistribution!$A45,Stories[[#All],[Type]],"="&amp;LtDistribution!$B$1))</f>
        <v>0</v>
      </c>
      <c r="C45" s="32">
        <f t="shared" si="0"/>
        <v>0</v>
      </c>
      <c r="D45" s="32">
        <f>SUM(C$3:C45)</f>
        <v>0.99999999999999967</v>
      </c>
    </row>
  </sheetData>
  <phoneticPr fontId="17" type="noConversion"/>
  <conditionalFormatting sqref="D3:D45">
    <cfRule type="colorScale" priority="1">
      <colorScale>
        <cfvo type="percent" val="20"/>
        <cfvo type="percent" val="50"/>
        <cfvo type="percent" val="80"/>
        <color rgb="FFF8696B"/>
        <color rgb="FFFFEB84"/>
        <color rgb="FF63BE7B"/>
      </colorScale>
    </cfRule>
  </conditionalFormatting>
  <pageMargins left="0.75" right="0.75" top="1" bottom="1" header="0.5" footer="0.5"/>
  <pageSetup paperSize="8" scale="98" orientation="landscape" horizontalDpi="4294967292" verticalDpi="429496729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setup!$B$10:$B$15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"/>
  <sheetViews>
    <sheetView workbookViewId="0">
      <selection activeCell="F46" sqref="F46"/>
    </sheetView>
  </sheetViews>
  <sheetFormatPr defaultColWidth="11.42578125" defaultRowHeight="12.75"/>
  <sheetData/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T13:T15"/>
  <sheetViews>
    <sheetView workbookViewId="0">
      <selection activeCell="O24" sqref="O24"/>
    </sheetView>
  </sheetViews>
  <sheetFormatPr defaultColWidth="11.42578125" defaultRowHeight="12.75"/>
  <cols>
    <col min="1" max="1" width="10.85546875" customWidth="1"/>
  </cols>
  <sheetData>
    <row r="13" spans="20:20">
      <c r="T13">
        <f ca="1">DayByDayTable[Delivery Rate]</f>
        <v>0.36363636363636365</v>
      </c>
    </row>
    <row r="15" spans="20:20">
      <c r="T15" t="str">
        <f>DayByDayTable[[#Headers],[Delivery Rate]]</f>
        <v>Delivery Rate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Q148"/>
  <sheetViews>
    <sheetView topLeftCell="B4" zoomScale="90" workbookViewId="0">
      <selection activeCell="F5" sqref="F5"/>
    </sheetView>
  </sheetViews>
  <sheetFormatPr defaultColWidth="8.85546875" defaultRowHeight="15"/>
  <cols>
    <col min="1" max="1" width="9" style="4" customWidth="1"/>
    <col min="2" max="2" width="5.7109375" style="4" customWidth="1"/>
    <col min="3" max="3" width="25.140625" style="4" customWidth="1"/>
    <col min="4" max="4" width="35" style="4" bestFit="1" customWidth="1"/>
    <col min="5" max="5" width="14.7109375" style="4" customWidth="1"/>
    <col min="6" max="7" width="14.7109375" style="6" customWidth="1"/>
    <col min="8" max="10" width="14.7109375" style="16" customWidth="1"/>
    <col min="11" max="12" width="14.7109375" style="6" customWidth="1"/>
    <col min="13" max="13" width="14.7109375" style="4" customWidth="1"/>
    <col min="14" max="15" width="12.28515625" style="4" customWidth="1"/>
    <col min="16" max="16" width="28" style="4" bestFit="1" customWidth="1"/>
    <col min="17" max="18" width="10.28515625" style="4" bestFit="1" customWidth="1"/>
    <col min="19" max="16384" width="8.85546875" style="4"/>
  </cols>
  <sheetData>
    <row r="1" spans="1:17" ht="18.75">
      <c r="D1" s="23" t="s">
        <v>45</v>
      </c>
      <c r="E1" s="23"/>
      <c r="G1" s="22" t="s">
        <v>8</v>
      </c>
      <c r="H1" s="37"/>
      <c r="I1" s="37"/>
      <c r="K1" s="22" t="s">
        <v>9</v>
      </c>
      <c r="L1" s="22"/>
      <c r="M1" s="79" t="s">
        <v>24</v>
      </c>
      <c r="N1" s="17"/>
      <c r="O1" s="17"/>
    </row>
    <row r="2" spans="1:17">
      <c r="F2" s="16"/>
      <c r="G2" s="16"/>
      <c r="K2" s="16"/>
      <c r="L2" s="16"/>
      <c r="M2" s="80"/>
      <c r="N2" s="17" t="s">
        <v>54</v>
      </c>
      <c r="O2" s="17" t="s">
        <v>55</v>
      </c>
    </row>
    <row r="3" spans="1:17" ht="18.75">
      <c r="F3" s="76" t="s">
        <v>14</v>
      </c>
      <c r="G3" s="77"/>
      <c r="H3" s="77"/>
      <c r="I3" s="77"/>
      <c r="J3" s="77"/>
      <c r="K3" s="78"/>
      <c r="L3" s="60"/>
      <c r="M3" s="80"/>
      <c r="N3" s="43">
        <f>AVERAGEIF(Stories[Lead Time],"&gt;=0")</f>
        <v>6.2428571428571429</v>
      </c>
      <c r="O3" s="43">
        <f ca="1">(COUNT(Stories[Lead Time]))/NETWORKDAYS(FirstDate,TodaysDate,BankHolidays)</f>
        <v>0.88607594936708856</v>
      </c>
      <c r="P3" s="4">
        <f ca="1">O3*AVG</f>
        <v>5.5316455696202524</v>
      </c>
    </row>
    <row r="4" spans="1:17" s="20" customFormat="1" ht="30">
      <c r="A4" s="19" t="s">
        <v>12</v>
      </c>
      <c r="B4" s="42" t="s">
        <v>52</v>
      </c>
      <c r="C4" s="19" t="s">
        <v>49</v>
      </c>
      <c r="D4" s="19" t="s">
        <v>13</v>
      </c>
      <c r="E4" s="24" t="s">
        <v>35</v>
      </c>
      <c r="F4" s="21" t="s">
        <v>3</v>
      </c>
      <c r="G4" s="21" t="s">
        <v>44</v>
      </c>
      <c r="H4" s="21" t="s">
        <v>20</v>
      </c>
      <c r="I4" s="21" t="s">
        <v>46</v>
      </c>
      <c r="J4" s="21" t="s">
        <v>47</v>
      </c>
      <c r="K4" s="21" t="s">
        <v>19</v>
      </c>
      <c r="L4" s="21" t="s">
        <v>65</v>
      </c>
      <c r="M4" s="19" t="s">
        <v>15</v>
      </c>
      <c r="N4" s="19" t="s">
        <v>10</v>
      </c>
      <c r="O4" s="36" t="s">
        <v>41</v>
      </c>
      <c r="P4" s="20" t="s">
        <v>5</v>
      </c>
    </row>
    <row r="5" spans="1:17">
      <c r="A5" s="13">
        <v>1</v>
      </c>
      <c r="B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" s="13"/>
      <c r="D5" s="13" t="s">
        <v>81</v>
      </c>
      <c r="E5" s="13" t="s">
        <v>36</v>
      </c>
      <c r="F5" s="15">
        <v>42408</v>
      </c>
      <c r="G5" s="15">
        <v>42408</v>
      </c>
      <c r="H5" s="39">
        <v>42408</v>
      </c>
      <c r="I5" s="39">
        <v>42409</v>
      </c>
      <c r="J5" s="39">
        <v>42409</v>
      </c>
      <c r="K5" s="41">
        <v>42409</v>
      </c>
      <c r="L5" s="61">
        <v>6</v>
      </c>
      <c r="M5" s="13">
        <v>1</v>
      </c>
      <c r="N5" s="10">
        <f t="shared" ref="N5:N36" si="0">IF(K5&gt;0,(((NETWORKDAYS(G5,K5,BankHolidays))/M5)),NA())</f>
        <v>2</v>
      </c>
      <c r="O5" s="10">
        <f>ROUND(Stories[[#This Row],[Lead Time]],0)</f>
        <v>2</v>
      </c>
      <c r="P5" s="26"/>
      <c r="Q5" s="5"/>
    </row>
    <row r="6" spans="1:17">
      <c r="A6" s="13">
        <v>2</v>
      </c>
      <c r="B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" s="13"/>
      <c r="D6" s="13" t="s">
        <v>82</v>
      </c>
      <c r="E6" s="13" t="s">
        <v>39</v>
      </c>
      <c r="F6" s="15">
        <v>42408</v>
      </c>
      <c r="G6" s="15">
        <v>42408</v>
      </c>
      <c r="H6" s="39">
        <v>42408</v>
      </c>
      <c r="I6" s="39">
        <v>42409</v>
      </c>
      <c r="J6" s="39">
        <v>42409</v>
      </c>
      <c r="K6" s="41">
        <v>42409</v>
      </c>
      <c r="L6" s="61">
        <v>6</v>
      </c>
      <c r="M6" s="13">
        <v>1</v>
      </c>
      <c r="N6" s="10">
        <f t="shared" si="0"/>
        <v>2</v>
      </c>
      <c r="O6" s="10">
        <f>ROUND(Stories[[#This Row],[Lead Time]],0)</f>
        <v>2</v>
      </c>
      <c r="P6" s="26"/>
      <c r="Q6" s="5"/>
    </row>
    <row r="7" spans="1:17">
      <c r="A7" s="13">
        <v>2</v>
      </c>
      <c r="B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" s="13"/>
      <c r="D7" s="13" t="s">
        <v>83</v>
      </c>
      <c r="E7" s="13" t="s">
        <v>36</v>
      </c>
      <c r="F7" s="15">
        <v>42401</v>
      </c>
      <c r="G7" s="15">
        <v>42410</v>
      </c>
      <c r="H7" s="15">
        <v>42410</v>
      </c>
      <c r="I7" s="15">
        <v>42422</v>
      </c>
      <c r="J7" s="15">
        <v>42422</v>
      </c>
      <c r="K7" s="15">
        <v>42422</v>
      </c>
      <c r="L7" s="14">
        <v>6</v>
      </c>
      <c r="M7" s="13">
        <v>1</v>
      </c>
      <c r="N7" s="10">
        <f t="shared" si="0"/>
        <v>9</v>
      </c>
      <c r="O7" s="10">
        <f>ROUND(Stories[[#This Row],[Lead Time]],0)</f>
        <v>9</v>
      </c>
      <c r="P7" s="26"/>
      <c r="Q7" s="5"/>
    </row>
    <row r="8" spans="1:17">
      <c r="A8" s="13">
        <v>2</v>
      </c>
      <c r="B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8" s="13"/>
      <c r="D8" s="13" t="s">
        <v>84</v>
      </c>
      <c r="E8" s="13" t="s">
        <v>39</v>
      </c>
      <c r="F8" s="15">
        <v>42417</v>
      </c>
      <c r="G8" s="15">
        <v>42417</v>
      </c>
      <c r="H8" s="39">
        <v>42417</v>
      </c>
      <c r="I8" s="39">
        <v>42423</v>
      </c>
      <c r="J8" s="39">
        <v>42423</v>
      </c>
      <c r="K8" s="41">
        <v>42423</v>
      </c>
      <c r="L8" s="61">
        <v>6</v>
      </c>
      <c r="M8" s="13">
        <v>1</v>
      </c>
      <c r="N8" s="10">
        <f t="shared" si="0"/>
        <v>5</v>
      </c>
      <c r="O8" s="10">
        <f>ROUND(Stories[[#This Row],[Lead Time]],0)</f>
        <v>5</v>
      </c>
      <c r="P8" s="26"/>
      <c r="Q8" s="5"/>
    </row>
    <row r="9" spans="1:17">
      <c r="A9" s="13">
        <v>2</v>
      </c>
      <c r="B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9" s="13"/>
      <c r="D9" s="13" t="s">
        <v>85</v>
      </c>
      <c r="E9" s="13" t="s">
        <v>68</v>
      </c>
      <c r="F9" s="15">
        <v>42417</v>
      </c>
      <c r="G9" s="15">
        <v>42419</v>
      </c>
      <c r="H9" s="39">
        <v>42420</v>
      </c>
      <c r="I9" s="39">
        <v>42422</v>
      </c>
      <c r="J9" s="39">
        <v>42423</v>
      </c>
      <c r="K9" s="41">
        <v>42423</v>
      </c>
      <c r="L9" s="61">
        <v>6</v>
      </c>
      <c r="M9" s="13">
        <v>1</v>
      </c>
      <c r="N9" s="10">
        <f t="shared" si="0"/>
        <v>3</v>
      </c>
      <c r="O9" s="10">
        <f>ROUND(Stories[[#This Row],[Lead Time]],0)</f>
        <v>3</v>
      </c>
      <c r="P9" s="26"/>
      <c r="Q9" s="5"/>
    </row>
    <row r="10" spans="1:17">
      <c r="A10" s="13">
        <v>2</v>
      </c>
      <c r="B1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0" s="13"/>
      <c r="D10" s="13" t="s">
        <v>86</v>
      </c>
      <c r="E10" s="13" t="s">
        <v>68</v>
      </c>
      <c r="F10" s="15">
        <v>42416</v>
      </c>
      <c r="G10" s="15">
        <v>42416</v>
      </c>
      <c r="H10" s="39">
        <v>42416</v>
      </c>
      <c r="I10" s="39">
        <v>42422</v>
      </c>
      <c r="J10" s="39">
        <v>42423</v>
      </c>
      <c r="K10" s="41">
        <v>42423</v>
      </c>
      <c r="L10" s="61">
        <v>6</v>
      </c>
      <c r="M10" s="13">
        <v>1</v>
      </c>
      <c r="N10" s="10">
        <f t="shared" si="0"/>
        <v>6</v>
      </c>
      <c r="O10" s="10">
        <f>ROUND(Stories[[#This Row],[Lead Time]],0)</f>
        <v>6</v>
      </c>
      <c r="P10" s="26"/>
      <c r="Q10" s="5"/>
    </row>
    <row r="11" spans="1:17">
      <c r="A11" s="13">
        <v>2</v>
      </c>
      <c r="B1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1" s="13"/>
      <c r="D11" s="13" t="s">
        <v>87</v>
      </c>
      <c r="E11" s="13" t="s">
        <v>68</v>
      </c>
      <c r="F11" s="15">
        <v>42418</v>
      </c>
      <c r="G11" s="15">
        <v>42418</v>
      </c>
      <c r="H11" s="39">
        <v>42418</v>
      </c>
      <c r="I11" s="39">
        <v>42422</v>
      </c>
      <c r="J11" s="39">
        <v>42424</v>
      </c>
      <c r="K11" s="41">
        <v>42424</v>
      </c>
      <c r="L11" s="61">
        <v>7</v>
      </c>
      <c r="M11" s="13">
        <v>1</v>
      </c>
      <c r="N11" s="10">
        <f t="shared" si="0"/>
        <v>5</v>
      </c>
      <c r="O11" s="10">
        <f>ROUND(Stories[[#This Row],[Lead Time]],0)</f>
        <v>5</v>
      </c>
      <c r="P11" s="26"/>
      <c r="Q11" s="5"/>
    </row>
    <row r="12" spans="1:17">
      <c r="A12" s="13">
        <v>2</v>
      </c>
      <c r="B1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2" s="13"/>
      <c r="D12" s="13" t="s">
        <v>88</v>
      </c>
      <c r="E12" s="13" t="s">
        <v>68</v>
      </c>
      <c r="F12" s="15">
        <v>42422</v>
      </c>
      <c r="G12" s="15">
        <v>42422</v>
      </c>
      <c r="H12" s="39">
        <v>42422</v>
      </c>
      <c r="I12" s="39">
        <v>42424</v>
      </c>
      <c r="J12" s="39">
        <v>42424</v>
      </c>
      <c r="K12" s="41">
        <v>42424</v>
      </c>
      <c r="L12" s="61">
        <v>7</v>
      </c>
      <c r="M12" s="13">
        <v>1</v>
      </c>
      <c r="N12" s="10">
        <f t="shared" si="0"/>
        <v>3</v>
      </c>
      <c r="O12" s="10">
        <f>ROUND(Stories[[#This Row],[Lead Time]],0)</f>
        <v>3</v>
      </c>
      <c r="P12" s="25"/>
      <c r="Q12" s="5"/>
    </row>
    <row r="13" spans="1:17">
      <c r="A13" s="13">
        <v>2</v>
      </c>
      <c r="B1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3" s="13"/>
      <c r="D13" s="13" t="s">
        <v>89</v>
      </c>
      <c r="E13" s="13" t="s">
        <v>36</v>
      </c>
      <c r="F13" s="15">
        <v>42425</v>
      </c>
      <c r="G13" s="15">
        <v>42425</v>
      </c>
      <c r="H13" s="39">
        <v>42425</v>
      </c>
      <c r="I13" s="39">
        <v>42429</v>
      </c>
      <c r="J13" s="39">
        <v>42429</v>
      </c>
      <c r="K13" s="41">
        <v>42429</v>
      </c>
      <c r="L13" s="61">
        <v>7</v>
      </c>
      <c r="M13" s="13">
        <v>1</v>
      </c>
      <c r="N13" s="10">
        <f t="shared" si="0"/>
        <v>3</v>
      </c>
      <c r="O13" s="10">
        <f>ROUND(Stories[[#This Row],[Lead Time]],0)</f>
        <v>3</v>
      </c>
      <c r="P13" s="28"/>
      <c r="Q13" s="5"/>
    </row>
    <row r="14" spans="1:17">
      <c r="A14" s="13">
        <v>2</v>
      </c>
      <c r="B1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4" s="13"/>
      <c r="D14" s="13" t="s">
        <v>90</v>
      </c>
      <c r="E14" s="13" t="s">
        <v>67</v>
      </c>
      <c r="F14" s="15">
        <v>42401</v>
      </c>
      <c r="G14" s="15">
        <v>42410</v>
      </c>
      <c r="H14" s="15">
        <v>42410</v>
      </c>
      <c r="I14" s="15">
        <v>42422</v>
      </c>
      <c r="J14" s="15">
        <v>42430</v>
      </c>
      <c r="K14" s="15">
        <v>42430</v>
      </c>
      <c r="L14" s="14">
        <v>7</v>
      </c>
      <c r="M14" s="13">
        <v>1</v>
      </c>
      <c r="N14" s="10">
        <f t="shared" si="0"/>
        <v>15</v>
      </c>
      <c r="O14" s="10">
        <f>ROUND(Stories[[#This Row],[Lead Time]],0)</f>
        <v>15</v>
      </c>
      <c r="P14" s="28"/>
      <c r="Q14" s="5"/>
    </row>
    <row r="15" spans="1:17">
      <c r="A15" s="13">
        <v>2</v>
      </c>
      <c r="B1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5" s="13"/>
      <c r="D15" s="13" t="s">
        <v>91</v>
      </c>
      <c r="E15" s="13" t="s">
        <v>67</v>
      </c>
      <c r="F15" s="15">
        <v>42422</v>
      </c>
      <c r="G15" s="15">
        <v>42423</v>
      </c>
      <c r="H15" s="39">
        <v>42423</v>
      </c>
      <c r="I15" s="39">
        <v>42429</v>
      </c>
      <c r="J15" s="39">
        <v>42430</v>
      </c>
      <c r="K15" s="41">
        <v>42430</v>
      </c>
      <c r="L15" s="61">
        <v>7</v>
      </c>
      <c r="M15" s="13">
        <v>1</v>
      </c>
      <c r="N15" s="10">
        <f t="shared" si="0"/>
        <v>6</v>
      </c>
      <c r="O15" s="10">
        <f>ROUND(Stories[[#This Row],[Lead Time]],0)</f>
        <v>6</v>
      </c>
      <c r="P15" s="28"/>
      <c r="Q15" s="5"/>
    </row>
    <row r="16" spans="1:17">
      <c r="A16" s="13">
        <v>2</v>
      </c>
      <c r="B1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6" s="13"/>
      <c r="D16" s="13" t="s">
        <v>92</v>
      </c>
      <c r="E16" s="13" t="s">
        <v>67</v>
      </c>
      <c r="F16" s="15">
        <v>42418</v>
      </c>
      <c r="G16" s="15">
        <v>42418</v>
      </c>
      <c r="H16" s="39">
        <v>42418</v>
      </c>
      <c r="I16" s="39">
        <v>42425</v>
      </c>
      <c r="J16" s="39">
        <v>42430</v>
      </c>
      <c r="K16" s="41">
        <v>42430</v>
      </c>
      <c r="L16" s="61">
        <v>7</v>
      </c>
      <c r="M16" s="13">
        <v>1</v>
      </c>
      <c r="N16" s="10">
        <f t="shared" si="0"/>
        <v>9</v>
      </c>
      <c r="O16" s="10">
        <f>ROUND(Stories[[#This Row],[Lead Time]],0)</f>
        <v>9</v>
      </c>
      <c r="P16" s="28"/>
      <c r="Q16" s="5"/>
    </row>
    <row r="17" spans="1:17">
      <c r="A17" s="13">
        <v>2</v>
      </c>
      <c r="B1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7" s="13"/>
      <c r="D17" s="13" t="s">
        <v>93</v>
      </c>
      <c r="E17" s="13" t="s">
        <v>67</v>
      </c>
      <c r="F17" s="15">
        <v>42429</v>
      </c>
      <c r="G17" s="15">
        <v>42429</v>
      </c>
      <c r="H17" s="39">
        <v>42429</v>
      </c>
      <c r="I17" s="39">
        <v>42430</v>
      </c>
      <c r="J17" s="39">
        <v>42430</v>
      </c>
      <c r="K17" s="41">
        <v>42430</v>
      </c>
      <c r="L17" s="61">
        <v>7</v>
      </c>
      <c r="M17" s="13">
        <v>1</v>
      </c>
      <c r="N17" s="10">
        <f t="shared" si="0"/>
        <v>2</v>
      </c>
      <c r="O17" s="10">
        <f>ROUND(Stories[[#This Row],[Lead Time]],0)</f>
        <v>2</v>
      </c>
      <c r="P17" s="28"/>
      <c r="Q17" s="5"/>
    </row>
    <row r="18" spans="1:17">
      <c r="A18" s="13">
        <v>2</v>
      </c>
      <c r="B1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8" s="13"/>
      <c r="D18" s="13" t="s">
        <v>94</v>
      </c>
      <c r="E18" s="13" t="s">
        <v>67</v>
      </c>
      <c r="F18" s="15">
        <v>42424</v>
      </c>
      <c r="G18" s="15">
        <v>42425</v>
      </c>
      <c r="H18" s="39">
        <v>42425</v>
      </c>
      <c r="I18" s="39">
        <v>42429</v>
      </c>
      <c r="J18" s="39">
        <v>42432</v>
      </c>
      <c r="K18" s="41">
        <v>42432</v>
      </c>
      <c r="L18" s="61">
        <v>7</v>
      </c>
      <c r="M18" s="13">
        <v>1</v>
      </c>
      <c r="N18" s="10">
        <f t="shared" si="0"/>
        <v>6</v>
      </c>
      <c r="O18" s="10">
        <f>ROUND(Stories[[#This Row],[Lead Time]],0)</f>
        <v>6</v>
      </c>
      <c r="P18" s="30"/>
      <c r="Q18" s="5"/>
    </row>
    <row r="19" spans="1:17">
      <c r="A19" s="13">
        <v>2</v>
      </c>
      <c r="B1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9" s="13"/>
      <c r="D19" s="13" t="s">
        <v>95</v>
      </c>
      <c r="E19" s="13" t="s">
        <v>67</v>
      </c>
      <c r="F19" s="15">
        <v>42429</v>
      </c>
      <c r="G19" s="15">
        <v>42429</v>
      </c>
      <c r="H19" s="39">
        <v>42430</v>
      </c>
      <c r="I19" s="39">
        <v>42432</v>
      </c>
      <c r="J19" s="39">
        <v>42432</v>
      </c>
      <c r="K19" s="41">
        <v>42432</v>
      </c>
      <c r="L19" s="61">
        <v>7</v>
      </c>
      <c r="M19" s="13">
        <v>1</v>
      </c>
      <c r="N19" s="10">
        <f t="shared" si="0"/>
        <v>4</v>
      </c>
      <c r="O19" s="10">
        <f>ROUND(Stories[[#This Row],[Lead Time]],0)</f>
        <v>4</v>
      </c>
      <c r="P19" s="25"/>
      <c r="Q19" s="5"/>
    </row>
    <row r="20" spans="1:17">
      <c r="A20" s="13">
        <v>2</v>
      </c>
      <c r="B2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0" s="13"/>
      <c r="D20" s="13" t="s">
        <v>96</v>
      </c>
      <c r="E20" s="13" t="s">
        <v>67</v>
      </c>
      <c r="F20" s="15">
        <v>42429</v>
      </c>
      <c r="G20" s="15">
        <v>42430</v>
      </c>
      <c r="H20" s="39">
        <v>42430</v>
      </c>
      <c r="I20" s="39">
        <v>42432</v>
      </c>
      <c r="J20" s="39">
        <v>42432</v>
      </c>
      <c r="K20" s="41">
        <v>42432</v>
      </c>
      <c r="L20" s="61">
        <v>7</v>
      </c>
      <c r="M20" s="13">
        <v>1</v>
      </c>
      <c r="N20" s="10">
        <f t="shared" si="0"/>
        <v>3</v>
      </c>
      <c r="O20" s="10">
        <f>ROUND(Stories[[#This Row],[Lead Time]],0)</f>
        <v>3</v>
      </c>
      <c r="P20" s="28"/>
      <c r="Q20" s="5"/>
    </row>
    <row r="21" spans="1:17">
      <c r="A21" s="13">
        <v>2</v>
      </c>
      <c r="B2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1" s="13"/>
      <c r="D21" s="13" t="s">
        <v>97</v>
      </c>
      <c r="E21" s="13" t="s">
        <v>67</v>
      </c>
      <c r="F21" s="15">
        <v>42406</v>
      </c>
      <c r="G21" s="15">
        <v>42406</v>
      </c>
      <c r="H21" s="15">
        <v>42406</v>
      </c>
      <c r="I21" s="15">
        <v>42422</v>
      </c>
      <c r="J21" s="15">
        <v>42422</v>
      </c>
      <c r="K21" s="15">
        <v>42436</v>
      </c>
      <c r="L21" s="14">
        <v>7</v>
      </c>
      <c r="M21" s="13">
        <v>1</v>
      </c>
      <c r="N21" s="10">
        <f t="shared" si="0"/>
        <v>21</v>
      </c>
      <c r="O21" s="10">
        <f>ROUND(Stories[[#This Row],[Lead Time]],0)</f>
        <v>21</v>
      </c>
      <c r="P21" s="28"/>
      <c r="Q21" s="5"/>
    </row>
    <row r="22" spans="1:17">
      <c r="A22" s="13">
        <v>2</v>
      </c>
      <c r="B2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2" s="13"/>
      <c r="D22" s="13" t="s">
        <v>98</v>
      </c>
      <c r="E22" s="13" t="s">
        <v>67</v>
      </c>
      <c r="F22" s="15">
        <v>42429</v>
      </c>
      <c r="G22" s="15">
        <v>42430</v>
      </c>
      <c r="H22" s="39">
        <v>42436</v>
      </c>
      <c r="I22" s="39">
        <v>42436</v>
      </c>
      <c r="J22" s="39">
        <v>42436</v>
      </c>
      <c r="K22" s="41">
        <v>42436</v>
      </c>
      <c r="L22" s="61">
        <v>7</v>
      </c>
      <c r="M22" s="13">
        <v>1</v>
      </c>
      <c r="N22" s="10">
        <f t="shared" si="0"/>
        <v>5</v>
      </c>
      <c r="O22" s="10">
        <f>ROUND(Stories[[#This Row],[Lead Time]],0)</f>
        <v>5</v>
      </c>
      <c r="P22" s="28"/>
      <c r="Q22" s="5"/>
    </row>
    <row r="23" spans="1:17">
      <c r="A23" s="13">
        <v>2</v>
      </c>
      <c r="B2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3" s="13"/>
      <c r="D23" s="13" t="s">
        <v>99</v>
      </c>
      <c r="E23" s="13" t="s">
        <v>67</v>
      </c>
      <c r="F23" s="15">
        <v>42425</v>
      </c>
      <c r="G23" s="15">
        <v>42425</v>
      </c>
      <c r="H23" s="39">
        <v>42425</v>
      </c>
      <c r="I23" s="39">
        <v>42437</v>
      </c>
      <c r="J23" s="39">
        <v>42437</v>
      </c>
      <c r="K23" s="41">
        <v>42437</v>
      </c>
      <c r="L23" s="61">
        <v>7</v>
      </c>
      <c r="M23" s="13">
        <v>1</v>
      </c>
      <c r="N23" s="10">
        <f t="shared" si="0"/>
        <v>9</v>
      </c>
      <c r="O23" s="10">
        <f>ROUND(Stories[[#This Row],[Lead Time]],0)</f>
        <v>9</v>
      </c>
      <c r="P23" s="28"/>
      <c r="Q23" s="5"/>
    </row>
    <row r="24" spans="1:17">
      <c r="A24" s="13">
        <v>2</v>
      </c>
      <c r="B2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4" s="13"/>
      <c r="D24" s="13" t="s">
        <v>100</v>
      </c>
      <c r="E24" s="13" t="s">
        <v>67</v>
      </c>
      <c r="F24" s="15">
        <v>42431</v>
      </c>
      <c r="G24" s="15">
        <v>42433</v>
      </c>
      <c r="H24" s="39">
        <v>42436</v>
      </c>
      <c r="I24" s="39">
        <v>42437</v>
      </c>
      <c r="J24" s="39">
        <v>42439</v>
      </c>
      <c r="K24" s="39">
        <v>42439</v>
      </c>
      <c r="L24" s="62">
        <v>8</v>
      </c>
      <c r="M24" s="13">
        <v>1</v>
      </c>
      <c r="N24" s="10">
        <f t="shared" si="0"/>
        <v>5</v>
      </c>
      <c r="O24" s="10">
        <f>ROUND(Stories[[#This Row],[Lead Time]],0)</f>
        <v>5</v>
      </c>
      <c r="P24" s="28"/>
      <c r="Q24" s="5"/>
    </row>
    <row r="25" spans="1:17">
      <c r="A25" s="13">
        <v>2</v>
      </c>
      <c r="B2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5" s="13"/>
      <c r="D25" s="13" t="s">
        <v>101</v>
      </c>
      <c r="E25" s="13" t="s">
        <v>67</v>
      </c>
      <c r="F25" s="15">
        <v>42439</v>
      </c>
      <c r="G25" s="15">
        <v>42443</v>
      </c>
      <c r="H25" s="15">
        <v>42443</v>
      </c>
      <c r="I25" s="15">
        <v>42443</v>
      </c>
      <c r="J25" s="15">
        <v>42443</v>
      </c>
      <c r="K25" s="15">
        <v>42443</v>
      </c>
      <c r="L25" s="14">
        <v>8</v>
      </c>
      <c r="M25" s="13">
        <v>1</v>
      </c>
      <c r="N25" s="10">
        <f t="shared" si="0"/>
        <v>1</v>
      </c>
      <c r="O25" s="10">
        <f>ROUND(Stories[[#This Row],[Lead Time]],0)</f>
        <v>1</v>
      </c>
      <c r="P25" s="28"/>
      <c r="Q25" s="5"/>
    </row>
    <row r="26" spans="1:17">
      <c r="A26" s="13">
        <v>2</v>
      </c>
      <c r="B2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6" s="13"/>
      <c r="D26" s="13" t="s">
        <v>102</v>
      </c>
      <c r="E26" s="13" t="s">
        <v>67</v>
      </c>
      <c r="F26" s="15">
        <v>42431</v>
      </c>
      <c r="G26" s="15">
        <v>42432</v>
      </c>
      <c r="H26" s="39">
        <v>42437</v>
      </c>
      <c r="I26" s="39">
        <v>42445</v>
      </c>
      <c r="J26" s="39">
        <v>42445</v>
      </c>
      <c r="K26" s="41">
        <v>42445</v>
      </c>
      <c r="L26" s="61">
        <v>8</v>
      </c>
      <c r="M26" s="13">
        <v>1</v>
      </c>
      <c r="N26" s="10">
        <f t="shared" si="0"/>
        <v>10</v>
      </c>
      <c r="O26" s="10">
        <f>ROUND(Stories[[#This Row],[Lead Time]],0)</f>
        <v>10</v>
      </c>
      <c r="P26" s="28"/>
      <c r="Q26" s="5"/>
    </row>
    <row r="27" spans="1:17">
      <c r="A27" s="13">
        <v>2</v>
      </c>
      <c r="B2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7" s="13"/>
      <c r="D27" s="13" t="s">
        <v>103</v>
      </c>
      <c r="E27" s="13" t="s">
        <v>67</v>
      </c>
      <c r="F27" s="15">
        <v>42429</v>
      </c>
      <c r="G27" s="15">
        <v>42430</v>
      </c>
      <c r="H27" s="39">
        <v>42437</v>
      </c>
      <c r="I27" s="39">
        <v>42450</v>
      </c>
      <c r="J27" s="39">
        <v>42450</v>
      </c>
      <c r="K27" s="41">
        <v>42450</v>
      </c>
      <c r="L27" s="61">
        <v>8</v>
      </c>
      <c r="M27" s="13">
        <v>1</v>
      </c>
      <c r="N27" s="10">
        <f t="shared" si="0"/>
        <v>15</v>
      </c>
      <c r="O27" s="10">
        <f>ROUND(Stories[[#This Row],[Lead Time]],0)</f>
        <v>15</v>
      </c>
      <c r="P27" s="28"/>
      <c r="Q27" s="5"/>
    </row>
    <row r="28" spans="1:17">
      <c r="A28" s="13">
        <v>2</v>
      </c>
      <c r="B2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8" s="13"/>
      <c r="D28" s="13" t="s">
        <v>104</v>
      </c>
      <c r="E28" s="13" t="s">
        <v>67</v>
      </c>
      <c r="F28" s="15">
        <v>42431</v>
      </c>
      <c r="G28" s="15">
        <v>42445</v>
      </c>
      <c r="H28" s="39">
        <v>42445</v>
      </c>
      <c r="I28" s="39">
        <v>42450</v>
      </c>
      <c r="J28" s="39">
        <v>42450</v>
      </c>
      <c r="K28" s="41">
        <v>42450</v>
      </c>
      <c r="L28" s="61">
        <v>8</v>
      </c>
      <c r="M28" s="13">
        <v>1</v>
      </c>
      <c r="N28" s="10">
        <f t="shared" si="0"/>
        <v>4</v>
      </c>
      <c r="O28" s="10">
        <f>ROUND(Stories[[#This Row],[Lead Time]],0)</f>
        <v>4</v>
      </c>
      <c r="P28" s="28"/>
      <c r="Q28" s="5"/>
    </row>
    <row r="29" spans="1:17">
      <c r="A29" s="13">
        <v>2</v>
      </c>
      <c r="B2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9" s="13"/>
      <c r="D29" s="13" t="s">
        <v>105</v>
      </c>
      <c r="E29" s="13" t="s">
        <v>67</v>
      </c>
      <c r="F29" s="15">
        <v>42444</v>
      </c>
      <c r="G29" s="15">
        <v>42444</v>
      </c>
      <c r="H29" s="15">
        <v>42444</v>
      </c>
      <c r="I29" s="15">
        <v>42450</v>
      </c>
      <c r="J29" s="15">
        <v>42450</v>
      </c>
      <c r="K29" s="15">
        <v>42450</v>
      </c>
      <c r="L29" s="14">
        <v>8</v>
      </c>
      <c r="M29" s="13">
        <v>1</v>
      </c>
      <c r="N29" s="10">
        <f t="shared" si="0"/>
        <v>5</v>
      </c>
      <c r="O29" s="10">
        <f>ROUND(Stories[[#This Row],[Lead Time]],0)</f>
        <v>5</v>
      </c>
      <c r="P29" s="28"/>
      <c r="Q29" s="5"/>
    </row>
    <row r="30" spans="1:17">
      <c r="A30" s="13">
        <v>2</v>
      </c>
      <c r="B3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0" s="13"/>
      <c r="D30" s="13" t="s">
        <v>106</v>
      </c>
      <c r="E30" s="13" t="s">
        <v>67</v>
      </c>
      <c r="F30" s="15">
        <v>42431</v>
      </c>
      <c r="G30" s="15">
        <v>42438</v>
      </c>
      <c r="H30" s="39">
        <v>42438</v>
      </c>
      <c r="I30" s="39">
        <v>42451</v>
      </c>
      <c r="J30" s="39">
        <v>42451</v>
      </c>
      <c r="K30" s="41">
        <v>42451</v>
      </c>
      <c r="L30" s="61">
        <v>8</v>
      </c>
      <c r="M30" s="13">
        <v>1</v>
      </c>
      <c r="N30" s="10">
        <f t="shared" si="0"/>
        <v>10</v>
      </c>
      <c r="O30" s="10">
        <f>ROUND(Stories[[#This Row],[Lead Time]],0)</f>
        <v>10</v>
      </c>
      <c r="P30" s="28"/>
      <c r="Q30" s="5"/>
    </row>
    <row r="31" spans="1:17">
      <c r="A31" s="13">
        <v>2</v>
      </c>
      <c r="B3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1" s="13"/>
      <c r="D31" s="13" t="s">
        <v>107</v>
      </c>
      <c r="E31" s="13" t="s">
        <v>67</v>
      </c>
      <c r="F31" s="15">
        <v>42439</v>
      </c>
      <c r="G31" s="15">
        <v>42444</v>
      </c>
      <c r="H31" s="15">
        <v>42444</v>
      </c>
      <c r="I31" s="15">
        <v>42452</v>
      </c>
      <c r="J31" s="15">
        <v>42452</v>
      </c>
      <c r="K31" s="15">
        <v>42452</v>
      </c>
      <c r="L31" s="14">
        <v>9</v>
      </c>
      <c r="M31" s="13">
        <v>1</v>
      </c>
      <c r="N31" s="10">
        <f t="shared" si="0"/>
        <v>7</v>
      </c>
      <c r="O31" s="10">
        <f>ROUND(Stories[[#This Row],[Lead Time]],0)</f>
        <v>7</v>
      </c>
      <c r="P31" s="28"/>
      <c r="Q31" s="5"/>
    </row>
    <row r="32" spans="1:17">
      <c r="A32" s="13">
        <v>2</v>
      </c>
      <c r="B3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2" s="13"/>
      <c r="D32" s="13" t="s">
        <v>108</v>
      </c>
      <c r="E32" s="13" t="s">
        <v>67</v>
      </c>
      <c r="F32" s="15">
        <v>42444</v>
      </c>
      <c r="G32" s="15">
        <v>42444</v>
      </c>
      <c r="H32" s="15">
        <v>42444</v>
      </c>
      <c r="I32" s="15">
        <v>42453</v>
      </c>
      <c r="J32" s="15">
        <v>42458</v>
      </c>
      <c r="K32" s="15">
        <v>42458</v>
      </c>
      <c r="L32" s="14">
        <v>9</v>
      </c>
      <c r="M32" s="13">
        <v>1</v>
      </c>
      <c r="N32" s="10">
        <f t="shared" si="0"/>
        <v>9</v>
      </c>
      <c r="O32" s="10">
        <f>ROUND(Stories[[#This Row],[Lead Time]],0)</f>
        <v>9</v>
      </c>
      <c r="P32" s="28"/>
      <c r="Q32" s="5"/>
    </row>
    <row r="33" spans="1:17">
      <c r="A33" s="13">
        <v>2</v>
      </c>
      <c r="B3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3" s="13"/>
      <c r="D33" s="13" t="s">
        <v>109</v>
      </c>
      <c r="E33" s="13" t="s">
        <v>67</v>
      </c>
      <c r="F33" s="15">
        <v>42451</v>
      </c>
      <c r="G33" s="15">
        <v>42452</v>
      </c>
      <c r="H33" s="15">
        <v>42452</v>
      </c>
      <c r="I33" s="15">
        <v>42458</v>
      </c>
      <c r="J33" s="15">
        <v>42458</v>
      </c>
      <c r="K33" s="15">
        <v>42458</v>
      </c>
      <c r="L33" s="14">
        <v>9</v>
      </c>
      <c r="M33" s="13">
        <v>1</v>
      </c>
      <c r="N33" s="10">
        <f t="shared" si="0"/>
        <v>3</v>
      </c>
      <c r="O33" s="10">
        <f>ROUND(Stories[[#This Row],[Lead Time]],0)</f>
        <v>3</v>
      </c>
      <c r="P33" s="28"/>
      <c r="Q33" s="5"/>
    </row>
    <row r="34" spans="1:17">
      <c r="A34" s="13">
        <v>2</v>
      </c>
      <c r="B3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4" s="13"/>
      <c r="D34" s="13" t="s">
        <v>110</v>
      </c>
      <c r="E34" s="13" t="s">
        <v>67</v>
      </c>
      <c r="F34" s="15">
        <v>42429</v>
      </c>
      <c r="G34" s="15">
        <v>42452</v>
      </c>
      <c r="H34" s="39">
        <v>42452</v>
      </c>
      <c r="I34" s="39">
        <v>42458</v>
      </c>
      <c r="J34" s="39">
        <v>42458</v>
      </c>
      <c r="K34" s="41">
        <v>42458</v>
      </c>
      <c r="L34" s="61">
        <v>9</v>
      </c>
      <c r="M34" s="13">
        <v>1</v>
      </c>
      <c r="N34" s="10">
        <f t="shared" si="0"/>
        <v>3</v>
      </c>
      <c r="O34" s="10">
        <f>ROUND(Stories[[#This Row],[Lead Time]],0)</f>
        <v>3</v>
      </c>
      <c r="P34" s="28"/>
      <c r="Q34" s="5"/>
    </row>
    <row r="35" spans="1:17">
      <c r="A35" s="13">
        <v>2</v>
      </c>
      <c r="B3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5" s="13"/>
      <c r="D35" s="13" t="s">
        <v>111</v>
      </c>
      <c r="E35" s="13" t="s">
        <v>67</v>
      </c>
      <c r="F35" s="15">
        <v>42451</v>
      </c>
      <c r="G35" s="15">
        <v>42452</v>
      </c>
      <c r="H35" s="15">
        <v>42452</v>
      </c>
      <c r="I35" s="15">
        <v>42461</v>
      </c>
      <c r="J35" s="15">
        <v>42461</v>
      </c>
      <c r="K35" s="15">
        <v>42461</v>
      </c>
      <c r="L35" s="14">
        <v>9</v>
      </c>
      <c r="M35" s="13">
        <v>1</v>
      </c>
      <c r="N35" s="10">
        <f t="shared" si="0"/>
        <v>6</v>
      </c>
      <c r="O35" s="10">
        <f>ROUND(Stories[[#This Row],[Lead Time]],0)</f>
        <v>6</v>
      </c>
      <c r="P35" s="30"/>
      <c r="Q35" s="5"/>
    </row>
    <row r="36" spans="1:17">
      <c r="A36" s="13">
        <v>2</v>
      </c>
      <c r="B3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6" s="13"/>
      <c r="D36" s="13" t="s">
        <v>112</v>
      </c>
      <c r="E36" s="13" t="s">
        <v>67</v>
      </c>
      <c r="F36" s="15">
        <v>42461</v>
      </c>
      <c r="G36" s="15">
        <v>42461</v>
      </c>
      <c r="H36" s="15">
        <v>42461</v>
      </c>
      <c r="I36" s="15">
        <v>42464</v>
      </c>
      <c r="J36" s="15">
        <v>42464</v>
      </c>
      <c r="K36" s="15">
        <v>42464</v>
      </c>
      <c r="L36" s="14">
        <v>9</v>
      </c>
      <c r="M36" s="13">
        <v>1</v>
      </c>
      <c r="N36" s="10">
        <f t="shared" si="0"/>
        <v>2</v>
      </c>
      <c r="O36" s="10">
        <f>ROUND(Stories[[#This Row],[Lead Time]],0)</f>
        <v>2</v>
      </c>
      <c r="P36" s="25"/>
    </row>
    <row r="37" spans="1:17">
      <c r="A37" s="13">
        <v>2</v>
      </c>
      <c r="B3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7" s="13"/>
      <c r="D37" s="13" t="s">
        <v>113</v>
      </c>
      <c r="E37" s="13" t="s">
        <v>67</v>
      </c>
      <c r="F37" s="15">
        <v>42431</v>
      </c>
      <c r="G37" s="15">
        <v>42453</v>
      </c>
      <c r="H37" s="39">
        <v>42453</v>
      </c>
      <c r="I37" s="39">
        <v>42466</v>
      </c>
      <c r="J37" s="39">
        <v>42466</v>
      </c>
      <c r="K37" s="41">
        <v>42466</v>
      </c>
      <c r="L37" s="61">
        <v>10</v>
      </c>
      <c r="M37" s="13">
        <v>1</v>
      </c>
      <c r="N37" s="10">
        <f t="shared" ref="N37:N68" si="1">IF(K37&gt;0,(((NETWORKDAYS(G37,K37,BankHolidays))/M37)),NA())</f>
        <v>8</v>
      </c>
      <c r="O37" s="10">
        <f>ROUND(Stories[[#This Row],[Lead Time]],0)</f>
        <v>8</v>
      </c>
      <c r="P37" s="28"/>
    </row>
    <row r="38" spans="1:17">
      <c r="A38" s="13">
        <v>2</v>
      </c>
      <c r="B3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8" s="13"/>
      <c r="D38" s="13" t="s">
        <v>114</v>
      </c>
      <c r="E38" s="13" t="s">
        <v>67</v>
      </c>
      <c r="F38" s="15">
        <v>42431</v>
      </c>
      <c r="G38" s="15">
        <v>42458</v>
      </c>
      <c r="H38" s="39">
        <v>42458</v>
      </c>
      <c r="I38" s="39">
        <v>42466</v>
      </c>
      <c r="J38" s="39">
        <v>42466</v>
      </c>
      <c r="K38" s="41">
        <v>42466</v>
      </c>
      <c r="L38" s="61">
        <v>10</v>
      </c>
      <c r="M38" s="13">
        <v>1</v>
      </c>
      <c r="N38" s="10">
        <f t="shared" si="1"/>
        <v>7</v>
      </c>
      <c r="O38" s="10">
        <f>ROUND(Stories[[#This Row],[Lead Time]],0)</f>
        <v>7</v>
      </c>
      <c r="P38" s="28"/>
    </row>
    <row r="39" spans="1:17">
      <c r="A39" s="13">
        <v>2</v>
      </c>
      <c r="B3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9" s="13"/>
      <c r="D39" s="13" t="s">
        <v>115</v>
      </c>
      <c r="E39" s="13" t="s">
        <v>67</v>
      </c>
      <c r="F39" s="15">
        <v>42431</v>
      </c>
      <c r="G39" s="15">
        <v>42459</v>
      </c>
      <c r="H39" s="39">
        <v>42459</v>
      </c>
      <c r="I39" s="39">
        <v>42471</v>
      </c>
      <c r="J39" s="39">
        <v>42471</v>
      </c>
      <c r="K39" s="41">
        <v>42471</v>
      </c>
      <c r="L39" s="61">
        <v>10</v>
      </c>
      <c r="M39" s="13">
        <v>1</v>
      </c>
      <c r="N39" s="10">
        <f t="shared" si="1"/>
        <v>9</v>
      </c>
      <c r="O39" s="10">
        <f>ROUND(Stories[[#This Row],[Lead Time]],0)</f>
        <v>9</v>
      </c>
      <c r="P39" s="28"/>
    </row>
    <row r="40" spans="1:17">
      <c r="A40" s="13">
        <v>2</v>
      </c>
      <c r="B4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0" s="13"/>
      <c r="D40" s="13" t="s">
        <v>116</v>
      </c>
      <c r="E40" s="13" t="s">
        <v>67</v>
      </c>
      <c r="F40" s="15">
        <v>42431</v>
      </c>
      <c r="G40" s="15">
        <v>42467</v>
      </c>
      <c r="H40" s="39">
        <v>42467</v>
      </c>
      <c r="I40" s="39">
        <v>42471</v>
      </c>
      <c r="J40" s="39">
        <v>42471</v>
      </c>
      <c r="K40" s="41">
        <v>42471</v>
      </c>
      <c r="L40" s="61">
        <v>10</v>
      </c>
      <c r="M40" s="13">
        <v>1</v>
      </c>
      <c r="N40" s="10">
        <f t="shared" si="1"/>
        <v>3</v>
      </c>
      <c r="O40" s="10">
        <f>ROUND(Stories[[#This Row],[Lead Time]],0)</f>
        <v>3</v>
      </c>
      <c r="P40" s="28"/>
    </row>
    <row r="41" spans="1:17">
      <c r="A41" s="13">
        <v>2</v>
      </c>
      <c r="B4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1" s="13"/>
      <c r="D41" s="13" t="s">
        <v>117</v>
      </c>
      <c r="E41" s="13" t="s">
        <v>67</v>
      </c>
      <c r="F41" s="15">
        <v>42474</v>
      </c>
      <c r="G41" s="15">
        <v>42474</v>
      </c>
      <c r="H41" s="15">
        <v>42474</v>
      </c>
      <c r="I41" s="15">
        <v>42475</v>
      </c>
      <c r="J41" s="15">
        <v>42475</v>
      </c>
      <c r="K41" s="15">
        <v>42475</v>
      </c>
      <c r="L41" s="14">
        <v>10</v>
      </c>
      <c r="M41" s="13">
        <v>1</v>
      </c>
      <c r="N41" s="10">
        <f t="shared" si="1"/>
        <v>2</v>
      </c>
      <c r="O41" s="10">
        <f>ROUND(Stories[[#This Row],[Lead Time]],0)</f>
        <v>2</v>
      </c>
      <c r="P41" s="28"/>
      <c r="Q41" s="5"/>
    </row>
    <row r="42" spans="1:17">
      <c r="A42" s="13">
        <v>2</v>
      </c>
      <c r="B4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2" s="13"/>
      <c r="D42" s="13" t="s">
        <v>118</v>
      </c>
      <c r="E42" s="13" t="s">
        <v>67</v>
      </c>
      <c r="F42" s="15">
        <v>42431</v>
      </c>
      <c r="G42" s="15">
        <v>42472</v>
      </c>
      <c r="H42" s="39">
        <v>42472</v>
      </c>
      <c r="I42" s="39">
        <v>42475</v>
      </c>
      <c r="J42" s="39">
        <v>42475</v>
      </c>
      <c r="K42" s="41">
        <v>42475</v>
      </c>
      <c r="L42" s="61">
        <v>10</v>
      </c>
      <c r="M42" s="13">
        <v>1</v>
      </c>
      <c r="N42" s="10">
        <f t="shared" si="1"/>
        <v>4</v>
      </c>
      <c r="O42" s="10">
        <f>ROUND(Stories[[#This Row],[Lead Time]],0)</f>
        <v>4</v>
      </c>
      <c r="P42" s="28"/>
      <c r="Q42" s="5"/>
    </row>
    <row r="43" spans="1:17">
      <c r="A43" s="13">
        <v>2</v>
      </c>
      <c r="B4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3" s="13"/>
      <c r="D43" s="13" t="s">
        <v>119</v>
      </c>
      <c r="E43" s="13" t="s">
        <v>67</v>
      </c>
      <c r="F43" s="15">
        <v>42471</v>
      </c>
      <c r="G43" s="15">
        <v>42471</v>
      </c>
      <c r="H43" s="15">
        <v>42471</v>
      </c>
      <c r="I43" s="15">
        <v>42475</v>
      </c>
      <c r="J43" s="15">
        <v>42475</v>
      </c>
      <c r="K43" s="15">
        <v>42475</v>
      </c>
      <c r="L43" s="14">
        <v>10</v>
      </c>
      <c r="M43" s="13">
        <v>1</v>
      </c>
      <c r="N43" s="10">
        <f t="shared" si="1"/>
        <v>5</v>
      </c>
      <c r="O43" s="10">
        <f>ROUND(Stories[[#This Row],[Lead Time]],0)</f>
        <v>5</v>
      </c>
      <c r="P43" s="28"/>
      <c r="Q43" s="5"/>
    </row>
    <row r="44" spans="1:17">
      <c r="A44" s="13">
        <v>2</v>
      </c>
      <c r="B4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4" s="13"/>
      <c r="D44" s="13" t="s">
        <v>120</v>
      </c>
      <c r="E44" s="13" t="s">
        <v>67</v>
      </c>
      <c r="F44" s="15">
        <v>42431</v>
      </c>
      <c r="G44" s="15">
        <v>42472</v>
      </c>
      <c r="H44" s="39">
        <v>42472</v>
      </c>
      <c r="I44" s="39">
        <v>42475</v>
      </c>
      <c r="J44" s="39">
        <v>42475</v>
      </c>
      <c r="K44" s="41">
        <v>42475</v>
      </c>
      <c r="L44" s="61">
        <v>10</v>
      </c>
      <c r="M44" s="13">
        <v>1</v>
      </c>
      <c r="N44" s="10">
        <f t="shared" si="1"/>
        <v>4</v>
      </c>
      <c r="O44" s="10">
        <f>ROUND(Stories[[#This Row],[Lead Time]],0)</f>
        <v>4</v>
      </c>
      <c r="P44" s="29"/>
      <c r="Q44" s="5"/>
    </row>
    <row r="45" spans="1:17">
      <c r="A45" s="13">
        <v>2</v>
      </c>
      <c r="B4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5" s="13"/>
      <c r="D45" s="13" t="s">
        <v>121</v>
      </c>
      <c r="E45" s="13" t="s">
        <v>67</v>
      </c>
      <c r="F45" s="15">
        <v>42431</v>
      </c>
      <c r="G45" s="15">
        <v>42472</v>
      </c>
      <c r="H45" s="39">
        <v>42472</v>
      </c>
      <c r="I45" s="39">
        <v>42475</v>
      </c>
      <c r="J45" s="39">
        <v>42475</v>
      </c>
      <c r="K45" s="41">
        <v>42475</v>
      </c>
      <c r="L45" s="61">
        <v>10</v>
      </c>
      <c r="M45" s="13">
        <v>1</v>
      </c>
      <c r="N45" s="10">
        <f t="shared" si="1"/>
        <v>4</v>
      </c>
      <c r="O45" s="10">
        <f>ROUND(Stories[[#This Row],[Lead Time]],0)</f>
        <v>4</v>
      </c>
      <c r="P45" s="28"/>
      <c r="Q45" s="5"/>
    </row>
    <row r="46" spans="1:17">
      <c r="A46" s="13">
        <v>2</v>
      </c>
      <c r="B4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6" s="13"/>
      <c r="D46" s="13" t="s">
        <v>122</v>
      </c>
      <c r="E46" s="13" t="s">
        <v>67</v>
      </c>
      <c r="F46" s="15">
        <v>42439</v>
      </c>
      <c r="G46" s="15">
        <v>42480</v>
      </c>
      <c r="H46" s="15">
        <v>42480</v>
      </c>
      <c r="I46" s="15">
        <v>42480</v>
      </c>
      <c r="J46" s="15">
        <v>42480</v>
      </c>
      <c r="K46" s="15">
        <v>42480</v>
      </c>
      <c r="L46" s="14">
        <v>11</v>
      </c>
      <c r="M46" s="13">
        <v>1</v>
      </c>
      <c r="N46" s="10">
        <f t="shared" si="1"/>
        <v>1</v>
      </c>
      <c r="O46" s="10">
        <f>ROUND(Stories[[#This Row],[Lead Time]],0)</f>
        <v>1</v>
      </c>
      <c r="P46" s="30"/>
      <c r="Q46" s="5"/>
    </row>
    <row r="47" spans="1:17">
      <c r="A47" s="13">
        <v>2</v>
      </c>
      <c r="B4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7" s="13"/>
      <c r="D47" s="13" t="s">
        <v>123</v>
      </c>
      <c r="E47" s="13" t="s">
        <v>43</v>
      </c>
      <c r="F47" s="15">
        <v>42471</v>
      </c>
      <c r="G47" s="15">
        <v>42471</v>
      </c>
      <c r="H47" s="15">
        <v>42471</v>
      </c>
      <c r="I47" s="15">
        <v>42473</v>
      </c>
      <c r="J47" s="15">
        <v>42473</v>
      </c>
      <c r="K47" s="15">
        <v>42481</v>
      </c>
      <c r="L47" s="14">
        <v>11</v>
      </c>
      <c r="M47" s="13">
        <v>1</v>
      </c>
      <c r="N47" s="10">
        <f t="shared" si="1"/>
        <v>9</v>
      </c>
      <c r="O47" s="10">
        <f>ROUND(Stories[[#This Row],[Lead Time]],0)</f>
        <v>9</v>
      </c>
      <c r="P47" s="26"/>
      <c r="Q47" s="5"/>
    </row>
    <row r="48" spans="1:17">
      <c r="A48" s="13">
        <v>2</v>
      </c>
      <c r="B4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8" s="13"/>
      <c r="D48" s="13" t="s">
        <v>124</v>
      </c>
      <c r="E48" s="13" t="s">
        <v>67</v>
      </c>
      <c r="F48" s="15">
        <v>42431</v>
      </c>
      <c r="G48" s="15">
        <v>42466</v>
      </c>
      <c r="H48" s="39">
        <v>42466</v>
      </c>
      <c r="I48" s="39">
        <v>42482</v>
      </c>
      <c r="J48" s="39">
        <v>42482</v>
      </c>
      <c r="K48" s="41">
        <v>42482</v>
      </c>
      <c r="L48" s="61">
        <v>11</v>
      </c>
      <c r="M48" s="13">
        <v>1</v>
      </c>
      <c r="N48" s="10">
        <f t="shared" si="1"/>
        <v>13</v>
      </c>
      <c r="O48" s="10">
        <f>ROUND(Stories[[#This Row],[Lead Time]],0)</f>
        <v>13</v>
      </c>
      <c r="P48" s="18"/>
      <c r="Q48" s="5"/>
    </row>
    <row r="49" spans="1:17">
      <c r="A49" s="13">
        <v>2</v>
      </c>
      <c r="B4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9" s="13"/>
      <c r="D49" s="13" t="s">
        <v>125</v>
      </c>
      <c r="E49" s="13" t="s">
        <v>67</v>
      </c>
      <c r="F49" s="15">
        <v>42431</v>
      </c>
      <c r="G49" s="15">
        <v>42471</v>
      </c>
      <c r="H49" s="39">
        <v>42471</v>
      </c>
      <c r="I49" s="39">
        <v>42482</v>
      </c>
      <c r="J49" s="39">
        <v>42482</v>
      </c>
      <c r="K49" s="41">
        <v>42482</v>
      </c>
      <c r="L49" s="61">
        <v>11</v>
      </c>
      <c r="M49" s="13">
        <v>1</v>
      </c>
      <c r="N49" s="10">
        <f t="shared" si="1"/>
        <v>10</v>
      </c>
      <c r="O49" s="10">
        <f>ROUND(Stories[[#This Row],[Lead Time]],0)</f>
        <v>10</v>
      </c>
      <c r="P49" s="26"/>
    </row>
    <row r="50" spans="1:17">
      <c r="A50" s="13">
        <v>2</v>
      </c>
      <c r="B5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0" s="13"/>
      <c r="D50" s="13" t="s">
        <v>126</v>
      </c>
      <c r="E50" s="13" t="s">
        <v>67</v>
      </c>
      <c r="F50" s="15">
        <v>42431</v>
      </c>
      <c r="G50" s="15">
        <v>42474</v>
      </c>
      <c r="H50" s="39">
        <v>42474</v>
      </c>
      <c r="I50" s="39">
        <v>42482</v>
      </c>
      <c r="J50" s="39">
        <v>42482</v>
      </c>
      <c r="K50" s="41">
        <v>42482</v>
      </c>
      <c r="L50" s="61">
        <v>11</v>
      </c>
      <c r="M50" s="13">
        <v>1</v>
      </c>
      <c r="N50" s="10">
        <f t="shared" si="1"/>
        <v>7</v>
      </c>
      <c r="O50" s="10">
        <f>ROUND(Stories[[#This Row],[Lead Time]],0)</f>
        <v>7</v>
      </c>
      <c r="P50" s="26"/>
    </row>
    <row r="51" spans="1:17">
      <c r="A51" s="13">
        <v>2</v>
      </c>
      <c r="B5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1" s="13"/>
      <c r="D51" s="13" t="s">
        <v>127</v>
      </c>
      <c r="E51" s="13" t="s">
        <v>67</v>
      </c>
      <c r="F51" s="15">
        <v>42481</v>
      </c>
      <c r="G51" s="15">
        <v>42481</v>
      </c>
      <c r="H51" s="15">
        <v>42481</v>
      </c>
      <c r="I51" s="15">
        <v>42482</v>
      </c>
      <c r="J51" s="15">
        <v>42482</v>
      </c>
      <c r="K51" s="15">
        <v>42482</v>
      </c>
      <c r="L51" s="14">
        <v>11</v>
      </c>
      <c r="M51" s="13">
        <v>1</v>
      </c>
      <c r="N51" s="10">
        <f t="shared" si="1"/>
        <v>2</v>
      </c>
      <c r="O51" s="10">
        <f>ROUND(Stories[[#This Row],[Lead Time]],0)</f>
        <v>2</v>
      </c>
      <c r="P51" s="26"/>
    </row>
    <row r="52" spans="1:17">
      <c r="A52" s="13">
        <v>2</v>
      </c>
      <c r="B5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2" s="13"/>
      <c r="D52" s="13" t="s">
        <v>128</v>
      </c>
      <c r="E52" s="13" t="s">
        <v>43</v>
      </c>
      <c r="F52" s="15">
        <v>42482</v>
      </c>
      <c r="G52" s="15">
        <v>42482</v>
      </c>
      <c r="H52" s="15">
        <v>42482</v>
      </c>
      <c r="I52" s="15">
        <v>42482</v>
      </c>
      <c r="J52" s="15">
        <v>42482</v>
      </c>
      <c r="K52" s="15">
        <v>42482</v>
      </c>
      <c r="L52" s="14">
        <v>11</v>
      </c>
      <c r="M52" s="13">
        <v>1</v>
      </c>
      <c r="N52" s="10">
        <f t="shared" si="1"/>
        <v>1</v>
      </c>
      <c r="O52" s="10">
        <f>ROUND(Stories[[#This Row],[Lead Time]],0)</f>
        <v>1</v>
      </c>
      <c r="P52" s="13"/>
    </row>
    <row r="53" spans="1:17">
      <c r="A53" s="13">
        <v>2</v>
      </c>
      <c r="B5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3" s="13"/>
      <c r="D53" s="13" t="s">
        <v>129</v>
      </c>
      <c r="E53" s="13" t="s">
        <v>43</v>
      </c>
      <c r="F53" s="15">
        <v>42481</v>
      </c>
      <c r="G53" s="15">
        <v>42481</v>
      </c>
      <c r="H53" s="15">
        <v>42481</v>
      </c>
      <c r="I53" s="15">
        <v>42486</v>
      </c>
      <c r="J53" s="15">
        <v>42486</v>
      </c>
      <c r="K53" s="15">
        <v>42486</v>
      </c>
      <c r="L53" s="14">
        <v>11</v>
      </c>
      <c r="M53" s="13">
        <v>1</v>
      </c>
      <c r="N53" s="10">
        <f t="shared" si="1"/>
        <v>4</v>
      </c>
      <c r="O53" s="10">
        <f>ROUND(Stories[[#This Row],[Lead Time]],0)</f>
        <v>4</v>
      </c>
      <c r="P53" s="26"/>
    </row>
    <row r="54" spans="1:17">
      <c r="A54" s="13">
        <v>2</v>
      </c>
      <c r="B5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4" s="13"/>
      <c r="D54" s="13" t="s">
        <v>130</v>
      </c>
      <c r="E54" s="13" t="s">
        <v>43</v>
      </c>
      <c r="F54" s="15">
        <v>42482</v>
      </c>
      <c r="G54" s="15">
        <v>42482</v>
      </c>
      <c r="H54" s="15">
        <v>42482</v>
      </c>
      <c r="I54" s="15">
        <v>42488</v>
      </c>
      <c r="J54" s="15">
        <v>42488</v>
      </c>
      <c r="K54" s="15">
        <v>42488</v>
      </c>
      <c r="L54" s="14">
        <v>11</v>
      </c>
      <c r="M54" s="13">
        <v>1</v>
      </c>
      <c r="N54" s="10">
        <f t="shared" si="1"/>
        <v>5</v>
      </c>
      <c r="O54" s="10">
        <f>ROUND(Stories[[#This Row],[Lead Time]],0)</f>
        <v>5</v>
      </c>
      <c r="P54" s="18"/>
      <c r="Q54" s="5"/>
    </row>
    <row r="55" spans="1:17">
      <c r="A55" s="13">
        <v>2</v>
      </c>
      <c r="B5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5" s="13"/>
      <c r="D55" s="13" t="s">
        <v>131</v>
      </c>
      <c r="E55" s="13" t="s">
        <v>67</v>
      </c>
      <c r="F55" s="15">
        <v>42481</v>
      </c>
      <c r="G55" s="15">
        <v>42482</v>
      </c>
      <c r="H55" s="15">
        <v>42482</v>
      </c>
      <c r="I55" s="15">
        <v>42496</v>
      </c>
      <c r="J55" s="15">
        <v>42496</v>
      </c>
      <c r="K55" s="15">
        <v>42496</v>
      </c>
      <c r="L55" s="14">
        <v>12</v>
      </c>
      <c r="M55" s="13">
        <v>1</v>
      </c>
      <c r="N55" s="10">
        <f t="shared" si="1"/>
        <v>10</v>
      </c>
      <c r="O55" s="10">
        <f>ROUND(Stories[[#This Row],[Lead Time]],0)</f>
        <v>10</v>
      </c>
      <c r="P55" s="26"/>
    </row>
    <row r="56" spans="1:17">
      <c r="A56" s="13">
        <v>2</v>
      </c>
      <c r="B5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6" s="13"/>
      <c r="D56" s="13" t="s">
        <v>132</v>
      </c>
      <c r="E56" s="13" t="s">
        <v>43</v>
      </c>
      <c r="F56" s="15">
        <v>42495</v>
      </c>
      <c r="G56" s="15">
        <v>42495</v>
      </c>
      <c r="H56" s="15">
        <v>42495</v>
      </c>
      <c r="I56" s="15">
        <v>42496</v>
      </c>
      <c r="J56" s="15">
        <v>42496</v>
      </c>
      <c r="K56" s="15">
        <v>42496</v>
      </c>
      <c r="L56" s="14">
        <v>12</v>
      </c>
      <c r="M56" s="13">
        <v>1</v>
      </c>
      <c r="N56" s="10">
        <f t="shared" si="1"/>
        <v>2</v>
      </c>
      <c r="O56" s="10">
        <f>ROUND(Stories[[#This Row],[Lead Time]],0)</f>
        <v>2</v>
      </c>
      <c r="P56" s="13"/>
    </row>
    <row r="57" spans="1:17">
      <c r="A57" s="13">
        <v>2</v>
      </c>
      <c r="B5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7" s="13"/>
      <c r="D57" s="13" t="s">
        <v>133</v>
      </c>
      <c r="E57" s="13" t="s">
        <v>43</v>
      </c>
      <c r="F57" s="15">
        <v>42487</v>
      </c>
      <c r="G57" s="15">
        <v>42487</v>
      </c>
      <c r="H57" s="15">
        <v>42487</v>
      </c>
      <c r="I57" s="15">
        <v>42496</v>
      </c>
      <c r="J57" s="15">
        <v>42496</v>
      </c>
      <c r="K57" s="15">
        <v>42496</v>
      </c>
      <c r="L57" s="14">
        <v>12</v>
      </c>
      <c r="M57" s="13">
        <v>1</v>
      </c>
      <c r="N57" s="10">
        <f t="shared" si="1"/>
        <v>7</v>
      </c>
      <c r="O57" s="10">
        <f>ROUND(Stories[[#This Row],[Lead Time]],0)</f>
        <v>7</v>
      </c>
      <c r="P57" s="13"/>
    </row>
    <row r="58" spans="1:17">
      <c r="A58" s="13">
        <v>2</v>
      </c>
      <c r="B5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8" s="13"/>
      <c r="D58" s="13" t="s">
        <v>134</v>
      </c>
      <c r="E58" s="13" t="s">
        <v>43</v>
      </c>
      <c r="F58" s="15">
        <v>42487</v>
      </c>
      <c r="G58" s="15">
        <v>42487</v>
      </c>
      <c r="H58" s="15">
        <v>42487</v>
      </c>
      <c r="I58" s="15">
        <v>42496</v>
      </c>
      <c r="J58" s="15">
        <v>42496</v>
      </c>
      <c r="K58" s="15">
        <v>42496</v>
      </c>
      <c r="L58" s="14">
        <v>12</v>
      </c>
      <c r="M58" s="13">
        <v>1</v>
      </c>
      <c r="N58" s="10">
        <f t="shared" si="1"/>
        <v>7</v>
      </c>
      <c r="O58" s="10">
        <f>ROUND(Stories[[#This Row],[Lead Time]],0)</f>
        <v>7</v>
      </c>
      <c r="P58" s="13"/>
    </row>
    <row r="59" spans="1:17">
      <c r="A59" s="13">
        <v>2</v>
      </c>
      <c r="B5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9" s="13"/>
      <c r="D59" s="13" t="s">
        <v>135</v>
      </c>
      <c r="E59" s="13" t="s">
        <v>70</v>
      </c>
      <c r="F59" s="15">
        <v>42486</v>
      </c>
      <c r="G59" s="15">
        <v>42486</v>
      </c>
      <c r="H59" s="15">
        <v>42486</v>
      </c>
      <c r="I59" s="15">
        <v>42499</v>
      </c>
      <c r="J59" s="15">
        <v>42499</v>
      </c>
      <c r="K59" s="15">
        <v>42499</v>
      </c>
      <c r="L59" s="14">
        <v>12</v>
      </c>
      <c r="M59" s="13">
        <v>1</v>
      </c>
      <c r="N59" s="10">
        <f t="shared" si="1"/>
        <v>9</v>
      </c>
      <c r="O59" s="10">
        <f>ROUND(Stories[[#This Row],[Lead Time]],0)</f>
        <v>9</v>
      </c>
      <c r="P59" s="26"/>
    </row>
    <row r="60" spans="1:17">
      <c r="A60" s="13">
        <v>2</v>
      </c>
      <c r="B60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0" s="13"/>
      <c r="D60" s="13" t="s">
        <v>136</v>
      </c>
      <c r="E60" s="13" t="s">
        <v>43</v>
      </c>
      <c r="F60" s="15">
        <v>42488</v>
      </c>
      <c r="G60" s="15">
        <v>42488</v>
      </c>
      <c r="H60" s="15">
        <v>42488</v>
      </c>
      <c r="I60" s="15">
        <v>42499</v>
      </c>
      <c r="J60" s="15">
        <v>42499</v>
      </c>
      <c r="K60" s="15">
        <v>42499</v>
      </c>
      <c r="L60" s="14">
        <v>12</v>
      </c>
      <c r="M60" s="13">
        <v>1</v>
      </c>
      <c r="N60" s="10">
        <f t="shared" si="1"/>
        <v>7</v>
      </c>
      <c r="O60" s="10">
        <f>ROUND(Stories[[#This Row],[Lead Time]],0)</f>
        <v>7</v>
      </c>
      <c r="P60" s="13"/>
    </row>
    <row r="61" spans="1:17">
      <c r="A61" s="13">
        <v>2</v>
      </c>
      <c r="B6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1" s="13"/>
      <c r="D61" s="13" t="s">
        <v>137</v>
      </c>
      <c r="E61" s="13" t="s">
        <v>43</v>
      </c>
      <c r="F61" s="15">
        <v>42499</v>
      </c>
      <c r="G61" s="15">
        <v>42500</v>
      </c>
      <c r="H61" s="15">
        <v>42500</v>
      </c>
      <c r="I61" s="15">
        <v>42501</v>
      </c>
      <c r="J61" s="15">
        <v>42501</v>
      </c>
      <c r="K61" s="15">
        <v>42501</v>
      </c>
      <c r="L61" s="14">
        <v>12</v>
      </c>
      <c r="M61" s="13">
        <v>1</v>
      </c>
      <c r="N61" s="10">
        <f t="shared" si="1"/>
        <v>2</v>
      </c>
      <c r="O61" s="10">
        <f>ROUND(Stories[[#This Row],[Lead Time]],0)</f>
        <v>2</v>
      </c>
      <c r="P61" s="13"/>
    </row>
    <row r="62" spans="1:17">
      <c r="A62" s="13">
        <v>2</v>
      </c>
      <c r="B6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2" s="13"/>
      <c r="D62" s="13" t="s">
        <v>138</v>
      </c>
      <c r="E62" s="13" t="s">
        <v>43</v>
      </c>
      <c r="F62" s="15">
        <v>42494</v>
      </c>
      <c r="G62" s="15">
        <v>42494</v>
      </c>
      <c r="H62" s="15">
        <v>42494</v>
      </c>
      <c r="I62" s="15">
        <v>42501</v>
      </c>
      <c r="J62" s="15">
        <v>42501</v>
      </c>
      <c r="K62" s="15">
        <v>42501</v>
      </c>
      <c r="L62" s="14">
        <v>12</v>
      </c>
      <c r="M62" s="13">
        <v>1</v>
      </c>
      <c r="N62" s="10">
        <f t="shared" si="1"/>
        <v>6</v>
      </c>
      <c r="O62" s="10">
        <f>ROUND(Stories[[#This Row],[Lead Time]],0)</f>
        <v>6</v>
      </c>
      <c r="P62" s="13"/>
    </row>
    <row r="63" spans="1:17" ht="15.95" customHeight="1">
      <c r="A63" s="13">
        <v>2</v>
      </c>
      <c r="B6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3" s="13"/>
      <c r="D63" s="13" t="s">
        <v>139</v>
      </c>
      <c r="E63" s="13" t="s">
        <v>70</v>
      </c>
      <c r="F63" s="15">
        <v>42500</v>
      </c>
      <c r="G63" s="15">
        <v>42500</v>
      </c>
      <c r="H63" s="15">
        <v>42500</v>
      </c>
      <c r="I63" s="15">
        <v>42501</v>
      </c>
      <c r="J63" s="15">
        <v>42501</v>
      </c>
      <c r="K63" s="15">
        <v>42501</v>
      </c>
      <c r="L63" s="14">
        <v>12</v>
      </c>
      <c r="M63" s="13">
        <v>1</v>
      </c>
      <c r="N63" s="10">
        <f t="shared" si="1"/>
        <v>2</v>
      </c>
      <c r="O63" s="10">
        <f>ROUND(Stories[[#This Row],[Lead Time]],0)</f>
        <v>2</v>
      </c>
      <c r="P63" s="13"/>
    </row>
    <row r="64" spans="1:17">
      <c r="A64" s="13">
        <v>2</v>
      </c>
      <c r="B6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4" s="13"/>
      <c r="D64" s="13" t="s">
        <v>140</v>
      </c>
      <c r="E64" s="13" t="s">
        <v>43</v>
      </c>
      <c r="F64" s="15">
        <v>42502</v>
      </c>
      <c r="G64" s="15">
        <v>42502</v>
      </c>
      <c r="H64" s="15">
        <v>42502</v>
      </c>
      <c r="I64" s="15">
        <v>42502</v>
      </c>
      <c r="J64" s="15">
        <v>42502</v>
      </c>
      <c r="K64" s="15">
        <v>42502</v>
      </c>
      <c r="L64" s="14">
        <v>12</v>
      </c>
      <c r="M64" s="13">
        <v>1</v>
      </c>
      <c r="N64" s="10">
        <f t="shared" si="1"/>
        <v>1</v>
      </c>
      <c r="O64" s="10">
        <f>ROUND(Stories[[#This Row],[Lead Time]],0)</f>
        <v>1</v>
      </c>
      <c r="P64" s="13"/>
    </row>
    <row r="65" spans="1:16">
      <c r="A65" s="13">
        <v>2</v>
      </c>
      <c r="B6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5" s="13"/>
      <c r="D65" s="13" t="s">
        <v>141</v>
      </c>
      <c r="E65" s="13" t="s">
        <v>43</v>
      </c>
      <c r="F65" s="15">
        <v>42501</v>
      </c>
      <c r="G65" s="15">
        <v>42501</v>
      </c>
      <c r="H65" s="15">
        <v>42501</v>
      </c>
      <c r="I65" s="15">
        <v>42503</v>
      </c>
      <c r="J65" s="15">
        <v>42507</v>
      </c>
      <c r="K65" s="15">
        <v>42507</v>
      </c>
      <c r="L65" s="14">
        <v>13</v>
      </c>
      <c r="M65" s="13">
        <v>1</v>
      </c>
      <c r="N65" s="10">
        <f t="shared" si="1"/>
        <v>5</v>
      </c>
      <c r="O65" s="10">
        <f>ROUND(Stories[[#This Row],[Lead Time]],0)</f>
        <v>5</v>
      </c>
      <c r="P65" s="13"/>
    </row>
    <row r="66" spans="1:16">
      <c r="A66" s="13">
        <v>2</v>
      </c>
      <c r="B6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6" s="13"/>
      <c r="D66" s="13" t="s">
        <v>142</v>
      </c>
      <c r="E66" s="13" t="s">
        <v>70</v>
      </c>
      <c r="F66" s="15">
        <v>42501</v>
      </c>
      <c r="G66" s="15">
        <v>42501</v>
      </c>
      <c r="H66" s="15">
        <v>42501</v>
      </c>
      <c r="I66" s="15">
        <v>42505</v>
      </c>
      <c r="J66" s="15">
        <v>42509</v>
      </c>
      <c r="K66" s="15">
        <v>42509</v>
      </c>
      <c r="L66" s="14">
        <v>13</v>
      </c>
      <c r="M66" s="13">
        <v>1</v>
      </c>
      <c r="N66" s="10">
        <f t="shared" si="1"/>
        <v>7</v>
      </c>
      <c r="O66" s="10">
        <f>ROUND(Stories[[#This Row],[Lead Time]],0)</f>
        <v>7</v>
      </c>
      <c r="P66" s="13"/>
    </row>
    <row r="67" spans="1:16">
      <c r="A67" s="13">
        <v>2</v>
      </c>
      <c r="B6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7" s="13"/>
      <c r="D67" s="13" t="s">
        <v>143</v>
      </c>
      <c r="E67" s="13" t="s">
        <v>43</v>
      </c>
      <c r="F67" s="15">
        <v>42507</v>
      </c>
      <c r="G67" s="15">
        <v>42507</v>
      </c>
      <c r="H67" s="15">
        <v>42507</v>
      </c>
      <c r="I67" s="15">
        <v>42510</v>
      </c>
      <c r="J67" s="15">
        <v>42510</v>
      </c>
      <c r="K67" s="15">
        <v>42510</v>
      </c>
      <c r="L67" s="14">
        <v>13</v>
      </c>
      <c r="M67" s="13">
        <v>1</v>
      </c>
      <c r="N67" s="10">
        <f t="shared" si="1"/>
        <v>4</v>
      </c>
      <c r="O67" s="10">
        <f>ROUND(Stories[[#This Row],[Lead Time]],0)</f>
        <v>4</v>
      </c>
      <c r="P67" s="13"/>
    </row>
    <row r="68" spans="1:16" ht="15.95" customHeight="1">
      <c r="A68" s="13">
        <v>2</v>
      </c>
      <c r="B6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8" s="13"/>
      <c r="D68" s="13" t="s">
        <v>144</v>
      </c>
      <c r="E68" s="13" t="s">
        <v>70</v>
      </c>
      <c r="F68" s="15">
        <v>42499</v>
      </c>
      <c r="G68" s="15">
        <v>42506</v>
      </c>
      <c r="H68" s="15">
        <v>42506</v>
      </c>
      <c r="I68" s="15">
        <v>42510</v>
      </c>
      <c r="J68" s="15">
        <v>42510</v>
      </c>
      <c r="K68" s="15">
        <v>42510</v>
      </c>
      <c r="L68" s="14">
        <v>13</v>
      </c>
      <c r="M68" s="13">
        <v>1</v>
      </c>
      <c r="N68" s="10">
        <f t="shared" si="1"/>
        <v>5</v>
      </c>
      <c r="O68" s="10">
        <f>ROUND(Stories[[#This Row],[Lead Time]],0)</f>
        <v>5</v>
      </c>
      <c r="P68" s="13"/>
    </row>
    <row r="69" spans="1:16">
      <c r="A69" s="13">
        <v>2</v>
      </c>
      <c r="B69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9" s="13"/>
      <c r="D69" s="13" t="s">
        <v>145</v>
      </c>
      <c r="E69" s="13" t="s">
        <v>67</v>
      </c>
      <c r="F69" s="15">
        <v>42474</v>
      </c>
      <c r="G69" s="15">
        <v>42510</v>
      </c>
      <c r="H69" s="15">
        <v>42510</v>
      </c>
      <c r="I69" s="15">
        <v>42510</v>
      </c>
      <c r="J69" s="15">
        <v>42510</v>
      </c>
      <c r="K69" s="15">
        <v>42510</v>
      </c>
      <c r="L69" s="14">
        <v>13</v>
      </c>
      <c r="M69" s="13">
        <v>1</v>
      </c>
      <c r="N69" s="10">
        <f t="shared" ref="N69:N100" si="2">IF(K69&gt;0,(((NETWORKDAYS(G69,K69,BankHolidays))/M69)),NA())</f>
        <v>1</v>
      </c>
      <c r="O69" s="10">
        <f>ROUND(Stories[[#This Row],[Lead Time]],0)</f>
        <v>1</v>
      </c>
      <c r="P69" s="13"/>
    </row>
    <row r="70" spans="1:16">
      <c r="A70" s="13">
        <v>2</v>
      </c>
      <c r="B7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0" s="13"/>
      <c r="D70" s="13" t="s">
        <v>146</v>
      </c>
      <c r="E70" s="13" t="s">
        <v>68</v>
      </c>
      <c r="F70" s="15">
        <v>42431</v>
      </c>
      <c r="G70" s="15">
        <v>42452</v>
      </c>
      <c r="H70" s="39">
        <v>42452</v>
      </c>
      <c r="I70" s="39">
        <v>42513</v>
      </c>
      <c r="J70" s="39">
        <v>42513</v>
      </c>
      <c r="K70" s="39">
        <v>42513</v>
      </c>
      <c r="L70" s="61">
        <v>13</v>
      </c>
      <c r="M70" s="13">
        <v>1</v>
      </c>
      <c r="N70" s="10">
        <f t="shared" si="2"/>
        <v>41</v>
      </c>
      <c r="O70" s="10">
        <f>ROUND(Stories[[#This Row],[Lead Time]],0)</f>
        <v>41</v>
      </c>
      <c r="P70" s="26"/>
    </row>
    <row r="71" spans="1:16">
      <c r="A71" s="13">
        <v>2</v>
      </c>
      <c r="B7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1" s="13"/>
      <c r="D71" s="13" t="s">
        <v>147</v>
      </c>
      <c r="E71" s="13" t="s">
        <v>43</v>
      </c>
      <c r="F71" s="15">
        <v>42510</v>
      </c>
      <c r="G71" s="15">
        <v>42510</v>
      </c>
      <c r="H71" s="15">
        <v>42510</v>
      </c>
      <c r="I71" s="15">
        <v>42515</v>
      </c>
      <c r="J71" s="15">
        <v>42515</v>
      </c>
      <c r="K71" s="15">
        <v>42515</v>
      </c>
      <c r="L71" s="14">
        <v>13</v>
      </c>
      <c r="M71" s="13">
        <v>1</v>
      </c>
      <c r="N71" s="10">
        <f t="shared" si="2"/>
        <v>4</v>
      </c>
      <c r="O71" s="10">
        <f>ROUND(Stories[[#This Row],[Lead Time]],0)</f>
        <v>4</v>
      </c>
      <c r="P71" s="13"/>
    </row>
    <row r="72" spans="1:16">
      <c r="A72" s="13">
        <v>2</v>
      </c>
      <c r="B7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2" s="13"/>
      <c r="D72" s="13" t="s">
        <v>148</v>
      </c>
      <c r="E72" s="13" t="s">
        <v>70</v>
      </c>
      <c r="F72" s="15">
        <v>42501</v>
      </c>
      <c r="G72" s="15">
        <v>42501</v>
      </c>
      <c r="H72" s="15">
        <v>42501</v>
      </c>
      <c r="I72" s="15">
        <v>42516</v>
      </c>
      <c r="J72" s="15">
        <v>42516</v>
      </c>
      <c r="K72" s="15">
        <v>42516</v>
      </c>
      <c r="L72" s="14">
        <v>13</v>
      </c>
      <c r="M72" s="13">
        <v>1</v>
      </c>
      <c r="N72" s="10">
        <f t="shared" si="2"/>
        <v>12</v>
      </c>
      <c r="O72" s="10">
        <f>ROUND(Stories[[#This Row],[Lead Time]],0)</f>
        <v>12</v>
      </c>
      <c r="P72" s="13"/>
    </row>
    <row r="73" spans="1:16">
      <c r="A73" s="13">
        <v>2</v>
      </c>
      <c r="B7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3" s="13"/>
      <c r="D73" s="13" t="s">
        <v>149</v>
      </c>
      <c r="E73" s="13" t="s">
        <v>43</v>
      </c>
      <c r="F73" s="15">
        <v>42510</v>
      </c>
      <c r="G73" s="15">
        <v>42514</v>
      </c>
      <c r="H73" s="15">
        <v>42514</v>
      </c>
      <c r="I73" s="15">
        <v>42516</v>
      </c>
      <c r="J73" s="15">
        <v>42517</v>
      </c>
      <c r="K73" s="15">
        <v>42517</v>
      </c>
      <c r="L73" s="14">
        <v>13</v>
      </c>
      <c r="M73" s="13">
        <v>1</v>
      </c>
      <c r="N73" s="10">
        <f t="shared" si="2"/>
        <v>4</v>
      </c>
      <c r="O73" s="10">
        <f>ROUND(Stories[[#This Row],[Lead Time]],0)</f>
        <v>4</v>
      </c>
      <c r="P73" s="13"/>
    </row>
    <row r="74" spans="1:16">
      <c r="A74" s="13">
        <v>2</v>
      </c>
      <c r="B7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4" s="13"/>
      <c r="D74" s="13" t="s">
        <v>150</v>
      </c>
      <c r="E74" s="13" t="s">
        <v>70</v>
      </c>
      <c r="F74" s="15">
        <v>42515</v>
      </c>
      <c r="G74" s="15">
        <v>42515</v>
      </c>
      <c r="H74" s="15">
        <v>42515</v>
      </c>
      <c r="I74" s="15">
        <v>42522</v>
      </c>
      <c r="J74" s="15">
        <v>42522</v>
      </c>
      <c r="K74" s="15">
        <v>42522</v>
      </c>
      <c r="L74" s="14">
        <v>14</v>
      </c>
      <c r="M74" s="13">
        <v>1</v>
      </c>
      <c r="N74" s="10">
        <f t="shared" si="2"/>
        <v>5</v>
      </c>
      <c r="O74" s="10">
        <f>ROUND(Stories[[#This Row],[Lead Time]],0)</f>
        <v>5</v>
      </c>
      <c r="P74" s="13"/>
    </row>
    <row r="75" spans="1:16">
      <c r="A75" s="13">
        <v>2</v>
      </c>
      <c r="B7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2</v>
      </c>
      <c r="C75" s="13"/>
      <c r="D75" s="13" t="s">
        <v>151</v>
      </c>
      <c r="E75" s="13" t="s">
        <v>70</v>
      </c>
      <c r="F75" s="15">
        <v>42510</v>
      </c>
      <c r="G75" s="15">
        <v>42516</v>
      </c>
      <c r="H75" s="15">
        <v>42516</v>
      </c>
      <c r="I75" s="15">
        <v>42517</v>
      </c>
      <c r="J75" s="15"/>
      <c r="K75" s="15"/>
      <c r="L75" s="14"/>
      <c r="M75" s="13">
        <v>1</v>
      </c>
      <c r="N75" s="10" t="e">
        <f t="shared" si="2"/>
        <v>#N/A</v>
      </c>
      <c r="O75" s="10" t="e">
        <f>ROUND(Stories[[#This Row],[Lead Time]],0)</f>
        <v>#N/A</v>
      </c>
      <c r="P75" s="13"/>
    </row>
    <row r="76" spans="1:16">
      <c r="A76" s="13">
        <v>2</v>
      </c>
      <c r="B7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6" s="13"/>
      <c r="D76" s="13" t="s">
        <v>152</v>
      </c>
      <c r="E76" s="13" t="s">
        <v>43</v>
      </c>
      <c r="F76" s="15">
        <v>42500</v>
      </c>
      <c r="G76" s="15">
        <v>42500</v>
      </c>
      <c r="H76" s="15">
        <v>42500</v>
      </c>
      <c r="I76" s="15"/>
      <c r="J76" s="15"/>
      <c r="K76" s="15"/>
      <c r="L76" s="14"/>
      <c r="M76" s="13">
        <v>1</v>
      </c>
      <c r="N76" s="10" t="e">
        <f t="shared" si="2"/>
        <v>#N/A</v>
      </c>
      <c r="O76" s="10" t="e">
        <f>ROUND(Stories[[#This Row],[Lead Time]],0)</f>
        <v>#N/A</v>
      </c>
      <c r="P76" s="13"/>
    </row>
    <row r="77" spans="1:16">
      <c r="A77" s="13">
        <v>2</v>
      </c>
      <c r="B7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7" s="13"/>
      <c r="D77" s="13" t="s">
        <v>153</v>
      </c>
      <c r="E77" s="13" t="s">
        <v>43</v>
      </c>
      <c r="F77" s="15">
        <v>42499</v>
      </c>
      <c r="G77" s="15">
        <v>42501</v>
      </c>
      <c r="H77" s="15">
        <v>42501</v>
      </c>
      <c r="I77" s="15"/>
      <c r="J77" s="15"/>
      <c r="K77" s="15"/>
      <c r="L77" s="14"/>
      <c r="M77" s="13">
        <v>1</v>
      </c>
      <c r="N77" s="10" t="e">
        <f t="shared" si="2"/>
        <v>#N/A</v>
      </c>
      <c r="O77" s="10" t="e">
        <f>ROUND(Stories[[#This Row],[Lead Time]],0)</f>
        <v>#N/A</v>
      </c>
      <c r="P77" s="13"/>
    </row>
    <row r="78" spans="1:16">
      <c r="A78" s="13">
        <v>2</v>
      </c>
      <c r="B7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8" s="13"/>
      <c r="D78" s="13" t="s">
        <v>154</v>
      </c>
      <c r="E78" s="13" t="s">
        <v>43</v>
      </c>
      <c r="F78" s="15">
        <v>42506</v>
      </c>
      <c r="G78" s="15">
        <v>42506</v>
      </c>
      <c r="H78" s="15">
        <v>42506</v>
      </c>
      <c r="I78" s="15"/>
      <c r="J78" s="15"/>
      <c r="K78" s="15"/>
      <c r="L78" s="14"/>
      <c r="M78" s="13">
        <v>1</v>
      </c>
      <c r="N78" s="10" t="e">
        <f t="shared" si="2"/>
        <v>#N/A</v>
      </c>
      <c r="O78" s="10" t="e">
        <f>ROUND(Stories[[#This Row],[Lead Time]],0)</f>
        <v>#N/A</v>
      </c>
      <c r="P78" s="13"/>
    </row>
    <row r="79" spans="1:16">
      <c r="A79" s="13">
        <v>2</v>
      </c>
      <c r="B79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9" s="13"/>
      <c r="D79" s="13" t="s">
        <v>155</v>
      </c>
      <c r="E79" s="13" t="s">
        <v>70</v>
      </c>
      <c r="F79" s="15">
        <v>42516</v>
      </c>
      <c r="G79" s="15">
        <v>42516</v>
      </c>
      <c r="H79" s="15">
        <v>42516</v>
      </c>
      <c r="I79" s="15"/>
      <c r="J79" s="15"/>
      <c r="K79" s="15"/>
      <c r="L79" s="14"/>
      <c r="M79" s="13">
        <v>1</v>
      </c>
      <c r="N79" s="10" t="e">
        <f t="shared" si="2"/>
        <v>#N/A</v>
      </c>
      <c r="O79" s="10" t="e">
        <f>ROUND(Stories[[#This Row],[Lead Time]],0)</f>
        <v>#N/A</v>
      </c>
      <c r="P79" s="13"/>
    </row>
    <row r="80" spans="1:16">
      <c r="A80" s="13">
        <v>2</v>
      </c>
      <c r="B80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80" s="13"/>
      <c r="D80" s="13" t="s">
        <v>156</v>
      </c>
      <c r="E80" s="13" t="s">
        <v>43</v>
      </c>
      <c r="F80" s="15">
        <v>42517</v>
      </c>
      <c r="G80" s="15">
        <v>42517</v>
      </c>
      <c r="H80" s="15">
        <v>42517</v>
      </c>
      <c r="I80" s="15"/>
      <c r="J80" s="15"/>
      <c r="K80" s="15"/>
      <c r="L80" s="14"/>
      <c r="M80" s="13">
        <v>1</v>
      </c>
      <c r="N80" s="10" t="e">
        <f t="shared" si="2"/>
        <v>#N/A</v>
      </c>
      <c r="O80" s="10" t="e">
        <f>ROUND(Stories[[#This Row],[Lead Time]],0)</f>
        <v>#N/A</v>
      </c>
      <c r="P80" s="13"/>
    </row>
    <row r="81" spans="1:16">
      <c r="A81" s="13">
        <v>2</v>
      </c>
      <c r="B8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2</v>
      </c>
      <c r="C81" s="13"/>
      <c r="D81" s="13" t="s">
        <v>157</v>
      </c>
      <c r="E81" s="13" t="s">
        <v>43</v>
      </c>
      <c r="F81" s="15">
        <v>42522</v>
      </c>
      <c r="G81" s="15">
        <v>42522</v>
      </c>
      <c r="H81" s="15">
        <v>42522</v>
      </c>
      <c r="I81" s="15">
        <v>42524</v>
      </c>
      <c r="J81" s="15"/>
      <c r="K81" s="15"/>
      <c r="L81" s="14"/>
      <c r="M81" s="13">
        <v>1</v>
      </c>
      <c r="N81" s="10" t="e">
        <f t="shared" si="2"/>
        <v>#N/A</v>
      </c>
      <c r="O81" s="10" t="e">
        <f>ROUND(Stories[[#This Row],[Lead Time]],0)</f>
        <v>#N/A</v>
      </c>
      <c r="P81" s="13"/>
    </row>
    <row r="82" spans="1:16">
      <c r="A82" s="13">
        <v>2</v>
      </c>
      <c r="B8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2" s="74"/>
      <c r="D82" s="13" t="s">
        <v>158</v>
      </c>
      <c r="E82" s="13" t="s">
        <v>53</v>
      </c>
      <c r="F82" s="15">
        <v>42438</v>
      </c>
      <c r="G82" s="15"/>
      <c r="H82" s="15"/>
      <c r="I82" s="15"/>
      <c r="J82" s="15"/>
      <c r="K82" s="15"/>
      <c r="L82" s="14"/>
      <c r="M82" s="13">
        <v>3</v>
      </c>
      <c r="N82" s="10" t="e">
        <f t="shared" si="2"/>
        <v>#N/A</v>
      </c>
      <c r="O82" s="10" t="e">
        <f>ROUND(Stories[[#This Row],[Lead Time]],0)</f>
        <v>#N/A</v>
      </c>
      <c r="P82" s="26"/>
    </row>
    <row r="83" spans="1:16">
      <c r="A83" s="13">
        <v>2</v>
      </c>
      <c r="B8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3" s="74"/>
      <c r="D83" s="13" t="s">
        <v>159</v>
      </c>
      <c r="E83" s="13" t="s">
        <v>53</v>
      </c>
      <c r="F83" s="15">
        <v>42438</v>
      </c>
      <c r="G83" s="15"/>
      <c r="H83" s="15"/>
      <c r="I83" s="15"/>
      <c r="J83" s="15"/>
      <c r="K83" s="15"/>
      <c r="L83" s="14"/>
      <c r="M83" s="13">
        <v>5</v>
      </c>
      <c r="N83" s="10" t="e">
        <f t="shared" si="2"/>
        <v>#N/A</v>
      </c>
      <c r="O83" s="10" t="e">
        <f>ROUND(Stories[[#This Row],[Lead Time]],0)</f>
        <v>#N/A</v>
      </c>
      <c r="P83" s="26"/>
    </row>
    <row r="84" spans="1:16">
      <c r="A84" s="13">
        <v>2</v>
      </c>
      <c r="B8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4" s="74"/>
      <c r="D84" s="13" t="s">
        <v>160</v>
      </c>
      <c r="E84" s="13" t="s">
        <v>53</v>
      </c>
      <c r="F84" s="15">
        <v>42438</v>
      </c>
      <c r="G84" s="15"/>
      <c r="H84" s="15"/>
      <c r="I84" s="15"/>
      <c r="J84" s="15"/>
      <c r="K84" s="15"/>
      <c r="L84" s="14"/>
      <c r="M84" s="13">
        <v>8</v>
      </c>
      <c r="N84" s="10" t="e">
        <f t="shared" si="2"/>
        <v>#N/A</v>
      </c>
      <c r="O84" s="10" t="e">
        <f>ROUND(Stories[[#This Row],[Lead Time]],0)</f>
        <v>#N/A</v>
      </c>
      <c r="P84" s="26"/>
    </row>
    <row r="85" spans="1:16">
      <c r="A85" s="13">
        <v>2</v>
      </c>
      <c r="B8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5" s="74"/>
      <c r="D85" s="13" t="s">
        <v>161</v>
      </c>
      <c r="E85" s="13" t="s">
        <v>53</v>
      </c>
      <c r="F85" s="15">
        <v>42438</v>
      </c>
      <c r="G85" s="15"/>
      <c r="H85" s="15"/>
      <c r="I85" s="15"/>
      <c r="J85" s="15"/>
      <c r="K85" s="15"/>
      <c r="L85" s="14"/>
      <c r="M85" s="13">
        <v>6</v>
      </c>
      <c r="N85" s="10" t="e">
        <f t="shared" si="2"/>
        <v>#N/A</v>
      </c>
      <c r="O85" s="10" t="e">
        <f>ROUND(Stories[[#This Row],[Lead Time]],0)</f>
        <v>#N/A</v>
      </c>
      <c r="P85" s="26"/>
    </row>
    <row r="86" spans="1:16">
      <c r="A86" s="13">
        <v>2</v>
      </c>
      <c r="B8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6" s="74"/>
      <c r="D86" s="13" t="s">
        <v>162</v>
      </c>
      <c r="E86" s="13" t="s">
        <v>53</v>
      </c>
      <c r="F86" s="15">
        <v>42438</v>
      </c>
      <c r="G86" s="15"/>
      <c r="H86" s="15"/>
      <c r="I86" s="15"/>
      <c r="J86" s="15"/>
      <c r="K86" s="15"/>
      <c r="L86" s="14"/>
      <c r="M86" s="13">
        <v>2</v>
      </c>
      <c r="N86" s="10" t="e">
        <f t="shared" si="2"/>
        <v>#N/A</v>
      </c>
      <c r="O86" s="10" t="e">
        <f>ROUND(Stories[[#This Row],[Lead Time]],0)</f>
        <v>#N/A</v>
      </c>
      <c r="P86" s="13"/>
    </row>
    <row r="87" spans="1:16">
      <c r="A87" s="13">
        <v>2</v>
      </c>
      <c r="B8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7" s="74"/>
      <c r="D87" s="13" t="s">
        <v>163</v>
      </c>
      <c r="E87" s="13" t="s">
        <v>53</v>
      </c>
      <c r="F87" s="15">
        <v>42438</v>
      </c>
      <c r="G87" s="15"/>
      <c r="H87" s="15"/>
      <c r="I87" s="15"/>
      <c r="J87" s="15"/>
      <c r="K87" s="15"/>
      <c r="L87" s="14"/>
      <c r="M87" s="13">
        <v>1</v>
      </c>
      <c r="N87" s="10" t="e">
        <f t="shared" si="2"/>
        <v>#N/A</v>
      </c>
      <c r="O87" s="10" t="e">
        <f>ROUND(Stories[[#This Row],[Lead Time]],0)</f>
        <v>#N/A</v>
      </c>
      <c r="P87" s="13"/>
    </row>
    <row r="88" spans="1:16">
      <c r="A88" s="13">
        <v>2</v>
      </c>
      <c r="B8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8" s="74"/>
      <c r="D88" s="13" t="s">
        <v>164</v>
      </c>
      <c r="E88" s="13" t="s">
        <v>53</v>
      </c>
      <c r="F88" s="15">
        <v>42438</v>
      </c>
      <c r="G88" s="15"/>
      <c r="H88" s="15"/>
      <c r="I88" s="15"/>
      <c r="J88" s="15"/>
      <c r="K88" s="15"/>
      <c r="L88" s="14"/>
      <c r="M88" s="13">
        <v>15</v>
      </c>
      <c r="N88" s="10" t="e">
        <f t="shared" si="2"/>
        <v>#N/A</v>
      </c>
      <c r="O88" s="10" t="e">
        <f>ROUND(Stories[[#This Row],[Lead Time]],0)</f>
        <v>#N/A</v>
      </c>
      <c r="P88" s="13"/>
    </row>
    <row r="89" spans="1:16">
      <c r="A89" s="13">
        <v>2</v>
      </c>
      <c r="B8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9" s="74"/>
      <c r="D89" s="13" t="s">
        <v>165</v>
      </c>
      <c r="E89" s="13" t="s">
        <v>53</v>
      </c>
      <c r="F89" s="15">
        <v>42438</v>
      </c>
      <c r="G89" s="15"/>
      <c r="H89" s="15"/>
      <c r="I89" s="15"/>
      <c r="J89" s="15"/>
      <c r="K89" s="15"/>
      <c r="L89" s="14"/>
      <c r="M89" s="13">
        <v>2</v>
      </c>
      <c r="N89" s="10" t="e">
        <f t="shared" si="2"/>
        <v>#N/A</v>
      </c>
      <c r="O89" s="10" t="e">
        <f>ROUND(Stories[[#This Row],[Lead Time]],0)</f>
        <v>#N/A</v>
      </c>
      <c r="P89" s="13"/>
    </row>
    <row r="90" spans="1:16">
      <c r="A90" s="13">
        <v>2</v>
      </c>
      <c r="B9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0" s="74"/>
      <c r="D90" s="13" t="s">
        <v>166</v>
      </c>
      <c r="E90" s="13" t="s">
        <v>53</v>
      </c>
      <c r="F90" s="15">
        <v>42438</v>
      </c>
      <c r="G90" s="15"/>
      <c r="H90" s="15"/>
      <c r="I90" s="15"/>
      <c r="J90" s="15"/>
      <c r="K90" s="15"/>
      <c r="L90" s="14"/>
      <c r="M90" s="13">
        <v>1</v>
      </c>
      <c r="N90" s="10" t="e">
        <f t="shared" si="2"/>
        <v>#N/A</v>
      </c>
      <c r="O90" s="10" t="e">
        <f>ROUND(Stories[[#This Row],[Lead Time]],0)</f>
        <v>#N/A</v>
      </c>
      <c r="P90" s="13"/>
    </row>
    <row r="91" spans="1:16">
      <c r="A91" s="13">
        <v>2</v>
      </c>
      <c r="B9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1" s="13"/>
      <c r="D91" s="13" t="s">
        <v>167</v>
      </c>
      <c r="E91" s="13" t="s">
        <v>43</v>
      </c>
      <c r="F91" s="15">
        <v>42499</v>
      </c>
      <c r="G91" s="15"/>
      <c r="H91" s="15"/>
      <c r="I91" s="15"/>
      <c r="J91" s="15"/>
      <c r="K91" s="15"/>
      <c r="L91" s="14"/>
      <c r="M91" s="13">
        <v>1</v>
      </c>
      <c r="N91" s="10" t="e">
        <f t="shared" si="2"/>
        <v>#N/A</v>
      </c>
      <c r="O91" s="10" t="e">
        <f>ROUND(Stories[[#This Row],[Lead Time]],0)</f>
        <v>#N/A</v>
      </c>
      <c r="P91" s="13"/>
    </row>
    <row r="92" spans="1:16">
      <c r="A92" s="13">
        <v>2</v>
      </c>
      <c r="B9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2" s="13"/>
      <c r="D92" s="13" t="s">
        <v>168</v>
      </c>
      <c r="E92" s="13" t="s">
        <v>43</v>
      </c>
      <c r="F92" s="15">
        <v>42499</v>
      </c>
      <c r="G92" s="15"/>
      <c r="H92" s="15"/>
      <c r="I92" s="15"/>
      <c r="J92" s="15"/>
      <c r="K92" s="15"/>
      <c r="L92" s="14"/>
      <c r="M92" s="13">
        <v>1</v>
      </c>
      <c r="N92" s="10" t="e">
        <f t="shared" si="2"/>
        <v>#N/A</v>
      </c>
      <c r="O92" s="10" t="e">
        <f>ROUND(Stories[[#This Row],[Lead Time]],0)</f>
        <v>#N/A</v>
      </c>
      <c r="P92" s="13"/>
    </row>
    <row r="93" spans="1:16">
      <c r="A93" s="13">
        <v>2</v>
      </c>
      <c r="B9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3" s="13"/>
      <c r="D93" s="13" t="s">
        <v>169</v>
      </c>
      <c r="E93" s="13" t="s">
        <v>43</v>
      </c>
      <c r="F93" s="15">
        <v>42503</v>
      </c>
      <c r="G93" s="15"/>
      <c r="H93" s="15"/>
      <c r="I93" s="15"/>
      <c r="J93" s="15"/>
      <c r="K93" s="15"/>
      <c r="L93" s="14"/>
      <c r="M93" s="13">
        <v>1</v>
      </c>
      <c r="N93" s="10" t="e">
        <f t="shared" si="2"/>
        <v>#N/A</v>
      </c>
      <c r="O93" s="10" t="e">
        <f>ROUND(Stories[[#This Row],[Lead Time]],0)</f>
        <v>#N/A</v>
      </c>
      <c r="P93" s="13"/>
    </row>
    <row r="94" spans="1:16">
      <c r="A94" s="13">
        <v>2</v>
      </c>
      <c r="B9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4" s="13"/>
      <c r="D94" s="13" t="s">
        <v>170</v>
      </c>
      <c r="E94" s="13" t="s">
        <v>43</v>
      </c>
      <c r="F94" s="15">
        <v>42515</v>
      </c>
      <c r="G94" s="15"/>
      <c r="H94" s="15"/>
      <c r="I94" s="15"/>
      <c r="J94" s="15"/>
      <c r="K94" s="15"/>
      <c r="L94" s="14"/>
      <c r="M94" s="13">
        <v>1</v>
      </c>
      <c r="N94" s="10" t="e">
        <f t="shared" si="2"/>
        <v>#N/A</v>
      </c>
      <c r="O94" s="10" t="e">
        <f>ROUND(Stories[[#This Row],[Lead Time]],0)</f>
        <v>#N/A</v>
      </c>
      <c r="P94" s="13"/>
    </row>
    <row r="95" spans="1:16">
      <c r="A95" s="13"/>
      <c r="B9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5" s="13"/>
      <c r="D95" s="13"/>
      <c r="E95" s="13"/>
      <c r="F95" s="15"/>
      <c r="G95" s="15"/>
      <c r="H95" s="15"/>
      <c r="I95" s="15"/>
      <c r="J95" s="15"/>
      <c r="K95" s="15"/>
      <c r="L95" s="14"/>
      <c r="M95" s="13"/>
      <c r="N95" s="10" t="e">
        <f t="shared" si="2"/>
        <v>#N/A</v>
      </c>
      <c r="O95" s="10" t="e">
        <f>ROUND(Stories[[#This Row],[Lead Time]],0)</f>
        <v>#N/A</v>
      </c>
      <c r="P95" s="13"/>
    </row>
    <row r="96" spans="1:16">
      <c r="A96" s="13"/>
      <c r="B9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6" s="13"/>
      <c r="D96" s="13"/>
      <c r="E96" s="13"/>
      <c r="F96" s="15"/>
      <c r="G96" s="15"/>
      <c r="H96" s="15"/>
      <c r="I96" s="15"/>
      <c r="J96" s="15"/>
      <c r="K96" s="15"/>
      <c r="L96" s="14"/>
      <c r="M96" s="13"/>
      <c r="N96" s="10" t="e">
        <f t="shared" si="2"/>
        <v>#N/A</v>
      </c>
      <c r="O96" s="10" t="e">
        <f>ROUND(Stories[[#This Row],[Lead Time]],0)</f>
        <v>#N/A</v>
      </c>
      <c r="P96" s="13"/>
    </row>
    <row r="97" spans="1:16">
      <c r="A97" s="13"/>
      <c r="B9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7" s="13"/>
      <c r="D97" s="13"/>
      <c r="E97" s="13"/>
      <c r="F97" s="15"/>
      <c r="G97" s="15"/>
      <c r="H97" s="15"/>
      <c r="I97" s="15"/>
      <c r="J97" s="15"/>
      <c r="K97" s="15"/>
      <c r="L97" s="14"/>
      <c r="M97" s="13"/>
      <c r="N97" s="10" t="e">
        <f t="shared" si="2"/>
        <v>#N/A</v>
      </c>
      <c r="O97" s="10" t="e">
        <f>ROUND(Stories[[#This Row],[Lead Time]],0)</f>
        <v>#N/A</v>
      </c>
      <c r="P97" s="13"/>
    </row>
    <row r="98" spans="1:16">
      <c r="A98" s="13"/>
      <c r="B9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8" s="13"/>
      <c r="D98" s="13"/>
      <c r="E98" s="13"/>
      <c r="F98" s="15"/>
      <c r="G98" s="15"/>
      <c r="H98" s="15"/>
      <c r="I98" s="15"/>
      <c r="J98" s="15"/>
      <c r="K98" s="15"/>
      <c r="L98" s="14"/>
      <c r="M98" s="13"/>
      <c r="N98" s="10" t="e">
        <f t="shared" si="2"/>
        <v>#N/A</v>
      </c>
      <c r="O98" s="10" t="e">
        <f>ROUND(Stories[[#This Row],[Lead Time]],0)</f>
        <v>#N/A</v>
      </c>
      <c r="P98" s="13"/>
    </row>
    <row r="99" spans="1:16">
      <c r="A99" s="26"/>
      <c r="B99" s="6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9" s="26"/>
      <c r="D99" s="26"/>
      <c r="E99" s="26"/>
      <c r="F99" s="64"/>
      <c r="G99" s="15"/>
      <c r="H99" s="15"/>
      <c r="I99" s="15"/>
      <c r="J99" s="15"/>
      <c r="K99" s="15"/>
      <c r="L99" s="14"/>
      <c r="M99" s="13"/>
      <c r="N99" s="10" t="e">
        <f t="shared" si="2"/>
        <v>#N/A</v>
      </c>
      <c r="O99" s="10" t="e">
        <f>ROUND(Stories[[#This Row],[Lead Time]],0)</f>
        <v>#N/A</v>
      </c>
      <c r="P99" s="13"/>
    </row>
    <row r="100" spans="1:16">
      <c r="A100" s="18"/>
      <c r="B100" s="18"/>
      <c r="C100" s="18"/>
      <c r="D100" s="18"/>
      <c r="E100" s="18"/>
      <c r="F100" s="50"/>
      <c r="G100" s="15"/>
      <c r="H100" s="15"/>
      <c r="I100" s="15"/>
      <c r="J100" s="15"/>
      <c r="K100" s="15"/>
      <c r="L100" s="14"/>
      <c r="M100" s="13"/>
      <c r="N100" s="27" t="e">
        <f t="shared" si="2"/>
        <v>#N/A</v>
      </c>
      <c r="O100" s="27" t="e">
        <f>ROUND(Stories[[#This Row],[Lead Time]],0)</f>
        <v>#N/A</v>
      </c>
      <c r="P100" s="26"/>
    </row>
    <row r="101" spans="1:16">
      <c r="A101" s="5"/>
      <c r="B101" s="5"/>
      <c r="C101" s="5"/>
      <c r="D101" s="5"/>
      <c r="E101" s="5"/>
      <c r="M101" s="5"/>
      <c r="N101" s="5"/>
      <c r="O101" s="5"/>
    </row>
    <row r="102" spans="1:16">
      <c r="A102" s="5"/>
      <c r="B102" s="5"/>
      <c r="C102" s="5"/>
      <c r="D102" s="5"/>
      <c r="E102" s="5"/>
      <c r="M102" s="5"/>
      <c r="N102" s="5"/>
      <c r="O102" s="5"/>
    </row>
    <row r="103" spans="1:16">
      <c r="A103" s="5"/>
      <c r="B103" s="5"/>
      <c r="C103" s="5"/>
      <c r="D103" s="5"/>
      <c r="E103" s="5"/>
      <c r="M103" s="5"/>
      <c r="N103" s="5"/>
      <c r="O103" s="5"/>
    </row>
    <row r="104" spans="1:16">
      <c r="A104" s="5"/>
      <c r="B104" s="5"/>
      <c r="C104" s="5"/>
      <c r="D104" s="5"/>
      <c r="E104" s="5"/>
      <c r="M104" s="5"/>
      <c r="N104" s="5"/>
      <c r="O104" s="5"/>
    </row>
    <row r="105" spans="1:16">
      <c r="A105" s="5"/>
      <c r="B105" s="5"/>
      <c r="C105" s="5"/>
      <c r="D105" s="5"/>
      <c r="E105" s="5"/>
      <c r="M105" s="5"/>
      <c r="N105" s="5"/>
      <c r="O105" s="5"/>
    </row>
    <row r="106" spans="1:16">
      <c r="A106" s="5"/>
      <c r="B106" s="5"/>
      <c r="C106" s="5"/>
      <c r="D106" s="5"/>
      <c r="E106" s="5"/>
      <c r="M106" s="5"/>
      <c r="N106" s="5"/>
      <c r="O106" s="5"/>
    </row>
    <row r="107" spans="1:16">
      <c r="A107" s="5"/>
      <c r="B107" s="5"/>
      <c r="C107" s="5"/>
      <c r="D107" s="5"/>
      <c r="E107" s="5"/>
      <c r="M107" s="5"/>
      <c r="N107" s="5"/>
      <c r="O107" s="5"/>
    </row>
    <row r="108" spans="1:16">
      <c r="A108" s="5"/>
      <c r="B108" s="5"/>
      <c r="C108" s="5"/>
      <c r="D108" s="5"/>
      <c r="E108" s="5"/>
      <c r="M108" s="5"/>
      <c r="N108" s="5"/>
      <c r="O108" s="5"/>
    </row>
    <row r="109" spans="1:16">
      <c r="A109" s="5"/>
      <c r="B109" s="5"/>
      <c r="C109" s="5"/>
      <c r="D109" s="5"/>
      <c r="E109" s="5"/>
      <c r="M109" s="5"/>
      <c r="N109" s="5"/>
      <c r="O109" s="5"/>
    </row>
    <row r="110" spans="1:16">
      <c r="A110" s="5"/>
      <c r="B110" s="5"/>
      <c r="C110" s="5"/>
      <c r="D110" s="5"/>
      <c r="E110" s="5"/>
      <c r="M110" s="5"/>
      <c r="N110" s="5"/>
      <c r="O110" s="5"/>
    </row>
    <row r="111" spans="1:16">
      <c r="A111" s="5"/>
      <c r="B111" s="5"/>
      <c r="C111" s="5"/>
      <c r="D111" s="5"/>
      <c r="E111" s="5"/>
      <c r="M111" s="5"/>
      <c r="N111" s="5"/>
      <c r="O111" s="5"/>
    </row>
    <row r="112" spans="1:16">
      <c r="A112" s="5"/>
      <c r="B112" s="5"/>
      <c r="C112" s="5"/>
      <c r="D112" s="5"/>
      <c r="E112" s="5"/>
      <c r="M112" s="5"/>
      <c r="N112" s="5"/>
      <c r="O112" s="5"/>
    </row>
    <row r="113" spans="1:15">
      <c r="A113" s="5"/>
      <c r="B113" s="5"/>
      <c r="C113" s="5"/>
      <c r="D113" s="5"/>
      <c r="E113" s="5"/>
      <c r="M113" s="5"/>
      <c r="N113" s="5"/>
      <c r="O113" s="5"/>
    </row>
    <row r="114" spans="1:15">
      <c r="A114" s="5"/>
      <c r="B114" s="5"/>
      <c r="C114" s="5"/>
      <c r="D114" s="5"/>
      <c r="E114" s="5"/>
      <c r="M114" s="5"/>
      <c r="N114" s="5"/>
      <c r="O114" s="5"/>
    </row>
    <row r="115" spans="1:15">
      <c r="A115" s="5"/>
      <c r="B115" s="5"/>
      <c r="C115" s="5"/>
      <c r="D115" s="5"/>
      <c r="E115" s="5"/>
      <c r="M115" s="5"/>
      <c r="N115" s="5"/>
      <c r="O115" s="5"/>
    </row>
    <row r="116" spans="1:15">
      <c r="A116" s="5"/>
      <c r="B116" s="5"/>
      <c r="C116" s="5"/>
      <c r="D116" s="5"/>
      <c r="E116" s="5"/>
      <c r="M116" s="5"/>
      <c r="N116" s="5"/>
      <c r="O116" s="5"/>
    </row>
    <row r="117" spans="1:15">
      <c r="A117" s="5"/>
      <c r="B117" s="5"/>
      <c r="C117" s="5"/>
      <c r="D117" s="5"/>
      <c r="E117" s="5"/>
      <c r="M117" s="5"/>
      <c r="N117" s="5"/>
      <c r="O117" s="5"/>
    </row>
    <row r="118" spans="1:15">
      <c r="A118" s="5"/>
      <c r="B118" s="5"/>
      <c r="C118" s="5"/>
      <c r="D118" s="5"/>
      <c r="E118" s="5"/>
      <c r="M118" s="5"/>
      <c r="N118" s="5"/>
      <c r="O118" s="5"/>
    </row>
    <row r="119" spans="1:15">
      <c r="A119" s="5"/>
      <c r="B119" s="5"/>
      <c r="C119" s="5"/>
      <c r="D119" s="5"/>
      <c r="E119" s="5"/>
      <c r="M119" s="5"/>
      <c r="N119" s="5"/>
      <c r="O119" s="5"/>
    </row>
    <row r="120" spans="1:15">
      <c r="A120" s="5"/>
      <c r="B120" s="5"/>
      <c r="C120" s="5"/>
      <c r="D120" s="5"/>
      <c r="E120" s="5"/>
      <c r="M120" s="5"/>
      <c r="N120" s="5"/>
      <c r="O120" s="5"/>
    </row>
    <row r="121" spans="1:15">
      <c r="A121" s="5"/>
      <c r="B121" s="5"/>
      <c r="C121" s="5"/>
      <c r="D121" s="5"/>
      <c r="E121" s="5"/>
      <c r="M121" s="5"/>
      <c r="N121" s="5"/>
      <c r="O121" s="5"/>
    </row>
    <row r="122" spans="1:15">
      <c r="A122" s="5"/>
      <c r="B122" s="5"/>
      <c r="C122" s="5"/>
      <c r="D122" s="5"/>
      <c r="E122" s="5"/>
      <c r="M122" s="5"/>
      <c r="N122" s="5"/>
      <c r="O122" s="5"/>
    </row>
    <row r="123" spans="1:15">
      <c r="A123" s="5"/>
      <c r="B123" s="5"/>
      <c r="C123" s="5"/>
      <c r="D123" s="5"/>
      <c r="E123" s="5"/>
      <c r="M123" s="5"/>
      <c r="N123" s="5"/>
      <c r="O123" s="5"/>
    </row>
    <row r="124" spans="1:15">
      <c r="A124" s="5"/>
      <c r="B124" s="5"/>
      <c r="C124" s="5"/>
      <c r="D124" s="5"/>
      <c r="E124" s="5"/>
      <c r="M124" s="5"/>
      <c r="N124" s="5"/>
      <c r="O124" s="5"/>
    </row>
    <row r="125" spans="1:15">
      <c r="A125" s="5"/>
      <c r="B125" s="5"/>
      <c r="C125" s="5"/>
      <c r="D125" s="5"/>
      <c r="E125" s="5"/>
      <c r="M125" s="5"/>
      <c r="N125" s="5"/>
      <c r="O125" s="5"/>
    </row>
    <row r="126" spans="1:15">
      <c r="A126" s="5"/>
      <c r="B126" s="5"/>
      <c r="C126" s="5"/>
      <c r="D126" s="5"/>
      <c r="E126" s="5"/>
      <c r="M126" s="5"/>
      <c r="N126" s="5"/>
      <c r="O126" s="5"/>
    </row>
    <row r="127" spans="1:15">
      <c r="A127" s="5"/>
      <c r="B127" s="5"/>
      <c r="C127" s="5"/>
      <c r="D127" s="5"/>
      <c r="E127" s="5"/>
      <c r="M127" s="5"/>
      <c r="N127" s="5"/>
      <c r="O127" s="5"/>
    </row>
    <row r="128" spans="1:15">
      <c r="A128" s="5"/>
      <c r="B128" s="5"/>
      <c r="C128" s="5"/>
      <c r="D128" s="5"/>
      <c r="E128" s="5"/>
      <c r="M128" s="5"/>
      <c r="N128" s="5"/>
      <c r="O128" s="5"/>
    </row>
    <row r="129" spans="1:15">
      <c r="A129" s="5"/>
      <c r="B129" s="5"/>
      <c r="C129" s="5"/>
      <c r="D129" s="5"/>
      <c r="E129" s="5"/>
      <c r="M129" s="5"/>
      <c r="N129" s="5"/>
      <c r="O129" s="5"/>
    </row>
    <row r="130" spans="1:15">
      <c r="A130" s="5"/>
      <c r="B130" s="5"/>
      <c r="C130" s="5"/>
      <c r="D130" s="5"/>
      <c r="E130" s="5"/>
      <c r="M130" s="5"/>
      <c r="N130" s="5"/>
      <c r="O130" s="5"/>
    </row>
    <row r="131" spans="1:15">
      <c r="A131" s="5"/>
      <c r="B131" s="5"/>
      <c r="C131" s="5"/>
      <c r="D131" s="5"/>
      <c r="E131" s="5"/>
      <c r="M131" s="5"/>
      <c r="N131" s="5"/>
      <c r="O131" s="5"/>
    </row>
    <row r="132" spans="1:15">
      <c r="A132" s="5"/>
      <c r="B132" s="5"/>
      <c r="C132" s="5"/>
      <c r="D132" s="5"/>
      <c r="E132" s="5"/>
      <c r="M132" s="5"/>
      <c r="N132" s="5"/>
      <c r="O132" s="5"/>
    </row>
    <row r="133" spans="1:15">
      <c r="A133" s="5"/>
      <c r="B133" s="5"/>
      <c r="C133" s="5"/>
      <c r="D133" s="5"/>
      <c r="E133" s="5"/>
      <c r="M133" s="5"/>
      <c r="N133" s="5"/>
      <c r="O133" s="5"/>
    </row>
    <row r="134" spans="1:15">
      <c r="A134" s="5"/>
      <c r="B134" s="5"/>
      <c r="C134" s="5"/>
      <c r="D134" s="5"/>
      <c r="E134" s="5"/>
      <c r="M134" s="5"/>
      <c r="N134" s="5"/>
      <c r="O134" s="5"/>
    </row>
    <row r="135" spans="1:15">
      <c r="A135" s="5"/>
      <c r="B135" s="5"/>
      <c r="C135" s="5"/>
      <c r="D135" s="5"/>
      <c r="E135" s="5"/>
      <c r="M135" s="5"/>
      <c r="N135" s="5"/>
      <c r="O135" s="5"/>
    </row>
    <row r="136" spans="1:15">
      <c r="A136" s="5"/>
      <c r="B136" s="5"/>
      <c r="C136" s="5"/>
      <c r="D136" s="5"/>
      <c r="E136" s="5"/>
      <c r="M136" s="5"/>
      <c r="N136" s="5"/>
      <c r="O136" s="5"/>
    </row>
    <row r="137" spans="1:15">
      <c r="A137" s="5"/>
      <c r="B137" s="5"/>
      <c r="C137" s="5"/>
      <c r="D137" s="5"/>
      <c r="E137" s="5"/>
      <c r="M137" s="5"/>
      <c r="N137" s="5"/>
      <c r="O137" s="5"/>
    </row>
    <row r="138" spans="1:15">
      <c r="A138" s="5"/>
      <c r="B138" s="5"/>
      <c r="C138" s="5"/>
      <c r="D138" s="5"/>
      <c r="E138" s="5"/>
      <c r="M138" s="5"/>
      <c r="N138" s="5"/>
      <c r="O138" s="5"/>
    </row>
    <row r="139" spans="1:15">
      <c r="A139" s="5"/>
      <c r="B139" s="5"/>
      <c r="C139" s="5"/>
      <c r="D139" s="5"/>
      <c r="E139" s="5"/>
      <c r="M139" s="5"/>
      <c r="N139" s="5"/>
      <c r="O139" s="5"/>
    </row>
    <row r="140" spans="1:15">
      <c r="A140" s="5"/>
      <c r="B140" s="5"/>
      <c r="C140" s="5"/>
      <c r="D140" s="5"/>
      <c r="E140" s="5"/>
      <c r="M140" s="5"/>
      <c r="N140" s="5"/>
      <c r="O140" s="5"/>
    </row>
    <row r="141" spans="1:15">
      <c r="A141" s="5"/>
      <c r="B141" s="5"/>
      <c r="C141" s="5"/>
      <c r="D141" s="5"/>
      <c r="E141" s="5"/>
      <c r="M141" s="5"/>
      <c r="N141" s="5"/>
      <c r="O141" s="5"/>
    </row>
    <row r="142" spans="1:15">
      <c r="A142" s="5"/>
      <c r="B142" s="5"/>
      <c r="C142" s="5"/>
      <c r="D142" s="5"/>
      <c r="E142" s="5"/>
      <c r="M142" s="5"/>
      <c r="N142" s="5"/>
      <c r="O142" s="5"/>
    </row>
    <row r="143" spans="1:15">
      <c r="A143" s="5"/>
      <c r="B143" s="5"/>
      <c r="C143" s="5"/>
      <c r="D143" s="5"/>
      <c r="E143" s="5"/>
      <c r="M143" s="5"/>
      <c r="N143" s="5"/>
      <c r="O143" s="5"/>
    </row>
    <row r="144" spans="1:15">
      <c r="A144" s="5"/>
      <c r="B144" s="5"/>
      <c r="C144" s="5"/>
      <c r="D144" s="5"/>
      <c r="E144" s="5"/>
      <c r="M144" s="5"/>
      <c r="N144" s="5"/>
      <c r="O144" s="5"/>
    </row>
    <row r="145" spans="1:15">
      <c r="A145" s="5"/>
      <c r="B145" s="5"/>
      <c r="C145" s="5"/>
      <c r="D145" s="5"/>
      <c r="E145" s="5"/>
      <c r="M145" s="5"/>
      <c r="N145" s="5"/>
      <c r="O145" s="5"/>
    </row>
    <row r="146" spans="1:15">
      <c r="A146" s="5"/>
      <c r="B146" s="5"/>
      <c r="C146" s="5"/>
      <c r="D146" s="5"/>
      <c r="E146" s="5"/>
      <c r="M146" s="5"/>
      <c r="N146" s="5"/>
      <c r="O146" s="5"/>
    </row>
    <row r="147" spans="1:15">
      <c r="A147" s="5"/>
      <c r="B147" s="5"/>
      <c r="C147" s="5"/>
      <c r="D147" s="5"/>
      <c r="E147" s="5"/>
      <c r="M147" s="5"/>
      <c r="N147" s="5"/>
      <c r="O147" s="5"/>
    </row>
    <row r="148" spans="1:15">
      <c r="A148" s="5"/>
      <c r="B148" s="5"/>
      <c r="C148" s="5"/>
      <c r="D148" s="5"/>
      <c r="E148" s="5"/>
      <c r="M148" s="5"/>
      <c r="N148" s="5"/>
      <c r="O148" s="5"/>
    </row>
  </sheetData>
  <mergeCells count="2">
    <mergeCell ref="F3:K3"/>
    <mergeCell ref="M1:M3"/>
  </mergeCells>
  <conditionalFormatting sqref="G5:G100">
    <cfRule type="expression" dxfId="5" priority="5">
      <formula>IF(G5&lt;F5,TRUE,FALSE)</formula>
    </cfRule>
  </conditionalFormatting>
  <conditionalFormatting sqref="H5:H100">
    <cfRule type="expression" dxfId="4" priority="4">
      <formula>IF(H5&lt;G5,TRUE,FALSE)</formula>
    </cfRule>
  </conditionalFormatting>
  <conditionalFormatting sqref="I5:I100">
    <cfRule type="expression" dxfId="3" priority="3">
      <formula>IF(I5&lt;H5,TRUE,FALSE)</formula>
    </cfRule>
  </conditionalFormatting>
  <conditionalFormatting sqref="J5:J100">
    <cfRule type="expression" dxfId="2" priority="2">
      <formula>IF(J5&lt;I5,TRUE,FALSE)</formula>
    </cfRule>
  </conditionalFormatting>
  <conditionalFormatting sqref="K5:K100">
    <cfRule type="expression" dxfId="1" priority="1">
      <formula>IF(K5&lt;J5,TRUE,FALSE)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setup!$B$10:$B$15</xm:f>
          </x14:formula1>
          <xm:sqref>E5:E61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P184"/>
  <sheetViews>
    <sheetView workbookViewId="0">
      <selection activeCell="D9" sqref="D9"/>
    </sheetView>
  </sheetViews>
  <sheetFormatPr defaultColWidth="8.85546875" defaultRowHeight="12.75"/>
  <cols>
    <col min="1" max="1" width="16.7109375" bestFit="1" customWidth="1"/>
    <col min="2" max="2" width="10.140625" bestFit="1" customWidth="1"/>
    <col min="3" max="3" width="9.7109375" bestFit="1" customWidth="1"/>
    <col min="4" max="4" width="14.42578125" bestFit="1" customWidth="1"/>
    <col min="5" max="5" width="14" bestFit="1" customWidth="1"/>
    <col min="6" max="6" width="9.42578125" bestFit="1" customWidth="1"/>
    <col min="9" max="9" width="9.42578125" bestFit="1" customWidth="1"/>
  </cols>
  <sheetData>
    <row r="1" spans="1:16" ht="15">
      <c r="C1" s="65" t="s">
        <v>71</v>
      </c>
      <c r="D1" s="68">
        <v>42522</v>
      </c>
      <c r="E1" s="11">
        <f ca="1">IF(D1&gt;0,D1,TODAY())</f>
        <v>42522</v>
      </c>
      <c r="F1" s="45" t="s">
        <v>72</v>
      </c>
    </row>
    <row r="2" spans="1:16" ht="15">
      <c r="C2" t="s">
        <v>73</v>
      </c>
      <c r="D2" s="68">
        <v>42583</v>
      </c>
      <c r="E2" s="11">
        <f>IF(D2&gt;0,D2,FirstDate)</f>
        <v>42583</v>
      </c>
      <c r="F2" t="s">
        <v>74</v>
      </c>
    </row>
    <row r="3" spans="1:16" ht="15">
      <c r="A3" t="s">
        <v>6</v>
      </c>
      <c r="B3" s="75">
        <v>42408</v>
      </c>
    </row>
    <row r="4" spans="1:16" ht="15">
      <c r="A4" t="s">
        <v>16</v>
      </c>
      <c r="B4" s="71">
        <v>2</v>
      </c>
      <c r="C4" t="s">
        <v>23</v>
      </c>
    </row>
    <row r="5" spans="1:16" ht="15">
      <c r="A5" t="s">
        <v>21</v>
      </c>
      <c r="B5" s="70">
        <v>85</v>
      </c>
      <c r="C5" t="s">
        <v>31</v>
      </c>
    </row>
    <row r="6" spans="1:16" ht="15">
      <c r="A6" t="s">
        <v>171</v>
      </c>
      <c r="B6" s="70">
        <v>20</v>
      </c>
    </row>
    <row r="9" spans="1:16">
      <c r="B9" t="s">
        <v>42</v>
      </c>
      <c r="D9" s="69"/>
      <c r="E9" t="s">
        <v>64</v>
      </c>
      <c r="H9" t="s">
        <v>172</v>
      </c>
    </row>
    <row r="10" spans="1:16" ht="15">
      <c r="A10" s="40">
        <v>1</v>
      </c>
      <c r="B10" s="73" t="s">
        <v>38</v>
      </c>
      <c r="H10">
        <v>8</v>
      </c>
    </row>
    <row r="11" spans="1:16" ht="15">
      <c r="A11" s="40">
        <v>2</v>
      </c>
      <c r="B11" s="73" t="s">
        <v>43</v>
      </c>
      <c r="H11">
        <v>11</v>
      </c>
    </row>
    <row r="12" spans="1:16" ht="15">
      <c r="A12" s="40">
        <v>3</v>
      </c>
      <c r="B12" s="73" t="s">
        <v>36</v>
      </c>
      <c r="H12">
        <v>20</v>
      </c>
    </row>
    <row r="13" spans="1:16" ht="15">
      <c r="A13" s="40">
        <v>4</v>
      </c>
      <c r="B13" s="73" t="s">
        <v>53</v>
      </c>
      <c r="H13" s="70">
        <v>33</v>
      </c>
    </row>
    <row r="14" spans="1:16" ht="15">
      <c r="A14" s="40">
        <v>5</v>
      </c>
      <c r="B14" s="73" t="s">
        <v>67</v>
      </c>
      <c r="H14" s="70">
        <v>50</v>
      </c>
    </row>
    <row r="15" spans="1:16" ht="15">
      <c r="A15" s="40">
        <v>6</v>
      </c>
      <c r="B15" s="73"/>
      <c r="H15" s="70">
        <v>1000</v>
      </c>
    </row>
    <row r="16" spans="1:16">
      <c r="A16" s="83" t="s">
        <v>77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</row>
    <row r="17" spans="1:16" ht="18">
      <c r="B17" s="81" t="s">
        <v>78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1:16">
      <c r="B18" s="84" t="s">
        <v>79</v>
      </c>
      <c r="C18" s="82"/>
      <c r="D18" s="83" t="s">
        <v>80</v>
      </c>
      <c r="E18" s="82"/>
    </row>
    <row r="21" spans="1:16">
      <c r="A21" s="7" t="s">
        <v>57</v>
      </c>
    </row>
    <row r="22" spans="1:16" ht="15">
      <c r="A22" s="72">
        <v>42370</v>
      </c>
    </row>
    <row r="23" spans="1:16" ht="15">
      <c r="A23" s="72">
        <v>42454</v>
      </c>
    </row>
    <row r="24" spans="1:16" ht="15">
      <c r="A24" s="72">
        <v>42457</v>
      </c>
    </row>
    <row r="25" spans="1:16" ht="15">
      <c r="A25" s="72">
        <v>42492</v>
      </c>
    </row>
    <row r="26" spans="1:16" ht="15">
      <c r="A26" s="72">
        <v>42520</v>
      </c>
    </row>
    <row r="27" spans="1:16" ht="15">
      <c r="A27" s="72">
        <v>42611</v>
      </c>
    </row>
    <row r="28" spans="1:16" ht="15">
      <c r="A28" s="72">
        <v>42730</v>
      </c>
    </row>
    <row r="29" spans="1:16" ht="15">
      <c r="A29" s="72">
        <v>42731</v>
      </c>
    </row>
    <row r="30" spans="1:16" ht="15">
      <c r="A30" s="72">
        <v>42737</v>
      </c>
    </row>
    <row r="31" spans="1:16" ht="15">
      <c r="A31" s="72">
        <v>42839</v>
      </c>
    </row>
    <row r="32" spans="1:16" ht="15">
      <c r="A32" s="72">
        <v>42842</v>
      </c>
    </row>
    <row r="33" spans="1:1" ht="15">
      <c r="A33" s="72">
        <v>42856</v>
      </c>
    </row>
    <row r="34" spans="1:1" ht="15">
      <c r="A34" s="72">
        <v>42884</v>
      </c>
    </row>
    <row r="35" spans="1:1" ht="15">
      <c r="A35" s="72">
        <v>42975</v>
      </c>
    </row>
    <row r="36" spans="1:1" ht="15">
      <c r="A36" s="72">
        <v>43094</v>
      </c>
    </row>
    <row r="37" spans="1:1" ht="15">
      <c r="A37" s="72">
        <v>43095</v>
      </c>
    </row>
    <row r="38" spans="1:1" ht="15">
      <c r="A38" s="72">
        <v>43101</v>
      </c>
    </row>
    <row r="39" spans="1:1" ht="15">
      <c r="A39" s="72">
        <v>43189</v>
      </c>
    </row>
    <row r="40" spans="1:1" ht="15">
      <c r="A40" s="72">
        <v>43192</v>
      </c>
    </row>
    <row r="41" spans="1:1" ht="15">
      <c r="A41" s="72">
        <v>43227</v>
      </c>
    </row>
    <row r="42" spans="1:1" ht="15">
      <c r="A42" s="72">
        <v>43248</v>
      </c>
    </row>
    <row r="43" spans="1:1" ht="15">
      <c r="A43" s="72">
        <v>43339</v>
      </c>
    </row>
    <row r="44" spans="1:1" ht="15">
      <c r="A44" s="72">
        <v>43459</v>
      </c>
    </row>
    <row r="45" spans="1:1" ht="15">
      <c r="A45" s="72">
        <v>43460</v>
      </c>
    </row>
    <row r="46" spans="1:1" ht="15">
      <c r="A46" s="72">
        <v>43466</v>
      </c>
    </row>
    <row r="47" spans="1:1" ht="15">
      <c r="A47" s="72">
        <v>43574</v>
      </c>
    </row>
    <row r="48" spans="1:1" ht="15">
      <c r="A48" s="72">
        <v>43577</v>
      </c>
    </row>
    <row r="49" spans="1:1" ht="15">
      <c r="A49" s="72">
        <v>43591</v>
      </c>
    </row>
    <row r="50" spans="1:1" ht="15">
      <c r="A50" s="72">
        <v>43612</v>
      </c>
    </row>
    <row r="51" spans="1:1" ht="15">
      <c r="A51" s="72">
        <v>43703</v>
      </c>
    </row>
    <row r="52" spans="1:1" ht="15">
      <c r="A52" s="72">
        <v>43824</v>
      </c>
    </row>
    <row r="53" spans="1:1" ht="15">
      <c r="A53" s="72">
        <v>43825</v>
      </c>
    </row>
    <row r="54" spans="1:1" ht="15">
      <c r="A54" s="72">
        <v>43831</v>
      </c>
    </row>
    <row r="55" spans="1:1" ht="15">
      <c r="A55" s="72">
        <v>43931</v>
      </c>
    </row>
    <row r="56" spans="1:1" ht="15">
      <c r="A56" s="72">
        <v>43934</v>
      </c>
    </row>
    <row r="57" spans="1:1" ht="15">
      <c r="A57" s="72">
        <v>43955</v>
      </c>
    </row>
    <row r="58" spans="1:1" ht="15">
      <c r="A58" s="72">
        <v>43976</v>
      </c>
    </row>
    <row r="59" spans="1:1" ht="15">
      <c r="A59" s="72">
        <v>44074</v>
      </c>
    </row>
    <row r="60" spans="1:1" ht="15">
      <c r="A60" s="72">
        <v>44190</v>
      </c>
    </row>
    <row r="61" spans="1:1" ht="15">
      <c r="A61" s="72">
        <v>44193</v>
      </c>
    </row>
    <row r="62" spans="1:1" ht="15">
      <c r="A62" s="73"/>
    </row>
    <row r="63" spans="1:1" ht="15">
      <c r="A63" s="73"/>
    </row>
    <row r="64" spans="1:1" ht="15">
      <c r="A64" s="73"/>
    </row>
    <row r="65" spans="1:1" ht="15">
      <c r="A65" s="73"/>
    </row>
    <row r="66" spans="1:1" ht="15">
      <c r="A66" s="73"/>
    </row>
    <row r="67" spans="1:1" ht="15">
      <c r="A67" s="73"/>
    </row>
    <row r="68" spans="1:1" ht="15">
      <c r="A68" s="73"/>
    </row>
    <row r="69" spans="1:1" ht="15">
      <c r="A69" s="73"/>
    </row>
    <row r="70" spans="1:1" ht="15">
      <c r="A70" s="73"/>
    </row>
    <row r="71" spans="1:1" ht="15">
      <c r="A71" s="73"/>
    </row>
    <row r="72" spans="1:1" ht="15">
      <c r="A72" s="73"/>
    </row>
    <row r="73" spans="1:1" ht="15">
      <c r="A73" s="73"/>
    </row>
    <row r="74" spans="1:1" ht="15">
      <c r="A74" s="73"/>
    </row>
    <row r="75" spans="1:1" ht="15">
      <c r="A75" s="73"/>
    </row>
    <row r="76" spans="1:1" ht="15">
      <c r="A76" s="73"/>
    </row>
    <row r="77" spans="1:1" ht="15">
      <c r="A77" s="73"/>
    </row>
    <row r="78" spans="1:1" ht="15">
      <c r="A78" s="73"/>
    </row>
    <row r="79" spans="1:1" ht="15">
      <c r="A79" s="73"/>
    </row>
    <row r="80" spans="1:1" ht="15">
      <c r="A80" s="73"/>
    </row>
    <row r="81" spans="1:1" ht="15">
      <c r="A81" s="73"/>
    </row>
    <row r="82" spans="1:1" ht="15">
      <c r="A82" s="73"/>
    </row>
    <row r="83" spans="1:1" ht="15">
      <c r="A83" s="73"/>
    </row>
    <row r="84" spans="1:1" ht="15">
      <c r="A84" s="73"/>
    </row>
    <row r="85" spans="1:1" ht="15">
      <c r="A85" s="73"/>
    </row>
    <row r="86" spans="1:1" ht="15">
      <c r="A86" s="73"/>
    </row>
    <row r="87" spans="1:1" ht="15">
      <c r="A87" s="73"/>
    </row>
    <row r="88" spans="1:1" ht="15">
      <c r="A88" s="73"/>
    </row>
    <row r="89" spans="1:1" ht="15">
      <c r="A89" s="73"/>
    </row>
    <row r="90" spans="1:1" ht="15">
      <c r="A90" s="73"/>
    </row>
    <row r="91" spans="1:1" ht="15">
      <c r="A91" s="73"/>
    </row>
    <row r="92" spans="1:1" ht="15">
      <c r="A92" s="73"/>
    </row>
    <row r="93" spans="1:1" ht="15">
      <c r="A93" s="73"/>
    </row>
    <row r="94" spans="1:1" ht="15">
      <c r="A94" s="73"/>
    </row>
    <row r="95" spans="1:1" ht="15">
      <c r="A95" s="73"/>
    </row>
    <row r="96" spans="1:1" ht="15">
      <c r="A96" s="73"/>
    </row>
    <row r="97" spans="1:1" ht="15">
      <c r="A97" s="73"/>
    </row>
    <row r="98" spans="1:1" ht="15">
      <c r="A98" s="73"/>
    </row>
    <row r="99" spans="1:1" ht="15">
      <c r="A99" s="73"/>
    </row>
    <row r="100" spans="1:1" ht="15">
      <c r="A100" s="73"/>
    </row>
    <row r="101" spans="1:1" ht="15">
      <c r="A101" s="73"/>
    </row>
    <row r="102" spans="1:1" ht="15">
      <c r="A102" s="73"/>
    </row>
    <row r="103" spans="1:1" ht="15">
      <c r="A103" s="73"/>
    </row>
    <row r="104" spans="1:1" ht="15">
      <c r="A104" s="73"/>
    </row>
    <row r="105" spans="1:1" ht="15">
      <c r="A105" s="73"/>
    </row>
    <row r="106" spans="1:1" ht="15">
      <c r="A106" s="73"/>
    </row>
    <row r="107" spans="1:1" ht="15">
      <c r="A107" s="73"/>
    </row>
    <row r="108" spans="1:1" ht="15">
      <c r="A108" s="73"/>
    </row>
    <row r="109" spans="1:1" ht="15">
      <c r="A109" s="73"/>
    </row>
    <row r="110" spans="1:1" ht="15">
      <c r="A110" s="73"/>
    </row>
    <row r="111" spans="1:1" ht="15">
      <c r="A111" s="73"/>
    </row>
    <row r="112" spans="1:1" ht="15">
      <c r="A112" s="73"/>
    </row>
    <row r="113" spans="1:1" ht="15">
      <c r="A113" s="73"/>
    </row>
    <row r="114" spans="1:1" ht="15">
      <c r="A114" s="73"/>
    </row>
    <row r="115" spans="1:1" ht="15">
      <c r="A115" s="73"/>
    </row>
    <row r="116" spans="1:1" ht="15">
      <c r="A116" s="73"/>
    </row>
    <row r="117" spans="1:1" ht="15">
      <c r="A117" s="73"/>
    </row>
    <row r="118" spans="1:1" ht="15">
      <c r="A118" s="73"/>
    </row>
    <row r="119" spans="1:1" ht="15">
      <c r="A119" s="73"/>
    </row>
    <row r="120" spans="1:1" ht="15">
      <c r="A120" s="73"/>
    </row>
    <row r="121" spans="1:1" ht="15">
      <c r="A121" s="73"/>
    </row>
    <row r="122" spans="1:1" ht="15">
      <c r="A122" s="73"/>
    </row>
    <row r="123" spans="1:1" ht="15">
      <c r="A123" s="73"/>
    </row>
    <row r="124" spans="1:1" ht="15">
      <c r="A124" s="73"/>
    </row>
    <row r="125" spans="1:1" ht="15">
      <c r="A125" s="73"/>
    </row>
    <row r="126" spans="1:1" ht="15">
      <c r="A126" s="73"/>
    </row>
    <row r="127" spans="1:1" ht="15">
      <c r="A127" s="73"/>
    </row>
    <row r="128" spans="1:1" ht="15">
      <c r="A128" s="73"/>
    </row>
    <row r="129" spans="1:1" ht="15">
      <c r="A129" s="73"/>
    </row>
    <row r="130" spans="1:1" ht="15">
      <c r="A130" s="73"/>
    </row>
    <row r="131" spans="1:1" ht="15">
      <c r="A131" s="73"/>
    </row>
    <row r="132" spans="1:1" ht="15">
      <c r="A132" s="73"/>
    </row>
    <row r="133" spans="1:1" ht="15">
      <c r="A133" s="73"/>
    </row>
    <row r="134" spans="1:1" ht="15">
      <c r="A134" s="73"/>
    </row>
    <row r="135" spans="1:1" ht="15">
      <c r="A135" s="73"/>
    </row>
    <row r="136" spans="1:1" ht="15">
      <c r="A136" s="73"/>
    </row>
    <row r="137" spans="1:1" ht="15">
      <c r="A137" s="73"/>
    </row>
    <row r="138" spans="1:1" ht="15">
      <c r="A138" s="73"/>
    </row>
    <row r="139" spans="1:1" ht="15">
      <c r="A139" s="73"/>
    </row>
    <row r="140" spans="1:1" ht="15">
      <c r="A140" s="73"/>
    </row>
    <row r="141" spans="1:1" ht="15">
      <c r="A141" s="73"/>
    </row>
    <row r="142" spans="1:1" ht="15">
      <c r="A142" s="73"/>
    </row>
    <row r="143" spans="1:1" ht="15">
      <c r="A143" s="73"/>
    </row>
    <row r="144" spans="1:1" ht="15">
      <c r="A144" s="73"/>
    </row>
    <row r="145" spans="1:1" ht="15">
      <c r="A145" s="73"/>
    </row>
    <row r="146" spans="1:1" ht="15">
      <c r="A146" s="73"/>
    </row>
    <row r="147" spans="1:1" ht="15">
      <c r="A147" s="73"/>
    </row>
    <row r="148" spans="1:1" ht="15">
      <c r="A148" s="73"/>
    </row>
    <row r="149" spans="1:1" ht="15">
      <c r="A149" s="73"/>
    </row>
    <row r="150" spans="1:1" ht="15">
      <c r="A150" s="73"/>
    </row>
    <row r="151" spans="1:1" ht="15">
      <c r="A151" s="73"/>
    </row>
    <row r="152" spans="1:1" ht="15">
      <c r="A152" s="73"/>
    </row>
    <row r="153" spans="1:1" ht="15">
      <c r="A153" s="73"/>
    </row>
    <row r="154" spans="1:1" ht="15">
      <c r="A154" s="73"/>
    </row>
    <row r="155" spans="1:1" ht="15">
      <c r="A155" s="73"/>
    </row>
    <row r="156" spans="1:1" ht="15">
      <c r="A156" s="73"/>
    </row>
    <row r="157" spans="1:1" ht="15">
      <c r="A157" s="73"/>
    </row>
    <row r="158" spans="1:1" ht="15">
      <c r="A158" s="73"/>
    </row>
    <row r="159" spans="1:1" ht="15">
      <c r="A159" s="73"/>
    </row>
    <row r="160" spans="1:1" ht="15">
      <c r="A160" s="73"/>
    </row>
    <row r="161" spans="1:1" ht="15">
      <c r="A161" s="73"/>
    </row>
    <row r="162" spans="1:1" ht="15">
      <c r="A162" s="73"/>
    </row>
    <row r="163" spans="1:1" ht="15">
      <c r="A163" s="73"/>
    </row>
    <row r="164" spans="1:1" ht="15">
      <c r="A164" s="73"/>
    </row>
    <row r="165" spans="1:1" ht="15">
      <c r="A165" s="73"/>
    </row>
    <row r="166" spans="1:1" ht="15">
      <c r="A166" s="73"/>
    </row>
    <row r="167" spans="1:1" ht="15">
      <c r="A167" s="73"/>
    </row>
    <row r="168" spans="1:1" ht="15">
      <c r="A168" s="73"/>
    </row>
    <row r="169" spans="1:1" ht="15">
      <c r="A169" s="73"/>
    </row>
    <row r="170" spans="1:1" ht="15">
      <c r="A170" s="73"/>
    </row>
    <row r="171" spans="1:1" ht="15">
      <c r="A171" s="73"/>
    </row>
    <row r="172" spans="1:1" ht="15">
      <c r="A172" s="73"/>
    </row>
    <row r="173" spans="1:1" ht="15">
      <c r="A173" s="73"/>
    </row>
    <row r="174" spans="1:1" ht="15">
      <c r="A174" s="73"/>
    </row>
    <row r="175" spans="1:1" ht="15">
      <c r="A175" s="73"/>
    </row>
    <row r="176" spans="1:1" ht="15">
      <c r="A176" s="73"/>
    </row>
    <row r="177" spans="1:1" ht="15">
      <c r="A177" s="73"/>
    </row>
    <row r="178" spans="1:1" ht="15">
      <c r="A178" s="73"/>
    </row>
    <row r="179" spans="1:1" ht="15">
      <c r="A179" s="73"/>
    </row>
    <row r="180" spans="1:1" ht="15">
      <c r="A180" s="73"/>
    </row>
    <row r="181" spans="1:1" ht="15">
      <c r="A181" s="73"/>
    </row>
    <row r="182" spans="1:1" ht="15">
      <c r="A182" s="73"/>
    </row>
    <row r="183" spans="1:1" ht="15">
      <c r="A183" s="73"/>
    </row>
    <row r="184" spans="1:1" ht="15">
      <c r="A184" s="73"/>
    </row>
  </sheetData>
  <sheetProtection password="EE46" sheet="1" objects="1" scenarios="1"/>
  <mergeCells count="4">
    <mergeCell ref="B17:P17"/>
    <mergeCell ref="A16:P16"/>
    <mergeCell ref="B18:C18"/>
    <mergeCell ref="D18:E18"/>
  </mergeCells>
  <dataValidations count="1">
    <dataValidation type="list" allowBlank="1" showInputMessage="1" showErrorMessage="1" sqref="B6" xr:uid="{00000000-0002-0000-0500-000000000000}">
      <formula1>$H$10:$H$15</formula1>
    </dataValidation>
  </dataValidations>
  <hyperlinks>
    <hyperlink ref="B18" r:id="rId1" xr:uid="{00000000-0004-0000-0500-000000000000}"/>
    <hyperlink ref="D18" r:id="rId2" xr:uid="{00000000-0004-0000-0500-000001000000}"/>
    <hyperlink ref="A16" r:id="rId3" xr:uid="{00000000-0004-0000-0500-000002000000}"/>
    <hyperlink ref="B16" r:id="rId4" display="http://creativecommons.org/licenses/by-sa/4.0/" xr:uid="{00000000-0004-0000-0500-000003000000}"/>
    <hyperlink ref="C16" r:id="rId5" display="http://creativecommons.org/licenses/by-sa/4.0/" xr:uid="{00000000-0004-0000-0500-000004000000}"/>
    <hyperlink ref="D16" r:id="rId6" display="http://creativecommons.org/licenses/by-sa/4.0/" xr:uid="{00000000-0004-0000-0500-000005000000}"/>
    <hyperlink ref="E16" r:id="rId7" display="http://creativecommons.org/licenses/by-sa/4.0/" xr:uid="{00000000-0004-0000-0500-000006000000}"/>
    <hyperlink ref="F16" r:id="rId8" display="http://creativecommons.org/licenses/by-sa/4.0/" xr:uid="{00000000-0004-0000-0500-000007000000}"/>
    <hyperlink ref="G16" r:id="rId9" display="http://creativecommons.org/licenses/by-sa/4.0/" xr:uid="{00000000-0004-0000-0500-000008000000}"/>
    <hyperlink ref="H16" r:id="rId10" display="http://creativecommons.org/licenses/by-sa/4.0/" xr:uid="{00000000-0004-0000-0500-000009000000}"/>
    <hyperlink ref="I16" r:id="rId11" display="http://creativecommons.org/licenses/by-sa/4.0/" xr:uid="{00000000-0004-0000-0500-00000A000000}"/>
    <hyperlink ref="J16" r:id="rId12" display="http://creativecommons.org/licenses/by-sa/4.0/" xr:uid="{00000000-0004-0000-0500-00000B000000}"/>
    <hyperlink ref="K16" r:id="rId13" display="http://creativecommons.org/licenses/by-sa/4.0/" xr:uid="{00000000-0004-0000-0500-00000C000000}"/>
    <hyperlink ref="L16" r:id="rId14" display="http://creativecommons.org/licenses/by-sa/4.0/" xr:uid="{00000000-0004-0000-0500-00000D000000}"/>
    <hyperlink ref="M16" r:id="rId15" display="http://creativecommons.org/licenses/by-sa/4.0/" xr:uid="{00000000-0004-0000-0500-00000E000000}"/>
    <hyperlink ref="N16" r:id="rId16" display="http://creativecommons.org/licenses/by-sa/4.0/" xr:uid="{00000000-0004-0000-0500-00000F000000}"/>
    <hyperlink ref="O16" r:id="rId17" display="http://creativecommons.org/licenses/by-sa/4.0/" xr:uid="{00000000-0004-0000-0500-000010000000}"/>
    <hyperlink ref="P16" r:id="rId18" display="http://creativecommons.org/licenses/by-sa/4.0/" xr:uid="{00000000-0004-0000-0500-000011000000}"/>
  </hyperlinks>
  <pageMargins left="0.7" right="0.7" top="0.75" bottom="0.75" header="0.3" footer="0.3"/>
  <pageSetup paperSize="9" orientation="portrait" horizontalDpi="0" verticalDpi="0"/>
  <drawing r:id="rId1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AF187"/>
  <sheetViews>
    <sheetView topLeftCell="J100" zoomScale="80" zoomScaleNormal="80" zoomScalePageLayoutView="80" workbookViewId="0">
      <selection activeCell="AF3" sqref="AF3"/>
    </sheetView>
  </sheetViews>
  <sheetFormatPr defaultColWidth="8.85546875" defaultRowHeight="15"/>
  <cols>
    <col min="1" max="1" width="12.28515625" style="3" bestFit="1" customWidth="1"/>
    <col min="2" max="2" width="15.85546875" style="2" bestFit="1" customWidth="1"/>
    <col min="3" max="4" width="15.85546875" style="2" customWidth="1"/>
    <col min="5" max="5" width="11" style="1" bestFit="1" customWidth="1"/>
    <col min="6" max="6" width="11" style="1" customWidth="1"/>
    <col min="7" max="7" width="9.42578125" bestFit="1" customWidth="1"/>
    <col min="8" max="8" width="13.7109375" style="1" bestFit="1" customWidth="1"/>
    <col min="9" max="9" width="13.7109375" style="1" customWidth="1"/>
    <col min="10" max="10" width="8.7109375" style="1" bestFit="1" customWidth="1"/>
    <col min="11" max="11" width="12.42578125" style="1" bestFit="1" customWidth="1"/>
    <col min="12" max="12" width="14.42578125" style="1" bestFit="1" customWidth="1"/>
    <col min="13" max="13" width="14.140625" style="1" bestFit="1" customWidth="1"/>
    <col min="14" max="18" width="13" style="1" bestFit="1" customWidth="1"/>
    <col min="19" max="20" width="13" style="1" customWidth="1"/>
    <col min="21" max="21" width="13" style="1" bestFit="1" customWidth="1"/>
    <col min="22" max="24" width="13" style="1" customWidth="1"/>
    <col min="25" max="26" width="13" style="1" bestFit="1" customWidth="1"/>
    <col min="27" max="29" width="8.85546875" style="1"/>
    <col min="30" max="30" width="10.7109375" style="66" bestFit="1" customWidth="1"/>
    <col min="31" max="16384" width="8.85546875" style="1"/>
  </cols>
  <sheetData>
    <row r="1" spans="1:32">
      <c r="A1" s="9" t="s">
        <v>59</v>
      </c>
      <c r="B1" s="9" t="s">
        <v>1</v>
      </c>
      <c r="C1" s="10" t="s">
        <v>4</v>
      </c>
      <c r="D1" s="10" t="s">
        <v>51</v>
      </c>
      <c r="E1" s="10" t="s">
        <v>50</v>
      </c>
      <c r="F1" s="10" t="s">
        <v>181</v>
      </c>
      <c r="G1" s="10" t="s">
        <v>18</v>
      </c>
      <c r="H1" s="10" t="s">
        <v>44</v>
      </c>
      <c r="I1" s="10" t="s">
        <v>20</v>
      </c>
      <c r="J1" s="10" t="s">
        <v>48</v>
      </c>
      <c r="K1" s="10" t="s">
        <v>47</v>
      </c>
      <c r="L1" s="10" t="s">
        <v>19</v>
      </c>
      <c r="M1" s="10" t="s">
        <v>174</v>
      </c>
      <c r="N1" s="10" t="s">
        <v>0</v>
      </c>
      <c r="O1" s="10" t="s">
        <v>25</v>
      </c>
      <c r="P1" s="10" t="s">
        <v>17</v>
      </c>
      <c r="Q1" s="10" t="s">
        <v>26</v>
      </c>
      <c r="R1" s="10" t="s">
        <v>2</v>
      </c>
      <c r="S1" s="10" t="s">
        <v>173</v>
      </c>
      <c r="T1" s="10" t="s">
        <v>176</v>
      </c>
      <c r="U1" s="10" t="s">
        <v>27</v>
      </c>
      <c r="V1" s="10" t="s">
        <v>22</v>
      </c>
      <c r="W1" s="10" t="s">
        <v>175</v>
      </c>
      <c r="X1" s="10" t="s">
        <v>178</v>
      </c>
      <c r="Y1" s="10" t="s">
        <v>179</v>
      </c>
      <c r="Z1" s="10" t="s">
        <v>177</v>
      </c>
      <c r="AA1" s="10" t="s">
        <v>69</v>
      </c>
      <c r="AB1" s="10" t="s">
        <v>11</v>
      </c>
      <c r="AC1" s="10" t="s">
        <v>29</v>
      </c>
      <c r="AD1" s="10" t="s">
        <v>30</v>
      </c>
      <c r="AE1" s="10" t="s">
        <v>28</v>
      </c>
      <c r="AF1" s="12" t="s">
        <v>75</v>
      </c>
    </row>
    <row r="2" spans="1:32">
      <c r="A2" s="8">
        <f>CFDTable[[#This Row],[Date]]</f>
        <v>42408</v>
      </c>
      <c r="B2" s="9">
        <f>Data!B2</f>
        <v>42408</v>
      </c>
      <c r="C2" s="10" t="e">
        <f>IF(ISNUMBER(CFDTable[[#This Row],[Ready]]),NA(),CFDTable[[#This Row],[Target]]-CFDTable[[#This Row],[To Do]])</f>
        <v>#N/A</v>
      </c>
      <c r="D2" s="10" t="e">
        <f>IF(CFDTable[[#This Row],[Emergence]]&gt;0,CFDTable[[#This Row],[Future Work]]-CFDTable[[#This Row],[Emergence]],NA())</f>
        <v>#N/A</v>
      </c>
      <c r="E2" s="10">
        <f>Data!C2</f>
        <v>0</v>
      </c>
      <c r="F2" s="10">
        <f ca="1">Data!D2</f>
        <v>2</v>
      </c>
      <c r="G2" s="10">
        <f ca="1">Data!E2</f>
        <v>2</v>
      </c>
      <c r="H2" s="10">
        <f>Data!F2</f>
        <v>0</v>
      </c>
      <c r="I2" s="10">
        <f ca="1">IF(TodaysDate&gt;=$B2,Data!G2,NA())</f>
        <v>3</v>
      </c>
      <c r="J2" s="10">
        <f ca="1">IF(TodaysDate&gt;=$B2,Data!H2,NA())</f>
        <v>0</v>
      </c>
      <c r="K2" s="10">
        <f ca="1">IF(TodaysDate&gt;=$B2,Data!I2,NA())</f>
        <v>0</v>
      </c>
      <c r="L2" s="10">
        <f ca="1">IF(TodaysDate&gt;=$B2,Data!J2,NA())</f>
        <v>0</v>
      </c>
      <c r="M2" s="10">
        <v>0</v>
      </c>
      <c r="N2" s="10">
        <f>CFDTable[[#This Row],[Median Prediction]]</f>
        <v>0</v>
      </c>
      <c r="O2" s="10">
        <v>0</v>
      </c>
      <c r="P2" s="10">
        <f>CFDTable[[#This Row],[Median Prediction]]</f>
        <v>0</v>
      </c>
      <c r="Q2" s="10">
        <f ca="1">CFDTable[[#This Row],[AvgDaily]]-CFDTable[[#This Row],[Deviation]]</f>
        <v>0</v>
      </c>
      <c r="R2" s="10">
        <v>0</v>
      </c>
      <c r="S2" s="10">
        <v>0</v>
      </c>
      <c r="T2" s="10">
        <v>0</v>
      </c>
      <c r="U2" s="10">
        <f ca="1">CFDTable[[#This Row],[AvgDaily]]+CFDTable[[#This Row],[Deviation]]</f>
        <v>0</v>
      </c>
      <c r="V2" s="10">
        <f ca="1">IF(ISNUMBER(M2),((_xlfn.PERCENTILE.INC(IF(ISNUMBER(OFFSET(R2,-Historic,0)),OFFSET(R2,-Historic,0),R$2):R2,PercentileHigh/100))-(MEDIAN(IF(ISNUMBER(OFFSET(R2,-Historic,0)),OFFSET(R2,-Historic,0),R$2):R2))),V1)</f>
        <v>0</v>
      </c>
      <c r="W2" s="10">
        <f>IF(ISNUMBER(M2),((_xlfn.PERCENTILE.INC(R$2:R2,PercentileHigh/100))-(MEDIAN(R$2:R2))),V1)</f>
        <v>0</v>
      </c>
      <c r="X2" s="10">
        <v>0</v>
      </c>
      <c r="Y2" s="10">
        <v>0</v>
      </c>
      <c r="Z2" s="10">
        <f ca="1">IF(ISNUMBER(CFDTable[[#This Row],[Done Today]]),SUM($G2:$L2),Z1+CFDTable[[#This Row],[avg added]])</f>
        <v>5</v>
      </c>
      <c r="AA2" s="10">
        <f ca="1">IF(ISNUMBER(CFDTable[[#This Row],[Done Today]]),SUM($G2:$L2),$AA1)</f>
        <v>5</v>
      </c>
      <c r="AB2" s="10">
        <f ca="1">IF(ISNUMBER(CFDTable[[#This Row],[Done Today]]),SUM($G2:$L2),$AB1)</f>
        <v>5</v>
      </c>
      <c r="AC2" s="10"/>
      <c r="AD2" s="10"/>
      <c r="AE2" s="10"/>
      <c r="AF2" s="12">
        <f>IF(CFDTable[[#This Row],[Date]]=DeadlineDate,CFDTable[[#This Row],[FutureWork2]],0)</f>
        <v>0</v>
      </c>
    </row>
    <row r="3" spans="1:32">
      <c r="A3" s="8">
        <f>CFDTable[[#This Row],[Date]]</f>
        <v>42409</v>
      </c>
      <c r="B3" s="9">
        <f>Data!B3</f>
        <v>42409</v>
      </c>
      <c r="C3" s="10" t="e">
        <f ca="1">IF(ISNUMBER(CFDTable[[#This Row],[Ready]]),NA(),CFDTable[[#This Row],[Target]]-CFDTable[[#This Row],[To Do]])</f>
        <v>#N/A</v>
      </c>
      <c r="D3" s="10" t="e">
        <f>IF(CFDTable[[#This Row],[Emergence]]&gt;0,CFDTable[[#This Row],[Future Work]]-CFDTable[[#This Row],[Emergence]],NA())</f>
        <v>#N/A</v>
      </c>
      <c r="E3" s="10">
        <f>Data!C3</f>
        <v>0</v>
      </c>
      <c r="F3" s="10">
        <f ca="1">Data!D3</f>
        <v>2</v>
      </c>
      <c r="G3" s="10">
        <f ca="1">Data!E3</f>
        <v>2</v>
      </c>
      <c r="H3" s="10">
        <f ca="1">IF(TodaysDate&gt;=$B3,Data!F3,NA())</f>
        <v>0</v>
      </c>
      <c r="I3" s="10">
        <f ca="1">IF(TodaysDate&gt;=$B3,Data!G3,NA())</f>
        <v>1</v>
      </c>
      <c r="J3" s="10">
        <f ca="1">IF(TodaysDate&gt;=$B3,Data!H3,NA())</f>
        <v>0</v>
      </c>
      <c r="K3" s="10">
        <f ca="1">IF(TodaysDate&gt;=$B3,Data!I3,NA())</f>
        <v>0</v>
      </c>
      <c r="L3" s="10">
        <f ca="1">IF(TodaysDate&gt;=$B3,Data!J3,NA())</f>
        <v>2</v>
      </c>
      <c r="M3" s="10">
        <f ca="1">IF(CFDTable[[#This Row],[Done]]&gt;0,(CFDTable[[#This Row],[Done]])-(L2),0)</f>
        <v>2</v>
      </c>
      <c r="N3" s="10">
        <f ca="1">IF(ISNUMBER($M3),SUM(CFDTable[[#This Row],[Done]]),IF(CFDTable[[#This Row],[lookupLow]]&gt;=CFDTable[[#This Row],[FutureWork2]]+CFDTable[[#This Row],[lowDaily]],NA(),CFDTable[[#This Row],[lookupLow]]))</f>
        <v>2</v>
      </c>
      <c r="O3" s="10">
        <f ca="1">IF(ISNUMBER($M3),SUM(CFDTable[[#This Row],[Done]]),IF(CFDTable[[#This Row],[lookupMedian]]&gt;=CFDTable[[#This Row],[FutureWork2]],NA(),CFDTable[[#This Row],[lookupMedian]]))</f>
        <v>2</v>
      </c>
      <c r="P3" s="10">
        <f ca="1">IF(ISNUMBER(CFDTable[[#This Row],[Done Today]]),SUM(CFDTable[[#This Row],[Done]]),IF(CFDTable[[#This Row],[lookupHigh]]&gt;=CFDTable[[#This Row],[FutureWork2]]+CFDTable[[#This Row],[highDaily]],NA(),CFDTable[[#This Row],[lookupHigh]]))</f>
        <v>2</v>
      </c>
      <c r="Q3" s="10">
        <f ca="1">CFDTable[[#This Row],[AvgDaily]]-CFDTable[[#This Row],[Deviation]]</f>
        <v>0.64999999999999991</v>
      </c>
      <c r="R3" s="10">
        <f ca="1">AVERAGE(IF(ISNUMBER(M3),IF(ISNUMBER(OFFSET(M3,-Historic,0)),OFFSET(M3,-Historic,0),M$2):M3,R2))</f>
        <v>1</v>
      </c>
      <c r="S3" s="10">
        <f ca="1">AVERAGE(IF(ISNUMBER(M3),IF(ISNUMBER(OFFSET(M3,-Historic,0)),OFFSET(M3,-Historic,0),M$2):M3,S2))</f>
        <v>1</v>
      </c>
      <c r="T3" s="10">
        <f ca="1">AVERAGE(IF(ISNUMBER(M3),M$2:M3,T2))</f>
        <v>1</v>
      </c>
      <c r="U3" s="10">
        <f ca="1">CFDTable[[#This Row],[AvgDaily]]+CFDTable[[#This Row],[Deviation]]</f>
        <v>1.35</v>
      </c>
      <c r="V3" s="10">
        <f ca="1">IF(ISNUMBER(M3),((_xlfn.PERCENTILE.INC(IF(ISNUMBER(OFFSET(R3,-Historic,0)),OFFSET(R3,-Historic,0),R$2):R3,PercentileHigh/100))-(MEDIAN(IF(ISNUMBER(OFFSET(R3,-Historic,0)),OFFSET(R3,-Historic,0),R$2):R3))),V2)</f>
        <v>0.35000000000000009</v>
      </c>
      <c r="W3" s="10">
        <f ca="1">IF(ISNUMBER(M3),((_xlfn.PERCENTILE.INC(R$2:R3,PercentileHigh/100))-(MEDIAN(R$2:R3))),V2)</f>
        <v>0.35000000000000009</v>
      </c>
      <c r="X3" s="10">
        <f ca="1">(SUM(CFDTable[[#This Row],[To Do]:[Done]])-SUM(G2:L2))</f>
        <v>0</v>
      </c>
      <c r="Y3" s="10">
        <f ca="1">AVERAGE(IF(ISNUMBER(X3),IF(ISNUMBER(OFFSET(X3,-Historic,0)),OFFSET(X3,-Historic,0),X$2):X3,Y2))</f>
        <v>0</v>
      </c>
      <c r="Z3" s="10">
        <f ca="1">IF(ISNUMBER(CFDTable[[#This Row],[Done Today]]),SUM($G3:$L3),Z2+CFDTable[[#This Row],[avg added]])</f>
        <v>5</v>
      </c>
      <c r="AA3" s="10">
        <f ca="1">IF(ISNUMBER(CFDTable[[#This Row],[Done Today]]),SUM($G3:$L3),$AA2)</f>
        <v>5</v>
      </c>
      <c r="AB3" s="10">
        <f ca="1">IF(ISNUMBER(CFDTable[[#This Row],[Done Today]]),SUM($G3:$L3),$AB2)</f>
        <v>5</v>
      </c>
      <c r="AC3" s="10">
        <f ca="1">SUM(LOOKUP(2,1/(N$1:N2&lt;&gt;""),N$1:N2)+CFDTable[[#This Row],[lowDaily]])</f>
        <v>0.64999999999999991</v>
      </c>
      <c r="AD3" s="10">
        <f ca="1">SUM(LOOKUP(2,1/(O$1:O2&lt;&gt;""),O$1:O2)+R3)</f>
        <v>1</v>
      </c>
      <c r="AE3" s="10">
        <f ca="1">SUM(LOOKUP(2,1/(P$1:P2&lt;&gt;""),P$1:P2)+CFDTable[[#This Row],[highDaily]])</f>
        <v>1.35</v>
      </c>
      <c r="AF3" s="12">
        <f>IF(CFDTable[[#This Row],[Date]]=DeadlineDate,CFDTable[[#This Row],[FutureWork2]],0)</f>
        <v>0</v>
      </c>
    </row>
    <row r="4" spans="1:32">
      <c r="A4" s="8">
        <f>CFDTable[[#This Row],[Date]]</f>
        <v>42410</v>
      </c>
      <c r="B4" s="9">
        <f>Data!B4</f>
        <v>42410</v>
      </c>
      <c r="C4" s="10" t="e">
        <f ca="1">IF(ISNUMBER(CFDTable[[#This Row],[Ready]]),NA(),CFDTable[[#This Row],[Target]]-CFDTable[[#This Row],[To Do]])</f>
        <v>#N/A</v>
      </c>
      <c r="D4" s="10" t="e">
        <f>IF(CFDTable[[#This Row],[Emergence]]&gt;0,CFDTable[[#This Row],[Future Work]]-CFDTable[[#This Row],[Emergence]],NA())</f>
        <v>#N/A</v>
      </c>
      <c r="E4" s="10">
        <f>Data!C4</f>
        <v>0</v>
      </c>
      <c r="F4" s="10">
        <f ca="1">Data!D4</f>
        <v>0</v>
      </c>
      <c r="G4" s="10">
        <f ca="1">Data!E4</f>
        <v>0</v>
      </c>
      <c r="H4" s="10">
        <f ca="1">IF(TodaysDate&gt;=$B4,Data!F4,NA())</f>
        <v>0</v>
      </c>
      <c r="I4" s="10">
        <f ca="1">IF(TodaysDate&gt;=$B4,Data!G4,NA())</f>
        <v>3</v>
      </c>
      <c r="J4" s="10">
        <f ca="1">IF(TodaysDate&gt;=$B4,Data!H4,NA())</f>
        <v>0</v>
      </c>
      <c r="K4" s="10">
        <f ca="1">IF(TodaysDate&gt;=$B4,Data!I4,NA())</f>
        <v>0</v>
      </c>
      <c r="L4" s="10">
        <f ca="1">IF(TodaysDate&gt;=$B4,Data!J4,NA())</f>
        <v>2</v>
      </c>
      <c r="M4" s="10">
        <f ca="1">IF(CFDTable[[#This Row],[Done]]&gt;0,(CFDTable[[#This Row],[Done]])-(L3),0)</f>
        <v>0</v>
      </c>
      <c r="N4" s="10">
        <f ca="1">IF(ISNUMBER($M4),SUM(CFDTable[[#This Row],[Done]]),IF(CFDTable[[#This Row],[lookupLow]]&gt;=CFDTable[[#This Row],[FutureWork2]]+CFDTable[[#This Row],[lowDaily]],NA(),CFDTable[[#This Row],[lookupLow]]))</f>
        <v>2</v>
      </c>
      <c r="O4" s="10">
        <f ca="1">IF(ISNUMBER($M4),SUM(CFDTable[[#This Row],[Done]]),IF(CFDTable[[#This Row],[lookupMedian]]&gt;=CFDTable[[#This Row],[FutureWork2]],NA(),CFDTable[[#This Row],[lookupMedian]]))</f>
        <v>2</v>
      </c>
      <c r="P4" s="10">
        <f ca="1">IF(ISNUMBER(CFDTable[[#This Row],[Done Today]]),SUM(CFDTable[[#This Row],[Done]]),IF(CFDTable[[#This Row],[lookupHigh]]&gt;=CFDTable[[#This Row],[FutureWork2]]+CFDTable[[#This Row],[highDaily]],NA(),CFDTable[[#This Row],[lookupHigh]]))</f>
        <v>2</v>
      </c>
      <c r="Q4" s="10">
        <f ca="1">CFDTable[[#This Row],[AvgDaily]]-CFDTable[[#This Row],[Deviation]]</f>
        <v>0.43333333333333324</v>
      </c>
      <c r="R4" s="10">
        <f ca="1">AVERAGE(IF(ISNUMBER(M4),IF(ISNUMBER(OFFSET(M4,-Historic,0)),OFFSET(M4,-Historic,0),M$2):M4,R3))</f>
        <v>0.66666666666666663</v>
      </c>
      <c r="S4" s="10">
        <f ca="1">AVERAGE(IF(ISNUMBER(M4),IF(ISNUMBER(OFFSET(M4,-Historic,0)),OFFSET(M4,-Historic,0),M$2):M4,S3))</f>
        <v>0.66666666666666663</v>
      </c>
      <c r="T4" s="10">
        <f ca="1">AVERAGE(IF(ISNUMBER(M4),OFFSET(M$2,DaysToIgnoreOnAvg,0):M4,T3))</f>
        <v>0</v>
      </c>
      <c r="U4" s="10">
        <f ca="1">CFDTable[[#This Row],[AvgDaily]]+CFDTable[[#This Row],[Deviation]]</f>
        <v>0.9</v>
      </c>
      <c r="V4" s="10">
        <f ca="1">IF(ISNUMBER(M4),((_xlfn.PERCENTILE.INC(IF(ISNUMBER(OFFSET(R4,-Historic,0)),OFFSET(R4,-Historic,0),R$2):R4,PercentileHigh/100))-(MEDIAN(IF(ISNUMBER(OFFSET(R4,-Historic,0)),OFFSET(R4,-Historic,0),R$2):R4))),V3)</f>
        <v>0.23333333333333339</v>
      </c>
      <c r="W4" s="10">
        <f ca="1">IF(ISNUMBER(M4),((_xlfn.PERCENTILE.INC(R$2:R4,PercentileHigh/100))-(MEDIAN(R$2:R4))),V3)</f>
        <v>0.23333333333333339</v>
      </c>
      <c r="X4" s="10">
        <f ca="1">(SUM(CFDTable[[#This Row],[To Do]:[Done]])-SUM(G3:L3))</f>
        <v>0</v>
      </c>
      <c r="Y4" s="10">
        <f ca="1">AVERAGE(IF(ISNUMBER(X4),IF(ISNUMBER(OFFSET(X4,-Historic,0)),OFFSET(X4,-Historic,0),X$2):X4,Y3))</f>
        <v>0</v>
      </c>
      <c r="Z4" s="10">
        <f ca="1">IF(ISNUMBER(CFDTable[[#This Row],[Done Today]]),SUM($G4:$L4),Z3+CFDTable[[#This Row],[avg added]])</f>
        <v>5</v>
      </c>
      <c r="AA4" s="10">
        <f ca="1">IF(ISNUMBER(CFDTable[[#This Row],[Done Today]]),SUM($G4:$L4),$AA3)</f>
        <v>5</v>
      </c>
      <c r="AB4" s="10">
        <f ca="1">IF(ISNUMBER(CFDTable[[#This Row],[Done Today]]),SUM($G4:$L4),$AB3)</f>
        <v>5</v>
      </c>
      <c r="AC4" s="10">
        <f ca="1">SUM(LOOKUP(2,1/(N$1:N3&lt;&gt;""),N$1:N3)+CFDTable[[#This Row],[lowDaily]])</f>
        <v>2.4333333333333331</v>
      </c>
      <c r="AD4" s="10">
        <f ca="1">SUM(LOOKUP(2,1/(O$1:O3&lt;&gt;""),O$1:O3)+R4)</f>
        <v>2.6666666666666665</v>
      </c>
      <c r="AE4" s="10">
        <f ca="1">SUM(LOOKUP(2,1/(P$1:P3&lt;&gt;""),P$1:P3)+CFDTable[[#This Row],[highDaily]])</f>
        <v>2.9</v>
      </c>
      <c r="AF4" s="12">
        <f>IF(CFDTable[[#This Row],[Date]]=DeadlineDate,CFDTable[[#This Row],[FutureWork2]],0)</f>
        <v>0</v>
      </c>
    </row>
    <row r="5" spans="1:32">
      <c r="A5" s="8">
        <f>CFDTable[[#This Row],[Date]]</f>
        <v>42411</v>
      </c>
      <c r="B5" s="9">
        <f>Data!B5</f>
        <v>42411</v>
      </c>
      <c r="C5" s="10" t="e">
        <f ca="1">IF(ISNUMBER(CFDTable[[#This Row],[Ready]]),NA(),CFDTable[[#This Row],[Target]]-CFDTable[[#This Row],[To Do]])</f>
        <v>#N/A</v>
      </c>
      <c r="D5" s="10" t="e">
        <f>IF(CFDTable[[#This Row],[Emergence]]&gt;0,CFDTable[[#This Row],[Future Work]]-CFDTable[[#This Row],[Emergence]],NA())</f>
        <v>#N/A</v>
      </c>
      <c r="E5" s="10">
        <f>Data!C5</f>
        <v>0</v>
      </c>
      <c r="F5" s="10">
        <f ca="1">Data!D5</f>
        <v>0</v>
      </c>
      <c r="G5" s="10">
        <f ca="1">Data!E5</f>
        <v>0</v>
      </c>
      <c r="H5" s="10">
        <f ca="1">IF(TodaysDate&gt;=$B5,Data!F5,NA())</f>
        <v>0</v>
      </c>
      <c r="I5" s="10">
        <f ca="1">IF(TodaysDate&gt;=$B5,Data!G5,NA())</f>
        <v>3</v>
      </c>
      <c r="J5" s="10">
        <f ca="1">IF(TodaysDate&gt;=$B5,Data!H5,NA())</f>
        <v>0</v>
      </c>
      <c r="K5" s="10">
        <f ca="1">IF(TodaysDate&gt;=$B5,Data!I5,NA())</f>
        <v>0</v>
      </c>
      <c r="L5" s="10">
        <f ca="1">IF(TodaysDate&gt;=$B5,Data!J5,NA())</f>
        <v>2</v>
      </c>
      <c r="M5" s="10">
        <f ca="1">IF(CFDTable[[#This Row],[Done]]&gt;0,(CFDTable[[#This Row],[Done]])-(L4),0)</f>
        <v>0</v>
      </c>
      <c r="N5" s="10">
        <f ca="1">IF(ISNUMBER($M5),SUM(CFDTable[[#This Row],[Done]]),IF(CFDTable[[#This Row],[lookupLow]]&gt;=CFDTable[[#This Row],[FutureWork2]]+CFDTable[[#This Row],[lowDaily]],NA(),CFDTable[[#This Row],[lookupLow]]))</f>
        <v>2</v>
      </c>
      <c r="O5" s="10">
        <f ca="1">IF(ISNUMBER($M5),SUM(CFDTable[[#This Row],[Done]]),IF(CFDTable[[#This Row],[lookupMedian]]&gt;=CFDTable[[#This Row],[FutureWork2]],NA(),CFDTable[[#This Row],[lookupMedian]]))</f>
        <v>2</v>
      </c>
      <c r="P5" s="10">
        <f ca="1">IF(ISNUMBER(CFDTable[[#This Row],[Done Today]]),SUM(CFDTable[[#This Row],[Done]]),IF(CFDTable[[#This Row],[lookupHigh]]&gt;=CFDTable[[#This Row],[FutureWork2]]+CFDTable[[#This Row],[highDaily]],NA(),CFDTable[[#This Row],[lookupHigh]]))</f>
        <v>2</v>
      </c>
      <c r="Q5" s="10">
        <f ca="1">CFDTable[[#This Row],[AvgDaily]]-CFDTable[[#This Row],[Deviation]]</f>
        <v>0.23333333333333339</v>
      </c>
      <c r="R5" s="10">
        <f ca="1">AVERAGE(IF(ISNUMBER(M5),IF(ISNUMBER(OFFSET(M5,-Historic,0)),OFFSET(M5,-Historic,0),M$2):M5,R4))</f>
        <v>0.5</v>
      </c>
      <c r="S5" s="10">
        <f ca="1">AVERAGE(IF(ISNUMBER(M5),IF(ISNUMBER(OFFSET(M5,-Historic,0)),OFFSET(M5,-Historic,0),M$2):M5,S4))</f>
        <v>0.5</v>
      </c>
      <c r="T5" s="10">
        <f ca="1">AVERAGE(IF(ISNUMBER(M5),OFFSET(M$2,DaysToIgnoreOnAvg,0):M5,T4))</f>
        <v>0</v>
      </c>
      <c r="U5" s="10">
        <f ca="1">CFDTable[[#This Row],[AvgDaily]]+CFDTable[[#This Row],[Deviation]]</f>
        <v>0.76666666666666661</v>
      </c>
      <c r="V5" s="10">
        <f ca="1">IF(ISNUMBER(M5),((_xlfn.PERCENTILE.INC(IF(ISNUMBER(OFFSET(R5,-Historic,0)),OFFSET(R5,-Historic,0),R$2):R5,PercentileHigh/100))-(MEDIAN(IF(ISNUMBER(OFFSET(R5,-Historic,0)),OFFSET(R5,-Historic,0),R$2):R5))),V4)</f>
        <v>0.26666666666666661</v>
      </c>
      <c r="W5" s="10">
        <f ca="1">IF(ISNUMBER(M5),((_xlfn.PERCENTILE.INC(R$2:R5,PercentileHigh/100))-(MEDIAN(R$2:R5))),V4)</f>
        <v>0.26666666666666661</v>
      </c>
      <c r="X5" s="10">
        <f ca="1">(SUM(CFDTable[[#This Row],[To Do]:[Done]])-SUM(G4:L4))</f>
        <v>0</v>
      </c>
      <c r="Y5" s="10">
        <f ca="1">AVERAGE(IF(ISNUMBER(X5),IF(ISNUMBER(OFFSET(X5,-Historic,0)),OFFSET(X5,-Historic,0),X$2):X5,Y4))</f>
        <v>0</v>
      </c>
      <c r="Z5" s="10">
        <f ca="1">IF(ISNUMBER(CFDTable[[#This Row],[Done Today]]),SUM($G5:$L5),Z4+CFDTable[[#This Row],[avg added]])</f>
        <v>5</v>
      </c>
      <c r="AA5" s="10">
        <f ca="1">IF(ISNUMBER(CFDTable[[#This Row],[Done Today]]),SUM($G5:$L5),$AA4)</f>
        <v>5</v>
      </c>
      <c r="AB5" s="10">
        <f ca="1">IF(ISNUMBER(CFDTable[[#This Row],[Done Today]]),SUM($G5:$L5),$AB4)</f>
        <v>5</v>
      </c>
      <c r="AC5" s="10">
        <f ca="1">SUM(LOOKUP(2,1/(N$1:N4&lt;&gt;""),N$1:N4)+CFDTable[[#This Row],[lowDaily]])</f>
        <v>2.2333333333333334</v>
      </c>
      <c r="AD5" s="10">
        <f ca="1">SUM(LOOKUP(2,1/(O$1:O4&lt;&gt;""),O$1:O4)+R5)</f>
        <v>2.5</v>
      </c>
      <c r="AE5" s="10">
        <f ca="1">SUM(LOOKUP(2,1/(P$1:P4&lt;&gt;""),P$1:P4)+CFDTable[[#This Row],[highDaily]])</f>
        <v>2.7666666666666666</v>
      </c>
      <c r="AF5" s="12">
        <f>IF(CFDTable[[#This Row],[Date]]=DeadlineDate,CFDTable[[#This Row],[FutureWork2]],0)</f>
        <v>0</v>
      </c>
    </row>
    <row r="6" spans="1:32">
      <c r="A6" s="8">
        <f>CFDTable[[#This Row],[Date]]</f>
        <v>42412</v>
      </c>
      <c r="B6" s="9">
        <f>Data!B6</f>
        <v>42412</v>
      </c>
      <c r="C6" s="10" t="e">
        <f ca="1">IF(ISNUMBER(CFDTable[[#This Row],[Ready]]),NA(),CFDTable[[#This Row],[Target]]-CFDTable[[#This Row],[To Do]])</f>
        <v>#N/A</v>
      </c>
      <c r="D6" s="10" t="e">
        <f>IF(CFDTable[[#This Row],[Emergence]]&gt;0,CFDTable[[#This Row],[Future Work]]-CFDTable[[#This Row],[Emergence]],NA())</f>
        <v>#N/A</v>
      </c>
      <c r="E6" s="10">
        <f>Data!C6</f>
        <v>0</v>
      </c>
      <c r="F6" s="10">
        <f ca="1">Data!D6</f>
        <v>0</v>
      </c>
      <c r="G6" s="10">
        <f ca="1">Data!E6</f>
        <v>0</v>
      </c>
      <c r="H6" s="10">
        <f ca="1">IF(TodaysDate&gt;=$B6,Data!F6,NA())</f>
        <v>0</v>
      </c>
      <c r="I6" s="10">
        <f ca="1">IF(TodaysDate&gt;=$B6,Data!G6,NA())</f>
        <v>3</v>
      </c>
      <c r="J6" s="10">
        <f ca="1">IF(TodaysDate&gt;=$B6,Data!H6,NA())</f>
        <v>0</v>
      </c>
      <c r="K6" s="10">
        <f ca="1">IF(TodaysDate&gt;=$B6,Data!I6,NA())</f>
        <v>0</v>
      </c>
      <c r="L6" s="10">
        <f ca="1">IF(TodaysDate&gt;=$B6,Data!J6,NA())</f>
        <v>2</v>
      </c>
      <c r="M6" s="10">
        <f ca="1">IF(CFDTable[[#This Row],[Done]]&gt;0,(CFDTable[[#This Row],[Done]])-(L5),0)</f>
        <v>0</v>
      </c>
      <c r="N6" s="10">
        <f ca="1">IF(ISNUMBER($M6),SUM(CFDTable[[#This Row],[Done]]),IF(CFDTable[[#This Row],[lookupLow]]&gt;=CFDTable[[#This Row],[FutureWork2]]+CFDTable[[#This Row],[lowDaily]],NA(),CFDTable[[#This Row],[lookupLow]]))</f>
        <v>2</v>
      </c>
      <c r="O6" s="10">
        <f ca="1">IF(ISNUMBER($M6),SUM(CFDTable[[#This Row],[Done]]),IF(CFDTable[[#This Row],[lookupMedian]]&gt;=CFDTable[[#This Row],[FutureWork2]],NA(),CFDTable[[#This Row],[lookupMedian]]))</f>
        <v>2</v>
      </c>
      <c r="P6" s="10">
        <f ca="1">IF(ISNUMBER(CFDTable[[#This Row],[Done Today]]),SUM(CFDTable[[#This Row],[Done]]),IF(CFDTable[[#This Row],[lookupHigh]]&gt;=CFDTable[[#This Row],[FutureWork2]]+CFDTable[[#This Row],[highDaily]],NA(),CFDTable[[#This Row],[lookupHigh]]))</f>
        <v>2</v>
      </c>
      <c r="Q6" s="10">
        <f ca="1">CFDTable[[#This Row],[AvgDaily]]-CFDTable[[#This Row],[Deviation]]</f>
        <v>9.9999999999999978E-2</v>
      </c>
      <c r="R6" s="10">
        <f ca="1">AVERAGE(IF(ISNUMBER(M6),IF(ISNUMBER(OFFSET(M6,-Historic,0)),OFFSET(M6,-Historic,0),M$2):M6,R5))</f>
        <v>0.4</v>
      </c>
      <c r="S6" s="10">
        <f ca="1">AVERAGE(IF(ISNUMBER(M6),IF(ISNUMBER(OFFSET(M6,-Historic,0)),OFFSET(M6,-Historic,0),M$2):M6,S5))</f>
        <v>0.4</v>
      </c>
      <c r="T6" s="10">
        <f ca="1">AVERAGE(IF(ISNUMBER(M6),OFFSET(M$2,DaysToIgnoreOnAvg,0):M6,T5))</f>
        <v>0</v>
      </c>
      <c r="U6" s="10">
        <f ca="1">CFDTable[[#This Row],[AvgDaily]]+CFDTable[[#This Row],[Deviation]]</f>
        <v>0.70000000000000007</v>
      </c>
      <c r="V6" s="10">
        <f ca="1">IF(ISNUMBER(M6),((_xlfn.PERCENTILE.INC(IF(ISNUMBER(OFFSET(R6,-Historic,0)),OFFSET(R6,-Historic,0),R$2):R6,PercentileHigh/100))-(MEDIAN(IF(ISNUMBER(OFFSET(R6,-Historic,0)),OFFSET(R6,-Historic,0),R$2):R6))),V5)</f>
        <v>0.30000000000000004</v>
      </c>
      <c r="W6" s="10">
        <f ca="1">IF(ISNUMBER(M6),((_xlfn.PERCENTILE.INC(R$2:R6,PercentileHigh/100))-(MEDIAN(R$2:R6))),V5)</f>
        <v>0.30000000000000004</v>
      </c>
      <c r="X6" s="10">
        <f ca="1">(SUM(CFDTable[[#This Row],[To Do]:[Done]])-SUM(G5:L5))</f>
        <v>0</v>
      </c>
      <c r="Y6" s="10">
        <f ca="1">AVERAGE(IF(ISNUMBER(X6),IF(ISNUMBER(OFFSET(X6,-Historic,0)),OFFSET(X6,-Historic,0),X$2):X6,Y5))</f>
        <v>0</v>
      </c>
      <c r="Z6" s="10">
        <f ca="1">IF(ISNUMBER(CFDTable[[#This Row],[Done Today]]),SUM($G6:$L6),Z5+CFDTable[[#This Row],[avg added]])</f>
        <v>5</v>
      </c>
      <c r="AA6" s="10">
        <f ca="1">IF(ISNUMBER(CFDTable[[#This Row],[Done Today]]),SUM($G6:$L6),$AA5)</f>
        <v>5</v>
      </c>
      <c r="AB6" s="10">
        <f ca="1">IF(ISNUMBER(CFDTable[[#This Row],[Done Today]]),SUM($G6:$L6),$AB5)</f>
        <v>5</v>
      </c>
      <c r="AC6" s="10">
        <f ca="1">SUM(LOOKUP(2,1/(N$1:N5&lt;&gt;""),N$1:N5)+CFDTable[[#This Row],[lowDaily]])</f>
        <v>2.1</v>
      </c>
      <c r="AD6" s="10">
        <f ca="1">SUM(LOOKUP(2,1/(O$1:O5&lt;&gt;""),O$1:O5)+R6)</f>
        <v>2.4</v>
      </c>
      <c r="AE6" s="10">
        <f ca="1">SUM(LOOKUP(2,1/(P$1:P5&lt;&gt;""),P$1:P5)+CFDTable[[#This Row],[highDaily]])</f>
        <v>2.7</v>
      </c>
      <c r="AF6" s="12">
        <f>IF(CFDTable[[#This Row],[Date]]=DeadlineDate,CFDTable[[#This Row],[FutureWork2]],0)</f>
        <v>0</v>
      </c>
    </row>
    <row r="7" spans="1:32">
      <c r="A7" s="8">
        <f>CFDTable[[#This Row],[Date]]</f>
        <v>42415</v>
      </c>
      <c r="B7" s="9">
        <f>Data!B7</f>
        <v>42415</v>
      </c>
      <c r="C7" s="10" t="e">
        <f ca="1">IF(ISNUMBER(CFDTable[[#This Row],[Ready]]),NA(),CFDTable[[#This Row],[Target]]-CFDTable[[#This Row],[To Do]])</f>
        <v>#N/A</v>
      </c>
      <c r="D7" s="10" t="e">
        <f>IF(CFDTable[[#This Row],[Emergence]]&gt;0,CFDTable[[#This Row],[Future Work]]-CFDTable[[#This Row],[Emergence]],NA())</f>
        <v>#N/A</v>
      </c>
      <c r="E7" s="10">
        <f>Data!C7</f>
        <v>0</v>
      </c>
      <c r="F7" s="10">
        <f ca="1">Data!D7</f>
        <v>0</v>
      </c>
      <c r="G7" s="10">
        <f ca="1">Data!E7</f>
        <v>0</v>
      </c>
      <c r="H7" s="10">
        <f ca="1">IF(TodaysDate&gt;=$B7,Data!F7,NA())</f>
        <v>0</v>
      </c>
      <c r="I7" s="10">
        <f ca="1">IF(TodaysDate&gt;=$B7,Data!G7,NA())</f>
        <v>3</v>
      </c>
      <c r="J7" s="10">
        <f ca="1">IF(TodaysDate&gt;=$B7,Data!H7,NA())</f>
        <v>0</v>
      </c>
      <c r="K7" s="10">
        <f ca="1">IF(TodaysDate&gt;=$B7,Data!I7,NA())</f>
        <v>0</v>
      </c>
      <c r="L7" s="10">
        <f ca="1">IF(TodaysDate&gt;=$B7,Data!J7,NA())</f>
        <v>2</v>
      </c>
      <c r="M7" s="10">
        <f ca="1">IF(CFDTable[[#This Row],[Done]]&gt;0,(CFDTable[[#This Row],[Done]])-(L6),0)</f>
        <v>0</v>
      </c>
      <c r="N7" s="10">
        <f ca="1">IF(ISNUMBER($M7),SUM(CFDTable[[#This Row],[Done]]),IF(CFDTable[[#This Row],[lookupLow]]&gt;=CFDTable[[#This Row],[FutureWork2]]+CFDTable[[#This Row],[lowDaily]],NA(),CFDTable[[#This Row],[lookupLow]]))</f>
        <v>2</v>
      </c>
      <c r="O7" s="10">
        <f ca="1">IF(ISNUMBER($M7),SUM(CFDTable[[#This Row],[Done]]),IF(CFDTable[[#This Row],[lookupMedian]]&gt;=CFDTable[[#This Row],[FutureWork2]],NA(),CFDTable[[#This Row],[lookupMedian]]))</f>
        <v>2</v>
      </c>
      <c r="P7" s="10">
        <f ca="1">IF(ISNUMBER(CFDTable[[#This Row],[Done Today]]),SUM(CFDTable[[#This Row],[Done]]),IF(CFDTable[[#This Row],[lookupHigh]]&gt;=CFDTable[[#This Row],[FutureWork2]]+CFDTable[[#This Row],[highDaily]],NA(),CFDTable[[#This Row],[lookupHigh]]))</f>
        <v>2</v>
      </c>
      <c r="Q7" s="10">
        <f ca="1">CFDTable[[#This Row],[AvgDaily]]-CFDTable[[#This Row],[Deviation]]</f>
        <v>3.3333333333333326E-2</v>
      </c>
      <c r="R7" s="10">
        <f ca="1">AVERAGE(IF(ISNUMBER(M7),IF(ISNUMBER(OFFSET(M7,-Historic,0)),OFFSET(M7,-Historic,0),M$2):M7,R6))</f>
        <v>0.33333333333333331</v>
      </c>
      <c r="S7" s="10">
        <f ca="1">AVERAGE(IF(ISNUMBER(M7),IF(ISNUMBER(OFFSET(M7,-Historic,0)),OFFSET(M7,-Historic,0),M$2):M7,S6))</f>
        <v>0.33333333333333331</v>
      </c>
      <c r="T7" s="10">
        <f ca="1">AVERAGE(IF(ISNUMBER(M7),OFFSET(M$2,DaysToIgnoreOnAvg,0):M7,T6))</f>
        <v>0</v>
      </c>
      <c r="U7" s="10">
        <f ca="1">CFDTable[[#This Row],[AvgDaily]]+CFDTable[[#This Row],[Deviation]]</f>
        <v>0.6333333333333333</v>
      </c>
      <c r="V7" s="10">
        <f ca="1">IF(ISNUMBER(M7),((_xlfn.PERCENTILE.INC(IF(ISNUMBER(OFFSET(R7,-Historic,0)),OFFSET(R7,-Historic,0),R$2):R7,PercentileHigh/100))-(MEDIAN(IF(ISNUMBER(OFFSET(R7,-Historic,0)),OFFSET(R7,-Historic,0),R$2):R7))),V6)</f>
        <v>0.3</v>
      </c>
      <c r="W7" s="10">
        <f ca="1">IF(ISNUMBER(M7),((_xlfn.PERCENTILE.INC(R$2:R7,PercentileHigh/100))-(MEDIAN(R$2:R7))),V6)</f>
        <v>0.3</v>
      </c>
      <c r="X7" s="10">
        <f ca="1">(SUM(CFDTable[[#This Row],[To Do]:[Done]])-SUM(G6:L6))</f>
        <v>0</v>
      </c>
      <c r="Y7" s="10">
        <f ca="1">AVERAGE(IF(ISNUMBER(X7),IF(ISNUMBER(OFFSET(X7,-Historic,0)),OFFSET(X7,-Historic,0),X$2):X7,Y6))</f>
        <v>0</v>
      </c>
      <c r="Z7" s="10">
        <f ca="1">IF(ISNUMBER(CFDTable[[#This Row],[Done Today]]),SUM($G7:$L7),Z6+CFDTable[[#This Row],[avg added]])</f>
        <v>5</v>
      </c>
      <c r="AA7" s="10">
        <f ca="1">IF(ISNUMBER(CFDTable[[#This Row],[Done Today]]),SUM($G7:$L7),$AA6)</f>
        <v>5</v>
      </c>
      <c r="AB7" s="10">
        <f ca="1">IF(ISNUMBER(CFDTable[[#This Row],[Done Today]]),SUM($G7:$L7),$AB6)</f>
        <v>5</v>
      </c>
      <c r="AC7" s="10">
        <f ca="1">SUM(LOOKUP(2,1/(N$1:N6&lt;&gt;""),N$1:N6)+CFDTable[[#This Row],[lowDaily]])</f>
        <v>2.0333333333333332</v>
      </c>
      <c r="AD7" s="10">
        <f ca="1">SUM(LOOKUP(2,1/(O$1:O6&lt;&gt;""),O$1:O6)+R7)</f>
        <v>2.3333333333333335</v>
      </c>
      <c r="AE7" s="10">
        <f ca="1">SUM(LOOKUP(2,1/(P$1:P6&lt;&gt;""),P$1:P6)+CFDTable[[#This Row],[highDaily]])</f>
        <v>2.6333333333333333</v>
      </c>
      <c r="AF7" s="12">
        <f>IF(CFDTable[[#This Row],[Date]]=DeadlineDate,CFDTable[[#This Row],[FutureWork2]],0)</f>
        <v>0</v>
      </c>
    </row>
    <row r="8" spans="1:32">
      <c r="A8" s="8">
        <f>CFDTable[[#This Row],[Date]]</f>
        <v>42416</v>
      </c>
      <c r="B8" s="9">
        <f>Data!B8</f>
        <v>42416</v>
      </c>
      <c r="C8" s="10" t="e">
        <f ca="1">IF(ISNUMBER(CFDTable[[#This Row],[Ready]]),NA(),CFDTable[[#This Row],[Target]]-CFDTable[[#This Row],[To Do]])</f>
        <v>#N/A</v>
      </c>
      <c r="D8" s="10" t="e">
        <f>IF(CFDTable[[#This Row],[Emergence]]&gt;0,CFDTable[[#This Row],[Future Work]]-CFDTable[[#This Row],[Emergence]],NA())</f>
        <v>#N/A</v>
      </c>
      <c r="E8" s="10">
        <f>Data!C8</f>
        <v>0</v>
      </c>
      <c r="F8" s="10">
        <f ca="1">Data!D8</f>
        <v>0</v>
      </c>
      <c r="G8" s="10">
        <f ca="1">Data!E8</f>
        <v>0</v>
      </c>
      <c r="H8" s="10">
        <f ca="1">IF(TodaysDate&gt;=$B8,Data!F8,NA())</f>
        <v>0</v>
      </c>
      <c r="I8" s="10">
        <f ca="1">IF(TodaysDate&gt;=$B8,Data!G8,NA())</f>
        <v>4</v>
      </c>
      <c r="J8" s="10">
        <f ca="1">IF(TodaysDate&gt;=$B8,Data!H8,NA())</f>
        <v>0</v>
      </c>
      <c r="K8" s="10">
        <f ca="1">IF(TodaysDate&gt;=$B8,Data!I8,NA())</f>
        <v>0</v>
      </c>
      <c r="L8" s="10">
        <f ca="1">IF(TodaysDate&gt;=$B8,Data!J8,NA())</f>
        <v>2</v>
      </c>
      <c r="M8" s="10">
        <f ca="1">IF(CFDTable[[#This Row],[Done]]&gt;0,(CFDTable[[#This Row],[Done]])-(L7),0)</f>
        <v>0</v>
      </c>
      <c r="N8" s="10">
        <f ca="1">IF(ISNUMBER($M8),SUM(CFDTable[[#This Row],[Done]]),IF(CFDTable[[#This Row],[lookupLow]]&gt;=CFDTable[[#This Row],[FutureWork2]]+CFDTable[[#This Row],[lowDaily]],NA(),CFDTable[[#This Row],[lookupLow]]))</f>
        <v>2</v>
      </c>
      <c r="O8" s="10">
        <f ca="1">IF(ISNUMBER($M8),SUM(CFDTable[[#This Row],[Done]]),IF(CFDTable[[#This Row],[lookupMedian]]&gt;=CFDTable[[#This Row],[FutureWork2]],NA(),CFDTable[[#This Row],[lookupMedian]]))</f>
        <v>2</v>
      </c>
      <c r="P8" s="10">
        <f ca="1">IF(ISNUMBER(CFDTable[[#This Row],[Done Today]]),SUM(CFDTable[[#This Row],[Done]]),IF(CFDTable[[#This Row],[lookupHigh]]&gt;=CFDTable[[#This Row],[FutureWork2]]+CFDTable[[#This Row],[highDaily]],NA(),CFDTable[[#This Row],[lookupHigh]]))</f>
        <v>2</v>
      </c>
      <c r="Q8" s="10">
        <f ca="1">CFDTable[[#This Row],[AvgDaily]]-CFDTable[[#This Row],[Deviation]]</f>
        <v>-1.4285714285714124E-2</v>
      </c>
      <c r="R8" s="10">
        <f ca="1">AVERAGE(IF(ISNUMBER(M8),IF(ISNUMBER(OFFSET(M8,-Historic,0)),OFFSET(M8,-Historic,0),M$2):M8,R7))</f>
        <v>0.2857142857142857</v>
      </c>
      <c r="S8" s="10">
        <f ca="1">AVERAGE(IF(ISNUMBER(M8),IF(ISNUMBER(OFFSET(M8,-Historic,0)),OFFSET(M8,-Historic,0),M$2):M8,S7))</f>
        <v>0.2857142857142857</v>
      </c>
      <c r="T8" s="10">
        <f ca="1">AVERAGE(IF(ISNUMBER(M8),OFFSET(M$2,DaysToIgnoreOnAvg,0):M8,T7))</f>
        <v>0</v>
      </c>
      <c r="U8" s="10">
        <f ca="1">CFDTable[[#This Row],[AvgDaily]]+CFDTable[[#This Row],[Deviation]]</f>
        <v>0.58571428571428552</v>
      </c>
      <c r="V8" s="10">
        <f ca="1">IF(ISNUMBER(M8),((_xlfn.PERCENTILE.INC(IF(ISNUMBER(OFFSET(R8,-Historic,0)),OFFSET(R8,-Historic,0),R$2):R8,PercentileHigh/100))-(MEDIAN(IF(ISNUMBER(OFFSET(R8,-Historic,0)),OFFSET(R8,-Historic,0),R$2):R8))),V7)</f>
        <v>0.29999999999999982</v>
      </c>
      <c r="W8" s="10">
        <f ca="1">IF(ISNUMBER(M8),((_xlfn.PERCENTILE.INC(R$2:R8,PercentileHigh/100))-(MEDIAN(R$2:R8))),V7)</f>
        <v>0.29999999999999982</v>
      </c>
      <c r="X8" s="10">
        <f ca="1">(SUM(CFDTable[[#This Row],[To Do]:[Done]])-SUM(G7:L7))</f>
        <v>1</v>
      </c>
      <c r="Y8" s="10">
        <f ca="1">AVERAGE(IF(ISNUMBER(X8),IF(ISNUMBER(OFFSET(X8,-Historic,0)),OFFSET(X8,-Historic,0),X$2):X8,Y7))</f>
        <v>0.14285714285714285</v>
      </c>
      <c r="Z8" s="10">
        <f ca="1">IF(ISNUMBER(CFDTable[[#This Row],[Done Today]]),SUM($G8:$L8),Z7+CFDTable[[#This Row],[avg added]])</f>
        <v>6</v>
      </c>
      <c r="AA8" s="10">
        <f ca="1">IF(ISNUMBER(CFDTable[[#This Row],[Done Today]]),SUM($G8:$L8),$AA7)</f>
        <v>6</v>
      </c>
      <c r="AB8" s="10">
        <f ca="1">IF(ISNUMBER(CFDTable[[#This Row],[Done Today]]),SUM($G8:$L8),$AB7)</f>
        <v>6</v>
      </c>
      <c r="AC8" s="10">
        <f ca="1">SUM(LOOKUP(2,1/(N$1:N7&lt;&gt;""),N$1:N7)+CFDTable[[#This Row],[lowDaily]])</f>
        <v>1.9857142857142858</v>
      </c>
      <c r="AD8" s="10">
        <f ca="1">SUM(LOOKUP(2,1/(O$1:O7&lt;&gt;""),O$1:O7)+R8)</f>
        <v>2.2857142857142856</v>
      </c>
      <c r="AE8" s="10">
        <f ca="1">SUM(LOOKUP(2,1/(P$1:P7&lt;&gt;""),P$1:P7)+CFDTable[[#This Row],[highDaily]])</f>
        <v>2.5857142857142854</v>
      </c>
      <c r="AF8" s="12">
        <f>IF(CFDTable[[#This Row],[Date]]=DeadlineDate,CFDTable[[#This Row],[FutureWork2]],0)</f>
        <v>0</v>
      </c>
    </row>
    <row r="9" spans="1:32">
      <c r="A9" s="8">
        <f>CFDTable[[#This Row],[Date]]</f>
        <v>42417</v>
      </c>
      <c r="B9" s="9">
        <f>Data!B9</f>
        <v>42417</v>
      </c>
      <c r="C9" s="10" t="e">
        <f ca="1">IF(ISNUMBER(CFDTable[[#This Row],[Ready]]),NA(),CFDTable[[#This Row],[Target]]-CFDTable[[#This Row],[To Do]])</f>
        <v>#N/A</v>
      </c>
      <c r="D9" s="10" t="e">
        <f>IF(CFDTable[[#This Row],[Emergence]]&gt;0,CFDTable[[#This Row],[Future Work]]-CFDTable[[#This Row],[Emergence]],NA())</f>
        <v>#N/A</v>
      </c>
      <c r="E9" s="10">
        <f>Data!C9</f>
        <v>0</v>
      </c>
      <c r="F9" s="10">
        <f ca="1">Data!D9</f>
        <v>1</v>
      </c>
      <c r="G9" s="10">
        <f ca="1">Data!E9</f>
        <v>1</v>
      </c>
      <c r="H9" s="10">
        <f ca="1">IF(TodaysDate&gt;=$B9,Data!F9,NA())</f>
        <v>0</v>
      </c>
      <c r="I9" s="10">
        <f ca="1">IF(TodaysDate&gt;=$B9,Data!G9,NA())</f>
        <v>5</v>
      </c>
      <c r="J9" s="10">
        <f ca="1">IF(TodaysDate&gt;=$B9,Data!H9,NA())</f>
        <v>0</v>
      </c>
      <c r="K9" s="10">
        <f ca="1">IF(TodaysDate&gt;=$B9,Data!I9,NA())</f>
        <v>0</v>
      </c>
      <c r="L9" s="10">
        <f ca="1">IF(TodaysDate&gt;=$B9,Data!J9,NA())</f>
        <v>2</v>
      </c>
      <c r="M9" s="10">
        <f ca="1">IF(CFDTable[[#This Row],[Done]]&gt;0,(CFDTable[[#This Row],[Done]])-(L8),0)</f>
        <v>0</v>
      </c>
      <c r="N9" s="10">
        <f ca="1">IF(ISNUMBER($M9),SUM(CFDTable[[#This Row],[Done]]),IF(CFDTable[[#This Row],[lookupLow]]&gt;=CFDTable[[#This Row],[FutureWork2]]+CFDTable[[#This Row],[lowDaily]],NA(),CFDTable[[#This Row],[lookupLow]]))</f>
        <v>2</v>
      </c>
      <c r="O9" s="10">
        <f ca="1">IF(ISNUMBER($M9),SUM(CFDTable[[#This Row],[Done]]),IF(CFDTable[[#This Row],[lookupMedian]]&gt;=CFDTable[[#This Row],[FutureWork2]],NA(),CFDTable[[#This Row],[lookupMedian]]))</f>
        <v>2</v>
      </c>
      <c r="P9" s="10">
        <f ca="1">IF(ISNUMBER(CFDTable[[#This Row],[Done Today]]),SUM(CFDTable[[#This Row],[Done]]),IF(CFDTable[[#This Row],[lookupHigh]]&gt;=CFDTable[[#This Row],[FutureWork2]]+CFDTable[[#This Row],[highDaily]],NA(),CFDTable[[#This Row],[lookupHigh]]))</f>
        <v>2</v>
      </c>
      <c r="Q9" s="10">
        <f ca="1">CFDTable[[#This Row],[AvgDaily]]-CFDTable[[#This Row],[Deviation]]</f>
        <v>-4.166666666666663E-2</v>
      </c>
      <c r="R9" s="10">
        <f ca="1">AVERAGE(IF(ISNUMBER(M9),IF(ISNUMBER(OFFSET(M9,-Historic,0)),OFFSET(M9,-Historic,0),M$2):M9,R8))</f>
        <v>0.25</v>
      </c>
      <c r="S9" s="10">
        <f ca="1">AVERAGE(IF(ISNUMBER(M9),IF(ISNUMBER(OFFSET(M9,-Historic,0)),OFFSET(M9,-Historic,0),M$2):M9,S8))</f>
        <v>0.25</v>
      </c>
      <c r="T9" s="10">
        <f ca="1">AVERAGE(IF(ISNUMBER(M9),OFFSET(M$2,DaysToIgnoreOnAvg,0):M9,T8))</f>
        <v>0</v>
      </c>
      <c r="U9" s="10">
        <f ca="1">CFDTable[[#This Row],[AvgDaily]]+CFDTable[[#This Row],[Deviation]]</f>
        <v>0.54166666666666663</v>
      </c>
      <c r="V9" s="10">
        <f ca="1">IF(ISNUMBER(M9),((_xlfn.PERCENTILE.INC(IF(ISNUMBER(OFFSET(R9,-Historic,0)),OFFSET(R9,-Historic,0),R$2):R9,PercentileHigh/100))-(MEDIAN(IF(ISNUMBER(OFFSET(R9,-Historic,0)),OFFSET(R9,-Historic,0),R$2):R9))),V8)</f>
        <v>0.29166666666666663</v>
      </c>
      <c r="W9" s="10">
        <f ca="1">IF(ISNUMBER(M9),((_xlfn.PERCENTILE.INC(R$2:R9,PercentileHigh/100))-(MEDIAN(R$2:R9))),V8)</f>
        <v>0.29166666666666663</v>
      </c>
      <c r="X9" s="10">
        <f ca="1">(SUM(CFDTable[[#This Row],[To Do]:[Done]])-SUM(G8:L8))</f>
        <v>2</v>
      </c>
      <c r="Y9" s="10">
        <f ca="1">AVERAGE(IF(ISNUMBER(X9),IF(ISNUMBER(OFFSET(X9,-Historic,0)),OFFSET(X9,-Historic,0),X$2):X9,Y8))</f>
        <v>0.375</v>
      </c>
      <c r="Z9" s="10">
        <f ca="1">IF(ISNUMBER(CFDTable[[#This Row],[Done Today]]),SUM($G9:$L9),Z8+CFDTable[[#This Row],[avg added]])</f>
        <v>8</v>
      </c>
      <c r="AA9" s="10">
        <f ca="1">IF(ISNUMBER(CFDTable[[#This Row],[Done Today]]),SUM($G9:$L9),$AA8)</f>
        <v>8</v>
      </c>
      <c r="AB9" s="10">
        <f ca="1">IF(ISNUMBER(CFDTable[[#This Row],[Done Today]]),SUM($G9:$L9),$AB8)</f>
        <v>8</v>
      </c>
      <c r="AC9" s="10">
        <f ca="1">SUM(LOOKUP(2,1/(N$1:N8&lt;&gt;""),N$1:N8)+CFDTable[[#This Row],[lowDaily]])</f>
        <v>1.9583333333333335</v>
      </c>
      <c r="AD9" s="10">
        <f ca="1">SUM(LOOKUP(2,1/(O$1:O8&lt;&gt;""),O$1:O8)+R9)</f>
        <v>2.25</v>
      </c>
      <c r="AE9" s="10">
        <f ca="1">SUM(LOOKUP(2,1/(P$1:P8&lt;&gt;""),P$1:P8)+CFDTable[[#This Row],[highDaily]])</f>
        <v>2.5416666666666665</v>
      </c>
      <c r="AF9" s="12">
        <f>IF(CFDTable[[#This Row],[Date]]=DeadlineDate,CFDTable[[#This Row],[FutureWork2]],0)</f>
        <v>0</v>
      </c>
    </row>
    <row r="10" spans="1:32">
      <c r="A10" s="8">
        <f>CFDTable[[#This Row],[Date]]</f>
        <v>42418</v>
      </c>
      <c r="B10" s="9">
        <f>Data!B10</f>
        <v>42418</v>
      </c>
      <c r="C10" s="10" t="e">
        <f ca="1">IF(ISNUMBER(CFDTable[[#This Row],[Ready]]),NA(),CFDTable[[#This Row],[Target]]-CFDTable[[#This Row],[To Do]])</f>
        <v>#N/A</v>
      </c>
      <c r="D10" s="10" t="e">
        <f>IF(CFDTable[[#This Row],[Emergence]]&gt;0,CFDTable[[#This Row],[Future Work]]-CFDTable[[#This Row],[Emergence]],NA())</f>
        <v>#N/A</v>
      </c>
      <c r="E10" s="10">
        <f>Data!C10</f>
        <v>0</v>
      </c>
      <c r="F10" s="10">
        <f ca="1">Data!D10</f>
        <v>1</v>
      </c>
      <c r="G10" s="10">
        <f ca="1">Data!E10</f>
        <v>1</v>
      </c>
      <c r="H10" s="10">
        <f ca="1">IF(TodaysDate&gt;=$B10,Data!F10,NA())</f>
        <v>0</v>
      </c>
      <c r="I10" s="10">
        <f ca="1">IF(TodaysDate&gt;=$B10,Data!G10,NA())</f>
        <v>7</v>
      </c>
      <c r="J10" s="10">
        <f ca="1">IF(TodaysDate&gt;=$B10,Data!H10,NA())</f>
        <v>0</v>
      </c>
      <c r="K10" s="10">
        <f ca="1">IF(TodaysDate&gt;=$B10,Data!I10,NA())</f>
        <v>0</v>
      </c>
      <c r="L10" s="10">
        <f ca="1">IF(TodaysDate&gt;=$B10,Data!J10,NA())</f>
        <v>2</v>
      </c>
      <c r="M10" s="10">
        <f ca="1">IF(CFDTable[[#This Row],[Done]]&gt;0,(CFDTable[[#This Row],[Done]])-(L9),0)</f>
        <v>0</v>
      </c>
      <c r="N10" s="10">
        <f ca="1">IF(ISNUMBER($M10),SUM(CFDTable[[#This Row],[Done]]),IF(CFDTable[[#This Row],[lookupLow]]&gt;=CFDTable[[#This Row],[FutureWork2]]+CFDTable[[#This Row],[lowDaily]],NA(),CFDTable[[#This Row],[lookupLow]]))</f>
        <v>2</v>
      </c>
      <c r="O10" s="10">
        <f ca="1">IF(ISNUMBER($M10),SUM(CFDTable[[#This Row],[Done]]),IF(CFDTable[[#This Row],[lookupMedian]]&gt;=CFDTable[[#This Row],[FutureWork2]],NA(),CFDTable[[#This Row],[lookupMedian]]))</f>
        <v>2</v>
      </c>
      <c r="P10" s="10">
        <f ca="1">IF(ISNUMBER(CFDTable[[#This Row],[Done Today]]),SUM(CFDTable[[#This Row],[Done]]),IF(CFDTable[[#This Row],[lookupHigh]]&gt;=CFDTable[[#This Row],[FutureWork2]]+CFDTable[[#This Row],[highDaily]],NA(),CFDTable[[#This Row],[lookupHigh]]))</f>
        <v>2</v>
      </c>
      <c r="Q10" s="10">
        <f ca="1">CFDTable[[#This Row],[AvgDaily]]-CFDTable[[#This Row],[Deviation]]</f>
        <v>-7.7777777777777779E-2</v>
      </c>
      <c r="R10" s="10">
        <f ca="1">AVERAGE(IF(ISNUMBER(M10),IF(ISNUMBER(OFFSET(M10,-Historic,0)),OFFSET(M10,-Historic,0),M$2):M10,R9))</f>
        <v>0.22222222222222221</v>
      </c>
      <c r="S10" s="10">
        <f ca="1">AVERAGE(IF(ISNUMBER(M10),IF(ISNUMBER(OFFSET(M10,-Historic,0)),OFFSET(M10,-Historic,0),M$2):M10,S9))</f>
        <v>0.22222222222222221</v>
      </c>
      <c r="T10" s="10">
        <f ca="1">AVERAGE(IF(ISNUMBER(M10),OFFSET(M$2,DaysToIgnoreOnAvg,0):M10,T9))</f>
        <v>0</v>
      </c>
      <c r="U10" s="10">
        <f ca="1">CFDTable[[#This Row],[AvgDaily]]+CFDTable[[#This Row],[Deviation]]</f>
        <v>0.52222222222222214</v>
      </c>
      <c r="V10" s="10">
        <f ca="1">IF(ISNUMBER(M10),((_xlfn.PERCENTILE.INC(IF(ISNUMBER(OFFSET(R10,-Historic,0)),OFFSET(R10,-Historic,0),R$2):R10,PercentileHigh/100))-(MEDIAN(IF(ISNUMBER(OFFSET(R10,-Historic,0)),OFFSET(R10,-Historic,0),R$2):R10))),V9)</f>
        <v>0.3</v>
      </c>
      <c r="W10" s="10">
        <f ca="1">IF(ISNUMBER(M10),((_xlfn.PERCENTILE.INC(R$2:R10,PercentileHigh/100))-(MEDIAN(R$2:R10))),V9)</f>
        <v>0.3</v>
      </c>
      <c r="X10" s="10">
        <f ca="1">(SUM(CFDTable[[#This Row],[To Do]:[Done]])-SUM(G9:L9))</f>
        <v>2</v>
      </c>
      <c r="Y10" s="10">
        <f ca="1">AVERAGE(IF(ISNUMBER(X10),IF(ISNUMBER(OFFSET(X10,-Historic,0)),OFFSET(X10,-Historic,0),X$2):X10,Y9))</f>
        <v>0.55555555555555558</v>
      </c>
      <c r="Z10" s="10">
        <f ca="1">IF(ISNUMBER(CFDTable[[#This Row],[Done Today]]),SUM($G10:$L10),Z9+CFDTable[[#This Row],[avg added]])</f>
        <v>10</v>
      </c>
      <c r="AA10" s="10">
        <f ca="1">IF(ISNUMBER(CFDTable[[#This Row],[Done Today]]),SUM($G10:$L10),$AA9)</f>
        <v>10</v>
      </c>
      <c r="AB10" s="10">
        <f ca="1">IF(ISNUMBER(CFDTable[[#This Row],[Done Today]]),SUM($G10:$L10),$AB9)</f>
        <v>10</v>
      </c>
      <c r="AC10" s="10">
        <f ca="1">SUM(LOOKUP(2,1/(N$1:N9&lt;&gt;""),N$1:N9)+CFDTable[[#This Row],[lowDaily]])</f>
        <v>1.9222222222222223</v>
      </c>
      <c r="AD10" s="10">
        <f ca="1">SUM(LOOKUP(2,1/(O$1:O9&lt;&gt;""),O$1:O9)+R10)</f>
        <v>2.2222222222222223</v>
      </c>
      <c r="AE10" s="10">
        <f ca="1">SUM(LOOKUP(2,1/(P$1:P9&lt;&gt;""),P$1:P9)+CFDTable[[#This Row],[highDaily]])</f>
        <v>2.5222222222222221</v>
      </c>
      <c r="AF10" s="12">
        <f>IF(CFDTable[[#This Row],[Date]]=DeadlineDate,CFDTable[[#This Row],[FutureWork2]],0)</f>
        <v>0</v>
      </c>
    </row>
    <row r="11" spans="1:32">
      <c r="A11" s="8">
        <f>CFDTable[[#This Row],[Date]]</f>
        <v>42419</v>
      </c>
      <c r="B11" s="9">
        <f>Data!B11</f>
        <v>42419</v>
      </c>
      <c r="C11" s="10" t="e">
        <f ca="1">IF(ISNUMBER(CFDTable[[#This Row],[Ready]]),NA(),CFDTable[[#This Row],[Target]]-CFDTable[[#This Row],[To Do]])</f>
        <v>#N/A</v>
      </c>
      <c r="D11" s="10" t="e">
        <f>IF(CFDTable[[#This Row],[Emergence]]&gt;0,CFDTable[[#This Row],[Future Work]]-CFDTable[[#This Row],[Emergence]],NA())</f>
        <v>#N/A</v>
      </c>
      <c r="E11" s="10">
        <f>Data!C11</f>
        <v>0</v>
      </c>
      <c r="F11" s="10">
        <f ca="1">Data!D11</f>
        <v>0</v>
      </c>
      <c r="G11" s="10">
        <f ca="1">Data!E11</f>
        <v>0</v>
      </c>
      <c r="H11" s="10">
        <f ca="1">IF(TodaysDate&gt;=$B11,Data!F11,NA())</f>
        <v>1</v>
      </c>
      <c r="I11" s="10">
        <f ca="1">IF(TodaysDate&gt;=$B11,Data!G11,NA())</f>
        <v>7</v>
      </c>
      <c r="J11" s="10">
        <f ca="1">IF(TodaysDate&gt;=$B11,Data!H11,NA())</f>
        <v>0</v>
      </c>
      <c r="K11" s="10">
        <f ca="1">IF(TodaysDate&gt;=$B11,Data!I11,NA())</f>
        <v>0</v>
      </c>
      <c r="L11" s="10">
        <f ca="1">IF(TodaysDate&gt;=$B11,Data!J11,NA())</f>
        <v>2</v>
      </c>
      <c r="M11" s="10">
        <f ca="1">IF(CFDTable[[#This Row],[Done]]&gt;0,(CFDTable[[#This Row],[Done]])-(L10),0)</f>
        <v>0</v>
      </c>
      <c r="N11" s="10">
        <f ca="1">IF(ISNUMBER($M11),SUM(CFDTable[[#This Row],[Done]]),IF(CFDTable[[#This Row],[lookupLow]]&gt;=CFDTable[[#This Row],[FutureWork2]]+CFDTable[[#This Row],[lowDaily]],NA(),CFDTable[[#This Row],[lookupLow]]))</f>
        <v>2</v>
      </c>
      <c r="O11" s="10">
        <f ca="1">IF(ISNUMBER($M11),SUM(CFDTable[[#This Row],[Done]]),IF(CFDTable[[#This Row],[lookupMedian]]&gt;=CFDTable[[#This Row],[FutureWork2]],NA(),CFDTable[[#This Row],[lookupMedian]]))</f>
        <v>2</v>
      </c>
      <c r="P11" s="10">
        <f ca="1">IF(ISNUMBER(CFDTable[[#This Row],[Done Today]]),SUM(CFDTable[[#This Row],[Done]]),IF(CFDTable[[#This Row],[lookupHigh]]&gt;=CFDTable[[#This Row],[FutureWork2]]+CFDTable[[#This Row],[highDaily]],NA(),CFDTable[[#This Row],[lookupHigh]]))</f>
        <v>2</v>
      </c>
      <c r="Q11" s="10">
        <f ca="1">CFDTable[[#This Row],[AvgDaily]]-CFDTable[[#This Row],[Deviation]]</f>
        <v>-9.8809523809523514E-2</v>
      </c>
      <c r="R11" s="10">
        <f ca="1">AVERAGE(IF(ISNUMBER(M11),IF(ISNUMBER(OFFSET(M11,-Historic,0)),OFFSET(M11,-Historic,0),M$2):M11,R10))</f>
        <v>0.2</v>
      </c>
      <c r="S11" s="10">
        <f ca="1">AVERAGE(IF(ISNUMBER(M11),IF(ISNUMBER(OFFSET(M11,-Historic,0)),OFFSET(M11,-Historic,0),M$2):M11,S10))</f>
        <v>0.2</v>
      </c>
      <c r="T11" s="10">
        <f ca="1">AVERAGE(IF(ISNUMBER(M11),OFFSET(M$2,DaysToIgnoreOnAvg,0):M11,T10))</f>
        <v>0</v>
      </c>
      <c r="U11" s="10">
        <f ca="1">CFDTable[[#This Row],[AvgDaily]]+CFDTable[[#This Row],[Deviation]]</f>
        <v>0.49880952380952354</v>
      </c>
      <c r="V11" s="10">
        <f ca="1">IF(ISNUMBER(M11),((_xlfn.PERCENTILE.INC(IF(ISNUMBER(OFFSET(R11,-Historic,0)),OFFSET(R11,-Historic,0),R$2):R11,PercentileHigh/100))-(MEDIAN(IF(ISNUMBER(OFFSET(R11,-Historic,0)),OFFSET(R11,-Historic,0),R$2):R11))),V10)</f>
        <v>0.29880952380952353</v>
      </c>
      <c r="W11" s="10">
        <f ca="1">IF(ISNUMBER(M11),((_xlfn.PERCENTILE.INC(R$2:R11,PercentileHigh/100))-(MEDIAN(R$2:R11))),V10)</f>
        <v>0.29880952380952353</v>
      </c>
      <c r="X11" s="10">
        <f ca="1">(SUM(CFDTable[[#This Row],[To Do]:[Done]])-SUM(G10:L10))</f>
        <v>0</v>
      </c>
      <c r="Y11" s="10">
        <f ca="1">AVERAGE(IF(ISNUMBER(X11),IF(ISNUMBER(OFFSET(X11,-Historic,0)),OFFSET(X11,-Historic,0),X$2):X11,Y10))</f>
        <v>0.5</v>
      </c>
      <c r="Z11" s="10">
        <f ca="1">IF(ISNUMBER(CFDTable[[#This Row],[Done Today]]),SUM($G11:$L11),Z10+CFDTable[[#This Row],[avg added]])</f>
        <v>10</v>
      </c>
      <c r="AA11" s="10">
        <f ca="1">IF(ISNUMBER(CFDTable[[#This Row],[Done Today]]),SUM($G11:$L11),$AA10)</f>
        <v>10</v>
      </c>
      <c r="AB11" s="10">
        <f ca="1">IF(ISNUMBER(CFDTable[[#This Row],[Done Today]]),SUM($G11:$L11),$AB10)</f>
        <v>10</v>
      </c>
      <c r="AC11" s="10">
        <f ca="1">SUM(LOOKUP(2,1/(N$1:N10&lt;&gt;""),N$1:N10)+CFDTable[[#This Row],[lowDaily]])</f>
        <v>1.9011904761904765</v>
      </c>
      <c r="AD11" s="10">
        <f ca="1">SUM(LOOKUP(2,1/(O$1:O10&lt;&gt;""),O$1:O10)+R11)</f>
        <v>2.2000000000000002</v>
      </c>
      <c r="AE11" s="10">
        <f ca="1">SUM(LOOKUP(2,1/(P$1:P10&lt;&gt;""),P$1:P10)+CFDTable[[#This Row],[highDaily]])</f>
        <v>2.4988095238095234</v>
      </c>
      <c r="AF11" s="12">
        <f>IF(CFDTable[[#This Row],[Date]]=DeadlineDate,CFDTable[[#This Row],[FutureWork2]],0)</f>
        <v>0</v>
      </c>
    </row>
    <row r="12" spans="1:32">
      <c r="A12" s="8">
        <f>CFDTable[[#This Row],[Date]]</f>
        <v>42422</v>
      </c>
      <c r="B12" s="9">
        <f>Data!B12</f>
        <v>42422</v>
      </c>
      <c r="C12" s="10" t="e">
        <f ca="1">IF(ISNUMBER(CFDTable[[#This Row],[Ready]]),NA(),CFDTable[[#This Row],[Target]]-CFDTable[[#This Row],[To Do]])</f>
        <v>#N/A</v>
      </c>
      <c r="D12" s="10" t="e">
        <f>IF(CFDTable[[#This Row],[Emergence]]&gt;0,CFDTable[[#This Row],[Future Work]]-CFDTable[[#This Row],[Emergence]],NA())</f>
        <v>#N/A</v>
      </c>
      <c r="E12" s="10">
        <f>Data!C12</f>
        <v>0</v>
      </c>
      <c r="F12" s="10">
        <f ca="1">Data!D12</f>
        <v>1</v>
      </c>
      <c r="G12" s="10">
        <f ca="1">Data!E12</f>
        <v>1</v>
      </c>
      <c r="H12" s="10">
        <f ca="1">IF(TodaysDate&gt;=$B12,Data!F12,NA())</f>
        <v>0</v>
      </c>
      <c r="I12" s="10">
        <f ca="1">IF(TodaysDate&gt;=$B12,Data!G12,NA())</f>
        <v>3</v>
      </c>
      <c r="J12" s="10">
        <f ca="1">IF(TodaysDate&gt;=$B12,Data!H12,NA())</f>
        <v>4</v>
      </c>
      <c r="K12" s="10">
        <f ca="1">IF(TodaysDate&gt;=$B12,Data!I12,NA())</f>
        <v>1</v>
      </c>
      <c r="L12" s="10">
        <f ca="1">IF(TodaysDate&gt;=$B12,Data!J12,NA())</f>
        <v>3</v>
      </c>
      <c r="M12" s="10">
        <f ca="1">IF(CFDTable[[#This Row],[Done]]&gt;0,(CFDTable[[#This Row],[Done]])-(L11),0)</f>
        <v>1</v>
      </c>
      <c r="N12" s="10">
        <f ca="1">IF(ISNUMBER($M12),SUM(CFDTable[[#This Row],[Done]]),IF(CFDTable[[#This Row],[lookupLow]]&gt;=CFDTable[[#This Row],[FutureWork2]]+CFDTable[[#This Row],[lowDaily]],NA(),CFDTable[[#This Row],[lookupLow]]))</f>
        <v>3</v>
      </c>
      <c r="O12" s="10">
        <f ca="1">IF(ISNUMBER($M12),SUM(CFDTable[[#This Row],[Done]]),IF(CFDTable[[#This Row],[lookupMedian]]&gt;=CFDTable[[#This Row],[FutureWork2]],NA(),CFDTable[[#This Row],[lookupMedian]]))</f>
        <v>3</v>
      </c>
      <c r="P12" s="10">
        <f ca="1">IF(ISNUMBER(CFDTable[[#This Row],[Done Today]]),SUM(CFDTable[[#This Row],[Done]]),IF(CFDTable[[#This Row],[lookupHigh]]&gt;=CFDTable[[#This Row],[FutureWork2]]+CFDTable[[#This Row],[highDaily]],NA(),CFDTable[[#This Row],[lookupHigh]]))</f>
        <v>3</v>
      </c>
      <c r="Q12" s="10">
        <f ca="1">CFDTable[[#This Row],[AvgDaily]]-CFDTable[[#This Row],[Deviation]]</f>
        <v>-2.4891774891774854E-2</v>
      </c>
      <c r="R12" s="10">
        <f ca="1">AVERAGE(IF(ISNUMBER(M12),IF(ISNUMBER(OFFSET(M12,-Historic,0)),OFFSET(M12,-Historic,0),M$2):M12,R11))</f>
        <v>0.27272727272727271</v>
      </c>
      <c r="S12" s="10">
        <f ca="1">AVERAGE(IF(ISNUMBER(M12),IF(ISNUMBER(OFFSET(M12,-Historic,0)),OFFSET(M12,-Historic,0),M$2):M12,S11))</f>
        <v>0.27272727272727271</v>
      </c>
      <c r="T12" s="10">
        <f ca="1">AVERAGE(IF(ISNUMBER(M12),OFFSET(M$2,DaysToIgnoreOnAvg,0):M12,T11))</f>
        <v>0.1111111111111111</v>
      </c>
      <c r="U12" s="10">
        <f ca="1">CFDTable[[#This Row],[AvgDaily]]+CFDTable[[#This Row],[Deviation]]</f>
        <v>0.57034632034632027</v>
      </c>
      <c r="V12" s="10">
        <f ca="1">IF(ISNUMBER(M12),((_xlfn.PERCENTILE.INC(IF(ISNUMBER(OFFSET(R12,-Historic,0)),OFFSET(R12,-Historic,0),R$2):R12,PercentileHigh/100))-(MEDIAN(IF(ISNUMBER(OFFSET(R12,-Historic,0)),OFFSET(R12,-Historic,0),R$2):R12))),V11)</f>
        <v>0.29761904761904756</v>
      </c>
      <c r="W12" s="10">
        <f ca="1">IF(ISNUMBER(M12),((_xlfn.PERCENTILE.INC(R$2:R12,PercentileHigh/100))-(MEDIAN(R$2:R12))),V11)</f>
        <v>0.29761904761904756</v>
      </c>
      <c r="X12" s="10">
        <f ca="1">(SUM(CFDTable[[#This Row],[To Do]:[Done]])-SUM(G11:L11))</f>
        <v>2</v>
      </c>
      <c r="Y12" s="10">
        <f ca="1">AVERAGE(IF(ISNUMBER(X12),IF(ISNUMBER(OFFSET(X12,-Historic,0)),OFFSET(X12,-Historic,0),X$2):X12,Y11))</f>
        <v>0.63636363636363635</v>
      </c>
      <c r="Z12" s="10">
        <f ca="1">IF(ISNUMBER(CFDTable[[#This Row],[Done Today]]),SUM($G12:$L12),Z11+CFDTable[[#This Row],[avg added]])</f>
        <v>12</v>
      </c>
      <c r="AA12" s="10">
        <f ca="1">IF(ISNUMBER(CFDTable[[#This Row],[Done Today]]),SUM($G12:$L12),$AA11)</f>
        <v>12</v>
      </c>
      <c r="AB12" s="10">
        <f ca="1">IF(ISNUMBER(CFDTable[[#This Row],[Done Today]]),SUM($G12:$L12),$AB11)</f>
        <v>12</v>
      </c>
      <c r="AC12" s="10">
        <f ca="1">SUM(LOOKUP(2,1/(N$1:N11&lt;&gt;""),N$1:N11)+CFDTable[[#This Row],[lowDaily]])</f>
        <v>1.975108225108225</v>
      </c>
      <c r="AD12" s="10">
        <f ca="1">SUM(LOOKUP(2,1/(O$1:O11&lt;&gt;""),O$1:O11)+R12)</f>
        <v>2.2727272727272725</v>
      </c>
      <c r="AE12" s="10">
        <f ca="1">SUM(LOOKUP(2,1/(P$1:P11&lt;&gt;""),P$1:P11)+CFDTable[[#This Row],[highDaily]])</f>
        <v>2.5703463203463204</v>
      </c>
      <c r="AF12" s="12">
        <f>IF(CFDTable[[#This Row],[Date]]=DeadlineDate,CFDTable[[#This Row],[FutureWork2]],0)</f>
        <v>0</v>
      </c>
    </row>
    <row r="13" spans="1:32">
      <c r="A13" s="8">
        <f>CFDTable[[#This Row],[Date]]</f>
        <v>42423</v>
      </c>
      <c r="B13" s="9">
        <f>Data!B13</f>
        <v>42423</v>
      </c>
      <c r="C13" s="10" t="e">
        <f ca="1">IF(ISNUMBER(CFDTable[[#This Row],[Ready]]),NA(),CFDTable[[#This Row],[Target]]-CFDTable[[#This Row],[To Do]])</f>
        <v>#N/A</v>
      </c>
      <c r="D13" s="10" t="e">
        <f>IF(CFDTable[[#This Row],[Emergence]]&gt;0,CFDTable[[#This Row],[Future Work]]-CFDTable[[#This Row],[Emergence]],NA())</f>
        <v>#N/A</v>
      </c>
      <c r="E13" s="10">
        <f>Data!C13</f>
        <v>0</v>
      </c>
      <c r="F13" s="10">
        <f ca="1">Data!D13</f>
        <v>0</v>
      </c>
      <c r="G13" s="10">
        <f ca="1">Data!E13</f>
        <v>0</v>
      </c>
      <c r="H13" s="10">
        <f ca="1">IF(TodaysDate&gt;=$B13,Data!F13,NA())</f>
        <v>0</v>
      </c>
      <c r="I13" s="10">
        <f ca="1">IF(TodaysDate&gt;=$B13,Data!G13,NA())</f>
        <v>3</v>
      </c>
      <c r="J13" s="10">
        <f ca="1">IF(TodaysDate&gt;=$B13,Data!H13,NA())</f>
        <v>2</v>
      </c>
      <c r="K13" s="10">
        <f ca="1">IF(TodaysDate&gt;=$B13,Data!I13,NA())</f>
        <v>1</v>
      </c>
      <c r="L13" s="10">
        <f ca="1">IF(TodaysDate&gt;=$B13,Data!J13,NA())</f>
        <v>6</v>
      </c>
      <c r="M13" s="10">
        <f ca="1">IF(CFDTable[[#This Row],[Done]]&gt;0,(CFDTable[[#This Row],[Done]])-(L12),0)</f>
        <v>3</v>
      </c>
      <c r="N13" s="10">
        <f ca="1">IF(ISNUMBER($M13),SUM(CFDTable[[#This Row],[Done]]),IF(CFDTable[[#This Row],[lookupLow]]&gt;=CFDTable[[#This Row],[FutureWork2]]+CFDTable[[#This Row],[lowDaily]],NA(),CFDTable[[#This Row],[lookupLow]]))</f>
        <v>6</v>
      </c>
      <c r="O13" s="10">
        <f ca="1">IF(ISNUMBER($M13),SUM(CFDTable[[#This Row],[Done]]),IF(CFDTable[[#This Row],[lookupMedian]]&gt;=CFDTable[[#This Row],[FutureWork2]],NA(),CFDTable[[#This Row],[lookupMedian]]))</f>
        <v>6</v>
      </c>
      <c r="P13" s="10">
        <f ca="1">IF(ISNUMBER(CFDTable[[#This Row],[Done Today]]),SUM(CFDTable[[#This Row],[Done]]),IF(CFDTable[[#This Row],[lookupHigh]]&gt;=CFDTable[[#This Row],[FutureWork2]]+CFDTable[[#This Row],[highDaily]],NA(),CFDTable[[#This Row],[lookupHigh]]))</f>
        <v>6</v>
      </c>
      <c r="Q13" s="10">
        <f ca="1">CFDTable[[#This Row],[AvgDaily]]-CFDTable[[#This Row],[Deviation]]</f>
        <v>0.2511904761904763</v>
      </c>
      <c r="R13" s="10">
        <f ca="1">AVERAGE(IF(ISNUMBER(M13),IF(ISNUMBER(OFFSET(M13,-Historic,0)),OFFSET(M13,-Historic,0),M$2):M13,R12))</f>
        <v>0.5</v>
      </c>
      <c r="S13" s="10">
        <f ca="1">AVERAGE(IF(ISNUMBER(M13),IF(ISNUMBER(OFFSET(M13,-Historic,0)),OFFSET(M13,-Historic,0),M$2):M13,S12))</f>
        <v>0.5</v>
      </c>
      <c r="T13" s="10">
        <f ca="1">AVERAGE(IF(ISNUMBER(M13),OFFSET(M$2,DaysToIgnoreOnAvg,0):M13,T12))</f>
        <v>0.4</v>
      </c>
      <c r="U13" s="10">
        <f ca="1">CFDTable[[#This Row],[AvgDaily]]+CFDTable[[#This Row],[Deviation]]</f>
        <v>0.7488095238095237</v>
      </c>
      <c r="V13" s="10">
        <f ca="1">IF(ISNUMBER(M13),((_xlfn.PERCENTILE.INC(IF(ISNUMBER(OFFSET(R13,-Historic,0)),OFFSET(R13,-Historic,0),R$2):R13,PercentileHigh/100))-(MEDIAN(IF(ISNUMBER(OFFSET(R13,-Historic,0)),OFFSET(R13,-Historic,0),R$2):R13))),V12)</f>
        <v>0.2488095238095237</v>
      </c>
      <c r="W13" s="10">
        <f ca="1">IF(ISNUMBER(M13),((_xlfn.PERCENTILE.INC(R$2:R13,PercentileHigh/100))-(MEDIAN(R$2:R13))),V12)</f>
        <v>0.2488095238095237</v>
      </c>
      <c r="X13" s="10">
        <f ca="1">(SUM(CFDTable[[#This Row],[To Do]:[Done]])-SUM(G12:L12))</f>
        <v>0</v>
      </c>
      <c r="Y13" s="10">
        <f ca="1">AVERAGE(IF(ISNUMBER(X13),IF(ISNUMBER(OFFSET(X13,-Historic,0)),OFFSET(X13,-Historic,0),X$2):X13,Y12))</f>
        <v>0.58333333333333337</v>
      </c>
      <c r="Z13" s="10">
        <f ca="1">IF(ISNUMBER(CFDTable[[#This Row],[Done Today]]),SUM($G13:$L13),Z12+CFDTable[[#This Row],[avg added]])</f>
        <v>12</v>
      </c>
      <c r="AA13" s="10">
        <f ca="1">IF(ISNUMBER(CFDTable[[#This Row],[Done Today]]),SUM($G13:$L13),$AA12)</f>
        <v>12</v>
      </c>
      <c r="AB13" s="10">
        <f ca="1">IF(ISNUMBER(CFDTable[[#This Row],[Done Today]]),SUM($G13:$L13),$AB12)</f>
        <v>12</v>
      </c>
      <c r="AC13" s="10">
        <f ca="1">SUM(LOOKUP(2,1/(N$1:N12&lt;&gt;""),N$1:N12)+CFDTable[[#This Row],[lowDaily]])</f>
        <v>3.2511904761904762</v>
      </c>
      <c r="AD13" s="10">
        <f ca="1">SUM(LOOKUP(2,1/(O$1:O12&lt;&gt;""),O$1:O12)+R13)</f>
        <v>3.5</v>
      </c>
      <c r="AE13" s="10">
        <f ca="1">SUM(LOOKUP(2,1/(P$1:P12&lt;&gt;""),P$1:P12)+CFDTable[[#This Row],[highDaily]])</f>
        <v>3.7488095238095238</v>
      </c>
      <c r="AF13" s="12">
        <f>IF(CFDTable[[#This Row],[Date]]=DeadlineDate,CFDTable[[#This Row],[FutureWork2]],0)</f>
        <v>0</v>
      </c>
    </row>
    <row r="14" spans="1:32">
      <c r="A14" s="8">
        <f>CFDTable[[#This Row],[Date]]</f>
        <v>42424</v>
      </c>
      <c r="B14" s="9">
        <f>Data!B14</f>
        <v>42424</v>
      </c>
      <c r="C14" s="10" t="e">
        <f ca="1">IF(ISNUMBER(CFDTable[[#This Row],[Ready]]),NA(),CFDTable[[#This Row],[Target]]-CFDTable[[#This Row],[To Do]])</f>
        <v>#N/A</v>
      </c>
      <c r="D14" s="10" t="e">
        <f>IF(CFDTable[[#This Row],[Emergence]]&gt;0,CFDTable[[#This Row],[Future Work]]-CFDTable[[#This Row],[Emergence]],NA())</f>
        <v>#N/A</v>
      </c>
      <c r="E14" s="10">
        <f>Data!C14</f>
        <v>0</v>
      </c>
      <c r="F14" s="10">
        <f ca="1">Data!D14</f>
        <v>1</v>
      </c>
      <c r="G14" s="10">
        <f ca="1">Data!E14</f>
        <v>1</v>
      </c>
      <c r="H14" s="10">
        <f ca="1">IF(TodaysDate&gt;=$B14,Data!F14,NA())</f>
        <v>0</v>
      </c>
      <c r="I14" s="10">
        <f ca="1">IF(TodaysDate&gt;=$B14,Data!G14,NA())</f>
        <v>2</v>
      </c>
      <c r="J14" s="10">
        <f ca="1">IF(TodaysDate&gt;=$B14,Data!H14,NA())</f>
        <v>1</v>
      </c>
      <c r="K14" s="10">
        <f ca="1">IF(TodaysDate&gt;=$B14,Data!I14,NA())</f>
        <v>1</v>
      </c>
      <c r="L14" s="10">
        <f ca="1">IF(TodaysDate&gt;=$B14,Data!J14,NA())</f>
        <v>8</v>
      </c>
      <c r="M14" s="10">
        <f ca="1">IF(CFDTable[[#This Row],[Done]]&gt;0,(CFDTable[[#This Row],[Done]])-(L13),0)</f>
        <v>2</v>
      </c>
      <c r="N14" s="10">
        <f ca="1">IF(ISNUMBER($M14),SUM(CFDTable[[#This Row],[Done]]),IF(CFDTable[[#This Row],[lookupLow]]&gt;=CFDTable[[#This Row],[FutureWork2]]+CFDTable[[#This Row],[lowDaily]],NA(),CFDTable[[#This Row],[lookupLow]]))</f>
        <v>8</v>
      </c>
      <c r="O14" s="10">
        <f ca="1">IF(ISNUMBER($M14),SUM(CFDTable[[#This Row],[Done]]),IF(CFDTable[[#This Row],[lookupMedian]]&gt;=CFDTable[[#This Row],[FutureWork2]],NA(),CFDTable[[#This Row],[lookupMedian]]))</f>
        <v>8</v>
      </c>
      <c r="P14" s="10">
        <f ca="1">IF(ISNUMBER(CFDTable[[#This Row],[Done Today]]),SUM(CFDTable[[#This Row],[Done]]),IF(CFDTable[[#This Row],[lookupHigh]]&gt;=CFDTable[[#This Row],[FutureWork2]]+CFDTable[[#This Row],[highDaily]],NA(),CFDTable[[#This Row],[lookupHigh]]))</f>
        <v>8</v>
      </c>
      <c r="Q14" s="10">
        <f ca="1">CFDTable[[#This Row],[AvgDaily]]-CFDTable[[#This Row],[Deviation]]</f>
        <v>0.32307692307692309</v>
      </c>
      <c r="R14" s="10">
        <f ca="1">AVERAGE(IF(ISNUMBER(M14),IF(ISNUMBER(OFFSET(M14,-Historic,0)),OFFSET(M14,-Historic,0),M$2):M14,R13))</f>
        <v>0.61538461538461542</v>
      </c>
      <c r="S14" s="10">
        <f ca="1">AVERAGE(IF(ISNUMBER(M14),IF(ISNUMBER(OFFSET(M14,-Historic,0)),OFFSET(M14,-Historic,0),M$2):M14,S13))</f>
        <v>0.61538461538461542</v>
      </c>
      <c r="T14" s="10">
        <f ca="1">AVERAGE(IF(ISNUMBER(M14),OFFSET(M$2,DaysToIgnoreOnAvg,0):M14,T13))</f>
        <v>0.54545454545454541</v>
      </c>
      <c r="U14" s="10">
        <f ca="1">CFDTable[[#This Row],[AvgDaily]]+CFDTable[[#This Row],[Deviation]]</f>
        <v>0.9076923076923078</v>
      </c>
      <c r="V14" s="10">
        <f ca="1">IF(ISNUMBER(M14),((_xlfn.PERCENTILE.INC(IF(ISNUMBER(OFFSET(R14,-Historic,0)),OFFSET(R14,-Historic,0),R$2):R14,PercentileHigh/100))-(MEDIAN(IF(ISNUMBER(OFFSET(R14,-Historic,0)),OFFSET(R14,-Historic,0),R$2):R14))),V13)</f>
        <v>0.29230769230769232</v>
      </c>
      <c r="W14" s="10">
        <f ca="1">IF(ISNUMBER(M14),((_xlfn.PERCENTILE.INC(R$2:R14,PercentileHigh/100))-(MEDIAN(R$2:R14))),V13)</f>
        <v>0.29230769230769232</v>
      </c>
      <c r="X14" s="10">
        <f ca="1">(SUM(CFDTable[[#This Row],[To Do]:[Done]])-SUM(G13:L13))</f>
        <v>1</v>
      </c>
      <c r="Y14" s="10">
        <f ca="1">AVERAGE(IF(ISNUMBER(X14),IF(ISNUMBER(OFFSET(X14,-Historic,0)),OFFSET(X14,-Historic,0),X$2):X14,Y13))</f>
        <v>0.61538461538461542</v>
      </c>
      <c r="Z14" s="10">
        <f ca="1">IF(ISNUMBER(CFDTable[[#This Row],[Done Today]]),SUM($G14:$L14),Z13+CFDTable[[#This Row],[avg added]])</f>
        <v>13</v>
      </c>
      <c r="AA14" s="10">
        <f ca="1">IF(ISNUMBER(CFDTable[[#This Row],[Done Today]]),SUM($G14:$L14),$AA13)</f>
        <v>13</v>
      </c>
      <c r="AB14" s="10">
        <f ca="1">IF(ISNUMBER(CFDTable[[#This Row],[Done Today]]),SUM($G14:$L14),$AB13)</f>
        <v>13</v>
      </c>
      <c r="AC14" s="10">
        <f ca="1">SUM(LOOKUP(2,1/(N$1:N13&lt;&gt;""),N$1:N13)+CFDTable[[#This Row],[lowDaily]])</f>
        <v>6.3230769230769228</v>
      </c>
      <c r="AD14" s="10">
        <f ca="1">SUM(LOOKUP(2,1/(O$1:O13&lt;&gt;""),O$1:O13)+R14)</f>
        <v>6.615384615384615</v>
      </c>
      <c r="AE14" s="10">
        <f ca="1">SUM(LOOKUP(2,1/(P$1:P13&lt;&gt;""),P$1:P13)+CFDTable[[#This Row],[highDaily]])</f>
        <v>6.907692307692308</v>
      </c>
      <c r="AF14" s="12">
        <f>IF(CFDTable[[#This Row],[Date]]=DeadlineDate,CFDTable[[#This Row],[FutureWork2]],0)</f>
        <v>0</v>
      </c>
    </row>
    <row r="15" spans="1:32">
      <c r="A15" s="8">
        <f>CFDTable[[#This Row],[Date]]</f>
        <v>42425</v>
      </c>
      <c r="B15" s="9">
        <f>Data!B15</f>
        <v>42425</v>
      </c>
      <c r="C15" s="10" t="e">
        <f ca="1">IF(ISNUMBER(CFDTable[[#This Row],[Ready]]),NA(),CFDTable[[#This Row],[Target]]-CFDTable[[#This Row],[To Do]])</f>
        <v>#N/A</v>
      </c>
      <c r="D15" s="10" t="e">
        <f>IF(CFDTable[[#This Row],[Emergence]]&gt;0,CFDTable[[#This Row],[Future Work]]-CFDTable[[#This Row],[Emergence]],NA())</f>
        <v>#N/A</v>
      </c>
      <c r="E15" s="10">
        <f>Data!C15</f>
        <v>0</v>
      </c>
      <c r="F15" s="10">
        <f ca="1">Data!D15</f>
        <v>0</v>
      </c>
      <c r="G15" s="10">
        <f ca="1">Data!E15</f>
        <v>0</v>
      </c>
      <c r="H15" s="10">
        <f ca="1">IF(TodaysDate&gt;=$B15,Data!F15,NA())</f>
        <v>0</v>
      </c>
      <c r="I15" s="10">
        <f ca="1">IF(TodaysDate&gt;=$B15,Data!G15,NA())</f>
        <v>4</v>
      </c>
      <c r="J15" s="10">
        <f ca="1">IF(TodaysDate&gt;=$B15,Data!H15,NA())</f>
        <v>2</v>
      </c>
      <c r="K15" s="10">
        <f ca="1">IF(TodaysDate&gt;=$B15,Data!I15,NA())</f>
        <v>1</v>
      </c>
      <c r="L15" s="10">
        <f ca="1">IF(TodaysDate&gt;=$B15,Data!J15,NA())</f>
        <v>8</v>
      </c>
      <c r="M15" s="10">
        <f ca="1">IF(CFDTable[[#This Row],[Done]]&gt;0,(CFDTable[[#This Row],[Done]])-(L14),0)</f>
        <v>0</v>
      </c>
      <c r="N15" s="10">
        <f ca="1">IF(ISNUMBER($M15),SUM(CFDTable[[#This Row],[Done]]),IF(CFDTable[[#This Row],[lookupLow]]&gt;=CFDTable[[#This Row],[FutureWork2]]+CFDTable[[#This Row],[lowDaily]],NA(),CFDTable[[#This Row],[lookupLow]]))</f>
        <v>8</v>
      </c>
      <c r="O15" s="10">
        <f ca="1">IF(ISNUMBER($M15),SUM(CFDTable[[#This Row],[Done]]),IF(CFDTable[[#This Row],[lookupMedian]]&gt;=CFDTable[[#This Row],[FutureWork2]],NA(),CFDTable[[#This Row],[lookupMedian]]))</f>
        <v>8</v>
      </c>
      <c r="P15" s="10">
        <f ca="1">IF(ISNUMBER(CFDTable[[#This Row],[Done Today]]),SUM(CFDTable[[#This Row],[Done]]),IF(CFDTable[[#This Row],[lookupHigh]]&gt;=CFDTable[[#This Row],[FutureWork2]]+CFDTable[[#This Row],[highDaily]],NA(),CFDTable[[#This Row],[lookupHigh]]))</f>
        <v>8</v>
      </c>
      <c r="Q15" s="10">
        <f ca="1">CFDTable[[#This Row],[AvgDaily]]-CFDTable[[#This Row],[Deviation]]</f>
        <v>0.32014652014652012</v>
      </c>
      <c r="R15" s="10">
        <f ca="1">AVERAGE(IF(ISNUMBER(M15),IF(ISNUMBER(OFFSET(M15,-Historic,0)),OFFSET(M15,-Historic,0),M$2):M15,R14))</f>
        <v>0.5714285714285714</v>
      </c>
      <c r="S15" s="10">
        <f ca="1">AVERAGE(IF(ISNUMBER(M15),IF(ISNUMBER(OFFSET(M15,-Historic,0)),OFFSET(M15,-Historic,0),M$2):M15,S14))</f>
        <v>0.5714285714285714</v>
      </c>
      <c r="T15" s="10">
        <f ca="1">AVERAGE(IF(ISNUMBER(M15),OFFSET(M$2,DaysToIgnoreOnAvg,0):M15,T14))</f>
        <v>0.5</v>
      </c>
      <c r="U15" s="10">
        <f ca="1">CFDTable[[#This Row],[AvgDaily]]+CFDTable[[#This Row],[Deviation]]</f>
        <v>0.82271062271062267</v>
      </c>
      <c r="V15" s="10">
        <f ca="1">IF(ISNUMBER(M15),((_xlfn.PERCENTILE.INC(IF(ISNUMBER(OFFSET(R15,-Historic,0)),OFFSET(R15,-Historic,0),R$2):R15,PercentileHigh/100))-(MEDIAN(IF(ISNUMBER(OFFSET(R15,-Historic,0)),OFFSET(R15,-Historic,0),R$2):R15))),V14)</f>
        <v>0.25128205128205128</v>
      </c>
      <c r="W15" s="10">
        <f ca="1">IF(ISNUMBER(M15),((_xlfn.PERCENTILE.INC(R$2:R15,PercentileHigh/100))-(MEDIAN(R$2:R15))),V14)</f>
        <v>0.25128205128205128</v>
      </c>
      <c r="X15" s="10">
        <f ca="1">(SUM(CFDTable[[#This Row],[To Do]:[Done]])-SUM(G14:L14))</f>
        <v>2</v>
      </c>
      <c r="Y15" s="10">
        <f ca="1">AVERAGE(IF(ISNUMBER(X15),IF(ISNUMBER(OFFSET(X15,-Historic,0)),OFFSET(X15,-Historic,0),X$2):X15,Y14))</f>
        <v>0.7142857142857143</v>
      </c>
      <c r="Z15" s="10">
        <f ca="1">IF(ISNUMBER(CFDTable[[#This Row],[Done Today]]),SUM($G15:$L15),Z14+CFDTable[[#This Row],[avg added]])</f>
        <v>15</v>
      </c>
      <c r="AA15" s="10">
        <f ca="1">IF(ISNUMBER(CFDTable[[#This Row],[Done Today]]),SUM($G15:$L15),$AA14)</f>
        <v>15</v>
      </c>
      <c r="AB15" s="10">
        <f ca="1">IF(ISNUMBER(CFDTable[[#This Row],[Done Today]]),SUM($G15:$L15),$AB14)</f>
        <v>15</v>
      </c>
      <c r="AC15" s="10">
        <f ca="1">SUM(LOOKUP(2,1/(N$1:N14&lt;&gt;""),N$1:N14)+CFDTable[[#This Row],[lowDaily]])</f>
        <v>8.3201465201465208</v>
      </c>
      <c r="AD15" s="10">
        <f ca="1">SUM(LOOKUP(2,1/(O$1:O14&lt;&gt;""),O$1:O14)+R15)</f>
        <v>8.5714285714285712</v>
      </c>
      <c r="AE15" s="10">
        <f ca="1">SUM(LOOKUP(2,1/(P$1:P14&lt;&gt;""),P$1:P14)+CFDTable[[#This Row],[highDaily]])</f>
        <v>8.8227106227106233</v>
      </c>
      <c r="AF15" s="12">
        <f>IF(CFDTable[[#This Row],[Date]]=DeadlineDate,CFDTable[[#This Row],[FutureWork2]],0)</f>
        <v>0</v>
      </c>
    </row>
    <row r="16" spans="1:32">
      <c r="A16" s="8">
        <f>CFDTable[[#This Row],[Date]]</f>
        <v>42426</v>
      </c>
      <c r="B16" s="9">
        <f>Data!B16</f>
        <v>42426</v>
      </c>
      <c r="C16" s="10" t="e">
        <f ca="1">IF(ISNUMBER(CFDTable[[#This Row],[Ready]]),NA(),CFDTable[[#This Row],[Target]]-CFDTable[[#This Row],[To Do]])</f>
        <v>#N/A</v>
      </c>
      <c r="D16" s="10" t="e">
        <f>IF(CFDTable[[#This Row],[Emergence]]&gt;0,CFDTable[[#This Row],[Future Work]]-CFDTable[[#This Row],[Emergence]],NA())</f>
        <v>#N/A</v>
      </c>
      <c r="E16" s="10">
        <f>Data!C16</f>
        <v>0</v>
      </c>
      <c r="F16" s="10">
        <f ca="1">Data!D16</f>
        <v>0</v>
      </c>
      <c r="G16" s="10">
        <f ca="1">Data!E16</f>
        <v>0</v>
      </c>
      <c r="H16" s="10">
        <f ca="1">IF(TodaysDate&gt;=$B16,Data!F16,NA())</f>
        <v>0</v>
      </c>
      <c r="I16" s="10">
        <f ca="1">IF(TodaysDate&gt;=$B16,Data!G16,NA())</f>
        <v>4</v>
      </c>
      <c r="J16" s="10">
        <f ca="1">IF(TodaysDate&gt;=$B16,Data!H16,NA())</f>
        <v>2</v>
      </c>
      <c r="K16" s="10">
        <f ca="1">IF(TodaysDate&gt;=$B16,Data!I16,NA())</f>
        <v>1</v>
      </c>
      <c r="L16" s="10">
        <f ca="1">IF(TodaysDate&gt;=$B16,Data!J16,NA())</f>
        <v>8</v>
      </c>
      <c r="M16" s="10">
        <f ca="1">IF(CFDTable[[#This Row],[Done]]&gt;0,(CFDTable[[#This Row],[Done]])-(L15),0)</f>
        <v>0</v>
      </c>
      <c r="N16" s="10">
        <f ca="1">IF(ISNUMBER($M16),SUM(CFDTable[[#This Row],[Done]]),IF(CFDTable[[#This Row],[lookupLow]]&gt;=CFDTable[[#This Row],[FutureWork2]]+CFDTable[[#This Row],[lowDaily]],NA(),CFDTable[[#This Row],[lookupLow]]))</f>
        <v>8</v>
      </c>
      <c r="O16" s="10">
        <f ca="1">IF(ISNUMBER($M16),SUM(CFDTable[[#This Row],[Done]]),IF(CFDTable[[#This Row],[lookupMedian]]&gt;=CFDTable[[#This Row],[FutureWork2]],NA(),CFDTable[[#This Row],[lookupMedian]]))</f>
        <v>8</v>
      </c>
      <c r="P16" s="10">
        <f ca="1">IF(ISNUMBER(CFDTable[[#This Row],[Done Today]]),SUM(CFDTable[[#This Row],[Done]]),IF(CFDTable[[#This Row],[lookupHigh]]&gt;=CFDTable[[#This Row],[FutureWork2]]+CFDTable[[#This Row],[highDaily]],NA(),CFDTable[[#This Row],[lookupHigh]]))</f>
        <v>8</v>
      </c>
      <c r="Q16" s="10">
        <f ca="1">CFDTable[[#This Row],[AvgDaily]]-CFDTable[[#This Row],[Deviation]]</f>
        <v>0.32234432234432231</v>
      </c>
      <c r="R16" s="10">
        <f ca="1">AVERAGE(IF(ISNUMBER(M16),IF(ISNUMBER(OFFSET(M16,-Historic,0)),OFFSET(M16,-Historic,0),M$2):M16,R15))</f>
        <v>0.53333333333333333</v>
      </c>
      <c r="S16" s="10">
        <f ca="1">AVERAGE(IF(ISNUMBER(M16),IF(ISNUMBER(OFFSET(M16,-Historic,0)),OFFSET(M16,-Historic,0),M$2):M16,S15))</f>
        <v>0.53333333333333333</v>
      </c>
      <c r="T16" s="10">
        <f ca="1">AVERAGE(IF(ISNUMBER(M16),OFFSET(M$2,DaysToIgnoreOnAvg,0):M16,T15))</f>
        <v>0.46153846153846156</v>
      </c>
      <c r="U16" s="10">
        <f ca="1">CFDTable[[#This Row],[AvgDaily]]+CFDTable[[#This Row],[Deviation]]</f>
        <v>0.74432234432234434</v>
      </c>
      <c r="V16" s="10">
        <f ca="1">IF(ISNUMBER(M16),((_xlfn.PERCENTILE.INC(IF(ISNUMBER(OFFSET(R16,-Historic,0)),OFFSET(R16,-Historic,0),R$2):R16,PercentileHigh/100))-(MEDIAN(IF(ISNUMBER(OFFSET(R16,-Historic,0)),OFFSET(R16,-Historic,0),R$2):R16))),V15)</f>
        <v>0.21098901098901102</v>
      </c>
      <c r="W16" s="10">
        <f ca="1">IF(ISNUMBER(M16),((_xlfn.PERCENTILE.INC(R$2:R16,PercentileHigh/100))-(MEDIAN(R$2:R16))),V15)</f>
        <v>0.21098901098901102</v>
      </c>
      <c r="X16" s="10">
        <f ca="1">(SUM(CFDTable[[#This Row],[To Do]:[Done]])-SUM(G15:L15))</f>
        <v>0</v>
      </c>
      <c r="Y16" s="10">
        <f ca="1">AVERAGE(IF(ISNUMBER(X16),IF(ISNUMBER(OFFSET(X16,-Historic,0)),OFFSET(X16,-Historic,0),X$2):X16,Y15))</f>
        <v>0.66666666666666663</v>
      </c>
      <c r="Z16" s="10">
        <f ca="1">IF(ISNUMBER(CFDTable[[#This Row],[Done Today]]),SUM($G16:$L16),Z15+CFDTable[[#This Row],[avg added]])</f>
        <v>15</v>
      </c>
      <c r="AA16" s="10">
        <f ca="1">IF(ISNUMBER(CFDTable[[#This Row],[Done Today]]),SUM($G16:$L16),$AA15)</f>
        <v>15</v>
      </c>
      <c r="AB16" s="10">
        <f ca="1">IF(ISNUMBER(CFDTable[[#This Row],[Done Today]]),SUM($G16:$L16),$AB15)</f>
        <v>15</v>
      </c>
      <c r="AC16" s="10">
        <f ca="1">SUM(LOOKUP(2,1/(N$1:N15&lt;&gt;""),N$1:N15)+CFDTable[[#This Row],[lowDaily]])</f>
        <v>8.322344322344323</v>
      </c>
      <c r="AD16" s="10">
        <f ca="1">SUM(LOOKUP(2,1/(O$1:O15&lt;&gt;""),O$1:O15)+R16)</f>
        <v>8.5333333333333332</v>
      </c>
      <c r="AE16" s="10">
        <f ca="1">SUM(LOOKUP(2,1/(P$1:P15&lt;&gt;""),P$1:P15)+CFDTable[[#This Row],[highDaily]])</f>
        <v>8.7443223443223452</v>
      </c>
      <c r="AF16" s="12">
        <f>IF(CFDTable[[#This Row],[Date]]=DeadlineDate,CFDTable[[#This Row],[FutureWork2]],0)</f>
        <v>0</v>
      </c>
    </row>
    <row r="17" spans="1:32">
      <c r="A17" s="8">
        <f>CFDTable[[#This Row],[Date]]</f>
        <v>42429</v>
      </c>
      <c r="B17" s="9">
        <f>Data!B17</f>
        <v>42429</v>
      </c>
      <c r="C17" s="10" t="e">
        <f ca="1">IF(ISNUMBER(CFDTable[[#This Row],[Ready]]),NA(),CFDTable[[#This Row],[Target]]-CFDTable[[#This Row],[To Do]])</f>
        <v>#N/A</v>
      </c>
      <c r="D17" s="10" t="e">
        <f>IF(CFDTable[[#This Row],[Emergence]]&gt;0,CFDTable[[#This Row],[Future Work]]-CFDTable[[#This Row],[Emergence]],NA())</f>
        <v>#N/A</v>
      </c>
      <c r="E17" s="10">
        <f>Data!C17</f>
        <v>0</v>
      </c>
      <c r="F17" s="10">
        <f ca="1">Data!D17</f>
        <v>4</v>
      </c>
      <c r="G17" s="10">
        <f ca="1">Data!E17</f>
        <v>4</v>
      </c>
      <c r="H17" s="10">
        <f ca="1">IF(TodaysDate&gt;=$B17,Data!F17,NA())</f>
        <v>1</v>
      </c>
      <c r="I17" s="10">
        <f ca="1">IF(TodaysDate&gt;=$B17,Data!G17,NA())</f>
        <v>2</v>
      </c>
      <c r="J17" s="10">
        <f ca="1">IF(TodaysDate&gt;=$B17,Data!H17,NA())</f>
        <v>4</v>
      </c>
      <c r="K17" s="10">
        <f ca="1">IF(TodaysDate&gt;=$B17,Data!I17,NA())</f>
        <v>1</v>
      </c>
      <c r="L17" s="10">
        <f ca="1">IF(TodaysDate&gt;=$B17,Data!J17,NA())</f>
        <v>9</v>
      </c>
      <c r="M17" s="10">
        <f ca="1">IF(CFDTable[[#This Row],[Done]]&gt;0,(CFDTable[[#This Row],[Done]])-(L16),0)</f>
        <v>1</v>
      </c>
      <c r="N17" s="10">
        <f ca="1">IF(ISNUMBER($M17),SUM(CFDTable[[#This Row],[Done]]),IF(CFDTable[[#This Row],[lookupLow]]&gt;=CFDTable[[#This Row],[FutureWork2]]+CFDTable[[#This Row],[lowDaily]],NA(),CFDTable[[#This Row],[lookupLow]]))</f>
        <v>9</v>
      </c>
      <c r="O17" s="10">
        <f ca="1">IF(ISNUMBER($M17),SUM(CFDTable[[#This Row],[Done]]),IF(CFDTable[[#This Row],[lookupMedian]]&gt;=CFDTable[[#This Row],[FutureWork2]],NA(),CFDTable[[#This Row],[lookupMedian]]))</f>
        <v>9</v>
      </c>
      <c r="P17" s="10">
        <f ca="1">IF(ISNUMBER(CFDTable[[#This Row],[Done Today]]),SUM(CFDTable[[#This Row],[Done]]),IF(CFDTable[[#This Row],[lookupHigh]]&gt;=CFDTable[[#This Row],[FutureWork2]]+CFDTable[[#This Row],[highDaily]],NA(),CFDTable[[#This Row],[lookupHigh]]))</f>
        <v>9</v>
      </c>
      <c r="Q17" s="10">
        <f ca="1">CFDTable[[#This Row],[AvgDaily]]-CFDTable[[#This Row],[Deviation]]</f>
        <v>0.40810439560439554</v>
      </c>
      <c r="R17" s="10">
        <f ca="1">AVERAGE(IF(ISNUMBER(M17),IF(ISNUMBER(OFFSET(M17,-Historic,0)),OFFSET(M17,-Historic,0),M$2):M17,R16))</f>
        <v>0.5625</v>
      </c>
      <c r="S17" s="10">
        <f ca="1">AVERAGE(IF(ISNUMBER(M17),IF(ISNUMBER(OFFSET(M17,-Historic,0)),OFFSET(M17,-Historic,0),M$2):M17,S16))</f>
        <v>0.5625</v>
      </c>
      <c r="T17" s="10">
        <f ca="1">AVERAGE(IF(ISNUMBER(M17),OFFSET(M$2,DaysToIgnoreOnAvg,0):M17,T16))</f>
        <v>0.5</v>
      </c>
      <c r="U17" s="10">
        <f ca="1">CFDTable[[#This Row],[AvgDaily]]+CFDTable[[#This Row],[Deviation]]</f>
        <v>0.71689560439560451</v>
      </c>
      <c r="V17" s="10">
        <f ca="1">IF(ISNUMBER(M17),((_xlfn.PERCENTILE.INC(IF(ISNUMBER(OFFSET(R17,-Historic,0)),OFFSET(R17,-Historic,0),R$2):R17,PercentileHigh/100))-(MEDIAN(IF(ISNUMBER(OFFSET(R17,-Historic,0)),OFFSET(R17,-Historic,0),R$2):R17))),V16)</f>
        <v>0.15439560439560446</v>
      </c>
      <c r="W17" s="10">
        <f ca="1">IF(ISNUMBER(M17),((_xlfn.PERCENTILE.INC(R$2:R17,PercentileHigh/100))-(MEDIAN(R$2:R17))),V16)</f>
        <v>0.15439560439560446</v>
      </c>
      <c r="X17" s="10">
        <f ca="1">(SUM(CFDTable[[#This Row],[To Do]:[Done]])-SUM(G16:L16))</f>
        <v>6</v>
      </c>
      <c r="Y17" s="10">
        <f ca="1">AVERAGE(IF(ISNUMBER(X17),IF(ISNUMBER(OFFSET(X17,-Historic,0)),OFFSET(X17,-Historic,0),X$2):X17,Y16))</f>
        <v>1</v>
      </c>
      <c r="Z17" s="10">
        <f ca="1">IF(ISNUMBER(CFDTable[[#This Row],[Done Today]]),SUM($G17:$L17),Z16+CFDTable[[#This Row],[avg added]])</f>
        <v>21</v>
      </c>
      <c r="AA17" s="10">
        <f ca="1">IF(ISNUMBER(CFDTable[[#This Row],[Done Today]]),SUM($G17:$L17),$AA16)</f>
        <v>21</v>
      </c>
      <c r="AB17" s="10">
        <f ca="1">IF(ISNUMBER(CFDTable[[#This Row],[Done Today]]),SUM($G17:$L17),$AB16)</f>
        <v>21</v>
      </c>
      <c r="AC17" s="10">
        <f ca="1">SUM(LOOKUP(2,1/(N$1:N16&lt;&gt;""),N$1:N16)+CFDTable[[#This Row],[lowDaily]])</f>
        <v>8.4081043956043953</v>
      </c>
      <c r="AD17" s="10">
        <f ca="1">SUM(LOOKUP(2,1/(O$1:O16&lt;&gt;""),O$1:O16)+R17)</f>
        <v>8.5625</v>
      </c>
      <c r="AE17" s="10">
        <f ca="1">SUM(LOOKUP(2,1/(P$1:P16&lt;&gt;""),P$1:P16)+CFDTable[[#This Row],[highDaily]])</f>
        <v>8.7168956043956047</v>
      </c>
      <c r="AF17" s="12">
        <f>IF(CFDTable[[#This Row],[Date]]=DeadlineDate,CFDTable[[#This Row],[FutureWork2]],0)</f>
        <v>0</v>
      </c>
    </row>
    <row r="18" spans="1:32">
      <c r="A18" s="8">
        <f>CFDTable[[#This Row],[Date]]</f>
        <v>42430</v>
      </c>
      <c r="B18" s="9">
        <f>Data!B18</f>
        <v>42430</v>
      </c>
      <c r="C18" s="10" t="e">
        <f ca="1">IF(ISNUMBER(CFDTable[[#This Row],[Ready]]),NA(),CFDTable[[#This Row],[Target]]-CFDTable[[#This Row],[To Do]])</f>
        <v>#N/A</v>
      </c>
      <c r="D18" s="10" t="e">
        <f>IF(CFDTable[[#This Row],[Emergence]]&gt;0,CFDTable[[#This Row],[Future Work]]-CFDTable[[#This Row],[Emergence]],NA())</f>
        <v>#N/A</v>
      </c>
      <c r="E18" s="10">
        <f>Data!C18</f>
        <v>0</v>
      </c>
      <c r="F18" s="10">
        <f ca="1">Data!D18</f>
        <v>1</v>
      </c>
      <c r="G18" s="10">
        <f ca="1">Data!E18</f>
        <v>1</v>
      </c>
      <c r="H18" s="10">
        <f ca="1">IF(TodaysDate&gt;=$B18,Data!F18,NA())</f>
        <v>2</v>
      </c>
      <c r="I18" s="10">
        <f ca="1">IF(TodaysDate&gt;=$B18,Data!G18,NA())</f>
        <v>3</v>
      </c>
      <c r="J18" s="10">
        <f ca="1">IF(TodaysDate&gt;=$B18,Data!H18,NA())</f>
        <v>1</v>
      </c>
      <c r="K18" s="10">
        <f ca="1">IF(TodaysDate&gt;=$B18,Data!I18,NA())</f>
        <v>1</v>
      </c>
      <c r="L18" s="10">
        <f ca="1">IF(TodaysDate&gt;=$B18,Data!J18,NA())</f>
        <v>13</v>
      </c>
      <c r="M18" s="10">
        <f ca="1">IF(CFDTable[[#This Row],[Done]]&gt;0,(CFDTable[[#This Row],[Done]])-(L17),0)</f>
        <v>4</v>
      </c>
      <c r="N18" s="10">
        <f ca="1">IF(ISNUMBER($M18),SUM(CFDTable[[#This Row],[Done]]),IF(CFDTable[[#This Row],[lookupLow]]&gt;=CFDTable[[#This Row],[FutureWork2]]+CFDTable[[#This Row],[lowDaily]],NA(),CFDTable[[#This Row],[lookupLow]]))</f>
        <v>13</v>
      </c>
      <c r="O18" s="10">
        <f ca="1">IF(ISNUMBER($M18),SUM(CFDTable[[#This Row],[Done]]),IF(CFDTable[[#This Row],[lookupMedian]]&gt;=CFDTable[[#This Row],[FutureWork2]],NA(),CFDTable[[#This Row],[lookupMedian]]))</f>
        <v>13</v>
      </c>
      <c r="P18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13</v>
      </c>
      <c r="Q18" s="10">
        <f ca="1">CFDTable[[#This Row],[AvgDaily]]-CFDTable[[#This Row],[Deviation]]</f>
        <v>0.61855203619909505</v>
      </c>
      <c r="R18" s="10">
        <f ca="1">AVERAGE(IF(ISNUMBER(M18),IF(ISNUMBER(OFFSET(M18,-Historic,0)),OFFSET(M18,-Historic,0),M$2):M18,R17))</f>
        <v>0.76470588235294112</v>
      </c>
      <c r="S18" s="10">
        <f ca="1">AVERAGE(IF(ISNUMBER(M18),IF(ISNUMBER(OFFSET(M18,-Historic,0)),OFFSET(M18,-Historic,0),M$2):M18,S17))</f>
        <v>0.76470588235294112</v>
      </c>
      <c r="T18" s="10">
        <f ca="1">AVERAGE(IF(ISNUMBER(M18),OFFSET(M$2,DaysToIgnoreOnAvg,0):M18,T17))</f>
        <v>0.73333333333333328</v>
      </c>
      <c r="U18" s="10">
        <f ca="1">CFDTable[[#This Row],[AvgDaily]]+CFDTable[[#This Row],[Deviation]]</f>
        <v>0.9108597285067872</v>
      </c>
      <c r="V18" s="10">
        <f ca="1">IF(ISNUMBER(M18),((_xlfn.PERCENTILE.INC(IF(ISNUMBER(OFFSET(R18,-Historic,0)),OFFSET(R18,-Historic,0),R$2):R18,PercentileHigh/100))-(MEDIAN(IF(ISNUMBER(OFFSET(R18,-Historic,0)),OFFSET(R18,-Historic,0),R$2):R18))),V17)</f>
        <v>0.14615384615384608</v>
      </c>
      <c r="W18" s="10">
        <f ca="1">IF(ISNUMBER(M18),((_xlfn.PERCENTILE.INC(R$2:R18,PercentileHigh/100))-(MEDIAN(R$2:R18))),V17)</f>
        <v>0.14615384615384608</v>
      </c>
      <c r="X18" s="10">
        <f ca="1">(SUM(CFDTable[[#This Row],[To Do]:[Done]])-SUM(G17:L17))</f>
        <v>0</v>
      </c>
      <c r="Y18" s="10">
        <f ca="1">AVERAGE(IF(ISNUMBER(X18),IF(ISNUMBER(OFFSET(X18,-Historic,0)),OFFSET(X18,-Historic,0),X$2):X18,Y17))</f>
        <v>0.94117647058823528</v>
      </c>
      <c r="Z18" s="10">
        <f ca="1">IF(ISNUMBER(CFDTable[[#This Row],[Done Today]]),SUM($G18:$L18),Z17+CFDTable[[#This Row],[avg added]])</f>
        <v>21</v>
      </c>
      <c r="AA18" s="10">
        <f ca="1">IF(ISNUMBER(CFDTable[[#This Row],[Done Today]]),SUM($G18:$L18),$AA17)</f>
        <v>21</v>
      </c>
      <c r="AB18" s="10">
        <f ca="1">IF(ISNUMBER(CFDTable[[#This Row],[Done Today]]),SUM($G18:$L18),$AB17)</f>
        <v>21</v>
      </c>
      <c r="AC18" s="10">
        <f ca="1">SUM(LOOKUP(2,1/(N$1:N17&lt;&gt;""),N$1:N17)+CFDTable[[#This Row],[lowDaily]])</f>
        <v>9.6185520361990946</v>
      </c>
      <c r="AD18" s="10">
        <f ca="1">SUM(LOOKUP(2,1/(O$1:O17&lt;&gt;""),O$1:O17)+R18)</f>
        <v>9.764705882352942</v>
      </c>
      <c r="AE18" s="10">
        <f ca="1">SUM(LOOKUP(2,1/(P$1:P17&lt;&gt;""),P$1:P17)+CFDTable[[#This Row],[highDaily]])</f>
        <v>9.9108597285067876</v>
      </c>
      <c r="AF18" s="12">
        <f>IF(CFDTable[[#This Row],[Date]]=DeadlineDate,CFDTable[[#This Row],[FutureWork2]],0)</f>
        <v>0</v>
      </c>
    </row>
    <row r="19" spans="1:32">
      <c r="A19" s="8">
        <f>CFDTable[[#This Row],[Date]]</f>
        <v>42431</v>
      </c>
      <c r="B19" s="9">
        <f>Data!B19</f>
        <v>42431</v>
      </c>
      <c r="C19" s="10" t="e">
        <f ca="1">IF(ISNUMBER(CFDTable[[#This Row],[Ready]]),NA(),CFDTable[[#This Row],[Target]]-CFDTable[[#This Row],[To Do]])</f>
        <v>#N/A</v>
      </c>
      <c r="D19" s="10" t="e">
        <f>IF(CFDTable[[#This Row],[Emergence]]&gt;0,CFDTable[[#This Row],[Future Work]]-CFDTable[[#This Row],[Emergence]],NA())</f>
        <v>#N/A</v>
      </c>
      <c r="E19" s="10">
        <f>Data!C19</f>
        <v>0</v>
      </c>
      <c r="F19" s="10">
        <f ca="1">Data!D19</f>
        <v>16</v>
      </c>
      <c r="G19" s="10">
        <f ca="1">Data!E19</f>
        <v>16</v>
      </c>
      <c r="H19" s="10">
        <f ca="1">IF(TodaysDate&gt;=$B19,Data!F19,NA())</f>
        <v>2</v>
      </c>
      <c r="I19" s="10">
        <f ca="1">IF(TodaysDate&gt;=$B19,Data!G19,NA())</f>
        <v>3</v>
      </c>
      <c r="J19" s="10">
        <f ca="1">IF(TodaysDate&gt;=$B19,Data!H19,NA())</f>
        <v>1</v>
      </c>
      <c r="K19" s="10">
        <f ca="1">IF(TodaysDate&gt;=$B19,Data!I19,NA())</f>
        <v>1</v>
      </c>
      <c r="L19" s="10">
        <f ca="1">IF(TodaysDate&gt;=$B19,Data!J19,NA())</f>
        <v>13</v>
      </c>
      <c r="M19" s="10">
        <f ca="1">IF(CFDTable[[#This Row],[Done]]&gt;0,(CFDTable[[#This Row],[Done]])-(L18),0)</f>
        <v>0</v>
      </c>
      <c r="N19" s="10">
        <f ca="1">IF(ISNUMBER($M19),SUM(CFDTable[[#This Row],[Done]]),IF(CFDTable[[#This Row],[lookupLow]]&gt;=CFDTable[[#This Row],[FutureWork2]]+CFDTable[[#This Row],[lowDaily]],NA(),CFDTable[[#This Row],[lookupLow]]))</f>
        <v>13</v>
      </c>
      <c r="O19" s="10">
        <f ca="1">IF(ISNUMBER($M19),SUM(CFDTable[[#This Row],[Done]]),IF(CFDTable[[#This Row],[lookupMedian]]&gt;=CFDTable[[#This Row],[FutureWork2]],NA(),CFDTable[[#This Row],[lookupMedian]]))</f>
        <v>13</v>
      </c>
      <c r="P19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13</v>
      </c>
      <c r="Q19" s="10">
        <f ca="1">CFDTable[[#This Row],[AvgDaily]]-CFDTable[[#This Row],[Deviation]]</f>
        <v>0.53055555555555556</v>
      </c>
      <c r="R19" s="10">
        <f ca="1">AVERAGE(IF(ISNUMBER(M19),IF(ISNUMBER(OFFSET(M19,-Historic,0)),OFFSET(M19,-Historic,0),M$2):M19,R18))</f>
        <v>0.72222222222222221</v>
      </c>
      <c r="S19" s="10">
        <f ca="1">AVERAGE(IF(ISNUMBER(M19),IF(ISNUMBER(OFFSET(M19,-Historic,0)),OFFSET(M19,-Historic,0),M$2):M19,S18))</f>
        <v>0.72222222222222221</v>
      </c>
      <c r="T19" s="10">
        <f ca="1">AVERAGE(IF(ISNUMBER(M19),OFFSET(M$2,DaysToIgnoreOnAvg,0):M19,T18))</f>
        <v>0.6875</v>
      </c>
      <c r="U19" s="10">
        <f ca="1">CFDTable[[#This Row],[AvgDaily]]+CFDTable[[#This Row],[Deviation]]</f>
        <v>0.91388888888888886</v>
      </c>
      <c r="V19" s="10">
        <f ca="1">IF(ISNUMBER(M19),((_xlfn.PERCENTILE.INC(IF(ISNUMBER(OFFSET(R19,-Historic,0)),OFFSET(R19,-Historic,0),R$2):R19,PercentileHigh/100))-(MEDIAN(IF(ISNUMBER(OFFSET(R19,-Historic,0)),OFFSET(R19,-Historic,0),R$2):R19))),V18)</f>
        <v>0.19166666666666665</v>
      </c>
      <c r="W19" s="10">
        <f ca="1">IF(ISNUMBER(M19),((_xlfn.PERCENTILE.INC(R$2:R19,PercentileHigh/100))-(MEDIAN(R$2:R19))),V18)</f>
        <v>0.19166666666666665</v>
      </c>
      <c r="X19" s="10">
        <f ca="1">(SUM(CFDTable[[#This Row],[To Do]:[Done]])-SUM(G18:L18))</f>
        <v>15</v>
      </c>
      <c r="Y19" s="10">
        <f ca="1">AVERAGE(IF(ISNUMBER(X19),IF(ISNUMBER(OFFSET(X19,-Historic,0)),OFFSET(X19,-Historic,0),X$2):X19,Y18))</f>
        <v>1.7222222222222223</v>
      </c>
      <c r="Z19" s="10">
        <f ca="1">IF(ISNUMBER(CFDTable[[#This Row],[Done Today]]),SUM($G19:$L19),Z18+CFDTable[[#This Row],[avg added]])</f>
        <v>36</v>
      </c>
      <c r="AA19" s="10">
        <f ca="1">IF(ISNUMBER(CFDTable[[#This Row],[Done Today]]),SUM($G19:$L19),$AA18)</f>
        <v>36</v>
      </c>
      <c r="AB19" s="10">
        <f ca="1">IF(ISNUMBER(CFDTable[[#This Row],[Done Today]]),SUM($G19:$L19),$AB18)</f>
        <v>36</v>
      </c>
      <c r="AC19" s="10">
        <f ca="1">SUM(LOOKUP(2,1/(N$1:N18&lt;&gt;""),N$1:N18)+CFDTable[[#This Row],[lowDaily]])</f>
        <v>13.530555555555555</v>
      </c>
      <c r="AD19" s="10">
        <f ca="1">SUM(LOOKUP(2,1/(O$1:O18&lt;&gt;""),O$1:O18)+R19)</f>
        <v>13.722222222222221</v>
      </c>
      <c r="AE19" s="10">
        <f ca="1">SUM(LOOKUP(2,1/(P$1:P18&lt;&gt;""),P$1:P18)+CFDTable[[#This Row],[highDaily]])</f>
        <v>13.91388888888889</v>
      </c>
      <c r="AF19" s="12">
        <f>IF(CFDTable[[#This Row],[Date]]=DeadlineDate,CFDTable[[#This Row],[FutureWork2]],0)</f>
        <v>0</v>
      </c>
    </row>
    <row r="20" spans="1:32">
      <c r="A20" s="8">
        <f>CFDTable[[#This Row],[Date]]</f>
        <v>42432</v>
      </c>
      <c r="B20" s="9">
        <f>Data!B20</f>
        <v>42432</v>
      </c>
      <c r="C20" s="10" t="e">
        <f ca="1">IF(ISNUMBER(CFDTable[[#This Row],[Ready]]),NA(),CFDTable[[#This Row],[Target]]-CFDTable[[#This Row],[To Do]])</f>
        <v>#N/A</v>
      </c>
      <c r="D20" s="10" t="e">
        <f>IF(CFDTable[[#This Row],[Emergence]]&gt;0,CFDTable[[#This Row],[Future Work]]-CFDTable[[#This Row],[Emergence]],NA())</f>
        <v>#N/A</v>
      </c>
      <c r="E20" s="10">
        <f>Data!C20</f>
        <v>0</v>
      </c>
      <c r="F20" s="10">
        <f ca="1">Data!D20</f>
        <v>15</v>
      </c>
      <c r="G20" s="10">
        <f ca="1">Data!E20</f>
        <v>15</v>
      </c>
      <c r="H20" s="10">
        <f ca="1">IF(TodaysDate&gt;=$B20,Data!F20,NA())</f>
        <v>3</v>
      </c>
      <c r="I20" s="10">
        <f ca="1">IF(TodaysDate&gt;=$B20,Data!G20,NA())</f>
        <v>1</v>
      </c>
      <c r="J20" s="10">
        <f ca="1">IF(TodaysDate&gt;=$B20,Data!H20,NA())</f>
        <v>0</v>
      </c>
      <c r="K20" s="10">
        <f ca="1">IF(TodaysDate&gt;=$B20,Data!I20,NA())</f>
        <v>1</v>
      </c>
      <c r="L20" s="10">
        <f ca="1">IF(TodaysDate&gt;=$B20,Data!J20,NA())</f>
        <v>16</v>
      </c>
      <c r="M20" s="10">
        <f ca="1">IF(CFDTable[[#This Row],[Done]]&gt;0,(CFDTable[[#This Row],[Done]])-(L19),0)</f>
        <v>3</v>
      </c>
      <c r="N20" s="10">
        <f ca="1">IF(ISNUMBER($M20),SUM(CFDTable[[#This Row],[Done]]),IF(CFDTable[[#This Row],[lookupLow]]&gt;=CFDTable[[#This Row],[FutureWork2]]+CFDTable[[#This Row],[lowDaily]],NA(),CFDTable[[#This Row],[lookupLow]]))</f>
        <v>16</v>
      </c>
      <c r="O20" s="10">
        <f ca="1">IF(ISNUMBER($M20),SUM(CFDTable[[#This Row],[Done]]),IF(CFDTable[[#This Row],[lookupMedian]]&gt;=CFDTable[[#This Row],[FutureWork2]],NA(),CFDTable[[#This Row],[lookupMedian]]))</f>
        <v>16</v>
      </c>
      <c r="P20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16</v>
      </c>
      <c r="Q20" s="10">
        <f ca="1">CFDTable[[#This Row],[AvgDaily]]-CFDTable[[#This Row],[Deviation]]</f>
        <v>0.60713794289645695</v>
      </c>
      <c r="R20" s="10">
        <f ca="1">AVERAGE(IF(ISNUMBER(M20),IF(ISNUMBER(OFFSET(M20,-Historic,0)),OFFSET(M20,-Historic,0),M$2):M20,R19))</f>
        <v>0.84210526315789469</v>
      </c>
      <c r="S20" s="10">
        <f ca="1">AVERAGE(IF(ISNUMBER(M20),IF(ISNUMBER(OFFSET(M20,-Historic,0)),OFFSET(M20,-Historic,0),M$2):M20,S19))</f>
        <v>0.84210526315789469</v>
      </c>
      <c r="T20" s="10">
        <f ca="1">AVERAGE(IF(ISNUMBER(M20),OFFSET(M$2,DaysToIgnoreOnAvg,0):M20,T19))</f>
        <v>0.82352941176470584</v>
      </c>
      <c r="U20" s="10">
        <f ca="1">CFDTable[[#This Row],[AvgDaily]]+CFDTable[[#This Row],[Deviation]]</f>
        <v>1.0770725834193324</v>
      </c>
      <c r="V20" s="10">
        <f ca="1">IF(ISNUMBER(M20),((_xlfn.PERCENTILE.INC(IF(ISNUMBER(OFFSET(R20,-Historic,0)),OFFSET(R20,-Historic,0),R$2):R20,PercentileHigh/100))-(MEDIAN(IF(ISNUMBER(OFFSET(R20,-Historic,0)),OFFSET(R20,-Historic,0),R$2):R20))),V19)</f>
        <v>0.23496732026143774</v>
      </c>
      <c r="W20" s="10">
        <f ca="1">IF(ISNUMBER(M20),((_xlfn.PERCENTILE.INC(R$2:R20,PercentileHigh/100))-(MEDIAN(R$2:R20))),V19)</f>
        <v>0.23496732026143774</v>
      </c>
      <c r="X20" s="10">
        <f ca="1">(SUM(CFDTable[[#This Row],[To Do]:[Done]])-SUM(G19:L19))</f>
        <v>0</v>
      </c>
      <c r="Y20" s="10">
        <f ca="1">AVERAGE(IF(ISNUMBER(X20),IF(ISNUMBER(OFFSET(X20,-Historic,0)),OFFSET(X20,-Historic,0),X$2):X20,Y19))</f>
        <v>1.631578947368421</v>
      </c>
      <c r="Z20" s="10">
        <f ca="1">IF(ISNUMBER(CFDTable[[#This Row],[Done Today]]),SUM($G20:$L20),Z19+CFDTable[[#This Row],[avg added]])</f>
        <v>36</v>
      </c>
      <c r="AA20" s="10">
        <f ca="1">IF(ISNUMBER(CFDTable[[#This Row],[Done Today]]),SUM($G20:$L20),$AA19)</f>
        <v>36</v>
      </c>
      <c r="AB20" s="10">
        <f ca="1">IF(ISNUMBER(CFDTable[[#This Row],[Done Today]]),SUM($G20:$L20),$AB19)</f>
        <v>36</v>
      </c>
      <c r="AC20" s="10">
        <f ca="1">SUM(LOOKUP(2,1/(N$1:N19&lt;&gt;""),N$1:N19)+CFDTable[[#This Row],[lowDaily]])</f>
        <v>13.607137942896458</v>
      </c>
      <c r="AD20" s="10">
        <f ca="1">SUM(LOOKUP(2,1/(O$1:O19&lt;&gt;""),O$1:O19)+R20)</f>
        <v>13.842105263157894</v>
      </c>
      <c r="AE20" s="10">
        <f ca="1">SUM(LOOKUP(2,1/(P$1:P19&lt;&gt;""),P$1:P19)+CFDTable[[#This Row],[highDaily]])</f>
        <v>14.077072583419332</v>
      </c>
      <c r="AF20" s="12">
        <f>IF(CFDTable[[#This Row],[Date]]=DeadlineDate,CFDTable[[#This Row],[FutureWork2]],0)</f>
        <v>0</v>
      </c>
    </row>
    <row r="21" spans="1:32">
      <c r="A21" s="8">
        <f>CFDTable[[#This Row],[Date]]</f>
        <v>42433</v>
      </c>
      <c r="B21" s="9">
        <f>Data!B21</f>
        <v>42433</v>
      </c>
      <c r="C21" s="10" t="e">
        <f ca="1">IF(ISNUMBER(CFDTable[[#This Row],[Ready]]),NA(),CFDTable[[#This Row],[Target]]-CFDTable[[#This Row],[To Do]])</f>
        <v>#N/A</v>
      </c>
      <c r="D21" s="10" t="e">
        <f>IF(CFDTable[[#This Row],[Emergence]]&gt;0,CFDTable[[#This Row],[Future Work]]-CFDTable[[#This Row],[Emergence]],NA())</f>
        <v>#N/A</v>
      </c>
      <c r="E21" s="10">
        <f>Data!C21</f>
        <v>0</v>
      </c>
      <c r="F21" s="10">
        <f ca="1">Data!D21</f>
        <v>14</v>
      </c>
      <c r="G21" s="10">
        <f ca="1">Data!E21</f>
        <v>14</v>
      </c>
      <c r="H21" s="10">
        <f ca="1">IF(TodaysDate&gt;=$B21,Data!F21,NA())</f>
        <v>4</v>
      </c>
      <c r="I21" s="10">
        <f ca="1">IF(TodaysDate&gt;=$B21,Data!G21,NA())</f>
        <v>1</v>
      </c>
      <c r="J21" s="10">
        <f ca="1">IF(TodaysDate&gt;=$B21,Data!H21,NA())</f>
        <v>0</v>
      </c>
      <c r="K21" s="10">
        <f ca="1">IF(TodaysDate&gt;=$B21,Data!I21,NA())</f>
        <v>1</v>
      </c>
      <c r="L21" s="10">
        <f ca="1">IF(TodaysDate&gt;=$B21,Data!J21,NA())</f>
        <v>16</v>
      </c>
      <c r="M21" s="10">
        <f ca="1">IF(CFDTable[[#This Row],[Done]]&gt;0,(CFDTable[[#This Row],[Done]])-(L20),0)</f>
        <v>0</v>
      </c>
      <c r="N21" s="10">
        <f ca="1">IF(ISNUMBER($M21),SUM(CFDTable[[#This Row],[Done]]),IF(CFDTable[[#This Row],[lookupLow]]&gt;=CFDTable[[#This Row],[FutureWork2]]+CFDTable[[#This Row],[lowDaily]],NA(),CFDTable[[#This Row],[lookupLow]]))</f>
        <v>16</v>
      </c>
      <c r="O21" s="10">
        <f ca="1">IF(ISNUMBER($M21),SUM(CFDTable[[#This Row],[Done]]),IF(CFDTable[[#This Row],[lookupMedian]]&gt;=CFDTable[[#This Row],[FutureWork2]],NA(),CFDTable[[#This Row],[lookupMedian]]))</f>
        <v>16</v>
      </c>
      <c r="P21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16</v>
      </c>
      <c r="Q21" s="10">
        <f ca="1">CFDTable[[#This Row],[AvgDaily]]-CFDTable[[#This Row],[Deviation]]</f>
        <v>0.54666666666666675</v>
      </c>
      <c r="R21" s="10">
        <f ca="1">AVERAGE(IF(ISNUMBER(M21),IF(ISNUMBER(OFFSET(M21,-Historic,0)),OFFSET(M21,-Historic,0),M$2):M21,R20))</f>
        <v>0.8</v>
      </c>
      <c r="S21" s="10">
        <f ca="1">AVERAGE(IF(ISNUMBER(M21),IF(ISNUMBER(OFFSET(M21,-Historic,0)),OFFSET(M21,-Historic,0),M$2):M21,S20))</f>
        <v>0.8</v>
      </c>
      <c r="T21" s="10">
        <f ca="1">AVERAGE(IF(ISNUMBER(M21),OFFSET(M$2,DaysToIgnoreOnAvg,0):M21,T20))</f>
        <v>0.77777777777777779</v>
      </c>
      <c r="U21" s="10">
        <f ca="1">CFDTable[[#This Row],[AvgDaily]]+CFDTable[[#This Row],[Deviation]]</f>
        <v>1.0533333333333332</v>
      </c>
      <c r="V21" s="10">
        <f ca="1">IF(ISNUMBER(M21),((_xlfn.PERCENTILE.INC(IF(ISNUMBER(OFFSET(R21,-Historic,0)),OFFSET(R21,-Historic,0),R$2):R21,PercentileHigh/100))-(MEDIAN(IF(ISNUMBER(OFFSET(R21,-Historic,0)),OFFSET(R21,-Historic,0),R$2):R21))),V20)</f>
        <v>0.2533333333333333</v>
      </c>
      <c r="W21" s="10">
        <f ca="1">IF(ISNUMBER(M21),((_xlfn.PERCENTILE.INC(R$2:R21,PercentileHigh/100))-(MEDIAN(R$2:R21))),V20)</f>
        <v>0.2533333333333333</v>
      </c>
      <c r="X21" s="10">
        <f ca="1">(SUM(CFDTable[[#This Row],[To Do]:[Done]])-SUM(G20:L20))</f>
        <v>0</v>
      </c>
      <c r="Y21" s="10">
        <f ca="1">AVERAGE(IF(ISNUMBER(X21),IF(ISNUMBER(OFFSET(X21,-Historic,0)),OFFSET(X21,-Historic,0),X$2):X21,Y20))</f>
        <v>1.55</v>
      </c>
      <c r="Z21" s="10">
        <f ca="1">IF(ISNUMBER(CFDTable[[#This Row],[Done Today]]),SUM($G21:$L21),Z20+CFDTable[[#This Row],[avg added]])</f>
        <v>36</v>
      </c>
      <c r="AA21" s="10">
        <f ca="1">IF(ISNUMBER(CFDTable[[#This Row],[Done Today]]),SUM($G21:$L21),$AA20)</f>
        <v>36</v>
      </c>
      <c r="AB21" s="10">
        <f ca="1">IF(ISNUMBER(CFDTable[[#This Row],[Done Today]]),SUM($G21:$L21),$AB20)</f>
        <v>36</v>
      </c>
      <c r="AC21" s="10">
        <f ca="1">SUM(LOOKUP(2,1/(N$1:N20&lt;&gt;""),N$1:N20)+CFDTable[[#This Row],[lowDaily]])</f>
        <v>16.546666666666667</v>
      </c>
      <c r="AD21" s="10">
        <f ca="1">SUM(LOOKUP(2,1/(O$1:O20&lt;&gt;""),O$1:O20)+R21)</f>
        <v>16.8</v>
      </c>
      <c r="AE21" s="10">
        <f ca="1">SUM(LOOKUP(2,1/(P$1:P20&lt;&gt;""),P$1:P20)+CFDTable[[#This Row],[highDaily]])</f>
        <v>17.053333333333335</v>
      </c>
      <c r="AF21" s="12">
        <f>IF(CFDTable[[#This Row],[Date]]=DeadlineDate,CFDTable[[#This Row],[FutureWork2]],0)</f>
        <v>0</v>
      </c>
    </row>
    <row r="22" spans="1:32">
      <c r="A22" s="8">
        <f>CFDTable[[#This Row],[Date]]</f>
        <v>42436</v>
      </c>
      <c r="B22" s="9">
        <f>Data!B22</f>
        <v>42436</v>
      </c>
      <c r="C22" s="10" t="e">
        <f ca="1">IF(ISNUMBER(CFDTable[[#This Row],[Ready]]),NA(),CFDTable[[#This Row],[Target]]-CFDTable[[#This Row],[To Do]])</f>
        <v>#N/A</v>
      </c>
      <c r="D22" s="10" t="e">
        <f>IF(CFDTable[[#This Row],[Emergence]]&gt;0,CFDTable[[#This Row],[Future Work]]-CFDTable[[#This Row],[Emergence]],NA())</f>
        <v>#N/A</v>
      </c>
      <c r="E22" s="10">
        <f>Data!C22</f>
        <v>0</v>
      </c>
      <c r="F22" s="10">
        <f ca="1">Data!D22</f>
        <v>14</v>
      </c>
      <c r="G22" s="10">
        <f ca="1">Data!E22</f>
        <v>14</v>
      </c>
      <c r="H22" s="10">
        <f ca="1">IF(TodaysDate&gt;=$B22,Data!F22,NA())</f>
        <v>2</v>
      </c>
      <c r="I22" s="10">
        <f ca="1">IF(TodaysDate&gt;=$B22,Data!G22,NA())</f>
        <v>2</v>
      </c>
      <c r="J22" s="10">
        <f ca="1">IF(TodaysDate&gt;=$B22,Data!H22,NA())</f>
        <v>0</v>
      </c>
      <c r="K22" s="10">
        <f ca="1">IF(TodaysDate&gt;=$B22,Data!I22,NA())</f>
        <v>0</v>
      </c>
      <c r="L22" s="10">
        <f ca="1">IF(TodaysDate&gt;=$B22,Data!J22,NA())</f>
        <v>18</v>
      </c>
      <c r="M22" s="10">
        <f ca="1">IF(CFDTable[[#This Row],[Done]]&gt;0,(CFDTable[[#This Row],[Done]])-(L21),0)</f>
        <v>2</v>
      </c>
      <c r="N22" s="10">
        <f ca="1">IF(ISNUMBER($M22),SUM(CFDTable[[#This Row],[Done]]),IF(CFDTable[[#This Row],[lookupLow]]&gt;=CFDTable[[#This Row],[FutureWork2]]+CFDTable[[#This Row],[lowDaily]],NA(),CFDTable[[#This Row],[lookupLow]]))</f>
        <v>18</v>
      </c>
      <c r="O22" s="10">
        <f ca="1">IF(ISNUMBER($M22),SUM(CFDTable[[#This Row],[Done]]),IF(CFDTable[[#This Row],[lookupMedian]]&gt;=CFDTable[[#This Row],[FutureWork2]],NA(),CFDTable[[#This Row],[lookupMedian]]))</f>
        <v>18</v>
      </c>
      <c r="P22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18</v>
      </c>
      <c r="Q22" s="10">
        <f ca="1">CFDTable[[#This Row],[AvgDaily]]-CFDTable[[#This Row],[Deviation]]</f>
        <v>0.59047619047619038</v>
      </c>
      <c r="R22" s="10">
        <f ca="1">AVERAGE(IF(ISNUMBER(M22),IF(ISNUMBER(OFFSET(M22,-Historic,0)),OFFSET(M22,-Historic,0),M$2):M22,R21))</f>
        <v>0.8571428571428571</v>
      </c>
      <c r="S22" s="10">
        <f ca="1">AVERAGE(IF(ISNUMBER(M22),IF(ISNUMBER(OFFSET(M22,-Historic,0)),OFFSET(M22,-Historic,0),M$2):M22,S21))</f>
        <v>0.8571428571428571</v>
      </c>
      <c r="T22" s="10">
        <f ca="1">AVERAGE(IF(ISNUMBER(M22),OFFSET(M$2,DaysToIgnoreOnAvg,0):M22,T21))</f>
        <v>0.84210526315789469</v>
      </c>
      <c r="U22" s="10">
        <f ca="1">CFDTable[[#This Row],[AvgDaily]]+CFDTable[[#This Row],[Deviation]]</f>
        <v>1.1238095238095238</v>
      </c>
      <c r="V22" s="10">
        <f ca="1">IF(ISNUMBER(M22),((_xlfn.PERCENTILE.INC(IF(ISNUMBER(OFFSET(R22,-Historic,0)),OFFSET(R22,-Historic,0),R$2):R22,PercentileHigh/100))-(MEDIAN(IF(ISNUMBER(OFFSET(R22,-Historic,0)),OFFSET(R22,-Historic,0),R$2):R22))),V21)</f>
        <v>0.26666666666666672</v>
      </c>
      <c r="W22" s="10">
        <f ca="1">IF(ISNUMBER(M22),((_xlfn.PERCENTILE.INC(R$2:R22,PercentileHigh/100))-(MEDIAN(R$2:R22))),V21)</f>
        <v>0.26666666666666672</v>
      </c>
      <c r="X22" s="10">
        <f ca="1">(SUM(CFDTable[[#This Row],[To Do]:[Done]])-SUM(G21:L21))</f>
        <v>0</v>
      </c>
      <c r="Y22" s="10">
        <f ca="1">AVERAGE(IF(ISNUMBER(X22),IF(ISNUMBER(OFFSET(X22,-Historic,0)),OFFSET(X22,-Historic,0),X$2):X22,Y21))</f>
        <v>1.4761904761904763</v>
      </c>
      <c r="Z22" s="10">
        <f ca="1">IF(ISNUMBER(CFDTable[[#This Row],[Done Today]]),SUM($G22:$L22),Z21+CFDTable[[#This Row],[avg added]])</f>
        <v>36</v>
      </c>
      <c r="AA22" s="10">
        <f ca="1">IF(ISNUMBER(CFDTable[[#This Row],[Done Today]]),SUM($G22:$L22),$AA21)</f>
        <v>36</v>
      </c>
      <c r="AB22" s="10">
        <f ca="1">IF(ISNUMBER(CFDTable[[#This Row],[Done Today]]),SUM($G22:$L22),$AB21)</f>
        <v>36</v>
      </c>
      <c r="AC22" s="10">
        <f ca="1">SUM(LOOKUP(2,1/(N$1:N21&lt;&gt;""),N$1:N21)+CFDTable[[#This Row],[lowDaily]])</f>
        <v>16.590476190476192</v>
      </c>
      <c r="AD22" s="10">
        <f ca="1">SUM(LOOKUP(2,1/(O$1:O21&lt;&gt;""),O$1:O21)+R22)</f>
        <v>16.857142857142858</v>
      </c>
      <c r="AE22" s="10">
        <f ca="1">SUM(LOOKUP(2,1/(P$1:P21&lt;&gt;""),P$1:P21)+CFDTable[[#This Row],[highDaily]])</f>
        <v>17.123809523809523</v>
      </c>
      <c r="AF22" s="12">
        <f>IF(CFDTable[[#This Row],[Date]]=DeadlineDate,CFDTable[[#This Row],[FutureWork2]],0)</f>
        <v>0</v>
      </c>
    </row>
    <row r="23" spans="1:32">
      <c r="A23" s="8">
        <f>CFDTable[[#This Row],[Date]]</f>
        <v>42437</v>
      </c>
      <c r="B23" s="9">
        <f>Data!B23</f>
        <v>42437</v>
      </c>
      <c r="C23" s="10" t="e">
        <f ca="1">IF(ISNUMBER(CFDTable[[#This Row],[Ready]]),NA(),CFDTable[[#This Row],[Target]]-CFDTable[[#This Row],[To Do]])</f>
        <v>#N/A</v>
      </c>
      <c r="D23" s="10" t="e">
        <f>IF(CFDTable[[#This Row],[Emergence]]&gt;0,CFDTable[[#This Row],[Future Work]]-CFDTable[[#This Row],[Emergence]],NA())</f>
        <v>#N/A</v>
      </c>
      <c r="E23" s="10">
        <f>Data!C23</f>
        <v>0</v>
      </c>
      <c r="F23" s="10">
        <f ca="1">Data!D23</f>
        <v>14</v>
      </c>
      <c r="G23" s="10">
        <f ca="1">Data!E23</f>
        <v>14</v>
      </c>
      <c r="H23" s="10">
        <f ca="1">IF(TodaysDate&gt;=$B23,Data!F23,NA())</f>
        <v>0</v>
      </c>
      <c r="I23" s="10">
        <f ca="1">IF(TodaysDate&gt;=$B23,Data!G23,NA())</f>
        <v>2</v>
      </c>
      <c r="J23" s="10">
        <f ca="1">IF(TodaysDate&gt;=$B23,Data!H23,NA())</f>
        <v>1</v>
      </c>
      <c r="K23" s="10">
        <f ca="1">IF(TodaysDate&gt;=$B23,Data!I23,NA())</f>
        <v>0</v>
      </c>
      <c r="L23" s="10">
        <f ca="1">IF(TodaysDate&gt;=$B23,Data!J23,NA())</f>
        <v>19</v>
      </c>
      <c r="M23" s="10">
        <f ca="1">IF(CFDTable[[#This Row],[Done]]&gt;0,(CFDTable[[#This Row],[Done]])-(L22),0)</f>
        <v>1</v>
      </c>
      <c r="N23" s="10">
        <f ca="1">IF(ISNUMBER($M23),SUM(CFDTable[[#This Row],[Done]]),IF(CFDTable[[#This Row],[lookupLow]]&gt;=CFDTable[[#This Row],[FutureWork2]]+CFDTable[[#This Row],[lowDaily]],NA(),CFDTable[[#This Row],[lookupLow]]))</f>
        <v>19</v>
      </c>
      <c r="O23" s="10">
        <f ca="1">IF(ISNUMBER($M23),SUM(CFDTable[[#This Row],[Done]]),IF(CFDTable[[#This Row],[lookupMedian]]&gt;=CFDTable[[#This Row],[FutureWork2]],NA(),CFDTable[[#This Row],[lookupMedian]]))</f>
        <v>19</v>
      </c>
      <c r="P23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19</v>
      </c>
      <c r="Q23" s="10">
        <f ca="1">CFDTable[[#This Row],[AvgDaily]]-CFDTable[[#This Row],[Deviation]]</f>
        <v>0.62515664160401008</v>
      </c>
      <c r="R23" s="10">
        <f ca="1">AVERAGE(IF(ISNUMBER(M23),IF(ISNUMBER(OFFSET(M23,-Historic,0)),OFFSET(M23,-Historic,0),M$2):M23,R22))</f>
        <v>0.90476190476190477</v>
      </c>
      <c r="S23" s="10">
        <f ca="1">AVERAGE(IF(ISNUMBER(M23),IF(ISNUMBER(OFFSET(M23,-Historic,0)),OFFSET(M23,-Historic,0),M$2):M23,S22))</f>
        <v>0.90476190476190477</v>
      </c>
      <c r="T23" s="10">
        <f ca="1">AVERAGE(IF(ISNUMBER(M23),OFFSET(M$2,DaysToIgnoreOnAvg,0):M23,T22))</f>
        <v>0.85</v>
      </c>
      <c r="U23" s="10">
        <f ca="1">CFDTable[[#This Row],[AvgDaily]]+CFDTable[[#This Row],[Deviation]]</f>
        <v>1.1843671679197993</v>
      </c>
      <c r="V23" s="10">
        <f ca="1">IF(ISNUMBER(M23),((_xlfn.PERCENTILE.INC(IF(ISNUMBER(OFFSET(R23,-Historic,0)),OFFSET(R23,-Historic,0),R$2):R23,PercentileHigh/100))-(MEDIAN(IF(ISNUMBER(OFFSET(R23,-Historic,0)),OFFSET(R23,-Historic,0),R$2):R23))),V22)</f>
        <v>0.27960526315789469</v>
      </c>
      <c r="W23" s="10">
        <f ca="1">IF(ISNUMBER(M23),((_xlfn.PERCENTILE.INC(R$2:R23,PercentileHigh/100))-(MEDIAN(R$2:R23))),V22)</f>
        <v>0.28787280701754381</v>
      </c>
      <c r="X23" s="10">
        <f ca="1">(SUM(CFDTable[[#This Row],[To Do]:[Done]])-SUM(G22:L22))</f>
        <v>0</v>
      </c>
      <c r="Y23" s="10">
        <f ca="1">AVERAGE(IF(ISNUMBER(X23),IF(ISNUMBER(OFFSET(X23,-Historic,0)),OFFSET(X23,-Historic,0),X$2):X23,Y22))</f>
        <v>1.4761904761904763</v>
      </c>
      <c r="Z23" s="10">
        <f ca="1">IF(ISNUMBER(CFDTable[[#This Row],[Done Today]]),SUM($G23:$L23),Z22+CFDTable[[#This Row],[avg added]])</f>
        <v>36</v>
      </c>
      <c r="AA23" s="10">
        <f ca="1">IF(ISNUMBER(CFDTable[[#This Row],[Done Today]]),SUM($G23:$L23),$AA22)</f>
        <v>36</v>
      </c>
      <c r="AB23" s="10">
        <f ca="1">IF(ISNUMBER(CFDTable[[#This Row],[Done Today]]),SUM($G23:$L23),$AB22)</f>
        <v>36</v>
      </c>
      <c r="AC23" s="10">
        <f ca="1">SUM(LOOKUP(2,1/(N$1:N22&lt;&gt;""),N$1:N22)+CFDTable[[#This Row],[lowDaily]])</f>
        <v>18.625156641604011</v>
      </c>
      <c r="AD23" s="10">
        <f ca="1">SUM(LOOKUP(2,1/(O$1:O22&lt;&gt;""),O$1:O22)+R23)</f>
        <v>18.904761904761905</v>
      </c>
      <c r="AE23" s="10">
        <f ca="1">SUM(LOOKUP(2,1/(P$1:P22&lt;&gt;""),P$1:P22)+CFDTable[[#This Row],[highDaily]])</f>
        <v>19.184367167919799</v>
      </c>
      <c r="AF23" s="12">
        <f>IF(CFDTable[[#This Row],[Date]]=DeadlineDate,CFDTable[[#This Row],[FutureWork2]],0)</f>
        <v>0</v>
      </c>
    </row>
    <row r="24" spans="1:32">
      <c r="A24" s="8">
        <f>CFDTable[[#This Row],[Date]]</f>
        <v>42438</v>
      </c>
      <c r="B24" s="9">
        <f>Data!B24</f>
        <v>42438</v>
      </c>
      <c r="C24" s="10" t="e">
        <f ca="1">IF(ISNUMBER(CFDTable[[#This Row],[Ready]]),NA(),CFDTable[[#This Row],[Target]]-CFDTable[[#This Row],[To Do]])</f>
        <v>#N/A</v>
      </c>
      <c r="D24" s="10" t="e">
        <f>IF(CFDTable[[#This Row],[Emergence]]&gt;0,CFDTable[[#This Row],[Future Work]]-CFDTable[[#This Row],[Emergence]],NA())</f>
        <v>#N/A</v>
      </c>
      <c r="E24" s="10">
        <f>Data!C24</f>
        <v>0</v>
      </c>
      <c r="F24" s="10">
        <f ca="1">Data!D24</f>
        <v>56</v>
      </c>
      <c r="G24" s="10">
        <f ca="1">Data!E24</f>
        <v>56</v>
      </c>
      <c r="H24" s="10">
        <f ca="1">IF(TodaysDate&gt;=$B24,Data!F24,NA())</f>
        <v>0</v>
      </c>
      <c r="I24" s="10">
        <f ca="1">IF(TodaysDate&gt;=$B24,Data!G24,NA())</f>
        <v>3</v>
      </c>
      <c r="J24" s="10">
        <f ca="1">IF(TodaysDate&gt;=$B24,Data!H24,NA())</f>
        <v>1</v>
      </c>
      <c r="K24" s="10">
        <f ca="1">IF(TodaysDate&gt;=$B24,Data!I24,NA())</f>
        <v>0</v>
      </c>
      <c r="L24" s="10">
        <f ca="1">IF(TodaysDate&gt;=$B24,Data!J24,NA())</f>
        <v>19</v>
      </c>
      <c r="M24" s="10">
        <f ca="1">IF(CFDTable[[#This Row],[Done]]&gt;0,(CFDTable[[#This Row],[Done]])-(L23),0)</f>
        <v>0</v>
      </c>
      <c r="N24" s="10">
        <f ca="1">IF(ISNUMBER($M24),SUM(CFDTable[[#This Row],[Done]]),IF(CFDTable[[#This Row],[lookupLow]]&gt;=CFDTable[[#This Row],[FutureWork2]]+CFDTable[[#This Row],[lowDaily]],NA(),CFDTable[[#This Row],[lookupLow]]))</f>
        <v>19</v>
      </c>
      <c r="O24" s="10">
        <f ca="1">IF(ISNUMBER($M24),SUM(CFDTable[[#This Row],[Done]]),IF(CFDTable[[#This Row],[lookupMedian]]&gt;=CFDTable[[#This Row],[FutureWork2]],NA(),CFDTable[[#This Row],[lookupMedian]]))</f>
        <v>19</v>
      </c>
      <c r="P24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19</v>
      </c>
      <c r="Q24" s="10">
        <f ca="1">CFDTable[[#This Row],[AvgDaily]]-CFDTable[[#This Row],[Deviation]]</f>
        <v>0.5625</v>
      </c>
      <c r="R24" s="10">
        <f ca="1">AVERAGE(IF(ISNUMBER(M24),IF(ISNUMBER(OFFSET(M24,-Historic,0)),OFFSET(M24,-Historic,0),M$2):M24,R23))</f>
        <v>0.80952380952380953</v>
      </c>
      <c r="S24" s="10">
        <f ca="1">AVERAGE(IF(ISNUMBER(M24),IF(ISNUMBER(OFFSET(M24,-Historic,0)),OFFSET(M24,-Historic,0),M$2):M24,S23))</f>
        <v>0.80952380952380953</v>
      </c>
      <c r="T24" s="10">
        <f ca="1">AVERAGE(IF(ISNUMBER(M24),OFFSET(M$2,DaysToIgnoreOnAvg,0):M24,T23))</f>
        <v>0.80952380952380953</v>
      </c>
      <c r="U24" s="10">
        <f ca="1">CFDTable[[#This Row],[AvgDaily]]+CFDTable[[#This Row],[Deviation]]</f>
        <v>1.0565476190476191</v>
      </c>
      <c r="V24" s="10">
        <f ca="1">IF(ISNUMBER(M24),((_xlfn.PERCENTILE.INC(IF(ISNUMBER(OFFSET(R24,-Historic,0)),OFFSET(R24,-Historic,0),R$2):R24,PercentileHigh/100))-(MEDIAN(IF(ISNUMBER(OFFSET(R24,-Historic,0)),OFFSET(R24,-Historic,0),R$2):R24))),V23)</f>
        <v>0.24702380952380953</v>
      </c>
      <c r="W24" s="10">
        <f ca="1">IF(ISNUMBER(M24),((_xlfn.PERCENTILE.INC(R$2:R24,PercentileHigh/100))-(MEDIAN(R$2:R24))),V23)</f>
        <v>0.26983082706766914</v>
      </c>
      <c r="X24" s="10">
        <f ca="1">(SUM(CFDTable[[#This Row],[To Do]:[Done]])-SUM(G23:L23))</f>
        <v>43</v>
      </c>
      <c r="Y24" s="10">
        <f ca="1">AVERAGE(IF(ISNUMBER(X24),IF(ISNUMBER(OFFSET(X24,-Historic,0)),OFFSET(X24,-Historic,0),X$2):X24,Y23))</f>
        <v>3.5238095238095237</v>
      </c>
      <c r="Z24" s="10">
        <f ca="1">IF(ISNUMBER(CFDTable[[#This Row],[Done Today]]),SUM($G24:$L24),Z23+CFDTable[[#This Row],[avg added]])</f>
        <v>79</v>
      </c>
      <c r="AA24" s="10">
        <f ca="1">IF(ISNUMBER(CFDTable[[#This Row],[Done Today]]),SUM($G24:$L24),$AA23)</f>
        <v>79</v>
      </c>
      <c r="AB24" s="10">
        <f ca="1">IF(ISNUMBER(CFDTable[[#This Row],[Done Today]]),SUM($G24:$L24),$AB23)</f>
        <v>79</v>
      </c>
      <c r="AC24" s="10">
        <f ca="1">SUM(LOOKUP(2,1/(N$1:N23&lt;&gt;""),N$1:N23)+CFDTable[[#This Row],[lowDaily]])</f>
        <v>19.5625</v>
      </c>
      <c r="AD24" s="10">
        <f ca="1">SUM(LOOKUP(2,1/(O$1:O23&lt;&gt;""),O$1:O23)+R24)</f>
        <v>19.80952380952381</v>
      </c>
      <c r="AE24" s="10">
        <f ca="1">SUM(LOOKUP(2,1/(P$1:P23&lt;&gt;""),P$1:P23)+CFDTable[[#This Row],[highDaily]])</f>
        <v>20.05654761904762</v>
      </c>
      <c r="AF24" s="12">
        <f>IF(CFDTable[[#This Row],[Date]]=DeadlineDate,CFDTable[[#This Row],[FutureWork2]],0)</f>
        <v>0</v>
      </c>
    </row>
    <row r="25" spans="1:32">
      <c r="A25" s="8">
        <f>CFDTable[[#This Row],[Date]]</f>
        <v>42439</v>
      </c>
      <c r="B25" s="9">
        <f>Data!B25</f>
        <v>42439</v>
      </c>
      <c r="C25" s="10" t="e">
        <f ca="1">IF(ISNUMBER(CFDTable[[#This Row],[Ready]]),NA(),CFDTable[[#This Row],[Target]]-CFDTable[[#This Row],[To Do]])</f>
        <v>#N/A</v>
      </c>
      <c r="D25" s="10" t="e">
        <f>IF(CFDTable[[#This Row],[Emergence]]&gt;0,CFDTable[[#This Row],[Future Work]]-CFDTable[[#This Row],[Emergence]],NA())</f>
        <v>#N/A</v>
      </c>
      <c r="E25" s="10">
        <f>Data!C25</f>
        <v>0</v>
      </c>
      <c r="F25" s="10">
        <f ca="1">Data!D25</f>
        <v>59</v>
      </c>
      <c r="G25" s="10">
        <f ca="1">Data!E25</f>
        <v>59</v>
      </c>
      <c r="H25" s="10">
        <f ca="1">IF(TodaysDate&gt;=$B25,Data!F25,NA())</f>
        <v>0</v>
      </c>
      <c r="I25" s="10">
        <f ca="1">IF(TodaysDate&gt;=$B25,Data!G25,NA())</f>
        <v>3</v>
      </c>
      <c r="J25" s="10">
        <f ca="1">IF(TodaysDate&gt;=$B25,Data!H25,NA())</f>
        <v>0</v>
      </c>
      <c r="K25" s="10">
        <f ca="1">IF(TodaysDate&gt;=$B25,Data!I25,NA())</f>
        <v>0</v>
      </c>
      <c r="L25" s="10">
        <f ca="1">IF(TodaysDate&gt;=$B25,Data!J25,NA())</f>
        <v>20</v>
      </c>
      <c r="M25" s="10">
        <f ca="1">IF(CFDTable[[#This Row],[Done]]&gt;0,(CFDTable[[#This Row],[Done]])-(L24),0)</f>
        <v>1</v>
      </c>
      <c r="N25" s="10">
        <f ca="1">IF(ISNUMBER($M25),SUM(CFDTable[[#This Row],[Done]]),IF(CFDTable[[#This Row],[lookupLow]]&gt;=CFDTable[[#This Row],[FutureWork2]]+CFDTable[[#This Row],[lowDaily]],NA(),CFDTable[[#This Row],[lookupLow]]))</f>
        <v>20</v>
      </c>
      <c r="O25" s="10">
        <f ca="1">IF(ISNUMBER($M25),SUM(CFDTable[[#This Row],[Done]]),IF(CFDTable[[#This Row],[lookupMedian]]&gt;=CFDTable[[#This Row],[FutureWork2]],NA(),CFDTable[[#This Row],[lookupMedian]]))</f>
        <v>20</v>
      </c>
      <c r="P25" s="10">
        <f ca="1">IF(ISNUMBER(CFDTable[[#This Row],[Done Today]]),SUM(CFDTable[[#This Row],[Done]]),IF(CFDTable[[#This Row],[lookupHigh]]&gt;=CFDTable[[#This Row],[FutureWork2]]+CFDTable[[#This Row],[highDaily]],NA(),CFDTable[[#This Row],[lookupHigh]]))</f>
        <v>20</v>
      </c>
      <c r="Q25" s="10">
        <f ca="1">CFDTable[[#This Row],[AvgDaily]]-CFDTable[[#This Row],[Deviation]]</f>
        <v>0.57753759398496241</v>
      </c>
      <c r="R25" s="10">
        <f ca="1">AVERAGE(IF(ISNUMBER(M25),IF(ISNUMBER(OFFSET(M25,-Historic,0)),OFFSET(M25,-Historic,0),M$2):M25,R24))</f>
        <v>0.8571428571428571</v>
      </c>
      <c r="S25" s="10">
        <f ca="1">AVERAGE(IF(ISNUMBER(M25),IF(ISNUMBER(OFFSET(M25,-Historic,0)),OFFSET(M25,-Historic,0),M$2):M25,S24))</f>
        <v>0.8571428571428571</v>
      </c>
      <c r="T25" s="10">
        <f ca="1">AVERAGE(IF(ISNUMBER(M25),OFFSET(M$2,DaysToIgnoreOnAvg,0):M25,T24))</f>
        <v>0.81818181818181823</v>
      </c>
      <c r="U25" s="10">
        <f ca="1">CFDTable[[#This Row],[AvgDaily]]+CFDTable[[#This Row],[Deviation]]</f>
        <v>1.1367481203007519</v>
      </c>
      <c r="V25" s="10">
        <f ca="1">IF(ISNUMBER(M25),((_xlfn.PERCENTILE.INC(IF(ISNUMBER(OFFSET(R25,-Historic,0)),OFFSET(R25,-Historic,0),R$2):R25,PercentileHigh/100))-(MEDIAN(IF(ISNUMBER(OFFSET(R25,-Historic,0)),OFFSET(R25,-Historic,0),R$2):R25))),V24)</f>
        <v>0.27960526315789469</v>
      </c>
      <c r="W25" s="10">
        <f ca="1">IF(ISNUMBER(M25),((_xlfn.PERCENTILE.INC(R$2:R25,PercentileHigh/100))-(MEDIAN(R$2:R25))),V24)</f>
        <v>0.28341165413533831</v>
      </c>
      <c r="X25" s="10">
        <f ca="1">(SUM(CFDTable[[#This Row],[To Do]:[Done]])-SUM(G24:L24))</f>
        <v>3</v>
      </c>
      <c r="Y25" s="10">
        <f ca="1">AVERAGE(IF(ISNUMBER(X25),IF(ISNUMBER(OFFSET(X25,-Historic,0)),OFFSET(X25,-Historic,0),X$2):X25,Y24))</f>
        <v>3.6666666666666665</v>
      </c>
      <c r="Z25" s="10">
        <f ca="1">IF(ISNUMBER(CFDTable[[#This Row],[Done Today]]),SUM($G25:$L25),Z24+CFDTable[[#This Row],[avg added]])</f>
        <v>82</v>
      </c>
      <c r="AA25" s="10">
        <f ca="1">IF(ISNUMBER(CFDTable[[#This Row],[Done Today]]),SUM($G25:$L25),$AA24)</f>
        <v>82</v>
      </c>
      <c r="AB25" s="10">
        <f ca="1">IF(ISNUMBER(CFDTable[[#This Row],[Done Today]]),SUM($G25:$L25),$AB24)</f>
        <v>82</v>
      </c>
      <c r="AC25" s="10">
        <f ca="1">SUM(LOOKUP(2,1/(N$1:N24&lt;&gt;""),N$1:N24)+CFDTable[[#This Row],[lowDaily]])</f>
        <v>19.577537593984964</v>
      </c>
      <c r="AD25" s="10">
        <f ca="1">SUM(LOOKUP(2,1/(O$1:O24&lt;&gt;""),O$1:O24)+R25)</f>
        <v>19.857142857142858</v>
      </c>
      <c r="AE25" s="10">
        <f ca="1">SUM(LOOKUP(2,1/(P$1:P24&lt;&gt;""),P$1:P24)+CFDTable[[#This Row],[highDaily]])</f>
        <v>20.136748120300751</v>
      </c>
      <c r="AF25" s="12">
        <f>IF(CFDTable[[#This Row],[Date]]=DeadlineDate,CFDTable[[#This Row],[FutureWork2]],0)</f>
        <v>0</v>
      </c>
    </row>
    <row r="26" spans="1:32">
      <c r="A26" s="8">
        <f>CFDTable[[#This Row],[Date]]</f>
        <v>42440</v>
      </c>
      <c r="B26" s="9">
        <f>Data!B26</f>
        <v>42440</v>
      </c>
      <c r="C26" s="10" t="e">
        <f ca="1">IF(ISNUMBER(CFDTable[[#This Row],[Ready]]),NA(),CFDTable[[#This Row],[Target]]-CFDTable[[#This Row],[To Do]])</f>
        <v>#N/A</v>
      </c>
      <c r="D26" s="10" t="e">
        <f>IF(CFDTable[[#This Row],[Emergence]]&gt;0,CFDTable[[#This Row],[Future Work]]-CFDTable[[#This Row],[Emergence]],NA())</f>
        <v>#N/A</v>
      </c>
      <c r="E26" s="10">
        <f>Data!C26</f>
        <v>0</v>
      </c>
      <c r="F26" s="10">
        <f ca="1">Data!D26</f>
        <v>59</v>
      </c>
      <c r="G26" s="10">
        <f ca="1">Data!E26</f>
        <v>59</v>
      </c>
      <c r="H26" s="10">
        <f ca="1">IF(TodaysDate&gt;=$B26,Data!F26,NA())</f>
        <v>0</v>
      </c>
      <c r="I26" s="10">
        <f ca="1">IF(TodaysDate&gt;=$B26,Data!G26,NA())</f>
        <v>3</v>
      </c>
      <c r="J26" s="10">
        <f ca="1">IF(TodaysDate&gt;=$B26,Data!H26,NA())</f>
        <v>0</v>
      </c>
      <c r="K26" s="10">
        <f ca="1">IF(TodaysDate&gt;=$B26,Data!I26,NA())</f>
        <v>0</v>
      </c>
      <c r="L26" s="10">
        <f ca="1">IF(TodaysDate&gt;=$B26,Data!J26,NA())</f>
        <v>20</v>
      </c>
      <c r="M26" s="10">
        <f ca="1">IF(CFDTable[[#This Row],[Done]]&gt;0,(CFDTable[[#This Row],[Done]])-(L25),0)</f>
        <v>0</v>
      </c>
      <c r="N26" s="10">
        <f ca="1">IF(ISNUMBER($M26),SUM(CFDTable[[#This Row],[Done]]),IF(CFDTable[[#This Row],[lookupLow]]&gt;=CFDTable[[#This Row],[FutureWork2]]+CFDTable[[#This Row],[lowDaily]],NA(),CFDTable[[#This Row],[lookupLow]]))</f>
        <v>20</v>
      </c>
      <c r="O26" s="10">
        <f ca="1">IF(ISNUMBER($M26),SUM(CFDTable[[#This Row],[Done]]),IF(CFDTable[[#This Row],[lookupMedian]]&gt;=CFDTable[[#This Row],[FutureWork2]],NA(),CFDTable[[#This Row],[lookupMedian]]))</f>
        <v>20</v>
      </c>
      <c r="P26" s="10">
        <f ca="1">IF(ISNUMBER(CFDTable[[#This Row],[Done Today]]),SUM(CFDTable[[#This Row],[Done]]),IF(CFDTable[[#This Row],[lookupHigh]]&gt;=CFDTable[[#This Row],[FutureWork2]]+CFDTable[[#This Row],[highDaily]],NA(),CFDTable[[#This Row],[lookupHigh]]))</f>
        <v>20</v>
      </c>
      <c r="Q26" s="10">
        <f ca="1">CFDTable[[#This Row],[AvgDaily]]-CFDTable[[#This Row],[Deviation]]</f>
        <v>0.5714285714285714</v>
      </c>
      <c r="R26" s="10">
        <f ca="1">AVERAGE(IF(ISNUMBER(M26),IF(ISNUMBER(OFFSET(M26,-Historic,0)),OFFSET(M26,-Historic,0),M$2):M26,R25))</f>
        <v>0.8571428571428571</v>
      </c>
      <c r="S26" s="10">
        <f ca="1">AVERAGE(IF(ISNUMBER(M26),IF(ISNUMBER(OFFSET(M26,-Historic,0)),OFFSET(M26,-Historic,0),M$2):M26,S25))</f>
        <v>0.8571428571428571</v>
      </c>
      <c r="T26" s="10">
        <f ca="1">AVERAGE(IF(ISNUMBER(M26),OFFSET(M$2,DaysToIgnoreOnAvg,0):M26,T25))</f>
        <v>0.78260869565217395</v>
      </c>
      <c r="U26" s="10">
        <f ca="1">CFDTable[[#This Row],[AvgDaily]]+CFDTable[[#This Row],[Deviation]]</f>
        <v>1.1428571428571428</v>
      </c>
      <c r="V26" s="10">
        <f ca="1">IF(ISNUMBER(M26),((_xlfn.PERCENTILE.INC(IF(ISNUMBER(OFFSET(R26,-Historic,0)),OFFSET(R26,-Historic,0),R$2):R26,PercentileHigh/100))-(MEDIAN(IF(ISNUMBER(OFFSET(R26,-Historic,0)),OFFSET(R26,-Historic,0),R$2):R26))),V25)</f>
        <v>0.2857142857142857</v>
      </c>
      <c r="W26" s="10">
        <f ca="1">IF(ISNUMBER(M26),((_xlfn.PERCENTILE.INC(R$2:R26,PercentileHigh/100))-(MEDIAN(R$2:R26))),V25)</f>
        <v>0.2857142857142857</v>
      </c>
      <c r="X26" s="10">
        <f ca="1">(SUM(CFDTable[[#This Row],[To Do]:[Done]])-SUM(G25:L25))</f>
        <v>0</v>
      </c>
      <c r="Y26" s="10">
        <f ca="1">AVERAGE(IF(ISNUMBER(X26),IF(ISNUMBER(OFFSET(X26,-Historic,0)),OFFSET(X26,-Historic,0),X$2):X26,Y25))</f>
        <v>3.6666666666666665</v>
      </c>
      <c r="Z26" s="10">
        <f ca="1">IF(ISNUMBER(CFDTable[[#This Row],[Done Today]]),SUM($G26:$L26),Z25+CFDTable[[#This Row],[avg added]])</f>
        <v>82</v>
      </c>
      <c r="AA26" s="10">
        <f ca="1">IF(ISNUMBER(CFDTable[[#This Row],[Done Today]]),SUM($G26:$L26),$AA25)</f>
        <v>82</v>
      </c>
      <c r="AB26" s="10">
        <f ca="1">IF(ISNUMBER(CFDTable[[#This Row],[Done Today]]),SUM($G26:$L26),$AB25)</f>
        <v>82</v>
      </c>
      <c r="AC26" s="10">
        <f ca="1">SUM(LOOKUP(2,1/(N$1:N25&lt;&gt;""),N$1:N25)+CFDTable[[#This Row],[lowDaily]])</f>
        <v>20.571428571428573</v>
      </c>
      <c r="AD26" s="10">
        <f ca="1">SUM(LOOKUP(2,1/(O$1:O25&lt;&gt;""),O$1:O25)+R26)</f>
        <v>20.857142857142858</v>
      </c>
      <c r="AE26" s="10">
        <f ca="1">SUM(LOOKUP(2,1/(P$1:P25&lt;&gt;""),P$1:P25)+CFDTable[[#This Row],[highDaily]])</f>
        <v>21.142857142857142</v>
      </c>
      <c r="AF26" s="12">
        <f>IF(CFDTable[[#This Row],[Date]]=DeadlineDate,CFDTable[[#This Row],[FutureWork2]],0)</f>
        <v>0</v>
      </c>
    </row>
    <row r="27" spans="1:32">
      <c r="A27" s="8">
        <f>CFDTable[[#This Row],[Date]]</f>
        <v>42443</v>
      </c>
      <c r="B27" s="9">
        <f>Data!B27</f>
        <v>42443</v>
      </c>
      <c r="C27" s="10" t="e">
        <f ca="1">IF(ISNUMBER(CFDTable[[#This Row],[Ready]]),NA(),CFDTable[[#This Row],[Target]]-CFDTable[[#This Row],[To Do]])</f>
        <v>#N/A</v>
      </c>
      <c r="D27" s="10" t="e">
        <f>IF(CFDTable[[#This Row],[Emergence]]&gt;0,CFDTable[[#This Row],[Future Work]]-CFDTable[[#This Row],[Emergence]],NA())</f>
        <v>#N/A</v>
      </c>
      <c r="E27" s="10">
        <f>Data!C27</f>
        <v>0</v>
      </c>
      <c r="F27" s="10">
        <f ca="1">Data!D27</f>
        <v>58</v>
      </c>
      <c r="G27" s="10">
        <f ca="1">Data!E27</f>
        <v>58</v>
      </c>
      <c r="H27" s="10">
        <f ca="1">IF(TodaysDate&gt;=$B27,Data!F27,NA())</f>
        <v>0</v>
      </c>
      <c r="I27" s="10">
        <f ca="1">IF(TodaysDate&gt;=$B27,Data!G27,NA())</f>
        <v>3</v>
      </c>
      <c r="J27" s="10">
        <f ca="1">IF(TodaysDate&gt;=$B27,Data!H27,NA())</f>
        <v>0</v>
      </c>
      <c r="K27" s="10">
        <f ca="1">IF(TodaysDate&gt;=$B27,Data!I27,NA())</f>
        <v>0</v>
      </c>
      <c r="L27" s="10">
        <f ca="1">IF(TodaysDate&gt;=$B27,Data!J27,NA())</f>
        <v>21</v>
      </c>
      <c r="M27" s="10">
        <f ca="1">IF(CFDTable[[#This Row],[Done]]&gt;0,(CFDTable[[#This Row],[Done]])-(L26),0)</f>
        <v>1</v>
      </c>
      <c r="N27" s="10">
        <f ca="1">IF(ISNUMBER($M27),SUM(CFDTable[[#This Row],[Done]]),IF(CFDTable[[#This Row],[lookupLow]]&gt;=CFDTable[[#This Row],[FutureWork2]]+CFDTable[[#This Row],[lowDaily]],NA(),CFDTable[[#This Row],[lookupLow]]))</f>
        <v>21</v>
      </c>
      <c r="O27" s="10">
        <f ca="1">IF(ISNUMBER($M27),SUM(CFDTable[[#This Row],[Done]]),IF(CFDTable[[#This Row],[lookupMedian]]&gt;=CFDTable[[#This Row],[FutureWork2]],NA(),CFDTable[[#This Row],[lookupMedian]]))</f>
        <v>21</v>
      </c>
      <c r="P27" s="10">
        <f ca="1">IF(ISNUMBER(CFDTable[[#This Row],[Done Today]]),SUM(CFDTable[[#This Row],[Done]]),IF(CFDTable[[#This Row],[lookupHigh]]&gt;=CFDTable[[#This Row],[FutureWork2]]+CFDTable[[#This Row],[highDaily]],NA(),CFDTable[[#This Row],[lookupHigh]]))</f>
        <v>21</v>
      </c>
      <c r="Q27" s="10">
        <f ca="1">CFDTable[[#This Row],[AvgDaily]]-CFDTable[[#This Row],[Deviation]]</f>
        <v>0.66300366300366309</v>
      </c>
      <c r="R27" s="10">
        <f ca="1">AVERAGE(IF(ISNUMBER(M27),IF(ISNUMBER(OFFSET(M27,-Historic,0)),OFFSET(M27,-Historic,0),M$2):M27,R26))</f>
        <v>0.90476190476190477</v>
      </c>
      <c r="S27" s="10">
        <f ca="1">AVERAGE(IF(ISNUMBER(M27),IF(ISNUMBER(OFFSET(M27,-Historic,0)),OFFSET(M27,-Historic,0),M$2):M27,S26))</f>
        <v>0.90476190476190477</v>
      </c>
      <c r="T27" s="10">
        <f ca="1">AVERAGE(IF(ISNUMBER(M27),OFFSET(M$2,DaysToIgnoreOnAvg,0):M27,T26))</f>
        <v>0.79166666666666663</v>
      </c>
      <c r="U27" s="10">
        <f ca="1">CFDTable[[#This Row],[AvgDaily]]+CFDTable[[#This Row],[Deviation]]</f>
        <v>1.1465201465201464</v>
      </c>
      <c r="V27" s="10">
        <f ca="1">IF(ISNUMBER(M27),((_xlfn.PERCENTILE.INC(IF(ISNUMBER(OFFSET(R27,-Historic,0)),OFFSET(R27,-Historic,0),R$2):R27,PercentileHigh/100))-(MEDIAN(IF(ISNUMBER(OFFSET(R27,-Historic,0)),OFFSET(R27,-Historic,0),R$2):R27))),V26)</f>
        <v>0.24175824175824168</v>
      </c>
      <c r="W27" s="10">
        <f ca="1">IF(ISNUMBER(M27),((_xlfn.PERCENTILE.INC(R$2:R27,PercentileHigh/100))-(MEDIAN(R$2:R27))),V26)</f>
        <v>0.26373626373626369</v>
      </c>
      <c r="X27" s="10">
        <f ca="1">(SUM(CFDTable[[#This Row],[To Do]:[Done]])-SUM(G26:L26))</f>
        <v>0</v>
      </c>
      <c r="Y27" s="10">
        <f ca="1">AVERAGE(IF(ISNUMBER(X27),IF(ISNUMBER(OFFSET(X27,-Historic,0)),OFFSET(X27,-Historic,0),X$2):X27,Y26))</f>
        <v>3.6666666666666665</v>
      </c>
      <c r="Z27" s="10">
        <f ca="1">IF(ISNUMBER(CFDTable[[#This Row],[Done Today]]),SUM($G27:$L27),Z26+CFDTable[[#This Row],[avg added]])</f>
        <v>82</v>
      </c>
      <c r="AA27" s="10">
        <f ca="1">IF(ISNUMBER(CFDTable[[#This Row],[Done Today]]),SUM($G27:$L27),$AA26)</f>
        <v>82</v>
      </c>
      <c r="AB27" s="10">
        <f ca="1">IF(ISNUMBER(CFDTable[[#This Row],[Done Today]]),SUM($G27:$L27),$AB26)</f>
        <v>82</v>
      </c>
      <c r="AC27" s="10">
        <f ca="1">SUM(LOOKUP(2,1/(N$1:N26&lt;&gt;""),N$1:N26)+CFDTable[[#This Row],[lowDaily]])</f>
        <v>20.663003663003664</v>
      </c>
      <c r="AD27" s="10">
        <f ca="1">SUM(LOOKUP(2,1/(O$1:O26&lt;&gt;""),O$1:O26)+R27)</f>
        <v>20.904761904761905</v>
      </c>
      <c r="AE27" s="10">
        <f ca="1">SUM(LOOKUP(2,1/(P$1:P26&lt;&gt;""),P$1:P26)+CFDTable[[#This Row],[highDaily]])</f>
        <v>21.146520146520146</v>
      </c>
      <c r="AF27" s="12">
        <f>IF(CFDTable[[#This Row],[Date]]=DeadlineDate,CFDTable[[#This Row],[FutureWork2]],0)</f>
        <v>0</v>
      </c>
    </row>
    <row r="28" spans="1:32">
      <c r="A28" s="8">
        <f>CFDTable[[#This Row],[Date]]</f>
        <v>42444</v>
      </c>
      <c r="B28" s="9">
        <f>Data!B28</f>
        <v>42444</v>
      </c>
      <c r="C28" s="10" t="e">
        <f ca="1">IF(ISNUMBER(CFDTable[[#This Row],[Ready]]),NA(),CFDTable[[#This Row],[Target]]-CFDTable[[#This Row],[To Do]])</f>
        <v>#N/A</v>
      </c>
      <c r="D28" s="10" t="e">
        <f>IF(CFDTable[[#This Row],[Emergence]]&gt;0,CFDTable[[#This Row],[Future Work]]-CFDTable[[#This Row],[Emergence]],NA())</f>
        <v>#N/A</v>
      </c>
      <c r="E28" s="10">
        <f>Data!C28</f>
        <v>0</v>
      </c>
      <c r="F28" s="10">
        <f ca="1">Data!D28</f>
        <v>57</v>
      </c>
      <c r="G28" s="10">
        <f ca="1">Data!E28</f>
        <v>57</v>
      </c>
      <c r="H28" s="10">
        <f ca="1">IF(TodaysDate&gt;=$B28,Data!F28,NA())</f>
        <v>0</v>
      </c>
      <c r="I28" s="10">
        <f ca="1">IF(TodaysDate&gt;=$B28,Data!G28,NA())</f>
        <v>6</v>
      </c>
      <c r="J28" s="10">
        <f ca="1">IF(TodaysDate&gt;=$B28,Data!H28,NA())</f>
        <v>0</v>
      </c>
      <c r="K28" s="10">
        <f ca="1">IF(TodaysDate&gt;=$B28,Data!I28,NA())</f>
        <v>0</v>
      </c>
      <c r="L28" s="10">
        <f ca="1">IF(TodaysDate&gt;=$B28,Data!J28,NA())</f>
        <v>21</v>
      </c>
      <c r="M28" s="10">
        <f ca="1">IF(CFDTable[[#This Row],[Done]]&gt;0,(CFDTable[[#This Row],[Done]])-(L27),0)</f>
        <v>0</v>
      </c>
      <c r="N28" s="10">
        <f ca="1">IF(ISNUMBER($M28),SUM(CFDTable[[#This Row],[Done]]),IF(CFDTable[[#This Row],[lookupLow]]&gt;=CFDTable[[#This Row],[FutureWork2]]+CFDTable[[#This Row],[lowDaily]],NA(),CFDTable[[#This Row],[lookupLow]]))</f>
        <v>21</v>
      </c>
      <c r="O28" s="10">
        <f ca="1">IF(ISNUMBER($M28),SUM(CFDTable[[#This Row],[Done]]),IF(CFDTable[[#This Row],[lookupMedian]]&gt;=CFDTable[[#This Row],[FutureWork2]],NA(),CFDTable[[#This Row],[lookupMedian]]))</f>
        <v>21</v>
      </c>
      <c r="P28" s="10">
        <f ca="1">IF(ISNUMBER(CFDTable[[#This Row],[Done Today]]),SUM(CFDTable[[#This Row],[Done]]),IF(CFDTable[[#This Row],[lookupHigh]]&gt;=CFDTable[[#This Row],[FutureWork2]]+CFDTable[[#This Row],[highDaily]],NA(),CFDTable[[#This Row],[lookupHigh]]))</f>
        <v>21</v>
      </c>
      <c r="Q28" s="10">
        <f ca="1">CFDTable[[#This Row],[AvgDaily]]-CFDTable[[#This Row],[Deviation]]</f>
        <v>0.76984126984126988</v>
      </c>
      <c r="R28" s="10">
        <f ca="1">AVERAGE(IF(ISNUMBER(M28),IF(ISNUMBER(OFFSET(M28,-Historic,0)),OFFSET(M28,-Historic,0),M$2):M28,R27))</f>
        <v>0.90476190476190477</v>
      </c>
      <c r="S28" s="10">
        <f ca="1">AVERAGE(IF(ISNUMBER(M28),IF(ISNUMBER(OFFSET(M28,-Historic,0)),OFFSET(M28,-Historic,0),M$2):M28,S27))</f>
        <v>0.90476190476190477</v>
      </c>
      <c r="T28" s="10">
        <f ca="1">AVERAGE(IF(ISNUMBER(M28),OFFSET(M$2,DaysToIgnoreOnAvg,0):M28,T27))</f>
        <v>0.76</v>
      </c>
      <c r="U28" s="10">
        <f ca="1">CFDTable[[#This Row],[AvgDaily]]+CFDTable[[#This Row],[Deviation]]</f>
        <v>1.0396825396825395</v>
      </c>
      <c r="V28" s="10">
        <f ca="1">IF(ISNUMBER(M28),((_xlfn.PERCENTILE.INC(IF(ISNUMBER(OFFSET(R28,-Historic,0)),OFFSET(R28,-Historic,0),R$2):R28,PercentileHigh/100))-(MEDIAN(IF(ISNUMBER(OFFSET(R28,-Historic,0)),OFFSET(R28,-Historic,0),R$2):R28))),V27)</f>
        <v>0.13492063492063489</v>
      </c>
      <c r="W28" s="10">
        <f ca="1">IF(ISNUMBER(M28),((_xlfn.PERCENTILE.INC(R$2:R28,PercentileHigh/100))-(MEDIAN(R$2:R28))),V27)</f>
        <v>0.24652014652014631</v>
      </c>
      <c r="X28" s="10">
        <f ca="1">(SUM(CFDTable[[#This Row],[To Do]:[Done]])-SUM(G27:L27))</f>
        <v>2</v>
      </c>
      <c r="Y28" s="10">
        <f ca="1">AVERAGE(IF(ISNUMBER(X28),IF(ISNUMBER(OFFSET(X28,-Historic,0)),OFFSET(X28,-Historic,0),X$2):X28,Y27))</f>
        <v>3.7619047619047619</v>
      </c>
      <c r="Z28" s="10">
        <f ca="1">IF(ISNUMBER(CFDTable[[#This Row],[Done Today]]),SUM($G28:$L28),Z27+CFDTable[[#This Row],[avg added]])</f>
        <v>84</v>
      </c>
      <c r="AA28" s="10">
        <f ca="1">IF(ISNUMBER(CFDTable[[#This Row],[Done Today]]),SUM($G28:$L28),$AA27)</f>
        <v>84</v>
      </c>
      <c r="AB28" s="10">
        <f ca="1">IF(ISNUMBER(CFDTable[[#This Row],[Done Today]]),SUM($G28:$L28),$AB27)</f>
        <v>84</v>
      </c>
      <c r="AC28" s="10">
        <f ca="1">SUM(LOOKUP(2,1/(N$1:N27&lt;&gt;""),N$1:N27)+CFDTable[[#This Row],[lowDaily]])</f>
        <v>21.769841269841269</v>
      </c>
      <c r="AD28" s="10">
        <f ca="1">SUM(LOOKUP(2,1/(O$1:O27&lt;&gt;""),O$1:O27)+R28)</f>
        <v>21.904761904761905</v>
      </c>
      <c r="AE28" s="10">
        <f ca="1">SUM(LOOKUP(2,1/(P$1:P27&lt;&gt;""),P$1:P27)+CFDTable[[#This Row],[highDaily]])</f>
        <v>22.039682539682538</v>
      </c>
      <c r="AF28" s="12">
        <f>IF(CFDTable[[#This Row],[Date]]=DeadlineDate,CFDTable[[#This Row],[FutureWork2]],0)</f>
        <v>0</v>
      </c>
    </row>
    <row r="29" spans="1:32">
      <c r="A29" s="8">
        <f>CFDTable[[#This Row],[Date]]</f>
        <v>42445</v>
      </c>
      <c r="B29" s="9">
        <f>Data!B29</f>
        <v>42445</v>
      </c>
      <c r="C29" s="10" t="e">
        <f ca="1">IF(ISNUMBER(CFDTable[[#This Row],[Ready]]),NA(),CFDTable[[#This Row],[Target]]-CFDTable[[#This Row],[To Do]])</f>
        <v>#N/A</v>
      </c>
      <c r="D29" s="10" t="e">
        <f>IF(CFDTable[[#This Row],[Emergence]]&gt;0,CFDTable[[#This Row],[Future Work]]-CFDTable[[#This Row],[Emergence]],NA())</f>
        <v>#N/A</v>
      </c>
      <c r="E29" s="10">
        <f>Data!C29</f>
        <v>0</v>
      </c>
      <c r="F29" s="10">
        <f ca="1">Data!D29</f>
        <v>56</v>
      </c>
      <c r="G29" s="10">
        <f ca="1">Data!E29</f>
        <v>56</v>
      </c>
      <c r="H29" s="10">
        <f ca="1">IF(TodaysDate&gt;=$B29,Data!F29,NA())</f>
        <v>0</v>
      </c>
      <c r="I29" s="10">
        <f ca="1">IF(TodaysDate&gt;=$B29,Data!G29,NA())</f>
        <v>6</v>
      </c>
      <c r="J29" s="10">
        <f ca="1">IF(TodaysDate&gt;=$B29,Data!H29,NA())</f>
        <v>0</v>
      </c>
      <c r="K29" s="10">
        <f ca="1">IF(TodaysDate&gt;=$B29,Data!I29,NA())</f>
        <v>0</v>
      </c>
      <c r="L29" s="10">
        <f ca="1">IF(TodaysDate&gt;=$B29,Data!J29,NA())</f>
        <v>22</v>
      </c>
      <c r="M29" s="10">
        <f ca="1">IF(CFDTable[[#This Row],[Done]]&gt;0,(CFDTable[[#This Row],[Done]])-(L28),0)</f>
        <v>1</v>
      </c>
      <c r="N29" s="10">
        <f ca="1">IF(ISNUMBER($M29),SUM(CFDTable[[#This Row],[Done]]),IF(CFDTable[[#This Row],[lookupLow]]&gt;=CFDTable[[#This Row],[FutureWork2]]+CFDTable[[#This Row],[lowDaily]],NA(),CFDTable[[#This Row],[lookupLow]]))</f>
        <v>22</v>
      </c>
      <c r="O29" s="10">
        <f ca="1">IF(ISNUMBER($M29),SUM(CFDTable[[#This Row],[Done]]),IF(CFDTable[[#This Row],[lookupMedian]]&gt;=CFDTable[[#This Row],[FutureWork2]],NA(),CFDTable[[#This Row],[lookupMedian]]))</f>
        <v>22</v>
      </c>
      <c r="P29" s="10">
        <f ca="1">IF(ISNUMBER(CFDTable[[#This Row],[Done Today]]),SUM(CFDTable[[#This Row],[Done]]),IF(CFDTable[[#This Row],[lookupHigh]]&gt;=CFDTable[[#This Row],[FutureWork2]]+CFDTable[[#This Row],[highDaily]],NA(),CFDTable[[#This Row],[lookupHigh]]))</f>
        <v>22</v>
      </c>
      <c r="Q29" s="10">
        <f ca="1">CFDTable[[#This Row],[AvgDaily]]-CFDTable[[#This Row],[Deviation]]</f>
        <v>0.81232492997198869</v>
      </c>
      <c r="R29" s="10">
        <f ca="1">AVERAGE(IF(ISNUMBER(M29),IF(ISNUMBER(OFFSET(M29,-Historic,0)),OFFSET(M29,-Historic,0),M$2):M29,R28))</f>
        <v>0.95238095238095233</v>
      </c>
      <c r="S29" s="10">
        <f ca="1">AVERAGE(IF(ISNUMBER(M29),IF(ISNUMBER(OFFSET(M29,-Historic,0)),OFFSET(M29,-Historic,0),M$2):M29,S28))</f>
        <v>0.95238095238095233</v>
      </c>
      <c r="T29" s="10">
        <f ca="1">AVERAGE(IF(ISNUMBER(M29),OFFSET(M$2,DaysToIgnoreOnAvg,0):M29,T28))</f>
        <v>0.76923076923076927</v>
      </c>
      <c r="U29" s="10">
        <f ca="1">CFDTable[[#This Row],[AvgDaily]]+CFDTable[[#This Row],[Deviation]]</f>
        <v>1.0924369747899161</v>
      </c>
      <c r="V29" s="10">
        <f ca="1">IF(ISNUMBER(M29),((_xlfn.PERCENTILE.INC(IF(ISNUMBER(OFFSET(R29,-Historic,0)),OFFSET(R29,-Historic,0),R$2):R29,PercentileHigh/100))-(MEDIAN(IF(ISNUMBER(OFFSET(R29,-Historic,0)),OFFSET(R29,-Historic,0),R$2):R29))),V28)</f>
        <v>0.14005602240896364</v>
      </c>
      <c r="W29" s="10">
        <f ca="1">IF(ISNUMBER(M29),((_xlfn.PERCENTILE.INC(R$2:R29,PercentileHigh/100))-(MEDIAN(R$2:R29))),V28)</f>
        <v>0.26135531135531143</v>
      </c>
      <c r="X29" s="10">
        <f ca="1">(SUM(CFDTable[[#This Row],[To Do]:[Done]])-SUM(G28:L28))</f>
        <v>0</v>
      </c>
      <c r="Y29" s="10">
        <f ca="1">AVERAGE(IF(ISNUMBER(X29),IF(ISNUMBER(OFFSET(X29,-Historic,0)),OFFSET(X29,-Historic,0),X$2):X29,Y28))</f>
        <v>3.7142857142857144</v>
      </c>
      <c r="Z29" s="10">
        <f ca="1">IF(ISNUMBER(CFDTable[[#This Row],[Done Today]]),SUM($G29:$L29),Z28+CFDTable[[#This Row],[avg added]])</f>
        <v>84</v>
      </c>
      <c r="AA29" s="10">
        <f ca="1">IF(ISNUMBER(CFDTable[[#This Row],[Done Today]]),SUM($G29:$L29),$AA28)</f>
        <v>84</v>
      </c>
      <c r="AB29" s="10">
        <f ca="1">IF(ISNUMBER(CFDTable[[#This Row],[Done Today]]),SUM($G29:$L29),$AB28)</f>
        <v>84</v>
      </c>
      <c r="AC29" s="10">
        <f ca="1">SUM(LOOKUP(2,1/(N$1:N28&lt;&gt;""),N$1:N28)+CFDTable[[#This Row],[lowDaily]])</f>
        <v>21.812324929971989</v>
      </c>
      <c r="AD29" s="10">
        <f ca="1">SUM(LOOKUP(2,1/(O$1:O28&lt;&gt;""),O$1:O28)+R29)</f>
        <v>21.952380952380953</v>
      </c>
      <c r="AE29" s="10">
        <f ca="1">SUM(LOOKUP(2,1/(P$1:P28&lt;&gt;""),P$1:P28)+CFDTable[[#This Row],[highDaily]])</f>
        <v>22.092436974789916</v>
      </c>
      <c r="AF29" s="12">
        <f>IF(CFDTable[[#This Row],[Date]]=DeadlineDate,CFDTable[[#This Row],[FutureWork2]],0)</f>
        <v>0</v>
      </c>
    </row>
    <row r="30" spans="1:32">
      <c r="A30" s="8">
        <f>CFDTable[[#This Row],[Date]]</f>
        <v>42446</v>
      </c>
      <c r="B30" s="9">
        <f>Data!B30</f>
        <v>42446</v>
      </c>
      <c r="C30" s="10" t="e">
        <f ca="1">IF(ISNUMBER(CFDTable[[#This Row],[Ready]]),NA(),CFDTable[[#This Row],[Target]]-CFDTable[[#This Row],[To Do]])</f>
        <v>#N/A</v>
      </c>
      <c r="D30" s="10" t="e">
        <f>IF(CFDTable[[#This Row],[Emergence]]&gt;0,CFDTable[[#This Row],[Future Work]]-CFDTable[[#This Row],[Emergence]],NA())</f>
        <v>#N/A</v>
      </c>
      <c r="E30" s="10">
        <f>Data!C30</f>
        <v>0</v>
      </c>
      <c r="F30" s="10">
        <f ca="1">Data!D30</f>
        <v>56</v>
      </c>
      <c r="G30" s="10">
        <f ca="1">Data!E30</f>
        <v>56</v>
      </c>
      <c r="H30" s="10">
        <f ca="1">IF(TodaysDate&gt;=$B30,Data!F30,NA())</f>
        <v>0</v>
      </c>
      <c r="I30" s="10">
        <f ca="1">IF(TodaysDate&gt;=$B30,Data!G30,NA())</f>
        <v>6</v>
      </c>
      <c r="J30" s="10">
        <f ca="1">IF(TodaysDate&gt;=$B30,Data!H30,NA())</f>
        <v>0</v>
      </c>
      <c r="K30" s="10">
        <f ca="1">IF(TodaysDate&gt;=$B30,Data!I30,NA())</f>
        <v>0</v>
      </c>
      <c r="L30" s="10">
        <f ca="1">IF(TodaysDate&gt;=$B30,Data!J30,NA())</f>
        <v>22</v>
      </c>
      <c r="M30" s="10">
        <f ca="1">IF(CFDTable[[#This Row],[Done]]&gt;0,(CFDTable[[#This Row],[Done]])-(L29),0)</f>
        <v>0</v>
      </c>
      <c r="N30" s="10">
        <f ca="1">IF(ISNUMBER($M30),SUM(CFDTable[[#This Row],[Done]]),IF(CFDTable[[#This Row],[lookupLow]]&gt;=CFDTable[[#This Row],[FutureWork2]]+CFDTable[[#This Row],[lowDaily]],NA(),CFDTable[[#This Row],[lookupLow]]))</f>
        <v>22</v>
      </c>
      <c r="O30" s="10">
        <f ca="1">IF(ISNUMBER($M30),SUM(CFDTable[[#This Row],[Done]]),IF(CFDTable[[#This Row],[lookupMedian]]&gt;=CFDTable[[#This Row],[FutureWork2]],NA(),CFDTable[[#This Row],[lookupMedian]]))</f>
        <v>22</v>
      </c>
      <c r="P30" s="10">
        <f ca="1">IF(ISNUMBER(CFDTable[[#This Row],[Done Today]]),SUM(CFDTable[[#This Row],[Done]]),IF(CFDTable[[#This Row],[lookupHigh]]&gt;=CFDTable[[#This Row],[FutureWork2]]+CFDTable[[#This Row],[highDaily]],NA(),CFDTable[[#This Row],[lookupHigh]]))</f>
        <v>22</v>
      </c>
      <c r="Q30" s="10">
        <f ca="1">CFDTable[[#This Row],[AvgDaily]]-CFDTable[[#This Row],[Deviation]]</f>
        <v>0.84761904761904761</v>
      </c>
      <c r="R30" s="10">
        <f ca="1">AVERAGE(IF(ISNUMBER(M30),IF(ISNUMBER(OFFSET(M30,-Historic,0)),OFFSET(M30,-Historic,0),M$2):M30,R29))</f>
        <v>0.95238095238095233</v>
      </c>
      <c r="S30" s="10">
        <f ca="1">AVERAGE(IF(ISNUMBER(M30),IF(ISNUMBER(OFFSET(M30,-Historic,0)),OFFSET(M30,-Historic,0),M$2):M30,S29))</f>
        <v>0.95238095238095233</v>
      </c>
      <c r="T30" s="10">
        <f ca="1">AVERAGE(IF(ISNUMBER(M30),OFFSET(M$2,DaysToIgnoreOnAvg,0):M30,T29))</f>
        <v>0.7407407407407407</v>
      </c>
      <c r="U30" s="10">
        <f ca="1">CFDTable[[#This Row],[AvgDaily]]+CFDTable[[#This Row],[Deviation]]</f>
        <v>1.0571428571428569</v>
      </c>
      <c r="V30" s="10">
        <f ca="1">IF(ISNUMBER(M30),((_xlfn.PERCENTILE.INC(IF(ISNUMBER(OFFSET(R30,-Historic,0)),OFFSET(R30,-Historic,0),R$2):R30,PercentileHigh/100))-(MEDIAN(IF(ISNUMBER(OFFSET(R30,-Historic,0)),OFFSET(R30,-Historic,0),R$2):R30))),V29)</f>
        <v>0.10476190476190472</v>
      </c>
      <c r="W30" s="10">
        <f ca="1">IF(ISNUMBER(M30),((_xlfn.PERCENTILE.INC(R$2:R30,PercentileHigh/100))-(MEDIAN(R$2:R30))),V29)</f>
        <v>0.23809523809523814</v>
      </c>
      <c r="X30" s="10">
        <f ca="1">(SUM(CFDTable[[#This Row],[To Do]:[Done]])-SUM(G29:L29))</f>
        <v>0</v>
      </c>
      <c r="Y30" s="10">
        <f ca="1">AVERAGE(IF(ISNUMBER(X30),IF(ISNUMBER(OFFSET(X30,-Historic,0)),OFFSET(X30,-Historic,0),X$2):X30,Y29))</f>
        <v>3.6190476190476191</v>
      </c>
      <c r="Z30" s="10">
        <f ca="1">IF(ISNUMBER(CFDTable[[#This Row],[Done Today]]),SUM($G30:$L30),Z29+CFDTable[[#This Row],[avg added]])</f>
        <v>84</v>
      </c>
      <c r="AA30" s="10">
        <f ca="1">IF(ISNUMBER(CFDTable[[#This Row],[Done Today]]),SUM($G30:$L30),$AA29)</f>
        <v>84</v>
      </c>
      <c r="AB30" s="10">
        <f ca="1">IF(ISNUMBER(CFDTable[[#This Row],[Done Today]]),SUM($G30:$L30),$AB29)</f>
        <v>84</v>
      </c>
      <c r="AC30" s="10">
        <f ca="1">SUM(LOOKUP(2,1/(N$1:N29&lt;&gt;""),N$1:N29)+CFDTable[[#This Row],[lowDaily]])</f>
        <v>22.847619047619048</v>
      </c>
      <c r="AD30" s="10">
        <f ca="1">SUM(LOOKUP(2,1/(O$1:O29&lt;&gt;""),O$1:O29)+R30)</f>
        <v>22.952380952380953</v>
      </c>
      <c r="AE30" s="10">
        <f ca="1">SUM(LOOKUP(2,1/(P$1:P29&lt;&gt;""),P$1:P29)+CFDTable[[#This Row],[highDaily]])</f>
        <v>23.057142857142857</v>
      </c>
      <c r="AF30" s="12">
        <f>IF(CFDTable[[#This Row],[Date]]=DeadlineDate,CFDTable[[#This Row],[FutureWork2]],0)</f>
        <v>0</v>
      </c>
    </row>
    <row r="31" spans="1:32">
      <c r="A31" s="8">
        <f>CFDTable[[#This Row],[Date]]</f>
        <v>42447</v>
      </c>
      <c r="B31" s="9">
        <f>Data!B31</f>
        <v>42447</v>
      </c>
      <c r="C31" s="10" t="e">
        <f ca="1">IF(ISNUMBER(CFDTable[[#This Row],[Ready]]),NA(),CFDTable[[#This Row],[Target]]-CFDTable[[#This Row],[To Do]])</f>
        <v>#N/A</v>
      </c>
      <c r="D31" s="10" t="e">
        <f>IF(CFDTable[[#This Row],[Emergence]]&gt;0,CFDTable[[#This Row],[Future Work]]-CFDTable[[#This Row],[Emergence]],NA())</f>
        <v>#N/A</v>
      </c>
      <c r="E31" s="10">
        <f>Data!C31</f>
        <v>0</v>
      </c>
      <c r="F31" s="10">
        <f ca="1">Data!D31</f>
        <v>56</v>
      </c>
      <c r="G31" s="10">
        <f ca="1">Data!E31</f>
        <v>56</v>
      </c>
      <c r="H31" s="10">
        <f ca="1">IF(TodaysDate&gt;=$B31,Data!F31,NA())</f>
        <v>0</v>
      </c>
      <c r="I31" s="10">
        <f ca="1">IF(TodaysDate&gt;=$B31,Data!G31,NA())</f>
        <v>6</v>
      </c>
      <c r="J31" s="10">
        <f ca="1">IF(TodaysDate&gt;=$B31,Data!H31,NA())</f>
        <v>0</v>
      </c>
      <c r="K31" s="10">
        <f ca="1">IF(TodaysDate&gt;=$B31,Data!I31,NA())</f>
        <v>0</v>
      </c>
      <c r="L31" s="10">
        <f ca="1">IF(TodaysDate&gt;=$B31,Data!J31,NA())</f>
        <v>22</v>
      </c>
      <c r="M31" s="10">
        <f ca="1">IF(CFDTable[[#This Row],[Done]]&gt;0,(CFDTable[[#This Row],[Done]])-(L30),0)</f>
        <v>0</v>
      </c>
      <c r="N31" s="10">
        <f ca="1">IF(ISNUMBER($M31),SUM(CFDTable[[#This Row],[Done]]),IF(CFDTable[[#This Row],[lookupLow]]&gt;=CFDTable[[#This Row],[FutureWork2]]+CFDTable[[#This Row],[lowDaily]],NA(),CFDTable[[#This Row],[lookupLow]]))</f>
        <v>22</v>
      </c>
      <c r="O31" s="10">
        <f ca="1">IF(ISNUMBER($M31),SUM(CFDTable[[#This Row],[Done]]),IF(CFDTable[[#This Row],[lookupMedian]]&gt;=CFDTable[[#This Row],[FutureWork2]],NA(),CFDTable[[#This Row],[lookupMedian]]))</f>
        <v>22</v>
      </c>
      <c r="P31" s="10">
        <f ca="1">IF(ISNUMBER(CFDTable[[#This Row],[Done Today]]),SUM(CFDTable[[#This Row],[Done]]),IF(CFDTable[[#This Row],[lookupHigh]]&gt;=CFDTable[[#This Row],[FutureWork2]]+CFDTable[[#This Row],[highDaily]],NA(),CFDTable[[#This Row],[lookupHigh]]))</f>
        <v>22</v>
      </c>
      <c r="Q31" s="10">
        <f ca="1">CFDTable[[#This Row],[AvgDaily]]-CFDTable[[#This Row],[Deviation]]</f>
        <v>0.8571428571428571</v>
      </c>
      <c r="R31" s="10">
        <f ca="1">AVERAGE(IF(ISNUMBER(M31),IF(ISNUMBER(OFFSET(M31,-Historic,0)),OFFSET(M31,-Historic,0),M$2):M31,R30))</f>
        <v>0.95238095238095233</v>
      </c>
      <c r="S31" s="10">
        <f ca="1">AVERAGE(IF(ISNUMBER(M31),IF(ISNUMBER(OFFSET(M31,-Historic,0)),OFFSET(M31,-Historic,0),M$2):M31,S30))</f>
        <v>0.95238095238095233</v>
      </c>
      <c r="T31" s="10">
        <f ca="1">AVERAGE(IF(ISNUMBER(M31),OFFSET(M$2,DaysToIgnoreOnAvg,0):M31,T30))</f>
        <v>0.7142857142857143</v>
      </c>
      <c r="U31" s="10">
        <f ca="1">CFDTable[[#This Row],[AvgDaily]]+CFDTable[[#This Row],[Deviation]]</f>
        <v>1.0476190476190474</v>
      </c>
      <c r="V31" s="10">
        <f ca="1">IF(ISNUMBER(M31),((_xlfn.PERCENTILE.INC(IF(ISNUMBER(OFFSET(R31,-Historic,0)),OFFSET(R31,-Historic,0),R$2):R31,PercentileHigh/100))-(MEDIAN(IF(ISNUMBER(OFFSET(R31,-Historic,0)),OFFSET(R31,-Historic,0),R$2):R31))),V30)</f>
        <v>9.5238095238095233E-2</v>
      </c>
      <c r="W31" s="10">
        <f ca="1">IF(ISNUMBER(M31),((_xlfn.PERCENTILE.INC(R$2:R31,PercentileHigh/100))-(MEDIAN(R$2:R31))),V30)</f>
        <v>0.21031746031746035</v>
      </c>
      <c r="X31" s="10">
        <f ca="1">(SUM(CFDTable[[#This Row],[To Do]:[Done]])-SUM(G30:L30))</f>
        <v>0</v>
      </c>
      <c r="Y31" s="10">
        <f ca="1">AVERAGE(IF(ISNUMBER(X31),IF(ISNUMBER(OFFSET(X31,-Historic,0)),OFFSET(X31,-Historic,0),X$2):X31,Y30))</f>
        <v>3.5238095238095237</v>
      </c>
      <c r="Z31" s="10">
        <f ca="1">IF(ISNUMBER(CFDTable[[#This Row],[Done Today]]),SUM($G31:$L31),Z30+CFDTable[[#This Row],[avg added]])</f>
        <v>84</v>
      </c>
      <c r="AA31" s="10">
        <f ca="1">IF(ISNUMBER(CFDTable[[#This Row],[Done Today]]),SUM($G31:$L31),$AA30)</f>
        <v>84</v>
      </c>
      <c r="AB31" s="10">
        <f ca="1">IF(ISNUMBER(CFDTable[[#This Row],[Done Today]]),SUM($G31:$L31),$AB30)</f>
        <v>84</v>
      </c>
      <c r="AC31" s="10">
        <f ca="1">SUM(LOOKUP(2,1/(N$1:N30&lt;&gt;""),N$1:N30)+CFDTable[[#This Row],[lowDaily]])</f>
        <v>22.857142857142858</v>
      </c>
      <c r="AD31" s="10">
        <f ca="1">SUM(LOOKUP(2,1/(O$1:O30&lt;&gt;""),O$1:O30)+R31)</f>
        <v>22.952380952380953</v>
      </c>
      <c r="AE31" s="10">
        <f ca="1">SUM(LOOKUP(2,1/(P$1:P30&lt;&gt;""),P$1:P30)+CFDTable[[#This Row],[highDaily]])</f>
        <v>23.047619047619047</v>
      </c>
      <c r="AF31" s="12">
        <f>IF(CFDTable[[#This Row],[Date]]=DeadlineDate,CFDTable[[#This Row],[FutureWork2]],0)</f>
        <v>0</v>
      </c>
    </row>
    <row r="32" spans="1:32">
      <c r="A32" s="8">
        <f>CFDTable[[#This Row],[Date]]</f>
        <v>42450</v>
      </c>
      <c r="B32" s="9">
        <f>Data!B32</f>
        <v>42450</v>
      </c>
      <c r="C32" s="10" t="e">
        <f ca="1">IF(ISNUMBER(CFDTable[[#This Row],[Ready]]),NA(),CFDTable[[#This Row],[Target]]-CFDTable[[#This Row],[To Do]])</f>
        <v>#N/A</v>
      </c>
      <c r="D32" s="10" t="e">
        <f>IF(CFDTable[[#This Row],[Emergence]]&gt;0,CFDTable[[#This Row],[Future Work]]-CFDTable[[#This Row],[Emergence]],NA())</f>
        <v>#N/A</v>
      </c>
      <c r="E32" s="10">
        <f>Data!C32</f>
        <v>0</v>
      </c>
      <c r="F32" s="10">
        <f ca="1">Data!D32</f>
        <v>56</v>
      </c>
      <c r="G32" s="10">
        <f ca="1">Data!E32</f>
        <v>56</v>
      </c>
      <c r="H32" s="10">
        <f ca="1">IF(TodaysDate&gt;=$B32,Data!F32,NA())</f>
        <v>0</v>
      </c>
      <c r="I32" s="10">
        <f ca="1">IF(TodaysDate&gt;=$B32,Data!G32,NA())</f>
        <v>3</v>
      </c>
      <c r="J32" s="10">
        <f ca="1">IF(TodaysDate&gt;=$B32,Data!H32,NA())</f>
        <v>0</v>
      </c>
      <c r="K32" s="10">
        <f ca="1">IF(TodaysDate&gt;=$B32,Data!I32,NA())</f>
        <v>0</v>
      </c>
      <c r="L32" s="10">
        <f ca="1">IF(TodaysDate&gt;=$B32,Data!J32,NA())</f>
        <v>25</v>
      </c>
      <c r="M32" s="10">
        <f ca="1">IF(CFDTable[[#This Row],[Done]]&gt;0,(CFDTable[[#This Row],[Done]])-(L31),0)</f>
        <v>3</v>
      </c>
      <c r="N32" s="10">
        <f ca="1">IF(ISNUMBER($M32),SUM(CFDTable[[#This Row],[Done]]),IF(CFDTable[[#This Row],[lookupLow]]&gt;=CFDTable[[#This Row],[FutureWork2]]+CFDTable[[#This Row],[lowDaily]],NA(),CFDTable[[#This Row],[lookupLow]]))</f>
        <v>25</v>
      </c>
      <c r="O32" s="10">
        <f ca="1">IF(ISNUMBER($M32),SUM(CFDTable[[#This Row],[Done]]),IF(CFDTable[[#This Row],[lookupMedian]]&gt;=CFDTable[[#This Row],[FutureWork2]],NA(),CFDTable[[#This Row],[lookupMedian]]))</f>
        <v>25</v>
      </c>
      <c r="P32" s="10">
        <f ca="1">IF(ISNUMBER(CFDTable[[#This Row],[Done Today]]),SUM(CFDTable[[#This Row],[Done]]),IF(CFDTable[[#This Row],[lookupHigh]]&gt;=CFDTable[[#This Row],[FutureWork2]]+CFDTable[[#This Row],[highDaily]],NA(),CFDTable[[#This Row],[lookupHigh]]))</f>
        <v>25</v>
      </c>
      <c r="Q32" s="10">
        <f ca="1">CFDTable[[#This Row],[AvgDaily]]-CFDTable[[#This Row],[Deviation]]</f>
        <v>0.98496240601503771</v>
      </c>
      <c r="R32" s="10">
        <f ca="1">AVERAGE(IF(ISNUMBER(M32),IF(ISNUMBER(OFFSET(M32,-Historic,0)),OFFSET(M32,-Historic,0),M$2):M32,R31))</f>
        <v>1.0952380952380953</v>
      </c>
      <c r="S32" s="10">
        <f ca="1">AVERAGE(IF(ISNUMBER(M32),IF(ISNUMBER(OFFSET(M32,-Historic,0)),OFFSET(M32,-Historic,0),M$2):M32,S31))</f>
        <v>1.0952380952380953</v>
      </c>
      <c r="T32" s="10">
        <f ca="1">AVERAGE(IF(ISNUMBER(M32),OFFSET(M$2,DaysToIgnoreOnAvg,0):M32,T31))</f>
        <v>0.7931034482758621</v>
      </c>
      <c r="U32" s="10">
        <f ca="1">CFDTable[[#This Row],[AvgDaily]]+CFDTable[[#This Row],[Deviation]]</f>
        <v>1.205513784461153</v>
      </c>
      <c r="V32" s="10">
        <f ca="1">IF(ISNUMBER(M32),((_xlfn.PERCENTILE.INC(IF(ISNUMBER(OFFSET(R32,-Historic,0)),OFFSET(R32,-Historic,0),R$2):R32,PercentileHigh/100))-(MEDIAN(IF(ISNUMBER(OFFSET(R32,-Historic,0)),OFFSET(R32,-Historic,0),R$2):R32))),V31)</f>
        <v>0.11027568922305764</v>
      </c>
      <c r="W32" s="10">
        <f ca="1">IF(ISNUMBER(M32),((_xlfn.PERCENTILE.INC(R$2:R32,PercentileHigh/100))-(MEDIAN(R$2:R32))),V31)</f>
        <v>0.20634920634920639</v>
      </c>
      <c r="X32" s="10">
        <f ca="1">(SUM(CFDTable[[#This Row],[To Do]:[Done]])-SUM(G31:L31))</f>
        <v>0</v>
      </c>
      <c r="Y32" s="10">
        <f ca="1">AVERAGE(IF(ISNUMBER(X32),IF(ISNUMBER(OFFSET(X32,-Historic,0)),OFFSET(X32,-Historic,0),X$2):X32,Y31))</f>
        <v>3.5238095238095237</v>
      </c>
      <c r="Z32" s="10">
        <f ca="1">IF(ISNUMBER(CFDTable[[#This Row],[Done Today]]),SUM($G32:$L32),Z31+CFDTable[[#This Row],[avg added]])</f>
        <v>84</v>
      </c>
      <c r="AA32" s="10">
        <f ca="1">IF(ISNUMBER(CFDTable[[#This Row],[Done Today]]),SUM($G32:$L32),$AA31)</f>
        <v>84</v>
      </c>
      <c r="AB32" s="10">
        <f ca="1">IF(ISNUMBER(CFDTable[[#This Row],[Done Today]]),SUM($G32:$L32),$AB31)</f>
        <v>84</v>
      </c>
      <c r="AC32" s="10">
        <f ca="1">SUM(LOOKUP(2,1/(N$1:N31&lt;&gt;""),N$1:N31)+CFDTable[[#This Row],[lowDaily]])</f>
        <v>22.984962406015036</v>
      </c>
      <c r="AD32" s="10">
        <f ca="1">SUM(LOOKUP(2,1/(O$1:O31&lt;&gt;""),O$1:O31)+R32)</f>
        <v>23.095238095238095</v>
      </c>
      <c r="AE32" s="10">
        <f ca="1">SUM(LOOKUP(2,1/(P$1:P31&lt;&gt;""),P$1:P31)+CFDTable[[#This Row],[highDaily]])</f>
        <v>23.205513784461154</v>
      </c>
      <c r="AF32" s="12">
        <f>IF(CFDTable[[#This Row],[Date]]=DeadlineDate,CFDTable[[#This Row],[FutureWork2]],0)</f>
        <v>0</v>
      </c>
    </row>
    <row r="33" spans="1:32">
      <c r="A33" s="8">
        <f>CFDTable[[#This Row],[Date]]</f>
        <v>42451</v>
      </c>
      <c r="B33" s="9">
        <f>Data!B33</f>
        <v>42451</v>
      </c>
      <c r="C33" s="10" t="e">
        <f ca="1">IF(ISNUMBER(CFDTable[[#This Row],[Ready]]),NA(),CFDTable[[#This Row],[Target]]-CFDTable[[#This Row],[To Do]])</f>
        <v>#N/A</v>
      </c>
      <c r="D33" s="10" t="e">
        <f>IF(CFDTable[[#This Row],[Emergence]]&gt;0,CFDTable[[#This Row],[Future Work]]-CFDTable[[#This Row],[Emergence]],NA())</f>
        <v>#N/A</v>
      </c>
      <c r="E33" s="10">
        <f>Data!C33</f>
        <v>0</v>
      </c>
      <c r="F33" s="10">
        <f ca="1">Data!D33</f>
        <v>58</v>
      </c>
      <c r="G33" s="10">
        <f ca="1">Data!E33</f>
        <v>58</v>
      </c>
      <c r="H33" s="10">
        <f ca="1">IF(TodaysDate&gt;=$B33,Data!F33,NA())</f>
        <v>0</v>
      </c>
      <c r="I33" s="10">
        <f ca="1">IF(TodaysDate&gt;=$B33,Data!G33,NA())</f>
        <v>2</v>
      </c>
      <c r="J33" s="10">
        <f ca="1">IF(TodaysDate&gt;=$B33,Data!H33,NA())</f>
        <v>0</v>
      </c>
      <c r="K33" s="10">
        <f ca="1">IF(TodaysDate&gt;=$B33,Data!I33,NA())</f>
        <v>0</v>
      </c>
      <c r="L33" s="10">
        <f ca="1">IF(TodaysDate&gt;=$B33,Data!J33,NA())</f>
        <v>26</v>
      </c>
      <c r="M33" s="10">
        <f ca="1">IF(CFDTable[[#This Row],[Done]]&gt;0,(CFDTable[[#This Row],[Done]])-(L32),0)</f>
        <v>1</v>
      </c>
      <c r="N33" s="10">
        <f ca="1">IF(ISNUMBER($M33),SUM(CFDTable[[#This Row],[Done]]),IF(CFDTable[[#This Row],[lookupLow]]&gt;=CFDTable[[#This Row],[FutureWork2]]+CFDTable[[#This Row],[lowDaily]],NA(),CFDTable[[#This Row],[lookupLow]]))</f>
        <v>26</v>
      </c>
      <c r="O33" s="10">
        <f ca="1">IF(ISNUMBER($M33),SUM(CFDTable[[#This Row],[Done]]),IF(CFDTable[[#This Row],[lookupMedian]]&gt;=CFDTable[[#This Row],[FutureWork2]],NA(),CFDTable[[#This Row],[lookupMedian]]))</f>
        <v>26</v>
      </c>
      <c r="P33" s="10">
        <f ca="1">IF(ISNUMBER(CFDTable[[#This Row],[Done Today]]),SUM(CFDTable[[#This Row],[Done]]),IF(CFDTable[[#This Row],[lookupHigh]]&gt;=CFDTable[[#This Row],[FutureWork2]]+CFDTable[[#This Row],[highDaily]],NA(),CFDTable[[#This Row],[lookupHigh]]))</f>
        <v>26</v>
      </c>
      <c r="Q33" s="10">
        <f ca="1">CFDTable[[#This Row],[AvgDaily]]-CFDTable[[#This Row],[Deviation]]</f>
        <v>1</v>
      </c>
      <c r="R33" s="10">
        <f ca="1">AVERAGE(IF(ISNUMBER(M33),IF(ISNUMBER(OFFSET(M33,-Historic,0)),OFFSET(M33,-Historic,0),M$2):M33,R32))</f>
        <v>1.0952380952380953</v>
      </c>
      <c r="S33" s="10">
        <f ca="1">AVERAGE(IF(ISNUMBER(M33),IF(ISNUMBER(OFFSET(M33,-Historic,0)),OFFSET(M33,-Historic,0),M$2):M33,S32))</f>
        <v>1.0952380952380953</v>
      </c>
      <c r="T33" s="10">
        <f ca="1">AVERAGE(IF(ISNUMBER(M33),OFFSET(M$2,DaysToIgnoreOnAvg,0):M33,T32))</f>
        <v>0.8</v>
      </c>
      <c r="U33" s="10">
        <f ca="1">CFDTable[[#This Row],[AvgDaily]]+CFDTable[[#This Row],[Deviation]]</f>
        <v>1.1904761904761907</v>
      </c>
      <c r="V33" s="10">
        <f ca="1">IF(ISNUMBER(M33),((_xlfn.PERCENTILE.INC(IF(ISNUMBER(OFFSET(R33,-Historic,0)),OFFSET(R33,-Historic,0),R$2):R33,PercentileHigh/100))-(MEDIAN(IF(ISNUMBER(OFFSET(R33,-Historic,0)),OFFSET(R33,-Historic,0),R$2):R33))),V32)</f>
        <v>9.5238095238095233E-2</v>
      </c>
      <c r="W33" s="10">
        <f ca="1">IF(ISNUMBER(M33),((_xlfn.PERCENTILE.INC(R$2:R33,PercentileHigh/100))-(MEDIAN(R$2:R33))),V32)</f>
        <v>0.20891690009337061</v>
      </c>
      <c r="X33" s="10">
        <f ca="1">(SUM(CFDTable[[#This Row],[To Do]:[Done]])-SUM(G32:L32))</f>
        <v>2</v>
      </c>
      <c r="Y33" s="10">
        <f ca="1">AVERAGE(IF(ISNUMBER(X33),IF(ISNUMBER(OFFSET(X33,-Historic,0)),OFFSET(X33,-Historic,0),X$2):X33,Y32))</f>
        <v>3.5238095238095237</v>
      </c>
      <c r="Z33" s="10">
        <f ca="1">IF(ISNUMBER(CFDTable[[#This Row],[Done Today]]),SUM($G33:$L33),Z32+CFDTable[[#This Row],[avg added]])</f>
        <v>86</v>
      </c>
      <c r="AA33" s="10">
        <f ca="1">IF(ISNUMBER(CFDTable[[#This Row],[Done Today]]),SUM($G33:$L33),$AA32)</f>
        <v>86</v>
      </c>
      <c r="AB33" s="10">
        <f ca="1">IF(ISNUMBER(CFDTable[[#This Row],[Done Today]]),SUM($G33:$L33),$AB32)</f>
        <v>86</v>
      </c>
      <c r="AC33" s="10">
        <f ca="1">SUM(LOOKUP(2,1/(N$1:N32&lt;&gt;""),N$1:N32)+CFDTable[[#This Row],[lowDaily]])</f>
        <v>26</v>
      </c>
      <c r="AD33" s="10">
        <f ca="1">SUM(LOOKUP(2,1/(O$1:O32&lt;&gt;""),O$1:O32)+R33)</f>
        <v>26.095238095238095</v>
      </c>
      <c r="AE33" s="10">
        <f ca="1">SUM(LOOKUP(2,1/(P$1:P32&lt;&gt;""),P$1:P32)+CFDTable[[#This Row],[highDaily]])</f>
        <v>26.19047619047619</v>
      </c>
      <c r="AF33" s="12">
        <f>IF(CFDTable[[#This Row],[Date]]=DeadlineDate,CFDTable[[#This Row],[FutureWork2]],0)</f>
        <v>0</v>
      </c>
    </row>
    <row r="34" spans="1:32">
      <c r="A34" s="8">
        <f>CFDTable[[#This Row],[Date]]</f>
        <v>42452</v>
      </c>
      <c r="B34" s="9">
        <f>Data!B34</f>
        <v>42452</v>
      </c>
      <c r="C34" s="10" t="e">
        <f ca="1">IF(ISNUMBER(CFDTable[[#This Row],[Ready]]),NA(),CFDTable[[#This Row],[Target]]-CFDTable[[#This Row],[To Do]])</f>
        <v>#N/A</v>
      </c>
      <c r="D34" s="10" t="e">
        <f>IF(CFDTable[[#This Row],[Emergence]]&gt;0,CFDTable[[#This Row],[Future Work]]-CFDTable[[#This Row],[Emergence]],NA())</f>
        <v>#N/A</v>
      </c>
      <c r="E34" s="10">
        <f>Data!C34</f>
        <v>0</v>
      </c>
      <c r="F34" s="10">
        <f ca="1">Data!D34</f>
        <v>54</v>
      </c>
      <c r="G34" s="10">
        <f ca="1">Data!E34</f>
        <v>54</v>
      </c>
      <c r="H34" s="10">
        <f ca="1">IF(TodaysDate&gt;=$B34,Data!F34,NA())</f>
        <v>0</v>
      </c>
      <c r="I34" s="10">
        <f ca="1">IF(TodaysDate&gt;=$B34,Data!G34,NA())</f>
        <v>5</v>
      </c>
      <c r="J34" s="10">
        <f ca="1">IF(TodaysDate&gt;=$B34,Data!H34,NA())</f>
        <v>0</v>
      </c>
      <c r="K34" s="10">
        <f ca="1">IF(TodaysDate&gt;=$B34,Data!I34,NA())</f>
        <v>0</v>
      </c>
      <c r="L34" s="10">
        <f ca="1">IF(TodaysDate&gt;=$B34,Data!J34,NA())</f>
        <v>27</v>
      </c>
      <c r="M34" s="10">
        <f ca="1">IF(CFDTable[[#This Row],[Done]]&gt;0,(CFDTable[[#This Row],[Done]])-(L33),0)</f>
        <v>1</v>
      </c>
      <c r="N34" s="10">
        <f ca="1">IF(ISNUMBER($M34),SUM(CFDTable[[#This Row],[Done]]),IF(CFDTable[[#This Row],[lookupLow]]&gt;=CFDTable[[#This Row],[FutureWork2]]+CFDTable[[#This Row],[lowDaily]],NA(),CFDTable[[#This Row],[lookupLow]]))</f>
        <v>27</v>
      </c>
      <c r="O34" s="10">
        <f ca="1">IF(ISNUMBER($M34),SUM(CFDTable[[#This Row],[Done]]),IF(CFDTable[[#This Row],[lookupMedian]]&gt;=CFDTable[[#This Row],[FutureWork2]],NA(),CFDTable[[#This Row],[lookupMedian]]))</f>
        <v>27</v>
      </c>
      <c r="P34" s="10">
        <f ca="1">IF(ISNUMBER(CFDTable[[#This Row],[Done Today]]),SUM(CFDTable[[#This Row],[Done]]),IF(CFDTable[[#This Row],[lookupHigh]]&gt;=CFDTable[[#This Row],[FutureWork2]]+CFDTable[[#This Row],[highDaily]],NA(),CFDTable[[#This Row],[lookupHigh]]))</f>
        <v>27</v>
      </c>
      <c r="Q34" s="10">
        <f ca="1">CFDTable[[#This Row],[AvgDaily]]-CFDTable[[#This Row],[Deviation]]</f>
        <v>0.90476190476190477</v>
      </c>
      <c r="R34" s="10">
        <f ca="1">AVERAGE(IF(ISNUMBER(M34),IF(ISNUMBER(OFFSET(M34,-Historic,0)),OFFSET(M34,-Historic,0),M$2):M34,R33))</f>
        <v>1</v>
      </c>
      <c r="S34" s="10">
        <f ca="1">AVERAGE(IF(ISNUMBER(M34),IF(ISNUMBER(OFFSET(M34,-Historic,0)),OFFSET(M34,-Historic,0),M$2):M34,S33))</f>
        <v>1</v>
      </c>
      <c r="T34" s="10">
        <f ca="1">AVERAGE(IF(ISNUMBER(M34),OFFSET(M$2,DaysToIgnoreOnAvg,0):M34,T33))</f>
        <v>0.80645161290322576</v>
      </c>
      <c r="U34" s="10">
        <f ca="1">CFDTable[[#This Row],[AvgDaily]]+CFDTable[[#This Row],[Deviation]]</f>
        <v>1.0952380952380953</v>
      </c>
      <c r="V34" s="10">
        <f ca="1">IF(ISNUMBER(M34),((_xlfn.PERCENTILE.INC(IF(ISNUMBER(OFFSET(R34,-Historic,0)),OFFSET(R34,-Historic,0),R$2):R34,PercentileHigh/100))-(MEDIAN(IF(ISNUMBER(OFFSET(R34,-Historic,0)),OFFSET(R34,-Historic,0),R$2):R34))),V33)</f>
        <v>9.5238095238095233E-2</v>
      </c>
      <c r="W34" s="10">
        <f ca="1">IF(ISNUMBER(M34),((_xlfn.PERCENTILE.INC(R$2:R34,PercentileHigh/100))-(MEDIAN(R$2:R34))),V33)</f>
        <v>0.1876750700280112</v>
      </c>
      <c r="X34" s="10">
        <f ca="1">(SUM(CFDTable[[#This Row],[To Do]:[Done]])-SUM(G33:L33))</f>
        <v>0</v>
      </c>
      <c r="Y34" s="10">
        <f ca="1">AVERAGE(IF(ISNUMBER(X34),IF(ISNUMBER(OFFSET(X34,-Historic,0)),OFFSET(X34,-Historic,0),X$2):X34,Y33))</f>
        <v>3.5238095238095237</v>
      </c>
      <c r="Z34" s="10">
        <f ca="1">IF(ISNUMBER(CFDTable[[#This Row],[Done Today]]),SUM($G34:$L34),Z33+CFDTable[[#This Row],[avg added]])</f>
        <v>86</v>
      </c>
      <c r="AA34" s="10">
        <f ca="1">IF(ISNUMBER(CFDTable[[#This Row],[Done Today]]),SUM($G34:$L34),$AA33)</f>
        <v>86</v>
      </c>
      <c r="AB34" s="10">
        <f ca="1">IF(ISNUMBER(CFDTable[[#This Row],[Done Today]]),SUM($G34:$L34),$AB33)</f>
        <v>86</v>
      </c>
      <c r="AC34" s="10">
        <f ca="1">SUM(LOOKUP(2,1/(N$1:N33&lt;&gt;""),N$1:N33)+CFDTable[[#This Row],[lowDaily]])</f>
        <v>26.904761904761905</v>
      </c>
      <c r="AD34" s="10">
        <f ca="1">SUM(LOOKUP(2,1/(O$1:O33&lt;&gt;""),O$1:O33)+R34)</f>
        <v>27</v>
      </c>
      <c r="AE34" s="10">
        <f ca="1">SUM(LOOKUP(2,1/(P$1:P33&lt;&gt;""),P$1:P33)+CFDTable[[#This Row],[highDaily]])</f>
        <v>27.095238095238095</v>
      </c>
      <c r="AF34" s="12">
        <f>IF(CFDTable[[#This Row],[Date]]=DeadlineDate,CFDTable[[#This Row],[FutureWork2]],0)</f>
        <v>0</v>
      </c>
    </row>
    <row r="35" spans="1:32">
      <c r="A35" s="8">
        <f>CFDTable[[#This Row],[Date]]</f>
        <v>42453</v>
      </c>
      <c r="B35" s="9">
        <f>Data!B35</f>
        <v>42453</v>
      </c>
      <c r="C35" s="10" t="e">
        <f ca="1">IF(ISNUMBER(CFDTable[[#This Row],[Ready]]),NA(),CFDTable[[#This Row],[Target]]-CFDTable[[#This Row],[To Do]])</f>
        <v>#N/A</v>
      </c>
      <c r="D35" s="10" t="e">
        <f>IF(CFDTable[[#This Row],[Emergence]]&gt;0,CFDTable[[#This Row],[Future Work]]-CFDTable[[#This Row],[Emergence]],NA())</f>
        <v>#N/A</v>
      </c>
      <c r="E35" s="10">
        <f>Data!C35</f>
        <v>0</v>
      </c>
      <c r="F35" s="10">
        <f ca="1">Data!D35</f>
        <v>53</v>
      </c>
      <c r="G35" s="10">
        <f ca="1">Data!E35</f>
        <v>53</v>
      </c>
      <c r="H35" s="10">
        <f ca="1">IF(TodaysDate&gt;=$B35,Data!F35,NA())</f>
        <v>0</v>
      </c>
      <c r="I35" s="10">
        <f ca="1">IF(TodaysDate&gt;=$B35,Data!G35,NA())</f>
        <v>5</v>
      </c>
      <c r="J35" s="10">
        <f ca="1">IF(TodaysDate&gt;=$B35,Data!H35,NA())</f>
        <v>1</v>
      </c>
      <c r="K35" s="10">
        <f ca="1">IF(TodaysDate&gt;=$B35,Data!I35,NA())</f>
        <v>0</v>
      </c>
      <c r="L35" s="10">
        <f ca="1">IF(TodaysDate&gt;=$B35,Data!J35,NA())</f>
        <v>27</v>
      </c>
      <c r="M35" s="10">
        <f ca="1">IF(CFDTable[[#This Row],[Done]]&gt;0,(CFDTable[[#This Row],[Done]])-(L34),0)</f>
        <v>0</v>
      </c>
      <c r="N35" s="10">
        <f ca="1">IF(ISNUMBER($M35),SUM(CFDTable[[#This Row],[Done]]),IF(CFDTable[[#This Row],[lookupLow]]&gt;=CFDTable[[#This Row],[FutureWork2]]+CFDTable[[#This Row],[lowDaily]],NA(),CFDTable[[#This Row],[lookupLow]]))</f>
        <v>27</v>
      </c>
      <c r="O35" s="10">
        <f ca="1">IF(ISNUMBER($M35),SUM(CFDTable[[#This Row],[Done]]),IF(CFDTable[[#This Row],[lookupMedian]]&gt;=CFDTable[[#This Row],[FutureWork2]],NA(),CFDTable[[#This Row],[lookupMedian]]))</f>
        <v>27</v>
      </c>
      <c r="P35" s="10">
        <f ca="1">IF(ISNUMBER(CFDTable[[#This Row],[Done Today]]),SUM(CFDTable[[#This Row],[Done]]),IF(CFDTable[[#This Row],[lookupHigh]]&gt;=CFDTable[[#This Row],[FutureWork2]]+CFDTable[[#This Row],[highDaily]],NA(),CFDTable[[#This Row],[lookupHigh]]))</f>
        <v>27</v>
      </c>
      <c r="Q35" s="10">
        <f ca="1">CFDTable[[#This Row],[AvgDaily]]-CFDTable[[#This Row],[Deviation]]</f>
        <v>0.80952380952380953</v>
      </c>
      <c r="R35" s="10">
        <f ca="1">AVERAGE(IF(ISNUMBER(M35),IF(ISNUMBER(OFFSET(M35,-Historic,0)),OFFSET(M35,-Historic,0),M$2):M35,R34))</f>
        <v>0.90476190476190477</v>
      </c>
      <c r="S35" s="10">
        <f ca="1">AVERAGE(IF(ISNUMBER(M35),IF(ISNUMBER(OFFSET(M35,-Historic,0)),OFFSET(M35,-Historic,0),M$2):M35,S34))</f>
        <v>0.90476190476190477</v>
      </c>
      <c r="T35" s="10">
        <f ca="1">AVERAGE(IF(ISNUMBER(M35),OFFSET(M$2,DaysToIgnoreOnAvg,0):M35,T34))</f>
        <v>0.78125</v>
      </c>
      <c r="U35" s="10">
        <f ca="1">CFDTable[[#This Row],[AvgDaily]]+CFDTable[[#This Row],[Deviation]]</f>
        <v>1</v>
      </c>
      <c r="V35" s="10">
        <f ca="1">IF(ISNUMBER(M35),((_xlfn.PERCENTILE.INC(IF(ISNUMBER(OFFSET(R35,-Historic,0)),OFFSET(R35,-Historic,0),R$2):R35,PercentileHigh/100))-(MEDIAN(IF(ISNUMBER(OFFSET(R35,-Historic,0)),OFFSET(R35,-Historic,0),R$2):R35))),V34)</f>
        <v>9.5238095238095233E-2</v>
      </c>
      <c r="W35" s="10">
        <f ca="1">IF(ISNUMBER(M35),((_xlfn.PERCENTILE.INC(R$2:R35,PercentileHigh/100))-(MEDIAN(R$2:R35))),V34)</f>
        <v>0.17002801120448174</v>
      </c>
      <c r="X35" s="10">
        <f ca="1">(SUM(CFDTable[[#This Row],[To Do]:[Done]])-SUM(G34:L34))</f>
        <v>0</v>
      </c>
      <c r="Y35" s="10">
        <f ca="1">AVERAGE(IF(ISNUMBER(X35),IF(ISNUMBER(OFFSET(X35,-Historic,0)),OFFSET(X35,-Historic,0),X$2):X35,Y34))</f>
        <v>3.4761904761904763</v>
      </c>
      <c r="Z35" s="10">
        <f ca="1">IF(ISNUMBER(CFDTable[[#This Row],[Done Today]]),SUM($G35:$L35),Z34+CFDTable[[#This Row],[avg added]])</f>
        <v>86</v>
      </c>
      <c r="AA35" s="10">
        <f ca="1">IF(ISNUMBER(CFDTable[[#This Row],[Done Today]]),SUM($G35:$L35),$AA34)</f>
        <v>86</v>
      </c>
      <c r="AB35" s="10">
        <f ca="1">IF(ISNUMBER(CFDTable[[#This Row],[Done Today]]),SUM($G35:$L35),$AB34)</f>
        <v>86</v>
      </c>
      <c r="AC35" s="10">
        <f ca="1">SUM(LOOKUP(2,1/(N$1:N34&lt;&gt;""),N$1:N34)+CFDTable[[#This Row],[lowDaily]])</f>
        <v>27.80952380952381</v>
      </c>
      <c r="AD35" s="10">
        <f ca="1">SUM(LOOKUP(2,1/(O$1:O34&lt;&gt;""),O$1:O34)+R35)</f>
        <v>27.904761904761905</v>
      </c>
      <c r="AE35" s="10">
        <f ca="1">SUM(LOOKUP(2,1/(P$1:P34&lt;&gt;""),P$1:P34)+CFDTable[[#This Row],[highDaily]])</f>
        <v>28</v>
      </c>
      <c r="AF35" s="12">
        <f>IF(CFDTable[[#This Row],[Date]]=DeadlineDate,CFDTable[[#This Row],[FutureWork2]],0)</f>
        <v>0</v>
      </c>
    </row>
    <row r="36" spans="1:32">
      <c r="A36" s="8">
        <f>CFDTable[[#This Row],[Date]]</f>
        <v>42458</v>
      </c>
      <c r="B36" s="9">
        <f>Data!B36</f>
        <v>42458</v>
      </c>
      <c r="C36" s="10" t="e">
        <f ca="1">IF(ISNUMBER(CFDTable[[#This Row],[Ready]]),NA(),CFDTable[[#This Row],[Target]]-CFDTable[[#This Row],[To Do]])</f>
        <v>#N/A</v>
      </c>
      <c r="D36" s="10" t="e">
        <f>IF(CFDTable[[#This Row],[Emergence]]&gt;0,CFDTable[[#This Row],[Future Work]]-CFDTable[[#This Row],[Emergence]],NA())</f>
        <v>#N/A</v>
      </c>
      <c r="E36" s="10">
        <f>Data!C36</f>
        <v>0</v>
      </c>
      <c r="F36" s="10">
        <f ca="1">Data!D36</f>
        <v>52</v>
      </c>
      <c r="G36" s="10">
        <f ca="1">Data!E36</f>
        <v>52</v>
      </c>
      <c r="H36" s="10">
        <f ca="1">IF(TodaysDate&gt;=$B36,Data!F36,NA())</f>
        <v>0</v>
      </c>
      <c r="I36" s="10">
        <f ca="1">IF(TodaysDate&gt;=$B36,Data!G36,NA())</f>
        <v>4</v>
      </c>
      <c r="J36" s="10">
        <f ca="1">IF(TodaysDate&gt;=$B36,Data!H36,NA())</f>
        <v>0</v>
      </c>
      <c r="K36" s="10">
        <f ca="1">IF(TodaysDate&gt;=$B36,Data!I36,NA())</f>
        <v>0</v>
      </c>
      <c r="L36" s="10">
        <f ca="1">IF(TodaysDate&gt;=$B36,Data!J36,NA())</f>
        <v>30</v>
      </c>
      <c r="M36" s="10">
        <f ca="1">IF(CFDTable[[#This Row],[Done]]&gt;0,(CFDTable[[#This Row],[Done]])-(L35),0)</f>
        <v>3</v>
      </c>
      <c r="N36" s="10">
        <f ca="1">IF(ISNUMBER($M36),SUM(CFDTable[[#This Row],[Done]]),IF(CFDTable[[#This Row],[lookupLow]]&gt;=CFDTable[[#This Row],[FutureWork2]]+CFDTable[[#This Row],[lowDaily]],NA(),CFDTable[[#This Row],[lookupLow]]))</f>
        <v>30</v>
      </c>
      <c r="O36" s="10">
        <f ca="1">IF(ISNUMBER($M36),SUM(CFDTable[[#This Row],[Done]]),IF(CFDTable[[#This Row],[lookupMedian]]&gt;=CFDTable[[#This Row],[FutureWork2]],NA(),CFDTable[[#This Row],[lookupMedian]]))</f>
        <v>30</v>
      </c>
      <c r="P36" s="10">
        <f ca="1">IF(ISNUMBER(CFDTable[[#This Row],[Done Today]]),SUM(CFDTable[[#This Row],[Done]]),IF(CFDTable[[#This Row],[lookupHigh]]&gt;=CFDTable[[#This Row],[FutureWork2]]+CFDTable[[#This Row],[highDaily]],NA(),CFDTable[[#This Row],[lookupHigh]]))</f>
        <v>30</v>
      </c>
      <c r="Q36" s="10">
        <f ca="1">CFDTable[[#This Row],[AvgDaily]]-CFDTable[[#This Row],[Deviation]]</f>
        <v>0.95238095238095244</v>
      </c>
      <c r="R36" s="10">
        <f ca="1">AVERAGE(IF(ISNUMBER(M36),IF(ISNUMBER(OFFSET(M36,-Historic,0)),OFFSET(M36,-Historic,0),M$2):M36,R35))</f>
        <v>1.0476190476190477</v>
      </c>
      <c r="S36" s="10">
        <f ca="1">AVERAGE(IF(ISNUMBER(M36),IF(ISNUMBER(OFFSET(M36,-Historic,0)),OFFSET(M36,-Historic,0),M$2):M36,S35))</f>
        <v>1.0476190476190477</v>
      </c>
      <c r="T36" s="10">
        <f ca="1">AVERAGE(IF(ISNUMBER(M36),OFFSET(M$2,DaysToIgnoreOnAvg,0):M36,T35))</f>
        <v>0.84848484848484851</v>
      </c>
      <c r="U36" s="10">
        <f ca="1">CFDTable[[#This Row],[AvgDaily]]+CFDTable[[#This Row],[Deviation]]</f>
        <v>1.1428571428571428</v>
      </c>
      <c r="V36" s="10">
        <f ca="1">IF(ISNUMBER(M36),((_xlfn.PERCENTILE.INC(IF(ISNUMBER(OFFSET(R36,-Historic,0)),OFFSET(R36,-Historic,0),R$2):R36,PercentileHigh/100))-(MEDIAN(IF(ISNUMBER(OFFSET(R36,-Historic,0)),OFFSET(R36,-Historic,0),R$2):R36))),V35)</f>
        <v>9.5238095238095233E-2</v>
      </c>
      <c r="W36" s="10">
        <f ca="1">IF(ISNUMBER(M36),((_xlfn.PERCENTILE.INC(R$2:R36,PercentileHigh/100))-(MEDIAN(R$2:R36))),V35)</f>
        <v>0.15238095238095228</v>
      </c>
      <c r="X36" s="10">
        <f ca="1">(SUM(CFDTable[[#This Row],[To Do]:[Done]])-SUM(G35:L35))</f>
        <v>0</v>
      </c>
      <c r="Y36" s="10">
        <f ca="1">AVERAGE(IF(ISNUMBER(X36),IF(ISNUMBER(OFFSET(X36,-Historic,0)),OFFSET(X36,-Historic,0),X$2):X36,Y35))</f>
        <v>3.3809523809523809</v>
      </c>
      <c r="Z36" s="10">
        <f ca="1">IF(ISNUMBER(CFDTable[[#This Row],[Done Today]]),SUM($G36:$L36),Z35+CFDTable[[#This Row],[avg added]])</f>
        <v>86</v>
      </c>
      <c r="AA36" s="10">
        <f ca="1">IF(ISNUMBER(CFDTable[[#This Row],[Done Today]]),SUM($G36:$L36),$AA35)</f>
        <v>86</v>
      </c>
      <c r="AB36" s="10">
        <f ca="1">IF(ISNUMBER(CFDTable[[#This Row],[Done Today]]),SUM($G36:$L36),$AB35)</f>
        <v>86</v>
      </c>
      <c r="AC36" s="10">
        <f ca="1">SUM(LOOKUP(2,1/(N$1:N35&lt;&gt;""),N$1:N35)+CFDTable[[#This Row],[lowDaily]])</f>
        <v>27.952380952380953</v>
      </c>
      <c r="AD36" s="10">
        <f ca="1">SUM(LOOKUP(2,1/(O$1:O35&lt;&gt;""),O$1:O35)+R36)</f>
        <v>28.047619047619047</v>
      </c>
      <c r="AE36" s="10">
        <f ca="1">SUM(LOOKUP(2,1/(P$1:P35&lt;&gt;""),P$1:P35)+CFDTable[[#This Row],[highDaily]])</f>
        <v>28.142857142857142</v>
      </c>
      <c r="AF36" s="12">
        <f>IF(CFDTable[[#This Row],[Date]]=DeadlineDate,CFDTable[[#This Row],[FutureWork2]],0)</f>
        <v>0</v>
      </c>
    </row>
    <row r="37" spans="1:32">
      <c r="A37" s="8">
        <f>CFDTable[[#This Row],[Date]]</f>
        <v>42459</v>
      </c>
      <c r="B37" s="9">
        <f>Data!B37</f>
        <v>42459</v>
      </c>
      <c r="C37" s="10" t="e">
        <f ca="1">IF(ISNUMBER(CFDTable[[#This Row],[Ready]]),NA(),CFDTable[[#This Row],[Target]]-CFDTable[[#This Row],[To Do]])</f>
        <v>#N/A</v>
      </c>
      <c r="D37" s="10" t="e">
        <f>IF(CFDTable[[#This Row],[Emergence]]&gt;0,CFDTable[[#This Row],[Future Work]]-CFDTable[[#This Row],[Emergence]],NA())</f>
        <v>#N/A</v>
      </c>
      <c r="E37" s="10">
        <f>Data!C37</f>
        <v>0</v>
      </c>
      <c r="F37" s="10">
        <f ca="1">Data!D37</f>
        <v>51</v>
      </c>
      <c r="G37" s="10">
        <f ca="1">Data!E37</f>
        <v>51</v>
      </c>
      <c r="H37" s="10">
        <f ca="1">IF(TodaysDate&gt;=$B37,Data!F37,NA())</f>
        <v>0</v>
      </c>
      <c r="I37" s="10">
        <f ca="1">IF(TodaysDate&gt;=$B37,Data!G37,NA())</f>
        <v>5</v>
      </c>
      <c r="J37" s="10">
        <f ca="1">IF(TodaysDate&gt;=$B37,Data!H37,NA())</f>
        <v>0</v>
      </c>
      <c r="K37" s="10">
        <f ca="1">IF(TodaysDate&gt;=$B37,Data!I37,NA())</f>
        <v>0</v>
      </c>
      <c r="L37" s="10">
        <f ca="1">IF(TodaysDate&gt;=$B37,Data!J37,NA())</f>
        <v>30</v>
      </c>
      <c r="M37" s="10">
        <f ca="1">IF(CFDTable[[#This Row],[Done]]&gt;0,(CFDTable[[#This Row],[Done]])-(L36),0)</f>
        <v>0</v>
      </c>
      <c r="N37" s="10">
        <f ca="1">IF(ISNUMBER($M37),SUM(CFDTable[[#This Row],[Done]]),IF(CFDTable[[#This Row],[lookupLow]]&gt;=CFDTable[[#This Row],[FutureWork2]]+CFDTable[[#This Row],[lowDaily]],NA(),CFDTable[[#This Row],[lookupLow]]))</f>
        <v>30</v>
      </c>
      <c r="O37" s="10">
        <f ca="1">IF(ISNUMBER($M37),SUM(CFDTable[[#This Row],[Done]]),IF(CFDTable[[#This Row],[lookupMedian]]&gt;=CFDTable[[#This Row],[FutureWork2]],NA(),CFDTable[[#This Row],[lookupMedian]]))</f>
        <v>30</v>
      </c>
      <c r="P37" s="10">
        <f ca="1">IF(ISNUMBER(CFDTable[[#This Row],[Done Today]]),SUM(CFDTable[[#This Row],[Done]]),IF(CFDTable[[#This Row],[lookupHigh]]&gt;=CFDTable[[#This Row],[FutureWork2]]+CFDTable[[#This Row],[highDaily]],NA(),CFDTable[[#This Row],[lookupHigh]]))</f>
        <v>30</v>
      </c>
      <c r="Q37" s="10">
        <f ca="1">CFDTable[[#This Row],[AvgDaily]]-CFDTable[[#This Row],[Deviation]]</f>
        <v>0.90476190476190477</v>
      </c>
      <c r="R37" s="10">
        <f ca="1">AVERAGE(IF(ISNUMBER(M37),IF(ISNUMBER(OFFSET(M37,-Historic,0)),OFFSET(M37,-Historic,0),M$2):M37,R36))</f>
        <v>1.0476190476190477</v>
      </c>
      <c r="S37" s="10">
        <f ca="1">AVERAGE(IF(ISNUMBER(M37),IF(ISNUMBER(OFFSET(M37,-Historic,0)),OFFSET(M37,-Historic,0),M$2):M37,S36))</f>
        <v>1.0476190476190477</v>
      </c>
      <c r="T37" s="10">
        <f ca="1">AVERAGE(IF(ISNUMBER(M37),OFFSET(M$2,DaysToIgnoreOnAvg,0):M37,T36))</f>
        <v>0.82352941176470584</v>
      </c>
      <c r="U37" s="10">
        <f ca="1">CFDTable[[#This Row],[AvgDaily]]+CFDTable[[#This Row],[Deviation]]</f>
        <v>1.1904761904761907</v>
      </c>
      <c r="V37" s="10">
        <f ca="1">IF(ISNUMBER(M37),((_xlfn.PERCENTILE.INC(IF(ISNUMBER(OFFSET(R37,-Historic,0)),OFFSET(R37,-Historic,0),R$2):R37,PercentileHigh/100))-(MEDIAN(IF(ISNUMBER(OFFSET(R37,-Historic,0)),OFFSET(R37,-Historic,0),R$2):R37))),V36)</f>
        <v>0.1428571428571429</v>
      </c>
      <c r="W37" s="10">
        <f ca="1">IF(ISNUMBER(M37),((_xlfn.PERCENTILE.INC(R$2:R37,PercentileHigh/100))-(MEDIAN(R$2:R37))),V36)</f>
        <v>0.18333333333333335</v>
      </c>
      <c r="X37" s="10">
        <f ca="1">(SUM(CFDTable[[#This Row],[To Do]:[Done]])-SUM(G36:L36))</f>
        <v>0</v>
      </c>
      <c r="Y37" s="10">
        <f ca="1">AVERAGE(IF(ISNUMBER(X37),IF(ISNUMBER(OFFSET(X37,-Historic,0)),OFFSET(X37,-Historic,0),X$2):X37,Y36))</f>
        <v>3.3809523809523809</v>
      </c>
      <c r="Z37" s="10">
        <f ca="1">IF(ISNUMBER(CFDTable[[#This Row],[Done Today]]),SUM($G37:$L37),Z36+CFDTable[[#This Row],[avg added]])</f>
        <v>86</v>
      </c>
      <c r="AA37" s="10">
        <f ca="1">IF(ISNUMBER(CFDTable[[#This Row],[Done Today]]),SUM($G37:$L37),$AA36)</f>
        <v>86</v>
      </c>
      <c r="AB37" s="10">
        <f ca="1">IF(ISNUMBER(CFDTable[[#This Row],[Done Today]]),SUM($G37:$L37),$AB36)</f>
        <v>86</v>
      </c>
      <c r="AC37" s="10">
        <f ca="1">SUM(LOOKUP(2,1/(N$1:N36&lt;&gt;""),N$1:N36)+CFDTable[[#This Row],[lowDaily]])</f>
        <v>30.904761904761905</v>
      </c>
      <c r="AD37" s="10">
        <f ca="1">SUM(LOOKUP(2,1/(O$1:O36&lt;&gt;""),O$1:O36)+R37)</f>
        <v>31.047619047619047</v>
      </c>
      <c r="AE37" s="10">
        <f ca="1">SUM(LOOKUP(2,1/(P$1:P36&lt;&gt;""),P$1:P36)+CFDTable[[#This Row],[highDaily]])</f>
        <v>31.19047619047619</v>
      </c>
      <c r="AF37" s="12">
        <f>IF(CFDTable[[#This Row],[Date]]=DeadlineDate,CFDTable[[#This Row],[FutureWork2]],0)</f>
        <v>0</v>
      </c>
    </row>
    <row r="38" spans="1:32">
      <c r="A38" s="8">
        <f>CFDTable[[#This Row],[Date]]</f>
        <v>42460</v>
      </c>
      <c r="B38" s="9">
        <f>Data!B38</f>
        <v>42460</v>
      </c>
      <c r="C38" s="10" t="e">
        <f ca="1">IF(ISNUMBER(CFDTable[[#This Row],[Ready]]),NA(),CFDTable[[#This Row],[Target]]-CFDTable[[#This Row],[To Do]])</f>
        <v>#N/A</v>
      </c>
      <c r="D38" s="10" t="e">
        <f>IF(CFDTable[[#This Row],[Emergence]]&gt;0,CFDTable[[#This Row],[Future Work]]-CFDTable[[#This Row],[Emergence]],NA())</f>
        <v>#N/A</v>
      </c>
      <c r="E38" s="10">
        <f>Data!C38</f>
        <v>0</v>
      </c>
      <c r="F38" s="10">
        <f ca="1">Data!D38</f>
        <v>51</v>
      </c>
      <c r="G38" s="10">
        <f ca="1">Data!E38</f>
        <v>51</v>
      </c>
      <c r="H38" s="10">
        <f ca="1">IF(TodaysDate&gt;=$B38,Data!F38,NA())</f>
        <v>0</v>
      </c>
      <c r="I38" s="10">
        <f ca="1">IF(TodaysDate&gt;=$B38,Data!G38,NA())</f>
        <v>5</v>
      </c>
      <c r="J38" s="10">
        <f ca="1">IF(TodaysDate&gt;=$B38,Data!H38,NA())</f>
        <v>0</v>
      </c>
      <c r="K38" s="10">
        <f ca="1">IF(TodaysDate&gt;=$B38,Data!I38,NA())</f>
        <v>0</v>
      </c>
      <c r="L38" s="10">
        <f ca="1">IF(TodaysDate&gt;=$B38,Data!J38,NA())</f>
        <v>30</v>
      </c>
      <c r="M38" s="10">
        <f ca="1">IF(CFDTable[[#This Row],[Done]]&gt;0,(CFDTable[[#This Row],[Done]])-(L37),0)</f>
        <v>0</v>
      </c>
      <c r="N38" s="10">
        <f ca="1">IF(ISNUMBER($M38),SUM(CFDTable[[#This Row],[Done]]),IF(CFDTable[[#This Row],[lookupLow]]&gt;=CFDTable[[#This Row],[FutureWork2]]+CFDTable[[#This Row],[lowDaily]],NA(),CFDTable[[#This Row],[lookupLow]]))</f>
        <v>30</v>
      </c>
      <c r="O38" s="10">
        <f ca="1">IF(ISNUMBER($M38),SUM(CFDTable[[#This Row],[Done]]),IF(CFDTable[[#This Row],[lookupMedian]]&gt;=CFDTable[[#This Row],[FutureWork2]],NA(),CFDTable[[#This Row],[lookupMedian]]))</f>
        <v>30</v>
      </c>
      <c r="P38" s="10">
        <f ca="1">IF(ISNUMBER(CFDTable[[#This Row],[Done Today]]),SUM(CFDTable[[#This Row],[Done]]),IF(CFDTable[[#This Row],[lookupHigh]]&gt;=CFDTable[[#This Row],[FutureWork2]]+CFDTable[[#This Row],[highDaily]],NA(),CFDTable[[#This Row],[lookupHigh]]))</f>
        <v>30</v>
      </c>
      <c r="Q38" s="10">
        <f ca="1">CFDTable[[#This Row],[AvgDaily]]-CFDTable[[#This Row],[Deviation]]</f>
        <v>0.8571428571428571</v>
      </c>
      <c r="R38" s="10">
        <f ca="1">AVERAGE(IF(ISNUMBER(M38),IF(ISNUMBER(OFFSET(M38,-Historic,0)),OFFSET(M38,-Historic,0),M$2):M38,R37))</f>
        <v>1</v>
      </c>
      <c r="S38" s="10">
        <f ca="1">AVERAGE(IF(ISNUMBER(M38),IF(ISNUMBER(OFFSET(M38,-Historic,0)),OFFSET(M38,-Historic,0),M$2):M38,S37))</f>
        <v>1</v>
      </c>
      <c r="T38" s="10">
        <f ca="1">AVERAGE(IF(ISNUMBER(M38),OFFSET(M$2,DaysToIgnoreOnAvg,0):M38,T37))</f>
        <v>0.8</v>
      </c>
      <c r="U38" s="10">
        <f ca="1">CFDTable[[#This Row],[AvgDaily]]+CFDTable[[#This Row],[Deviation]]</f>
        <v>1.1428571428571428</v>
      </c>
      <c r="V38" s="10">
        <f ca="1">IF(ISNUMBER(M38),((_xlfn.PERCENTILE.INC(IF(ISNUMBER(OFFSET(R38,-Historic,0)),OFFSET(R38,-Historic,0),R$2):R38,PercentileHigh/100))-(MEDIAN(IF(ISNUMBER(OFFSET(R38,-Historic,0)),OFFSET(R38,-Historic,0),R$2):R38))),V37)</f>
        <v>0.1428571428571429</v>
      </c>
      <c r="W38" s="10">
        <f ca="1">IF(ISNUMBER(M38),((_xlfn.PERCENTILE.INC(R$2:R38,PercentileHigh/100))-(MEDIAN(R$2:R38))),V37)</f>
        <v>0.19047619047619047</v>
      </c>
      <c r="X38" s="10">
        <f ca="1">(SUM(CFDTable[[#This Row],[To Do]:[Done]])-SUM(G37:L37))</f>
        <v>0</v>
      </c>
      <c r="Y38" s="10">
        <f ca="1">AVERAGE(IF(ISNUMBER(X38),IF(ISNUMBER(OFFSET(X38,-Historic,0)),OFFSET(X38,-Historic,0),X$2):X38,Y37))</f>
        <v>3.0952380952380953</v>
      </c>
      <c r="Z38" s="10">
        <f ca="1">IF(ISNUMBER(CFDTable[[#This Row],[Done Today]]),SUM($G38:$L38),Z37+CFDTable[[#This Row],[avg added]])</f>
        <v>86</v>
      </c>
      <c r="AA38" s="10">
        <f ca="1">IF(ISNUMBER(CFDTable[[#This Row],[Done Today]]),SUM($G38:$L38),$AA37)</f>
        <v>86</v>
      </c>
      <c r="AB38" s="10">
        <f ca="1">IF(ISNUMBER(CFDTable[[#This Row],[Done Today]]),SUM($G38:$L38),$AB37)</f>
        <v>86</v>
      </c>
      <c r="AC38" s="10">
        <f ca="1">SUM(LOOKUP(2,1/(N$1:N37&lt;&gt;""),N$1:N37)+CFDTable[[#This Row],[lowDaily]])</f>
        <v>30.857142857142858</v>
      </c>
      <c r="AD38" s="10">
        <f ca="1">SUM(LOOKUP(2,1/(O$1:O37&lt;&gt;""),O$1:O37)+R38)</f>
        <v>31</v>
      </c>
      <c r="AE38" s="10">
        <f ca="1">SUM(LOOKUP(2,1/(P$1:P37&lt;&gt;""),P$1:P37)+CFDTable[[#This Row],[highDaily]])</f>
        <v>31.142857142857142</v>
      </c>
      <c r="AF38" s="12">
        <f>IF(CFDTable[[#This Row],[Date]]=DeadlineDate,CFDTable[[#This Row],[FutureWork2]],0)</f>
        <v>0</v>
      </c>
    </row>
    <row r="39" spans="1:32">
      <c r="A39" s="8">
        <f>CFDTable[[#This Row],[Date]]</f>
        <v>42461</v>
      </c>
      <c r="B39" s="9">
        <f>Data!B39</f>
        <v>42461</v>
      </c>
      <c r="C39" s="10" t="e">
        <f ca="1">IF(ISNUMBER(CFDTable[[#This Row],[Ready]]),NA(),CFDTable[[#This Row],[Target]]-CFDTable[[#This Row],[To Do]])</f>
        <v>#N/A</v>
      </c>
      <c r="D39" s="10" t="e">
        <f>IF(CFDTable[[#This Row],[Emergence]]&gt;0,CFDTable[[#This Row],[Future Work]]-CFDTable[[#This Row],[Emergence]],NA())</f>
        <v>#N/A</v>
      </c>
      <c r="E39" s="10">
        <f>Data!C39</f>
        <v>0</v>
      </c>
      <c r="F39" s="10">
        <f ca="1">Data!D39</f>
        <v>51</v>
      </c>
      <c r="G39" s="10">
        <f ca="1">Data!E39</f>
        <v>51</v>
      </c>
      <c r="H39" s="10">
        <f ca="1">IF(TodaysDate&gt;=$B39,Data!F39,NA())</f>
        <v>0</v>
      </c>
      <c r="I39" s="10">
        <f ca="1">IF(TodaysDate&gt;=$B39,Data!G39,NA())</f>
        <v>5</v>
      </c>
      <c r="J39" s="10">
        <f ca="1">IF(TodaysDate&gt;=$B39,Data!H39,NA())</f>
        <v>0</v>
      </c>
      <c r="K39" s="10">
        <f ca="1">IF(TodaysDate&gt;=$B39,Data!I39,NA())</f>
        <v>0</v>
      </c>
      <c r="L39" s="10">
        <f ca="1">IF(TodaysDate&gt;=$B39,Data!J39,NA())</f>
        <v>31</v>
      </c>
      <c r="M39" s="10">
        <f ca="1">IF(CFDTable[[#This Row],[Done]]&gt;0,(CFDTable[[#This Row],[Done]])-(L38),0)</f>
        <v>1</v>
      </c>
      <c r="N39" s="10">
        <f ca="1">IF(ISNUMBER($M39),SUM(CFDTable[[#This Row],[Done]]),IF(CFDTable[[#This Row],[lookupLow]]&gt;=CFDTable[[#This Row],[FutureWork2]]+CFDTable[[#This Row],[lowDaily]],NA(),CFDTable[[#This Row],[lookupLow]]))</f>
        <v>31</v>
      </c>
      <c r="O39" s="10">
        <f ca="1">IF(ISNUMBER($M39),SUM(CFDTable[[#This Row],[Done]]),IF(CFDTable[[#This Row],[lookupMedian]]&gt;=CFDTable[[#This Row],[FutureWork2]],NA(),CFDTable[[#This Row],[lookupMedian]]))</f>
        <v>31</v>
      </c>
      <c r="P39" s="10">
        <f ca="1">IF(ISNUMBER(CFDTable[[#This Row],[Done Today]]),SUM(CFDTable[[#This Row],[Done]]),IF(CFDTable[[#This Row],[lookupHigh]]&gt;=CFDTable[[#This Row],[FutureWork2]]+CFDTable[[#This Row],[highDaily]],NA(),CFDTable[[#This Row],[lookupHigh]]))</f>
        <v>31</v>
      </c>
      <c r="Q39" s="10">
        <f ca="1">CFDTable[[#This Row],[AvgDaily]]-CFDTable[[#This Row],[Deviation]]</f>
        <v>0.71428571428571419</v>
      </c>
      <c r="R39" s="10">
        <f ca="1">AVERAGE(IF(ISNUMBER(M39),IF(ISNUMBER(OFFSET(M39,-Historic,0)),OFFSET(M39,-Historic,0),M$2):M39,R38))</f>
        <v>0.8571428571428571</v>
      </c>
      <c r="S39" s="10">
        <f ca="1">AVERAGE(IF(ISNUMBER(M39),IF(ISNUMBER(OFFSET(M39,-Historic,0)),OFFSET(M39,-Historic,0),M$2):M39,S38))</f>
        <v>0.8571428571428571</v>
      </c>
      <c r="T39" s="10">
        <f ca="1">AVERAGE(IF(ISNUMBER(M39),OFFSET(M$2,DaysToIgnoreOnAvg,0):M39,T38))</f>
        <v>0.80555555555555558</v>
      </c>
      <c r="U39" s="10">
        <f ca="1">CFDTable[[#This Row],[AvgDaily]]+CFDTable[[#This Row],[Deviation]]</f>
        <v>1</v>
      </c>
      <c r="V39" s="10">
        <f ca="1">IF(ISNUMBER(M39),((_xlfn.PERCENTILE.INC(IF(ISNUMBER(OFFSET(R39,-Historic,0)),OFFSET(R39,-Historic,0),R$2):R39,PercentileHigh/100))-(MEDIAN(IF(ISNUMBER(OFFSET(R39,-Historic,0)),OFFSET(R39,-Historic,0),R$2):R39))),V38)</f>
        <v>0.1428571428571429</v>
      </c>
      <c r="W39" s="10">
        <f ca="1">IF(ISNUMBER(M39),((_xlfn.PERCENTILE.INC(R$2:R39,PercentileHigh/100))-(MEDIAN(R$2:R39))),V38)</f>
        <v>0.17418546365914789</v>
      </c>
      <c r="X39" s="10">
        <f ca="1">(SUM(CFDTable[[#This Row],[To Do]:[Done]])-SUM(G38:L38))</f>
        <v>1</v>
      </c>
      <c r="Y39" s="10">
        <f ca="1">AVERAGE(IF(ISNUMBER(X39),IF(ISNUMBER(OFFSET(X39,-Historic,0)),OFFSET(X39,-Historic,0),X$2):X39,Y38))</f>
        <v>3.1428571428571428</v>
      </c>
      <c r="Z39" s="10">
        <f ca="1">IF(ISNUMBER(CFDTable[[#This Row],[Done Today]]),SUM($G39:$L39),Z38+CFDTable[[#This Row],[avg added]])</f>
        <v>87</v>
      </c>
      <c r="AA39" s="10">
        <f ca="1">IF(ISNUMBER(CFDTable[[#This Row],[Done Today]]),SUM($G39:$L39),$AA38)</f>
        <v>87</v>
      </c>
      <c r="AB39" s="10">
        <f ca="1">IF(ISNUMBER(CFDTable[[#This Row],[Done Today]]),SUM($G39:$L39),$AB38)</f>
        <v>87</v>
      </c>
      <c r="AC39" s="10">
        <f ca="1">SUM(LOOKUP(2,1/(N$1:N38&lt;&gt;""),N$1:N38)+CFDTable[[#This Row],[lowDaily]])</f>
        <v>30.714285714285715</v>
      </c>
      <c r="AD39" s="10">
        <f ca="1">SUM(LOOKUP(2,1/(O$1:O38&lt;&gt;""),O$1:O38)+R39)</f>
        <v>30.857142857142858</v>
      </c>
      <c r="AE39" s="10">
        <f ca="1">SUM(LOOKUP(2,1/(P$1:P38&lt;&gt;""),P$1:P38)+CFDTable[[#This Row],[highDaily]])</f>
        <v>31</v>
      </c>
      <c r="AF39" s="12">
        <f>IF(CFDTable[[#This Row],[Date]]=DeadlineDate,CFDTable[[#This Row],[FutureWork2]],0)</f>
        <v>0</v>
      </c>
    </row>
    <row r="40" spans="1:32">
      <c r="A40" s="8">
        <f>CFDTable[[#This Row],[Date]]</f>
        <v>42464</v>
      </c>
      <c r="B40" s="9">
        <f>Data!B40</f>
        <v>42464</v>
      </c>
      <c r="C40" s="10" t="e">
        <f ca="1">IF(ISNUMBER(CFDTable[[#This Row],[Ready]]),NA(),CFDTable[[#This Row],[Target]]-CFDTable[[#This Row],[To Do]])</f>
        <v>#N/A</v>
      </c>
      <c r="D40" s="10" t="e">
        <f>IF(CFDTable[[#This Row],[Emergence]]&gt;0,CFDTable[[#This Row],[Future Work]]-CFDTable[[#This Row],[Emergence]],NA())</f>
        <v>#N/A</v>
      </c>
      <c r="E40" s="10">
        <f>Data!C40</f>
        <v>0</v>
      </c>
      <c r="F40" s="10">
        <f ca="1">Data!D40</f>
        <v>51</v>
      </c>
      <c r="G40" s="10">
        <f ca="1">Data!E40</f>
        <v>51</v>
      </c>
      <c r="H40" s="10">
        <f ca="1">IF(TodaysDate&gt;=$B40,Data!F40,NA())</f>
        <v>0</v>
      </c>
      <c r="I40" s="10">
        <f ca="1">IF(TodaysDate&gt;=$B40,Data!G40,NA())</f>
        <v>4</v>
      </c>
      <c r="J40" s="10">
        <f ca="1">IF(TodaysDate&gt;=$B40,Data!H40,NA())</f>
        <v>0</v>
      </c>
      <c r="K40" s="10">
        <f ca="1">IF(TodaysDate&gt;=$B40,Data!I40,NA())</f>
        <v>0</v>
      </c>
      <c r="L40" s="10">
        <f ca="1">IF(TodaysDate&gt;=$B40,Data!J40,NA())</f>
        <v>32</v>
      </c>
      <c r="M40" s="10">
        <f ca="1">IF(CFDTable[[#This Row],[Done]]&gt;0,(CFDTable[[#This Row],[Done]])-(L39),0)</f>
        <v>1</v>
      </c>
      <c r="N40" s="10">
        <f ca="1">IF(ISNUMBER($M40),SUM(CFDTable[[#This Row],[Done]]),IF(CFDTable[[#This Row],[lookupLow]]&gt;=CFDTable[[#This Row],[FutureWork2]]+CFDTable[[#This Row],[lowDaily]],NA(),CFDTable[[#This Row],[lookupLow]]))</f>
        <v>32</v>
      </c>
      <c r="O40" s="10">
        <f ca="1">IF(ISNUMBER($M40),SUM(CFDTable[[#This Row],[Done]]),IF(CFDTable[[#This Row],[lookupMedian]]&gt;=CFDTable[[#This Row],[FutureWork2]],NA(),CFDTable[[#This Row],[lookupMedian]]))</f>
        <v>32</v>
      </c>
      <c r="P40" s="10">
        <f ca="1">IF(ISNUMBER(CFDTable[[#This Row],[Done Today]]),SUM(CFDTable[[#This Row],[Done]]),IF(CFDTable[[#This Row],[lookupHigh]]&gt;=CFDTable[[#This Row],[FutureWork2]]+CFDTable[[#This Row],[highDaily]],NA(),CFDTable[[#This Row],[lookupHigh]]))</f>
        <v>32</v>
      </c>
      <c r="Q40" s="10">
        <f ca="1">CFDTable[[#This Row],[AvgDaily]]-CFDTable[[#This Row],[Deviation]]</f>
        <v>0.76190476190476186</v>
      </c>
      <c r="R40" s="10">
        <f ca="1">AVERAGE(IF(ISNUMBER(M40),IF(ISNUMBER(OFFSET(M40,-Historic,0)),OFFSET(M40,-Historic,0),M$2):M40,R39))</f>
        <v>0.90476190476190477</v>
      </c>
      <c r="S40" s="10">
        <f ca="1">AVERAGE(IF(ISNUMBER(M40),IF(ISNUMBER(OFFSET(M40,-Historic,0)),OFFSET(M40,-Historic,0),M$2):M40,S39))</f>
        <v>0.90476190476190477</v>
      </c>
      <c r="T40" s="10">
        <f ca="1">AVERAGE(IF(ISNUMBER(M40),OFFSET(M$2,DaysToIgnoreOnAvg,0):M40,T39))</f>
        <v>0.81081081081081086</v>
      </c>
      <c r="U40" s="10">
        <f ca="1">CFDTable[[#This Row],[AvgDaily]]+CFDTable[[#This Row],[Deviation]]</f>
        <v>1.0476190476190477</v>
      </c>
      <c r="V40" s="10">
        <f ca="1">IF(ISNUMBER(M40),((_xlfn.PERCENTILE.INC(IF(ISNUMBER(OFFSET(R40,-Historic,0)),OFFSET(R40,-Historic,0),R$2):R40,PercentileHigh/100))-(MEDIAN(IF(ISNUMBER(OFFSET(R40,-Historic,0)),OFFSET(R40,-Historic,0),R$2):R40))),V39)</f>
        <v>0.1428571428571429</v>
      </c>
      <c r="W40" s="10">
        <f ca="1">IF(ISNUMBER(M40),((_xlfn.PERCENTILE.INC(R$2:R40,PercentileHigh/100))-(MEDIAN(R$2:R40))),V39)</f>
        <v>0.15789473684210531</v>
      </c>
      <c r="X40" s="10">
        <f ca="1">(SUM(CFDTable[[#This Row],[To Do]:[Done]])-SUM(G39:L39))</f>
        <v>0</v>
      </c>
      <c r="Y40" s="10">
        <f ca="1">AVERAGE(IF(ISNUMBER(X40),IF(ISNUMBER(OFFSET(X40,-Historic,0)),OFFSET(X40,-Historic,0),X$2):X40,Y39))</f>
        <v>2.4285714285714284</v>
      </c>
      <c r="Z40" s="10">
        <f ca="1">IF(ISNUMBER(CFDTable[[#This Row],[Done Today]]),SUM($G40:$L40),Z39+CFDTable[[#This Row],[avg added]])</f>
        <v>87</v>
      </c>
      <c r="AA40" s="10">
        <f ca="1">IF(ISNUMBER(CFDTable[[#This Row],[Done Today]]),SUM($G40:$L40),$AA39)</f>
        <v>87</v>
      </c>
      <c r="AB40" s="10">
        <f ca="1">IF(ISNUMBER(CFDTable[[#This Row],[Done Today]]),SUM($G40:$L40),$AB39)</f>
        <v>87</v>
      </c>
      <c r="AC40" s="10">
        <f ca="1">SUM(LOOKUP(2,1/(N$1:N39&lt;&gt;""),N$1:N39)+CFDTable[[#This Row],[lowDaily]])</f>
        <v>31.761904761904763</v>
      </c>
      <c r="AD40" s="10">
        <f ca="1">SUM(LOOKUP(2,1/(O$1:O39&lt;&gt;""),O$1:O39)+R40)</f>
        <v>31.904761904761905</v>
      </c>
      <c r="AE40" s="10">
        <f ca="1">SUM(LOOKUP(2,1/(P$1:P39&lt;&gt;""),P$1:P39)+CFDTable[[#This Row],[highDaily]])</f>
        <v>32.047619047619051</v>
      </c>
      <c r="AF40" s="12">
        <f>IF(CFDTable[[#This Row],[Date]]=DeadlineDate,CFDTable[[#This Row],[FutureWork2]],0)</f>
        <v>0</v>
      </c>
    </row>
    <row r="41" spans="1:32">
      <c r="A41" s="8">
        <f>CFDTable[[#This Row],[Date]]</f>
        <v>42465</v>
      </c>
      <c r="B41" s="9">
        <f>Data!B41</f>
        <v>42465</v>
      </c>
      <c r="C41" s="10" t="e">
        <f ca="1">IF(ISNUMBER(CFDTable[[#This Row],[Ready]]),NA(),CFDTable[[#This Row],[Target]]-CFDTable[[#This Row],[To Do]])</f>
        <v>#N/A</v>
      </c>
      <c r="D41" s="10" t="e">
        <f>IF(CFDTable[[#This Row],[Emergence]]&gt;0,CFDTable[[#This Row],[Future Work]]-CFDTable[[#This Row],[Emergence]],NA())</f>
        <v>#N/A</v>
      </c>
      <c r="E41" s="10">
        <f>Data!C41</f>
        <v>0</v>
      </c>
      <c r="F41" s="10">
        <f ca="1">Data!D41</f>
        <v>51</v>
      </c>
      <c r="G41" s="10">
        <f ca="1">Data!E41</f>
        <v>51</v>
      </c>
      <c r="H41" s="10">
        <f ca="1">IF(TodaysDate&gt;=$B41,Data!F41,NA())</f>
        <v>0</v>
      </c>
      <c r="I41" s="10">
        <f ca="1">IF(TodaysDate&gt;=$B41,Data!G41,NA())</f>
        <v>4</v>
      </c>
      <c r="J41" s="10">
        <f ca="1">IF(TodaysDate&gt;=$B41,Data!H41,NA())</f>
        <v>0</v>
      </c>
      <c r="K41" s="10">
        <f ca="1">IF(TodaysDate&gt;=$B41,Data!I41,NA())</f>
        <v>0</v>
      </c>
      <c r="L41" s="10">
        <f ca="1">IF(TodaysDate&gt;=$B41,Data!J41,NA())</f>
        <v>32</v>
      </c>
      <c r="M41" s="10">
        <f ca="1">IF(CFDTable[[#This Row],[Done]]&gt;0,(CFDTable[[#This Row],[Done]])-(L40),0)</f>
        <v>0</v>
      </c>
      <c r="N41" s="10">
        <f ca="1">IF(ISNUMBER($M41),SUM(CFDTable[[#This Row],[Done]]),IF(CFDTable[[#This Row],[lookupLow]]&gt;=CFDTable[[#This Row],[FutureWork2]]+CFDTable[[#This Row],[lowDaily]],NA(),CFDTable[[#This Row],[lookupLow]]))</f>
        <v>32</v>
      </c>
      <c r="O41" s="10">
        <f ca="1">IF(ISNUMBER($M41),SUM(CFDTable[[#This Row],[Done]]),IF(CFDTable[[#This Row],[lookupMedian]]&gt;=CFDTable[[#This Row],[FutureWork2]],NA(),CFDTable[[#This Row],[lookupMedian]]))</f>
        <v>32</v>
      </c>
      <c r="P41" s="10">
        <f ca="1">IF(ISNUMBER(CFDTable[[#This Row],[Done Today]]),SUM(CFDTable[[#This Row],[Done]]),IF(CFDTable[[#This Row],[lookupHigh]]&gt;=CFDTable[[#This Row],[FutureWork2]]+CFDTable[[#This Row],[highDaily]],NA(),CFDTable[[#This Row],[lookupHigh]]))</f>
        <v>32</v>
      </c>
      <c r="Q41" s="10">
        <f ca="1">CFDTable[[#This Row],[AvgDaily]]-CFDTable[[#This Row],[Deviation]]</f>
        <v>0.61904761904761896</v>
      </c>
      <c r="R41" s="10">
        <f ca="1">AVERAGE(IF(ISNUMBER(M41),IF(ISNUMBER(OFFSET(M41,-Historic,0)),OFFSET(M41,-Historic,0),M$2):M41,R40))</f>
        <v>0.76190476190476186</v>
      </c>
      <c r="S41" s="10">
        <f ca="1">AVERAGE(IF(ISNUMBER(M41),IF(ISNUMBER(OFFSET(M41,-Historic,0)),OFFSET(M41,-Historic,0),M$2):M41,S40))</f>
        <v>0.76190476190476186</v>
      </c>
      <c r="T41" s="10">
        <f ca="1">AVERAGE(IF(ISNUMBER(M41),OFFSET(M$2,DaysToIgnoreOnAvg,0):M41,T40))</f>
        <v>0.78947368421052633</v>
      </c>
      <c r="U41" s="10">
        <f ca="1">CFDTable[[#This Row],[AvgDaily]]+CFDTable[[#This Row],[Deviation]]</f>
        <v>0.90476190476190477</v>
      </c>
      <c r="V41" s="10">
        <f ca="1">IF(ISNUMBER(M41),((_xlfn.PERCENTILE.INC(IF(ISNUMBER(OFFSET(R41,-Historic,0)),OFFSET(R41,-Historic,0),R$2):R41,PercentileHigh/100))-(MEDIAN(IF(ISNUMBER(OFFSET(R41,-Historic,0)),OFFSET(R41,-Historic,0),R$2):R41))),V40)</f>
        <v>0.1428571428571429</v>
      </c>
      <c r="W41" s="10">
        <f ca="1">IF(ISNUMBER(M41),((_xlfn.PERCENTILE.INC(R$2:R41,PercentileHigh/100))-(MEDIAN(R$2:R41))),V40)</f>
        <v>0.17418546365914789</v>
      </c>
      <c r="X41" s="10">
        <f ca="1">(SUM(CFDTable[[#This Row],[To Do]:[Done]])-SUM(G40:L40))</f>
        <v>0</v>
      </c>
      <c r="Y41" s="10">
        <f ca="1">AVERAGE(IF(ISNUMBER(X41),IF(ISNUMBER(OFFSET(X41,-Historic,0)),OFFSET(X41,-Historic,0),X$2):X41,Y40))</f>
        <v>2.4285714285714284</v>
      </c>
      <c r="Z41" s="10">
        <f ca="1">IF(ISNUMBER(CFDTable[[#This Row],[Done Today]]),SUM($G41:$L41),Z40+CFDTable[[#This Row],[avg added]])</f>
        <v>87</v>
      </c>
      <c r="AA41" s="10">
        <f ca="1">IF(ISNUMBER(CFDTable[[#This Row],[Done Today]]),SUM($G41:$L41),$AA40)</f>
        <v>87</v>
      </c>
      <c r="AB41" s="10">
        <f ca="1">IF(ISNUMBER(CFDTable[[#This Row],[Done Today]]),SUM($G41:$L41),$AB40)</f>
        <v>87</v>
      </c>
      <c r="AC41" s="10">
        <f ca="1">SUM(LOOKUP(2,1/(N$1:N40&lt;&gt;""),N$1:N40)+CFDTable[[#This Row],[lowDaily]])</f>
        <v>32.61904761904762</v>
      </c>
      <c r="AD41" s="10">
        <f ca="1">SUM(LOOKUP(2,1/(O$1:O40&lt;&gt;""),O$1:O40)+R41)</f>
        <v>32.761904761904759</v>
      </c>
      <c r="AE41" s="10">
        <f ca="1">SUM(LOOKUP(2,1/(P$1:P40&lt;&gt;""),P$1:P40)+CFDTable[[#This Row],[highDaily]])</f>
        <v>32.904761904761905</v>
      </c>
      <c r="AF41" s="12">
        <f>IF(CFDTable[[#This Row],[Date]]=DeadlineDate,CFDTable[[#This Row],[FutureWork2]],0)</f>
        <v>0</v>
      </c>
    </row>
    <row r="42" spans="1:32">
      <c r="A42" s="8">
        <f>CFDTable[[#This Row],[Date]]</f>
        <v>42466</v>
      </c>
      <c r="B42" s="9">
        <f>Data!B42</f>
        <v>42466</v>
      </c>
      <c r="C42" s="10" t="e">
        <f ca="1">IF(ISNUMBER(CFDTable[[#This Row],[Ready]]),NA(),CFDTable[[#This Row],[Target]]-CFDTable[[#This Row],[To Do]])</f>
        <v>#N/A</v>
      </c>
      <c r="D42" s="10" t="e">
        <f>IF(CFDTable[[#This Row],[Emergence]]&gt;0,CFDTable[[#This Row],[Future Work]]-CFDTable[[#This Row],[Emergence]],NA())</f>
        <v>#N/A</v>
      </c>
      <c r="E42" s="10">
        <f>Data!C42</f>
        <v>0</v>
      </c>
      <c r="F42" s="10">
        <f ca="1">Data!D42</f>
        <v>50</v>
      </c>
      <c r="G42" s="10">
        <f ca="1">Data!E42</f>
        <v>50</v>
      </c>
      <c r="H42" s="10">
        <f ca="1">IF(TodaysDate&gt;=$B42,Data!F42,NA())</f>
        <v>0</v>
      </c>
      <c r="I42" s="10">
        <f ca="1">IF(TodaysDate&gt;=$B42,Data!G42,NA())</f>
        <v>3</v>
      </c>
      <c r="J42" s="10">
        <f ca="1">IF(TodaysDate&gt;=$B42,Data!H42,NA())</f>
        <v>0</v>
      </c>
      <c r="K42" s="10">
        <f ca="1">IF(TodaysDate&gt;=$B42,Data!I42,NA())</f>
        <v>0</v>
      </c>
      <c r="L42" s="10">
        <f ca="1">IF(TodaysDate&gt;=$B42,Data!J42,NA())</f>
        <v>34</v>
      </c>
      <c r="M42" s="10">
        <f ca="1">IF(CFDTable[[#This Row],[Done]]&gt;0,(CFDTable[[#This Row],[Done]])-(L41),0)</f>
        <v>2</v>
      </c>
      <c r="N42" s="10">
        <f ca="1">IF(ISNUMBER($M42),SUM(CFDTable[[#This Row],[Done]]),IF(CFDTable[[#This Row],[lookupLow]]&gt;=CFDTable[[#This Row],[FutureWork2]]+CFDTable[[#This Row],[lowDaily]],NA(),CFDTable[[#This Row],[lookupLow]]))</f>
        <v>34</v>
      </c>
      <c r="O42" s="10">
        <f ca="1">IF(ISNUMBER($M42),SUM(CFDTable[[#This Row],[Done]]),IF(CFDTable[[#This Row],[lookupMedian]]&gt;=CFDTable[[#This Row],[FutureWork2]],NA(),CFDTable[[#This Row],[lookupMedian]]))</f>
        <v>34</v>
      </c>
      <c r="P42" s="10">
        <f ca="1">IF(ISNUMBER(CFDTable[[#This Row],[Done Today]]),SUM(CFDTable[[#This Row],[Done]]),IF(CFDTable[[#This Row],[lookupHigh]]&gt;=CFDTable[[#This Row],[FutureWork2]]+CFDTable[[#This Row],[highDaily]],NA(),CFDTable[[#This Row],[lookupHigh]]))</f>
        <v>34</v>
      </c>
      <c r="Q42" s="10">
        <f ca="1">CFDTable[[#This Row],[AvgDaily]]-CFDTable[[#This Row],[Deviation]]</f>
        <v>0.71428571428571419</v>
      </c>
      <c r="R42" s="10">
        <f ca="1">AVERAGE(IF(ISNUMBER(M42),IF(ISNUMBER(OFFSET(M42,-Historic,0)),OFFSET(M42,-Historic,0),M$2):M42,R41))</f>
        <v>0.8571428571428571</v>
      </c>
      <c r="S42" s="10">
        <f ca="1">AVERAGE(IF(ISNUMBER(M42),IF(ISNUMBER(OFFSET(M42,-Historic,0)),OFFSET(M42,-Historic,0),M$2):M42,S41))</f>
        <v>0.8571428571428571</v>
      </c>
      <c r="T42" s="10">
        <f ca="1">AVERAGE(IF(ISNUMBER(M42),OFFSET(M$2,DaysToIgnoreOnAvg,0):M42,T41))</f>
        <v>0.82051282051282048</v>
      </c>
      <c r="U42" s="10">
        <f ca="1">CFDTable[[#This Row],[AvgDaily]]+CFDTable[[#This Row],[Deviation]]</f>
        <v>1</v>
      </c>
      <c r="V42" s="10">
        <f ca="1">IF(ISNUMBER(M42),((_xlfn.PERCENTILE.INC(IF(ISNUMBER(OFFSET(R42,-Historic,0)),OFFSET(R42,-Historic,0),R$2):R42,PercentileHigh/100))-(MEDIAN(IF(ISNUMBER(OFFSET(R42,-Historic,0)),OFFSET(R42,-Historic,0),R$2):R42))),V41)</f>
        <v>0.1428571428571429</v>
      </c>
      <c r="W42" s="10">
        <f ca="1">IF(ISNUMBER(M42),((_xlfn.PERCENTILE.INC(R$2:R42,PercentileHigh/100))-(MEDIAN(R$2:R42))),V41)</f>
        <v>0.15789473684210531</v>
      </c>
      <c r="X42" s="10">
        <f ca="1">(SUM(CFDTable[[#This Row],[To Do]:[Done]])-SUM(G41:L41))</f>
        <v>0</v>
      </c>
      <c r="Y42" s="10">
        <f ca="1">AVERAGE(IF(ISNUMBER(X42),IF(ISNUMBER(OFFSET(X42,-Historic,0)),OFFSET(X42,-Historic,0),X$2):X42,Y41))</f>
        <v>2.4285714285714284</v>
      </c>
      <c r="Z42" s="10">
        <f ca="1">IF(ISNUMBER(CFDTable[[#This Row],[Done Today]]),SUM($G42:$L42),Z41+CFDTable[[#This Row],[avg added]])</f>
        <v>87</v>
      </c>
      <c r="AA42" s="10">
        <f ca="1">IF(ISNUMBER(CFDTable[[#This Row],[Done Today]]),SUM($G42:$L42),$AA41)</f>
        <v>87</v>
      </c>
      <c r="AB42" s="10">
        <f ca="1">IF(ISNUMBER(CFDTable[[#This Row],[Done Today]]),SUM($G42:$L42),$AB41)</f>
        <v>87</v>
      </c>
      <c r="AC42" s="10">
        <f ca="1">SUM(LOOKUP(2,1/(N$1:N41&lt;&gt;""),N$1:N41)+CFDTable[[#This Row],[lowDaily]])</f>
        <v>32.714285714285715</v>
      </c>
      <c r="AD42" s="10">
        <f ca="1">SUM(LOOKUP(2,1/(O$1:O41&lt;&gt;""),O$1:O41)+R42)</f>
        <v>32.857142857142854</v>
      </c>
      <c r="AE42" s="10">
        <f ca="1">SUM(LOOKUP(2,1/(P$1:P41&lt;&gt;""),P$1:P41)+CFDTable[[#This Row],[highDaily]])</f>
        <v>33</v>
      </c>
      <c r="AF42" s="12">
        <f>IF(CFDTable[[#This Row],[Date]]=DeadlineDate,CFDTable[[#This Row],[FutureWork2]],0)</f>
        <v>0</v>
      </c>
    </row>
    <row r="43" spans="1:32">
      <c r="A43" s="8">
        <f>CFDTable[[#This Row],[Date]]</f>
        <v>42467</v>
      </c>
      <c r="B43" s="9">
        <f>Data!B43</f>
        <v>42467</v>
      </c>
      <c r="C43" s="10" t="e">
        <f ca="1">IF(ISNUMBER(CFDTable[[#This Row],[Ready]]),NA(),CFDTable[[#This Row],[Target]]-CFDTable[[#This Row],[To Do]])</f>
        <v>#N/A</v>
      </c>
      <c r="D43" s="10" t="e">
        <f>IF(CFDTable[[#This Row],[Emergence]]&gt;0,CFDTable[[#This Row],[Future Work]]-CFDTable[[#This Row],[Emergence]],NA())</f>
        <v>#N/A</v>
      </c>
      <c r="E43" s="10">
        <f>Data!C43</f>
        <v>0</v>
      </c>
      <c r="F43" s="10">
        <f ca="1">Data!D43</f>
        <v>49</v>
      </c>
      <c r="G43" s="10">
        <f ca="1">Data!E43</f>
        <v>49</v>
      </c>
      <c r="H43" s="10">
        <f ca="1">IF(TodaysDate&gt;=$B43,Data!F43,NA())</f>
        <v>0</v>
      </c>
      <c r="I43" s="10">
        <f ca="1">IF(TodaysDate&gt;=$B43,Data!G43,NA())</f>
        <v>4</v>
      </c>
      <c r="J43" s="10">
        <f ca="1">IF(TodaysDate&gt;=$B43,Data!H43,NA())</f>
        <v>0</v>
      </c>
      <c r="K43" s="10">
        <f ca="1">IF(TodaysDate&gt;=$B43,Data!I43,NA())</f>
        <v>0</v>
      </c>
      <c r="L43" s="10">
        <f ca="1">IF(TodaysDate&gt;=$B43,Data!J43,NA())</f>
        <v>34</v>
      </c>
      <c r="M43" s="10">
        <f ca="1">IF(CFDTable[[#This Row],[Done]]&gt;0,(CFDTable[[#This Row],[Done]])-(L42),0)</f>
        <v>0</v>
      </c>
      <c r="N43" s="10">
        <f ca="1">IF(ISNUMBER($M43),SUM(CFDTable[[#This Row],[Done]]),IF(CFDTable[[#This Row],[lookupLow]]&gt;=CFDTable[[#This Row],[FutureWork2]]+CFDTable[[#This Row],[lowDaily]],NA(),CFDTable[[#This Row],[lookupLow]]))</f>
        <v>34</v>
      </c>
      <c r="O43" s="10">
        <f ca="1">IF(ISNUMBER($M43),SUM(CFDTable[[#This Row],[Done]]),IF(CFDTable[[#This Row],[lookupMedian]]&gt;=CFDTable[[#This Row],[FutureWork2]],NA(),CFDTable[[#This Row],[lookupMedian]]))</f>
        <v>34</v>
      </c>
      <c r="P43" s="10">
        <f ca="1">IF(ISNUMBER(CFDTable[[#This Row],[Done Today]]),SUM(CFDTable[[#This Row],[Done]]),IF(CFDTable[[#This Row],[lookupHigh]]&gt;=CFDTable[[#This Row],[FutureWork2]]+CFDTable[[#This Row],[highDaily]],NA(),CFDTable[[#This Row],[lookupHigh]]))</f>
        <v>34</v>
      </c>
      <c r="Q43" s="10">
        <f ca="1">CFDTable[[#This Row],[AvgDaily]]-CFDTable[[#This Row],[Deviation]]</f>
        <v>0.61904761904761896</v>
      </c>
      <c r="R43" s="10">
        <f ca="1">AVERAGE(IF(ISNUMBER(M43),IF(ISNUMBER(OFFSET(M43,-Historic,0)),OFFSET(M43,-Historic,0),M$2):M43,R42))</f>
        <v>0.76190476190476186</v>
      </c>
      <c r="S43" s="10">
        <f ca="1">AVERAGE(IF(ISNUMBER(M43),IF(ISNUMBER(OFFSET(M43,-Historic,0)),OFFSET(M43,-Historic,0),M$2):M43,S42))</f>
        <v>0.76190476190476186</v>
      </c>
      <c r="T43" s="10">
        <f ca="1">AVERAGE(IF(ISNUMBER(M43),OFFSET(M$2,DaysToIgnoreOnAvg,0):M43,T42))</f>
        <v>0.8</v>
      </c>
      <c r="U43" s="10">
        <f ca="1">CFDTable[[#This Row],[AvgDaily]]+CFDTable[[#This Row],[Deviation]]</f>
        <v>0.90476190476190477</v>
      </c>
      <c r="V43" s="10">
        <f ca="1">IF(ISNUMBER(M43),((_xlfn.PERCENTILE.INC(IF(ISNUMBER(OFFSET(R43,-Historic,0)),OFFSET(R43,-Historic,0),R$2):R43,PercentileHigh/100))-(MEDIAN(IF(ISNUMBER(OFFSET(R43,-Historic,0)),OFFSET(R43,-Historic,0),R$2):R43))),V42)</f>
        <v>0.1428571428571429</v>
      </c>
      <c r="W43" s="10">
        <f ca="1">IF(ISNUMBER(M43),((_xlfn.PERCENTILE.INC(R$2:R43,PercentileHigh/100))-(MEDIAN(R$2:R43))),V42)</f>
        <v>0.16704260651629077</v>
      </c>
      <c r="X43" s="10">
        <f ca="1">(SUM(CFDTable[[#This Row],[To Do]:[Done]])-SUM(G42:L42))</f>
        <v>0</v>
      </c>
      <c r="Y43" s="10">
        <f ca="1">AVERAGE(IF(ISNUMBER(X43),IF(ISNUMBER(OFFSET(X43,-Historic,0)),OFFSET(X43,-Historic,0),X$2):X43,Y42))</f>
        <v>2.4285714285714284</v>
      </c>
      <c r="Z43" s="10">
        <f ca="1">IF(ISNUMBER(CFDTable[[#This Row],[Done Today]]),SUM($G43:$L43),Z42+CFDTable[[#This Row],[avg added]])</f>
        <v>87</v>
      </c>
      <c r="AA43" s="10">
        <f ca="1">IF(ISNUMBER(CFDTable[[#This Row],[Done Today]]),SUM($G43:$L43),$AA42)</f>
        <v>87</v>
      </c>
      <c r="AB43" s="10">
        <f ca="1">IF(ISNUMBER(CFDTable[[#This Row],[Done Today]]),SUM($G43:$L43),$AB42)</f>
        <v>87</v>
      </c>
      <c r="AC43" s="10">
        <f ca="1">SUM(LOOKUP(2,1/(N$1:N42&lt;&gt;""),N$1:N42)+CFDTable[[#This Row],[lowDaily]])</f>
        <v>34.61904761904762</v>
      </c>
      <c r="AD43" s="10">
        <f ca="1">SUM(LOOKUP(2,1/(O$1:O42&lt;&gt;""),O$1:O42)+R43)</f>
        <v>34.761904761904759</v>
      </c>
      <c r="AE43" s="10">
        <f ca="1">SUM(LOOKUP(2,1/(P$1:P42&lt;&gt;""),P$1:P42)+CFDTable[[#This Row],[highDaily]])</f>
        <v>34.904761904761905</v>
      </c>
      <c r="AF43" s="12">
        <f>IF(CFDTable[[#This Row],[Date]]=DeadlineDate,CFDTable[[#This Row],[FutureWork2]],0)</f>
        <v>0</v>
      </c>
    </row>
    <row r="44" spans="1:32">
      <c r="A44" s="8">
        <f>CFDTable[[#This Row],[Date]]</f>
        <v>42468</v>
      </c>
      <c r="B44" s="9">
        <f>Data!B44</f>
        <v>42468</v>
      </c>
      <c r="C44" s="10" t="e">
        <f ca="1">IF(ISNUMBER(CFDTable[[#This Row],[Ready]]),NA(),CFDTable[[#This Row],[Target]]-CFDTable[[#This Row],[To Do]])</f>
        <v>#N/A</v>
      </c>
      <c r="D44" s="10" t="e">
        <f>IF(CFDTable[[#This Row],[Emergence]]&gt;0,CFDTable[[#This Row],[Future Work]]-CFDTable[[#This Row],[Emergence]],NA())</f>
        <v>#N/A</v>
      </c>
      <c r="E44" s="10">
        <f>Data!C44</f>
        <v>0</v>
      </c>
      <c r="F44" s="10">
        <f ca="1">Data!D44</f>
        <v>49</v>
      </c>
      <c r="G44" s="10">
        <f ca="1">Data!E44</f>
        <v>49</v>
      </c>
      <c r="H44" s="10">
        <f ca="1">IF(TodaysDate&gt;=$B44,Data!F44,NA())</f>
        <v>0</v>
      </c>
      <c r="I44" s="10">
        <f ca="1">IF(TodaysDate&gt;=$B44,Data!G44,NA())</f>
        <v>4</v>
      </c>
      <c r="J44" s="10">
        <f ca="1">IF(TodaysDate&gt;=$B44,Data!H44,NA())</f>
        <v>0</v>
      </c>
      <c r="K44" s="10">
        <f ca="1">IF(TodaysDate&gt;=$B44,Data!I44,NA())</f>
        <v>0</v>
      </c>
      <c r="L44" s="10">
        <f ca="1">IF(TodaysDate&gt;=$B44,Data!J44,NA())</f>
        <v>34</v>
      </c>
      <c r="M44" s="10">
        <f ca="1">IF(CFDTable[[#This Row],[Done]]&gt;0,(CFDTable[[#This Row],[Done]])-(L43),0)</f>
        <v>0</v>
      </c>
      <c r="N44" s="10">
        <f ca="1">IF(ISNUMBER($M44),SUM(CFDTable[[#This Row],[Done]]),IF(CFDTable[[#This Row],[lookupLow]]&gt;=CFDTable[[#This Row],[FutureWork2]]+CFDTable[[#This Row],[lowDaily]],NA(),CFDTable[[#This Row],[lookupLow]]))</f>
        <v>34</v>
      </c>
      <c r="O44" s="10">
        <f ca="1">IF(ISNUMBER($M44),SUM(CFDTable[[#This Row],[Done]]),IF(CFDTable[[#This Row],[lookupMedian]]&gt;=CFDTable[[#This Row],[FutureWork2]],NA(),CFDTable[[#This Row],[lookupMedian]]))</f>
        <v>34</v>
      </c>
      <c r="P44" s="10">
        <f ca="1">IF(ISNUMBER(CFDTable[[#This Row],[Done Today]]),SUM(CFDTable[[#This Row],[Done]]),IF(CFDTable[[#This Row],[lookupHigh]]&gt;=CFDTable[[#This Row],[FutureWork2]]+CFDTable[[#This Row],[highDaily]],NA(),CFDTable[[#This Row],[lookupHigh]]))</f>
        <v>34</v>
      </c>
      <c r="Q44" s="10">
        <f ca="1">CFDTable[[#This Row],[AvgDaily]]-CFDTable[[#This Row],[Deviation]]</f>
        <v>0.5714285714285714</v>
      </c>
      <c r="R44" s="10">
        <f ca="1">AVERAGE(IF(ISNUMBER(M44),IF(ISNUMBER(OFFSET(M44,-Historic,0)),OFFSET(M44,-Historic,0),M$2):M44,R43))</f>
        <v>0.7142857142857143</v>
      </c>
      <c r="S44" s="10">
        <f ca="1">AVERAGE(IF(ISNUMBER(M44),IF(ISNUMBER(OFFSET(M44,-Historic,0)),OFFSET(M44,-Historic,0),M$2):M44,S43))</f>
        <v>0.7142857142857143</v>
      </c>
      <c r="T44" s="10">
        <f ca="1">AVERAGE(IF(ISNUMBER(M44),OFFSET(M$2,DaysToIgnoreOnAvg,0):M44,T43))</f>
        <v>0.78048780487804881</v>
      </c>
      <c r="U44" s="10">
        <f ca="1">CFDTable[[#This Row],[AvgDaily]]+CFDTable[[#This Row],[Deviation]]</f>
        <v>0.85714285714285721</v>
      </c>
      <c r="V44" s="10">
        <f ca="1">IF(ISNUMBER(M44),((_xlfn.PERCENTILE.INC(IF(ISNUMBER(OFFSET(R44,-Historic,0)),OFFSET(R44,-Historic,0),R$2):R44,PercentileHigh/100))-(MEDIAN(IF(ISNUMBER(OFFSET(R44,-Historic,0)),OFFSET(R44,-Historic,0),R$2):R44))),V43)</f>
        <v>0.1428571428571429</v>
      </c>
      <c r="W44" s="10">
        <f ca="1">IF(ISNUMBER(M44),((_xlfn.PERCENTILE.INC(R$2:R44,PercentileHigh/100))-(MEDIAN(R$2:R44))),V43)</f>
        <v>0.17619047619047601</v>
      </c>
      <c r="X44" s="10">
        <f ca="1">(SUM(CFDTable[[#This Row],[To Do]:[Done]])-SUM(G43:L43))</f>
        <v>0</v>
      </c>
      <c r="Y44" s="10">
        <f ca="1">AVERAGE(IF(ISNUMBER(X44),IF(ISNUMBER(OFFSET(X44,-Historic,0)),OFFSET(X44,-Historic,0),X$2):X44,Y43))</f>
        <v>2.4285714285714284</v>
      </c>
      <c r="Z44" s="10">
        <f ca="1">IF(ISNUMBER(CFDTable[[#This Row],[Done Today]]),SUM($G44:$L44),Z43+CFDTable[[#This Row],[avg added]])</f>
        <v>87</v>
      </c>
      <c r="AA44" s="10">
        <f ca="1">IF(ISNUMBER(CFDTable[[#This Row],[Done Today]]),SUM($G44:$L44),$AA43)</f>
        <v>87</v>
      </c>
      <c r="AB44" s="10">
        <f ca="1">IF(ISNUMBER(CFDTable[[#This Row],[Done Today]]),SUM($G44:$L44),$AB43)</f>
        <v>87</v>
      </c>
      <c r="AC44" s="10">
        <f ca="1">SUM(LOOKUP(2,1/(N$1:N43&lt;&gt;""),N$1:N43)+CFDTable[[#This Row],[lowDaily]])</f>
        <v>34.571428571428569</v>
      </c>
      <c r="AD44" s="10">
        <f ca="1">SUM(LOOKUP(2,1/(O$1:O43&lt;&gt;""),O$1:O43)+R44)</f>
        <v>34.714285714285715</v>
      </c>
      <c r="AE44" s="10">
        <f ca="1">SUM(LOOKUP(2,1/(P$1:P43&lt;&gt;""),P$1:P43)+CFDTable[[#This Row],[highDaily]])</f>
        <v>34.857142857142854</v>
      </c>
      <c r="AF44" s="12">
        <f>IF(CFDTable[[#This Row],[Date]]=DeadlineDate,CFDTable[[#This Row],[FutureWork2]],0)</f>
        <v>0</v>
      </c>
    </row>
    <row r="45" spans="1:32">
      <c r="A45" s="8">
        <f>CFDTable[[#This Row],[Date]]</f>
        <v>42471</v>
      </c>
      <c r="B45" s="9">
        <f>Data!B45</f>
        <v>42471</v>
      </c>
      <c r="C45" s="10" t="e">
        <f ca="1">IF(ISNUMBER(CFDTable[[#This Row],[Ready]]),NA(),CFDTable[[#This Row],[Target]]-CFDTable[[#This Row],[To Do]])</f>
        <v>#N/A</v>
      </c>
      <c r="D45" s="10" t="e">
        <f>IF(CFDTable[[#This Row],[Emergence]]&gt;0,CFDTable[[#This Row],[Future Work]]-CFDTable[[#This Row],[Emergence]],NA())</f>
        <v>#N/A</v>
      </c>
      <c r="E45" s="10">
        <f>Data!C45</f>
        <v>0</v>
      </c>
      <c r="F45" s="10">
        <f ca="1">Data!D45</f>
        <v>48</v>
      </c>
      <c r="G45" s="10">
        <f ca="1">Data!E45</f>
        <v>48</v>
      </c>
      <c r="H45" s="10">
        <f ca="1">IF(TodaysDate&gt;=$B45,Data!F45,NA())</f>
        <v>0</v>
      </c>
      <c r="I45" s="10">
        <f ca="1">IF(TodaysDate&gt;=$B45,Data!G45,NA())</f>
        <v>5</v>
      </c>
      <c r="J45" s="10">
        <f ca="1">IF(TodaysDate&gt;=$B45,Data!H45,NA())</f>
        <v>0</v>
      </c>
      <c r="K45" s="10">
        <f ca="1">IF(TodaysDate&gt;=$B45,Data!I45,NA())</f>
        <v>0</v>
      </c>
      <c r="L45" s="10">
        <f ca="1">IF(TodaysDate&gt;=$B45,Data!J45,NA())</f>
        <v>36</v>
      </c>
      <c r="M45" s="10">
        <f ca="1">IF(CFDTable[[#This Row],[Done]]&gt;0,(CFDTable[[#This Row],[Done]])-(L44),0)</f>
        <v>2</v>
      </c>
      <c r="N45" s="10">
        <f ca="1">IF(ISNUMBER($M45),SUM(CFDTable[[#This Row],[Done]]),IF(CFDTable[[#This Row],[lookupLow]]&gt;=CFDTable[[#This Row],[FutureWork2]]+CFDTable[[#This Row],[lowDaily]],NA(),CFDTable[[#This Row],[lookupLow]]))</f>
        <v>36</v>
      </c>
      <c r="O45" s="10">
        <f ca="1">IF(ISNUMBER($M45),SUM(CFDTable[[#This Row],[Done]]),IF(CFDTable[[#This Row],[lookupMedian]]&gt;=CFDTable[[#This Row],[FutureWork2]],NA(),CFDTable[[#This Row],[lookupMedian]]))</f>
        <v>36</v>
      </c>
      <c r="P45" s="10">
        <f ca="1">IF(ISNUMBER(CFDTable[[#This Row],[Done Today]]),SUM(CFDTable[[#This Row],[Done]]),IF(CFDTable[[#This Row],[lookupHigh]]&gt;=CFDTable[[#This Row],[FutureWork2]]+CFDTable[[#This Row],[highDaily]],NA(),CFDTable[[#This Row],[lookupHigh]]))</f>
        <v>36</v>
      </c>
      <c r="Q45" s="10">
        <f ca="1">CFDTable[[#This Row],[AvgDaily]]-CFDTable[[#This Row],[Deviation]]</f>
        <v>0.66666666666666663</v>
      </c>
      <c r="R45" s="10">
        <f ca="1">AVERAGE(IF(ISNUMBER(M45),IF(ISNUMBER(OFFSET(M45,-Historic,0)),OFFSET(M45,-Historic,0),M$2):M45,R44))</f>
        <v>0.80952380952380953</v>
      </c>
      <c r="S45" s="10">
        <f ca="1">AVERAGE(IF(ISNUMBER(M45),IF(ISNUMBER(OFFSET(M45,-Historic,0)),OFFSET(M45,-Historic,0),M$2):M45,S44))</f>
        <v>0.80952380952380953</v>
      </c>
      <c r="T45" s="10">
        <f ca="1">AVERAGE(IF(ISNUMBER(M45),OFFSET(M$2,DaysToIgnoreOnAvg,0):M45,T44))</f>
        <v>0.80952380952380953</v>
      </c>
      <c r="U45" s="10">
        <f ca="1">CFDTable[[#This Row],[AvgDaily]]+CFDTable[[#This Row],[Deviation]]</f>
        <v>0.95238095238095244</v>
      </c>
      <c r="V45" s="10">
        <f ca="1">IF(ISNUMBER(M45),((_xlfn.PERCENTILE.INC(IF(ISNUMBER(OFFSET(R45,-Historic,0)),OFFSET(R45,-Historic,0),R$2):R45,PercentileHigh/100))-(MEDIAN(IF(ISNUMBER(OFFSET(R45,-Historic,0)),OFFSET(R45,-Historic,0),R$2):R45))),V44)</f>
        <v>0.1428571428571429</v>
      </c>
      <c r="W45" s="10">
        <f ca="1">IF(ISNUMBER(M45),((_xlfn.PERCENTILE.INC(R$2:R45,PercentileHigh/100))-(MEDIAN(R$2:R45))),V44)</f>
        <v>0.16904761904761889</v>
      </c>
      <c r="X45" s="10">
        <f ca="1">(SUM(CFDTable[[#This Row],[To Do]:[Done]])-SUM(G44:L44))</f>
        <v>2</v>
      </c>
      <c r="Y45" s="10">
        <f ca="1">AVERAGE(IF(ISNUMBER(X45),IF(ISNUMBER(OFFSET(X45,-Historic,0)),OFFSET(X45,-Historic,0),X$2):X45,Y44))</f>
        <v>0.47619047619047616</v>
      </c>
      <c r="Z45" s="10">
        <f ca="1">IF(ISNUMBER(CFDTable[[#This Row],[Done Today]]),SUM($G45:$L45),Z44+CFDTable[[#This Row],[avg added]])</f>
        <v>89</v>
      </c>
      <c r="AA45" s="10">
        <f ca="1">IF(ISNUMBER(CFDTable[[#This Row],[Done Today]]),SUM($G45:$L45),$AA44)</f>
        <v>89</v>
      </c>
      <c r="AB45" s="10">
        <f ca="1">IF(ISNUMBER(CFDTable[[#This Row],[Done Today]]),SUM($G45:$L45),$AB44)</f>
        <v>89</v>
      </c>
      <c r="AC45" s="10">
        <f ca="1">SUM(LOOKUP(2,1/(N$1:N44&lt;&gt;""),N$1:N44)+CFDTable[[#This Row],[lowDaily]])</f>
        <v>34.666666666666664</v>
      </c>
      <c r="AD45" s="10">
        <f ca="1">SUM(LOOKUP(2,1/(O$1:O44&lt;&gt;""),O$1:O44)+R45)</f>
        <v>34.80952380952381</v>
      </c>
      <c r="AE45" s="10">
        <f ca="1">SUM(LOOKUP(2,1/(P$1:P44&lt;&gt;""),P$1:P44)+CFDTable[[#This Row],[highDaily]])</f>
        <v>34.952380952380949</v>
      </c>
      <c r="AF45" s="12">
        <f>IF(CFDTable[[#This Row],[Date]]=DeadlineDate,CFDTable[[#This Row],[FutureWork2]],0)</f>
        <v>0</v>
      </c>
    </row>
    <row r="46" spans="1:32">
      <c r="A46" s="8">
        <f>CFDTable[[#This Row],[Date]]</f>
        <v>42472</v>
      </c>
      <c r="B46" s="9">
        <f>Data!B46</f>
        <v>42472</v>
      </c>
      <c r="C46" s="10" t="e">
        <f ca="1">IF(ISNUMBER(CFDTable[[#This Row],[Ready]]),NA(),CFDTable[[#This Row],[Target]]-CFDTable[[#This Row],[To Do]])</f>
        <v>#N/A</v>
      </c>
      <c r="D46" s="10" t="e">
        <f>IF(CFDTable[[#This Row],[Emergence]]&gt;0,CFDTable[[#This Row],[Future Work]]-CFDTable[[#This Row],[Emergence]],NA())</f>
        <v>#N/A</v>
      </c>
      <c r="E46" s="10">
        <f>Data!C46</f>
        <v>0</v>
      </c>
      <c r="F46" s="10">
        <f ca="1">Data!D46</f>
        <v>45</v>
      </c>
      <c r="G46" s="10">
        <f ca="1">Data!E46</f>
        <v>45</v>
      </c>
      <c r="H46" s="10">
        <f ca="1">IF(TodaysDate&gt;=$B46,Data!F46,NA())</f>
        <v>0</v>
      </c>
      <c r="I46" s="10">
        <f ca="1">IF(TodaysDate&gt;=$B46,Data!G46,NA())</f>
        <v>8</v>
      </c>
      <c r="J46" s="10">
        <f ca="1">IF(TodaysDate&gt;=$B46,Data!H46,NA())</f>
        <v>0</v>
      </c>
      <c r="K46" s="10">
        <f ca="1">IF(TodaysDate&gt;=$B46,Data!I46,NA())</f>
        <v>0</v>
      </c>
      <c r="L46" s="10">
        <f ca="1">IF(TodaysDate&gt;=$B46,Data!J46,NA())</f>
        <v>36</v>
      </c>
      <c r="M46" s="10">
        <f ca="1">IF(CFDTable[[#This Row],[Done]]&gt;0,(CFDTable[[#This Row],[Done]])-(L45),0)</f>
        <v>0</v>
      </c>
      <c r="N46" s="10">
        <f ca="1">IF(ISNUMBER($M46),SUM(CFDTable[[#This Row],[Done]]),IF(CFDTable[[#This Row],[lookupLow]]&gt;=CFDTable[[#This Row],[FutureWork2]]+CFDTable[[#This Row],[lowDaily]],NA(),CFDTable[[#This Row],[lookupLow]]))</f>
        <v>36</v>
      </c>
      <c r="O46" s="10">
        <f ca="1">IF(ISNUMBER($M46),SUM(CFDTable[[#This Row],[Done]]),IF(CFDTable[[#This Row],[lookupMedian]]&gt;=CFDTable[[#This Row],[FutureWork2]],NA(),CFDTable[[#This Row],[lookupMedian]]))</f>
        <v>36</v>
      </c>
      <c r="P46" s="10">
        <f ca="1">IF(ISNUMBER(CFDTable[[#This Row],[Done Today]]),SUM(CFDTable[[#This Row],[Done]]),IF(CFDTable[[#This Row],[lookupHigh]]&gt;=CFDTable[[#This Row],[FutureWork2]]+CFDTable[[#This Row],[highDaily]],NA(),CFDTable[[#This Row],[lookupHigh]]))</f>
        <v>36</v>
      </c>
      <c r="Q46" s="10">
        <f ca="1">CFDTable[[#This Row],[AvgDaily]]-CFDTable[[#This Row],[Deviation]]</f>
        <v>0.61904761904761896</v>
      </c>
      <c r="R46" s="10">
        <f ca="1">AVERAGE(IF(ISNUMBER(M46),IF(ISNUMBER(OFFSET(M46,-Historic,0)),OFFSET(M46,-Historic,0),M$2):M46,R45))</f>
        <v>0.76190476190476186</v>
      </c>
      <c r="S46" s="10">
        <f ca="1">AVERAGE(IF(ISNUMBER(M46),IF(ISNUMBER(OFFSET(M46,-Historic,0)),OFFSET(M46,-Historic,0),M$2):M46,S45))</f>
        <v>0.76190476190476186</v>
      </c>
      <c r="T46" s="10">
        <f ca="1">AVERAGE(IF(ISNUMBER(M46),OFFSET(M$2,DaysToIgnoreOnAvg,0):M46,T45))</f>
        <v>0.79069767441860461</v>
      </c>
      <c r="U46" s="10">
        <f ca="1">CFDTable[[#This Row],[AvgDaily]]+CFDTable[[#This Row],[Deviation]]</f>
        <v>0.90476190476190477</v>
      </c>
      <c r="V46" s="10">
        <f ca="1">IF(ISNUMBER(M46),((_xlfn.PERCENTILE.INC(IF(ISNUMBER(OFFSET(R46,-Historic,0)),OFFSET(R46,-Historic,0),R$2):R46,PercentileHigh/100))-(MEDIAN(IF(ISNUMBER(OFFSET(R46,-Historic,0)),OFFSET(R46,-Historic,0),R$2):R46))),V45)</f>
        <v>0.1428571428571429</v>
      </c>
      <c r="W46" s="10">
        <f ca="1">IF(ISNUMBER(M46),((_xlfn.PERCENTILE.INC(R$2:R46,PercentileHigh/100))-(MEDIAN(R$2:R46))),V45)</f>
        <v>0.16190476190476177</v>
      </c>
      <c r="X46" s="10">
        <f ca="1">(SUM(CFDTable[[#This Row],[To Do]:[Done]])-SUM(G45:L45))</f>
        <v>0</v>
      </c>
      <c r="Y46" s="10">
        <f ca="1">AVERAGE(IF(ISNUMBER(X46),IF(ISNUMBER(OFFSET(X46,-Historic,0)),OFFSET(X46,-Historic,0),X$2):X46,Y45))</f>
        <v>0.33333333333333331</v>
      </c>
      <c r="Z46" s="10">
        <f ca="1">IF(ISNUMBER(CFDTable[[#This Row],[Done Today]]),SUM($G46:$L46),Z45+CFDTable[[#This Row],[avg added]])</f>
        <v>89</v>
      </c>
      <c r="AA46" s="10">
        <f ca="1">IF(ISNUMBER(CFDTable[[#This Row],[Done Today]]),SUM($G46:$L46),$AA45)</f>
        <v>89</v>
      </c>
      <c r="AB46" s="10">
        <f ca="1">IF(ISNUMBER(CFDTable[[#This Row],[Done Today]]),SUM($G46:$L46),$AB45)</f>
        <v>89</v>
      </c>
      <c r="AC46" s="10">
        <f ca="1">SUM(LOOKUP(2,1/(N$1:N45&lt;&gt;""),N$1:N45)+CFDTable[[#This Row],[lowDaily]])</f>
        <v>36.61904761904762</v>
      </c>
      <c r="AD46" s="10">
        <f ca="1">SUM(LOOKUP(2,1/(O$1:O45&lt;&gt;""),O$1:O45)+R46)</f>
        <v>36.761904761904759</v>
      </c>
      <c r="AE46" s="10">
        <f ca="1">SUM(LOOKUP(2,1/(P$1:P45&lt;&gt;""),P$1:P45)+CFDTable[[#This Row],[highDaily]])</f>
        <v>36.904761904761905</v>
      </c>
      <c r="AF46" s="12">
        <f>IF(CFDTable[[#This Row],[Date]]=DeadlineDate,CFDTable[[#This Row],[FutureWork2]],0)</f>
        <v>0</v>
      </c>
    </row>
    <row r="47" spans="1:32">
      <c r="A47" s="8">
        <f>CFDTable[[#This Row],[Date]]</f>
        <v>42473</v>
      </c>
      <c r="B47" s="9">
        <f>Data!B47</f>
        <v>42473</v>
      </c>
      <c r="C47" s="10" t="e">
        <f ca="1">IF(ISNUMBER(CFDTable[[#This Row],[Ready]]),NA(),CFDTable[[#This Row],[Target]]-CFDTable[[#This Row],[To Do]])</f>
        <v>#N/A</v>
      </c>
      <c r="D47" s="10" t="e">
        <f>IF(CFDTable[[#This Row],[Emergence]]&gt;0,CFDTable[[#This Row],[Future Work]]-CFDTable[[#This Row],[Emergence]],NA())</f>
        <v>#N/A</v>
      </c>
      <c r="E47" s="10">
        <f>Data!C47</f>
        <v>0</v>
      </c>
      <c r="F47" s="10">
        <f ca="1">Data!D47</f>
        <v>45</v>
      </c>
      <c r="G47" s="10">
        <f ca="1">Data!E47</f>
        <v>45</v>
      </c>
      <c r="H47" s="10">
        <f ca="1">IF(TodaysDate&gt;=$B47,Data!F47,NA())</f>
        <v>0</v>
      </c>
      <c r="I47" s="10">
        <f ca="1">IF(TodaysDate&gt;=$B47,Data!G47,NA())</f>
        <v>7</v>
      </c>
      <c r="J47" s="10">
        <f ca="1">IF(TodaysDate&gt;=$B47,Data!H47,NA())</f>
        <v>0</v>
      </c>
      <c r="K47" s="10">
        <f ca="1">IF(TodaysDate&gt;=$B47,Data!I47,NA())</f>
        <v>1</v>
      </c>
      <c r="L47" s="10">
        <f ca="1">IF(TodaysDate&gt;=$B47,Data!J47,NA())</f>
        <v>36</v>
      </c>
      <c r="M47" s="10">
        <f ca="1">IF(CFDTable[[#This Row],[Done]]&gt;0,(CFDTable[[#This Row],[Done]])-(L46),0)</f>
        <v>0</v>
      </c>
      <c r="N47" s="10">
        <f ca="1">IF(ISNUMBER($M47),SUM(CFDTable[[#This Row],[Done]]),IF(CFDTable[[#This Row],[lookupLow]]&gt;=CFDTable[[#This Row],[FutureWork2]]+CFDTable[[#This Row],[lowDaily]],NA(),CFDTable[[#This Row],[lookupLow]]))</f>
        <v>36</v>
      </c>
      <c r="O47" s="10">
        <f ca="1">IF(ISNUMBER($M47),SUM(CFDTable[[#This Row],[Done]]),IF(CFDTable[[#This Row],[lookupMedian]]&gt;=CFDTable[[#This Row],[FutureWork2]],NA(),CFDTable[[#This Row],[lookupMedian]]))</f>
        <v>36</v>
      </c>
      <c r="P47" s="10">
        <f ca="1">IF(ISNUMBER(CFDTable[[#This Row],[Done Today]]),SUM(CFDTable[[#This Row],[Done]]),IF(CFDTable[[#This Row],[lookupHigh]]&gt;=CFDTable[[#This Row],[FutureWork2]]+CFDTable[[#This Row],[highDaily]],NA(),CFDTable[[#This Row],[lookupHigh]]))</f>
        <v>36</v>
      </c>
      <c r="Q47" s="10">
        <f ca="1">CFDTable[[#This Row],[AvgDaily]]-CFDTable[[#This Row],[Deviation]]</f>
        <v>0.61904761904761896</v>
      </c>
      <c r="R47" s="10">
        <f ca="1">AVERAGE(IF(ISNUMBER(M47),IF(ISNUMBER(OFFSET(M47,-Historic,0)),OFFSET(M47,-Historic,0),M$2):M47,R46))</f>
        <v>0.76190476190476186</v>
      </c>
      <c r="S47" s="10">
        <f ca="1">AVERAGE(IF(ISNUMBER(M47),IF(ISNUMBER(OFFSET(M47,-Historic,0)),OFFSET(M47,-Historic,0),M$2):M47,S46))</f>
        <v>0.76190476190476186</v>
      </c>
      <c r="T47" s="10">
        <f ca="1">AVERAGE(IF(ISNUMBER(M47),OFFSET(M$2,DaysToIgnoreOnAvg,0):M47,T46))</f>
        <v>0.77272727272727271</v>
      </c>
      <c r="U47" s="10">
        <f ca="1">CFDTable[[#This Row],[AvgDaily]]+CFDTable[[#This Row],[Deviation]]</f>
        <v>0.90476190476190477</v>
      </c>
      <c r="V47" s="10">
        <f ca="1">IF(ISNUMBER(M47),((_xlfn.PERCENTILE.INC(IF(ISNUMBER(OFFSET(R47,-Historic,0)),OFFSET(R47,-Historic,0),R$2):R47,PercentileHigh/100))-(MEDIAN(IF(ISNUMBER(OFFSET(R47,-Historic,0)),OFFSET(R47,-Historic,0),R$2):R47))),V46)</f>
        <v>0.1428571428571429</v>
      </c>
      <c r="W47" s="10">
        <f ca="1">IF(ISNUMBER(M47),((_xlfn.PERCENTILE.INC(R$2:R47,PercentileHigh/100))-(MEDIAN(R$2:R47))),V46)</f>
        <v>0.1595238095238094</v>
      </c>
      <c r="X47" s="10">
        <f ca="1">(SUM(CFDTable[[#This Row],[To Do]:[Done]])-SUM(G46:L46))</f>
        <v>0</v>
      </c>
      <c r="Y47" s="10">
        <f ca="1">AVERAGE(IF(ISNUMBER(X47),IF(ISNUMBER(OFFSET(X47,-Historic,0)),OFFSET(X47,-Historic,0),X$2):X47,Y46))</f>
        <v>0.33333333333333331</v>
      </c>
      <c r="Z47" s="10">
        <f ca="1">IF(ISNUMBER(CFDTable[[#This Row],[Done Today]]),SUM($G47:$L47),Z46+CFDTable[[#This Row],[avg added]])</f>
        <v>89</v>
      </c>
      <c r="AA47" s="10">
        <f ca="1">IF(ISNUMBER(CFDTable[[#This Row],[Done Today]]),SUM($G47:$L47),$AA46)</f>
        <v>89</v>
      </c>
      <c r="AB47" s="10">
        <f ca="1">IF(ISNUMBER(CFDTable[[#This Row],[Done Today]]),SUM($G47:$L47),$AB46)</f>
        <v>89</v>
      </c>
      <c r="AC47" s="10">
        <f ca="1">SUM(LOOKUP(2,1/(N$1:N46&lt;&gt;""),N$1:N46)+CFDTable[[#This Row],[lowDaily]])</f>
        <v>36.61904761904762</v>
      </c>
      <c r="AD47" s="10">
        <f ca="1">SUM(LOOKUP(2,1/(O$1:O46&lt;&gt;""),O$1:O46)+R47)</f>
        <v>36.761904761904759</v>
      </c>
      <c r="AE47" s="10">
        <f ca="1">SUM(LOOKUP(2,1/(P$1:P46&lt;&gt;""),P$1:P46)+CFDTable[[#This Row],[highDaily]])</f>
        <v>36.904761904761905</v>
      </c>
      <c r="AF47" s="12">
        <f>IF(CFDTable[[#This Row],[Date]]=DeadlineDate,CFDTable[[#This Row],[FutureWork2]],0)</f>
        <v>0</v>
      </c>
    </row>
    <row r="48" spans="1:32">
      <c r="A48" s="8">
        <f>CFDTable[[#This Row],[Date]]</f>
        <v>42474</v>
      </c>
      <c r="B48" s="9">
        <f>Data!B48</f>
        <v>42474</v>
      </c>
      <c r="C48" s="10" t="e">
        <f ca="1">IF(ISNUMBER(CFDTable[[#This Row],[Ready]]),NA(),CFDTable[[#This Row],[Target]]-CFDTable[[#This Row],[To Do]])</f>
        <v>#N/A</v>
      </c>
      <c r="D48" s="10" t="e">
        <f>IF(CFDTable[[#This Row],[Emergence]]&gt;0,CFDTable[[#This Row],[Future Work]]-CFDTable[[#This Row],[Emergence]],NA())</f>
        <v>#N/A</v>
      </c>
      <c r="E48" s="10">
        <f>Data!C48</f>
        <v>0</v>
      </c>
      <c r="F48" s="10">
        <f ca="1">Data!D48</f>
        <v>45</v>
      </c>
      <c r="G48" s="10">
        <f ca="1">Data!E48</f>
        <v>45</v>
      </c>
      <c r="H48" s="10">
        <f ca="1">IF(TodaysDate&gt;=$B48,Data!F48,NA())</f>
        <v>0</v>
      </c>
      <c r="I48" s="10">
        <f ca="1">IF(TodaysDate&gt;=$B48,Data!G48,NA())</f>
        <v>9</v>
      </c>
      <c r="J48" s="10">
        <f ca="1">IF(TodaysDate&gt;=$B48,Data!H48,NA())</f>
        <v>0</v>
      </c>
      <c r="K48" s="10">
        <f ca="1">IF(TodaysDate&gt;=$B48,Data!I48,NA())</f>
        <v>1</v>
      </c>
      <c r="L48" s="10">
        <f ca="1">IF(TodaysDate&gt;=$B48,Data!J48,NA())</f>
        <v>36</v>
      </c>
      <c r="M48" s="10">
        <f ca="1">IF(CFDTable[[#This Row],[Done]]&gt;0,(CFDTable[[#This Row],[Done]])-(L47),0)</f>
        <v>0</v>
      </c>
      <c r="N48" s="10">
        <f ca="1">IF(ISNUMBER($M48),SUM(CFDTable[[#This Row],[Done]]),IF(CFDTable[[#This Row],[lookupLow]]&gt;=CFDTable[[#This Row],[FutureWork2]]+CFDTable[[#This Row],[lowDaily]],NA(),CFDTable[[#This Row],[lookupLow]]))</f>
        <v>36</v>
      </c>
      <c r="O48" s="10">
        <f ca="1">IF(ISNUMBER($M48),SUM(CFDTable[[#This Row],[Done]]),IF(CFDTable[[#This Row],[lookupMedian]]&gt;=CFDTable[[#This Row],[FutureWork2]],NA(),CFDTable[[#This Row],[lookupMedian]]))</f>
        <v>36</v>
      </c>
      <c r="P48" s="10">
        <f ca="1">IF(ISNUMBER(CFDTable[[#This Row],[Done Today]]),SUM(CFDTable[[#This Row],[Done]]),IF(CFDTable[[#This Row],[lookupHigh]]&gt;=CFDTable[[#This Row],[FutureWork2]]+CFDTable[[#This Row],[highDaily]],NA(),CFDTable[[#This Row],[lookupHigh]]))</f>
        <v>36</v>
      </c>
      <c r="Q48" s="10">
        <f ca="1">CFDTable[[#This Row],[AvgDaily]]-CFDTable[[#This Row],[Deviation]]</f>
        <v>0.5714285714285714</v>
      </c>
      <c r="R48" s="10">
        <f ca="1">AVERAGE(IF(ISNUMBER(M48),IF(ISNUMBER(OFFSET(M48,-Historic,0)),OFFSET(M48,-Historic,0),M$2):M48,R47))</f>
        <v>0.7142857142857143</v>
      </c>
      <c r="S48" s="10">
        <f ca="1">AVERAGE(IF(ISNUMBER(M48),IF(ISNUMBER(OFFSET(M48,-Historic,0)),OFFSET(M48,-Historic,0),M$2):M48,S47))</f>
        <v>0.7142857142857143</v>
      </c>
      <c r="T48" s="10">
        <f ca="1">AVERAGE(IF(ISNUMBER(M48),OFFSET(M$2,DaysToIgnoreOnAvg,0):M48,T47))</f>
        <v>0.75555555555555554</v>
      </c>
      <c r="U48" s="10">
        <f ca="1">CFDTable[[#This Row],[AvgDaily]]+CFDTable[[#This Row],[Deviation]]</f>
        <v>0.85714285714285721</v>
      </c>
      <c r="V48" s="10">
        <f ca="1">IF(ISNUMBER(M48),((_xlfn.PERCENTILE.INC(IF(ISNUMBER(OFFSET(R48,-Historic,0)),OFFSET(R48,-Historic,0),R$2):R48,PercentileHigh/100))-(MEDIAN(IF(ISNUMBER(OFFSET(R48,-Historic,0)),OFFSET(R48,-Historic,0),R$2):R48))),V47)</f>
        <v>0.1428571428571429</v>
      </c>
      <c r="W48" s="10">
        <f ca="1">IF(ISNUMBER(M48),((_xlfn.PERCENTILE.INC(R$2:R48,PercentileHigh/100))-(MEDIAN(R$2:R48))),V47)</f>
        <v>0.15714285714285714</v>
      </c>
      <c r="X48" s="10">
        <f ca="1">(SUM(CFDTable[[#This Row],[To Do]:[Done]])-SUM(G47:L47))</f>
        <v>2</v>
      </c>
      <c r="Y48" s="10">
        <f ca="1">AVERAGE(IF(ISNUMBER(X48),IF(ISNUMBER(OFFSET(X48,-Historic,0)),OFFSET(X48,-Historic,0),X$2):X48,Y47))</f>
        <v>0.42857142857142855</v>
      </c>
      <c r="Z48" s="10">
        <f ca="1">IF(ISNUMBER(CFDTable[[#This Row],[Done Today]]),SUM($G48:$L48),Z47+CFDTable[[#This Row],[avg added]])</f>
        <v>91</v>
      </c>
      <c r="AA48" s="10">
        <f ca="1">IF(ISNUMBER(CFDTable[[#This Row],[Done Today]]),SUM($G48:$L48),$AA47)</f>
        <v>91</v>
      </c>
      <c r="AB48" s="10">
        <f ca="1">IF(ISNUMBER(CFDTable[[#This Row],[Done Today]]),SUM($G48:$L48),$AB47)</f>
        <v>91</v>
      </c>
      <c r="AC48" s="10">
        <f ca="1">SUM(LOOKUP(2,1/(N$1:N47&lt;&gt;""),N$1:N47)+CFDTable[[#This Row],[lowDaily]])</f>
        <v>36.571428571428569</v>
      </c>
      <c r="AD48" s="10">
        <f ca="1">SUM(LOOKUP(2,1/(O$1:O47&lt;&gt;""),O$1:O47)+R48)</f>
        <v>36.714285714285715</v>
      </c>
      <c r="AE48" s="10">
        <f ca="1">SUM(LOOKUP(2,1/(P$1:P47&lt;&gt;""),P$1:P47)+CFDTable[[#This Row],[highDaily]])</f>
        <v>36.857142857142854</v>
      </c>
      <c r="AF48" s="12">
        <f>IF(CFDTable[[#This Row],[Date]]=DeadlineDate,CFDTable[[#This Row],[FutureWork2]],0)</f>
        <v>0</v>
      </c>
    </row>
    <row r="49" spans="1:32">
      <c r="A49" s="8">
        <f>CFDTable[[#This Row],[Date]]</f>
        <v>42475</v>
      </c>
      <c r="B49" s="9">
        <f>Data!B49</f>
        <v>42475</v>
      </c>
      <c r="C49" s="10" t="e">
        <f ca="1">IF(ISNUMBER(CFDTable[[#This Row],[Ready]]),NA(),CFDTable[[#This Row],[Target]]-CFDTable[[#This Row],[To Do]])</f>
        <v>#N/A</v>
      </c>
      <c r="D49" s="10" t="e">
        <f>IF(CFDTable[[#This Row],[Emergence]]&gt;0,CFDTable[[#This Row],[Future Work]]-CFDTable[[#This Row],[Emergence]],NA())</f>
        <v>#N/A</v>
      </c>
      <c r="E49" s="10">
        <f>Data!C49</f>
        <v>0</v>
      </c>
      <c r="F49" s="10">
        <f ca="1">Data!D49</f>
        <v>45</v>
      </c>
      <c r="G49" s="10">
        <f ca="1">Data!E49</f>
        <v>45</v>
      </c>
      <c r="H49" s="10">
        <f ca="1">IF(TodaysDate&gt;=$B49,Data!F49,NA())</f>
        <v>0</v>
      </c>
      <c r="I49" s="10">
        <f ca="1">IF(TodaysDate&gt;=$B49,Data!G49,NA())</f>
        <v>4</v>
      </c>
      <c r="J49" s="10">
        <f ca="1">IF(TodaysDate&gt;=$B49,Data!H49,NA())</f>
        <v>0</v>
      </c>
      <c r="K49" s="10">
        <f ca="1">IF(TodaysDate&gt;=$B49,Data!I49,NA())</f>
        <v>1</v>
      </c>
      <c r="L49" s="10">
        <f ca="1">IF(TodaysDate&gt;=$B49,Data!J49,NA())</f>
        <v>41</v>
      </c>
      <c r="M49" s="10">
        <f ca="1">IF(CFDTable[[#This Row],[Done]]&gt;0,(CFDTable[[#This Row],[Done]])-(L48),0)</f>
        <v>5</v>
      </c>
      <c r="N49" s="10">
        <f ca="1">IF(ISNUMBER($M49),SUM(CFDTable[[#This Row],[Done]]),IF(CFDTable[[#This Row],[lookupLow]]&gt;=CFDTable[[#This Row],[FutureWork2]]+CFDTable[[#This Row],[lowDaily]],NA(),CFDTable[[#This Row],[lookupLow]]))</f>
        <v>41</v>
      </c>
      <c r="O49" s="10">
        <f ca="1">IF(ISNUMBER($M49),SUM(CFDTable[[#This Row],[Done]]),IF(CFDTable[[#This Row],[lookupMedian]]&gt;=CFDTable[[#This Row],[FutureWork2]],NA(),CFDTable[[#This Row],[lookupMedian]]))</f>
        <v>41</v>
      </c>
      <c r="P49" s="10">
        <f ca="1">IF(ISNUMBER(CFDTable[[#This Row],[Done Today]]),SUM(CFDTable[[#This Row],[Done]]),IF(CFDTable[[#This Row],[lookupHigh]]&gt;=CFDTable[[#This Row],[FutureWork2]]+CFDTable[[#This Row],[highDaily]],NA(),CFDTable[[#This Row],[lookupHigh]]))</f>
        <v>41</v>
      </c>
      <c r="Q49" s="10">
        <f ca="1">CFDTable[[#This Row],[AvgDaily]]-CFDTable[[#This Row],[Deviation]]</f>
        <v>0.80952380952380942</v>
      </c>
      <c r="R49" s="10">
        <f ca="1">AVERAGE(IF(ISNUMBER(M49),IF(ISNUMBER(OFFSET(M49,-Historic,0)),OFFSET(M49,-Historic,0),M$2):M49,R48))</f>
        <v>0.95238095238095233</v>
      </c>
      <c r="S49" s="10">
        <f ca="1">AVERAGE(IF(ISNUMBER(M49),IF(ISNUMBER(OFFSET(M49,-Historic,0)),OFFSET(M49,-Historic,0),M$2):M49,S48))</f>
        <v>0.95238095238095233</v>
      </c>
      <c r="T49" s="10">
        <f ca="1">AVERAGE(IF(ISNUMBER(M49),OFFSET(M$2,DaysToIgnoreOnAvg,0):M49,T48))</f>
        <v>0.84782608695652173</v>
      </c>
      <c r="U49" s="10">
        <f ca="1">CFDTable[[#This Row],[AvgDaily]]+CFDTable[[#This Row],[Deviation]]</f>
        <v>1.0952380952380953</v>
      </c>
      <c r="V49" s="10">
        <f ca="1">IF(ISNUMBER(M49),((_xlfn.PERCENTILE.INC(IF(ISNUMBER(OFFSET(R49,-Historic,0)),OFFSET(R49,-Historic,0),R$2):R49,PercentileHigh/100))-(MEDIAN(IF(ISNUMBER(OFFSET(R49,-Historic,0)),OFFSET(R49,-Historic,0),R$2):R49))),V48)</f>
        <v>0.1428571428571429</v>
      </c>
      <c r="W49" s="10">
        <f ca="1">IF(ISNUMBER(M49),((_xlfn.PERCENTILE.INC(R$2:R49,PercentileHigh/100))-(MEDIAN(R$2:R49))),V48)</f>
        <v>0.14761904761904754</v>
      </c>
      <c r="X49" s="10">
        <f ca="1">(SUM(CFDTable[[#This Row],[To Do]:[Done]])-SUM(G48:L48))</f>
        <v>0</v>
      </c>
      <c r="Y49" s="10">
        <f ca="1">AVERAGE(IF(ISNUMBER(X49),IF(ISNUMBER(OFFSET(X49,-Historic,0)),OFFSET(X49,-Historic,0),X$2):X49,Y48))</f>
        <v>0.33333333333333331</v>
      </c>
      <c r="Z49" s="10">
        <f ca="1">IF(ISNUMBER(CFDTable[[#This Row],[Done Today]]),SUM($G49:$L49),Z48+CFDTable[[#This Row],[avg added]])</f>
        <v>91</v>
      </c>
      <c r="AA49" s="10">
        <f ca="1">IF(ISNUMBER(CFDTable[[#This Row],[Done Today]]),SUM($G49:$L49),$AA48)</f>
        <v>91</v>
      </c>
      <c r="AB49" s="10">
        <f ca="1">IF(ISNUMBER(CFDTable[[#This Row],[Done Today]]),SUM($G49:$L49),$AB48)</f>
        <v>91</v>
      </c>
      <c r="AC49" s="10">
        <f ca="1">SUM(LOOKUP(2,1/(N$1:N48&lt;&gt;""),N$1:N48)+CFDTable[[#This Row],[lowDaily]])</f>
        <v>36.80952380952381</v>
      </c>
      <c r="AD49" s="10">
        <f ca="1">SUM(LOOKUP(2,1/(O$1:O48&lt;&gt;""),O$1:O48)+R49)</f>
        <v>36.952380952380949</v>
      </c>
      <c r="AE49" s="10">
        <f ca="1">SUM(LOOKUP(2,1/(P$1:P48&lt;&gt;""),P$1:P48)+CFDTable[[#This Row],[highDaily]])</f>
        <v>37.095238095238095</v>
      </c>
      <c r="AF49" s="12">
        <f>IF(CFDTable[[#This Row],[Date]]=DeadlineDate,CFDTable[[#This Row],[FutureWork2]],0)</f>
        <v>0</v>
      </c>
    </row>
    <row r="50" spans="1:32">
      <c r="A50" s="8">
        <f>CFDTable[[#This Row],[Date]]</f>
        <v>42478</v>
      </c>
      <c r="B50" s="9">
        <f>Data!B50</f>
        <v>42478</v>
      </c>
      <c r="C50" s="10" t="e">
        <f ca="1">IF(ISNUMBER(CFDTable[[#This Row],[Ready]]),NA(),CFDTable[[#This Row],[Target]]-CFDTable[[#This Row],[To Do]])</f>
        <v>#N/A</v>
      </c>
      <c r="D50" s="10" t="e">
        <f>IF(CFDTable[[#This Row],[Emergence]]&gt;0,CFDTable[[#This Row],[Future Work]]-CFDTable[[#This Row],[Emergence]],NA())</f>
        <v>#N/A</v>
      </c>
      <c r="E50" s="10">
        <f>Data!C50</f>
        <v>0</v>
      </c>
      <c r="F50" s="10">
        <f ca="1">Data!D50</f>
        <v>45</v>
      </c>
      <c r="G50" s="10">
        <f ca="1">Data!E50</f>
        <v>45</v>
      </c>
      <c r="H50" s="10">
        <f ca="1">IF(TodaysDate&gt;=$B50,Data!F50,NA())</f>
        <v>0</v>
      </c>
      <c r="I50" s="10">
        <f ca="1">IF(TodaysDate&gt;=$B50,Data!G50,NA())</f>
        <v>4</v>
      </c>
      <c r="J50" s="10">
        <f ca="1">IF(TodaysDate&gt;=$B50,Data!H50,NA())</f>
        <v>0</v>
      </c>
      <c r="K50" s="10">
        <f ca="1">IF(TodaysDate&gt;=$B50,Data!I50,NA())</f>
        <v>1</v>
      </c>
      <c r="L50" s="10">
        <f ca="1">IF(TodaysDate&gt;=$B50,Data!J50,NA())</f>
        <v>41</v>
      </c>
      <c r="M50" s="10">
        <f ca="1">IF(CFDTable[[#This Row],[Done]]&gt;0,(CFDTable[[#This Row],[Done]])-(L49),0)</f>
        <v>0</v>
      </c>
      <c r="N50" s="10">
        <f ca="1">IF(ISNUMBER($M50),SUM(CFDTable[[#This Row],[Done]]),IF(CFDTable[[#This Row],[lookupLow]]&gt;=CFDTable[[#This Row],[FutureWork2]]+CFDTable[[#This Row],[lowDaily]],NA(),CFDTable[[#This Row],[lookupLow]]))</f>
        <v>41</v>
      </c>
      <c r="O50" s="10">
        <f ca="1">IF(ISNUMBER($M50),SUM(CFDTable[[#This Row],[Done]]),IF(CFDTable[[#This Row],[lookupMedian]]&gt;=CFDTable[[#This Row],[FutureWork2]],NA(),CFDTable[[#This Row],[lookupMedian]]))</f>
        <v>41</v>
      </c>
      <c r="P50" s="10">
        <f ca="1">IF(ISNUMBER(CFDTable[[#This Row],[Done Today]]),SUM(CFDTable[[#This Row],[Done]]),IF(CFDTable[[#This Row],[lookupHigh]]&gt;=CFDTable[[#This Row],[FutureWork2]]+CFDTable[[#This Row],[highDaily]],NA(),CFDTable[[#This Row],[lookupHigh]]))</f>
        <v>41</v>
      </c>
      <c r="Q50" s="10">
        <f ca="1">CFDTable[[#This Row],[AvgDaily]]-CFDTable[[#This Row],[Deviation]]</f>
        <v>0.76190476190476186</v>
      </c>
      <c r="R50" s="10">
        <f ca="1">AVERAGE(IF(ISNUMBER(M50),IF(ISNUMBER(OFFSET(M50,-Historic,0)),OFFSET(M50,-Historic,0),M$2):M50,R49))</f>
        <v>0.90476190476190477</v>
      </c>
      <c r="S50" s="10">
        <f ca="1">AVERAGE(IF(ISNUMBER(M50),IF(ISNUMBER(OFFSET(M50,-Historic,0)),OFFSET(M50,-Historic,0),M$2):M50,S49))</f>
        <v>0.90476190476190477</v>
      </c>
      <c r="T50" s="10">
        <f ca="1">AVERAGE(IF(ISNUMBER(M50),OFFSET(M$2,DaysToIgnoreOnAvg,0):M50,T49))</f>
        <v>0.82978723404255317</v>
      </c>
      <c r="U50" s="10">
        <f ca="1">CFDTable[[#This Row],[AvgDaily]]+CFDTable[[#This Row],[Deviation]]</f>
        <v>1.0476190476190477</v>
      </c>
      <c r="V50" s="10">
        <f ca="1">IF(ISNUMBER(M50),((_xlfn.PERCENTILE.INC(IF(ISNUMBER(OFFSET(R50,-Historic,0)),OFFSET(R50,-Historic,0),R$2):R50,PercentileHigh/100))-(MEDIAN(IF(ISNUMBER(OFFSET(R50,-Historic,0)),OFFSET(R50,-Historic,0),R$2):R50))),V49)</f>
        <v>0.1428571428571429</v>
      </c>
      <c r="W50" s="10">
        <f ca="1">IF(ISNUMBER(M50),((_xlfn.PERCENTILE.INC(R$2:R50,PercentileHigh/100))-(MEDIAN(R$2:R50))),V49)</f>
        <v>0.14285714285714279</v>
      </c>
      <c r="X50" s="10">
        <f ca="1">(SUM(CFDTable[[#This Row],[To Do]:[Done]])-SUM(G49:L49))</f>
        <v>0</v>
      </c>
      <c r="Y50" s="10">
        <f ca="1">AVERAGE(IF(ISNUMBER(X50),IF(ISNUMBER(OFFSET(X50,-Historic,0)),OFFSET(X50,-Historic,0),X$2):X50,Y49))</f>
        <v>0.33333333333333331</v>
      </c>
      <c r="Z50" s="10">
        <f ca="1">IF(ISNUMBER(CFDTable[[#This Row],[Done Today]]),SUM($G50:$L50),Z49+CFDTable[[#This Row],[avg added]])</f>
        <v>91</v>
      </c>
      <c r="AA50" s="10">
        <f ca="1">IF(ISNUMBER(CFDTable[[#This Row],[Done Today]]),SUM($G50:$L50),$AA49)</f>
        <v>91</v>
      </c>
      <c r="AB50" s="10">
        <f ca="1">IF(ISNUMBER(CFDTable[[#This Row],[Done Today]]),SUM($G50:$L50),$AB49)</f>
        <v>91</v>
      </c>
      <c r="AC50" s="10">
        <f ca="1">SUM(LOOKUP(2,1/(N$1:N49&lt;&gt;""),N$1:N49)+CFDTable[[#This Row],[lowDaily]])</f>
        <v>41.761904761904759</v>
      </c>
      <c r="AD50" s="10">
        <f ca="1">SUM(LOOKUP(2,1/(O$1:O49&lt;&gt;""),O$1:O49)+R50)</f>
        <v>41.904761904761905</v>
      </c>
      <c r="AE50" s="10">
        <f ca="1">SUM(LOOKUP(2,1/(P$1:P49&lt;&gt;""),P$1:P49)+CFDTable[[#This Row],[highDaily]])</f>
        <v>42.047619047619051</v>
      </c>
      <c r="AF50" s="12">
        <f>IF(CFDTable[[#This Row],[Date]]=DeadlineDate,CFDTable[[#This Row],[FutureWork2]],0)</f>
        <v>0</v>
      </c>
    </row>
    <row r="51" spans="1:32">
      <c r="A51" s="8">
        <f>CFDTable[[#This Row],[Date]]</f>
        <v>42479</v>
      </c>
      <c r="B51" s="9">
        <f>Data!B51</f>
        <v>42479</v>
      </c>
      <c r="C51" s="10" t="e">
        <f ca="1">IF(ISNUMBER(CFDTable[[#This Row],[Ready]]),NA(),CFDTable[[#This Row],[Target]]-CFDTable[[#This Row],[To Do]])</f>
        <v>#N/A</v>
      </c>
      <c r="D51" s="10" t="e">
        <f>IF(CFDTable[[#This Row],[Emergence]]&gt;0,CFDTable[[#This Row],[Future Work]]-CFDTable[[#This Row],[Emergence]],NA())</f>
        <v>#N/A</v>
      </c>
      <c r="E51" s="10">
        <f>Data!C51</f>
        <v>0</v>
      </c>
      <c r="F51" s="10">
        <f ca="1">Data!D51</f>
        <v>45</v>
      </c>
      <c r="G51" s="10">
        <f ca="1">Data!E51</f>
        <v>45</v>
      </c>
      <c r="H51" s="10">
        <f ca="1">IF(TodaysDate&gt;=$B51,Data!F51,NA())</f>
        <v>0</v>
      </c>
      <c r="I51" s="10">
        <f ca="1">IF(TodaysDate&gt;=$B51,Data!G51,NA())</f>
        <v>4</v>
      </c>
      <c r="J51" s="10">
        <f ca="1">IF(TodaysDate&gt;=$B51,Data!H51,NA())</f>
        <v>0</v>
      </c>
      <c r="K51" s="10">
        <f ca="1">IF(TodaysDate&gt;=$B51,Data!I51,NA())</f>
        <v>1</v>
      </c>
      <c r="L51" s="10">
        <f ca="1">IF(TodaysDate&gt;=$B51,Data!J51,NA())</f>
        <v>41</v>
      </c>
      <c r="M51" s="10">
        <f ca="1">IF(CFDTable[[#This Row],[Done]]&gt;0,(CFDTable[[#This Row],[Done]])-(L50),0)</f>
        <v>0</v>
      </c>
      <c r="N51" s="10">
        <f ca="1">IF(ISNUMBER($M51),SUM(CFDTable[[#This Row],[Done]]),IF(CFDTable[[#This Row],[lookupLow]]&gt;=CFDTable[[#This Row],[FutureWork2]]+CFDTable[[#This Row],[lowDaily]],NA(),CFDTable[[#This Row],[lookupLow]]))</f>
        <v>41</v>
      </c>
      <c r="O51" s="10">
        <f ca="1">IF(ISNUMBER($M51),SUM(CFDTable[[#This Row],[Done]]),IF(CFDTable[[#This Row],[lookupMedian]]&gt;=CFDTable[[#This Row],[FutureWork2]],NA(),CFDTable[[#This Row],[lookupMedian]]))</f>
        <v>41</v>
      </c>
      <c r="P51" s="10">
        <f ca="1">IF(ISNUMBER(CFDTable[[#This Row],[Done Today]]),SUM(CFDTable[[#This Row],[Done]]),IF(CFDTable[[#This Row],[lookupHigh]]&gt;=CFDTable[[#This Row],[FutureWork2]]+CFDTable[[#This Row],[highDaily]],NA(),CFDTable[[#This Row],[lookupHigh]]))</f>
        <v>41</v>
      </c>
      <c r="Q51" s="10">
        <f ca="1">CFDTable[[#This Row],[AvgDaily]]-CFDTable[[#This Row],[Deviation]]</f>
        <v>0.76190476190476186</v>
      </c>
      <c r="R51" s="10">
        <f ca="1">AVERAGE(IF(ISNUMBER(M51),IF(ISNUMBER(OFFSET(M51,-Historic,0)),OFFSET(M51,-Historic,0),M$2):M51,R50))</f>
        <v>0.90476190476190477</v>
      </c>
      <c r="S51" s="10">
        <f ca="1">AVERAGE(IF(ISNUMBER(M51),IF(ISNUMBER(OFFSET(M51,-Historic,0)),OFFSET(M51,-Historic,0),M$2):M51,S50))</f>
        <v>0.90476190476190477</v>
      </c>
      <c r="T51" s="10">
        <f ca="1">AVERAGE(IF(ISNUMBER(M51),OFFSET(M$2,DaysToIgnoreOnAvg,0):M51,T50))</f>
        <v>0.8125</v>
      </c>
      <c r="U51" s="10">
        <f ca="1">CFDTable[[#This Row],[AvgDaily]]+CFDTable[[#This Row],[Deviation]]</f>
        <v>1.0476190476190477</v>
      </c>
      <c r="V51" s="10">
        <f ca="1">IF(ISNUMBER(M51),((_xlfn.PERCENTILE.INC(IF(ISNUMBER(OFFSET(R51,-Historic,0)),OFFSET(R51,-Historic,0),R$2):R51,PercentileHigh/100))-(MEDIAN(IF(ISNUMBER(OFFSET(R51,-Historic,0)),OFFSET(R51,-Historic,0),R$2):R51))),V50)</f>
        <v>0.1428571428571429</v>
      </c>
      <c r="W51" s="10">
        <f ca="1">IF(ISNUMBER(M51),((_xlfn.PERCENTILE.INC(R$2:R51,PercentileHigh/100))-(MEDIAN(R$2:R51))),V50)</f>
        <v>0.14285714285714279</v>
      </c>
      <c r="X51" s="10">
        <f ca="1">(SUM(CFDTable[[#This Row],[To Do]:[Done]])-SUM(G50:L50))</f>
        <v>0</v>
      </c>
      <c r="Y51" s="10">
        <f ca="1">AVERAGE(IF(ISNUMBER(X51),IF(ISNUMBER(OFFSET(X51,-Historic,0)),OFFSET(X51,-Historic,0),X$2):X51,Y50))</f>
        <v>0.33333333333333331</v>
      </c>
      <c r="Z51" s="10">
        <f ca="1">IF(ISNUMBER(CFDTable[[#This Row],[Done Today]]),SUM($G51:$L51),Z50+CFDTable[[#This Row],[avg added]])</f>
        <v>91</v>
      </c>
      <c r="AA51" s="10">
        <f ca="1">IF(ISNUMBER(CFDTable[[#This Row],[Done Today]]),SUM($G51:$L51),$AA50)</f>
        <v>91</v>
      </c>
      <c r="AB51" s="10">
        <f ca="1">IF(ISNUMBER(CFDTable[[#This Row],[Done Today]]),SUM($G51:$L51),$AB50)</f>
        <v>91</v>
      </c>
      <c r="AC51" s="10">
        <f ca="1">SUM(LOOKUP(2,1/(N$1:N50&lt;&gt;""),N$1:N50)+CFDTable[[#This Row],[lowDaily]])</f>
        <v>41.761904761904759</v>
      </c>
      <c r="AD51" s="10">
        <f ca="1">SUM(LOOKUP(2,1/(O$1:O50&lt;&gt;""),O$1:O50)+R51)</f>
        <v>41.904761904761905</v>
      </c>
      <c r="AE51" s="10">
        <f ca="1">SUM(LOOKUP(2,1/(P$1:P50&lt;&gt;""),P$1:P50)+CFDTable[[#This Row],[highDaily]])</f>
        <v>42.047619047619051</v>
      </c>
      <c r="AF51" s="12">
        <f>IF(CFDTable[[#This Row],[Date]]=DeadlineDate,CFDTable[[#This Row],[FutureWork2]],0)</f>
        <v>0</v>
      </c>
    </row>
    <row r="52" spans="1:32">
      <c r="A52" s="8">
        <f>CFDTable[[#This Row],[Date]]</f>
        <v>42480</v>
      </c>
      <c r="B52" s="9">
        <f>Data!B52</f>
        <v>42480</v>
      </c>
      <c r="C52" s="10" t="e">
        <f ca="1">IF(ISNUMBER(CFDTable[[#This Row],[Ready]]),NA(),CFDTable[[#This Row],[Target]]-CFDTable[[#This Row],[To Do]])</f>
        <v>#N/A</v>
      </c>
      <c r="D52" s="10" t="e">
        <f>IF(CFDTable[[#This Row],[Emergence]]&gt;0,CFDTable[[#This Row],[Future Work]]-CFDTable[[#This Row],[Emergence]],NA())</f>
        <v>#N/A</v>
      </c>
      <c r="E52" s="10">
        <f>Data!C52</f>
        <v>0</v>
      </c>
      <c r="F52" s="10">
        <f ca="1">Data!D52</f>
        <v>44</v>
      </c>
      <c r="G52" s="10">
        <f ca="1">Data!E52</f>
        <v>44</v>
      </c>
      <c r="H52" s="10">
        <f ca="1">IF(TodaysDate&gt;=$B52,Data!F52,NA())</f>
        <v>0</v>
      </c>
      <c r="I52" s="10">
        <f ca="1">IF(TodaysDate&gt;=$B52,Data!G52,NA())</f>
        <v>4</v>
      </c>
      <c r="J52" s="10">
        <f ca="1">IF(TodaysDate&gt;=$B52,Data!H52,NA())</f>
        <v>0</v>
      </c>
      <c r="K52" s="10">
        <f ca="1">IF(TodaysDate&gt;=$B52,Data!I52,NA())</f>
        <v>1</v>
      </c>
      <c r="L52" s="10">
        <f ca="1">IF(TodaysDate&gt;=$B52,Data!J52,NA())</f>
        <v>42</v>
      </c>
      <c r="M52" s="10">
        <f ca="1">IF(CFDTable[[#This Row],[Done]]&gt;0,(CFDTable[[#This Row],[Done]])-(L51),0)</f>
        <v>1</v>
      </c>
      <c r="N52" s="10">
        <f ca="1">IF(ISNUMBER($M52),SUM(CFDTable[[#This Row],[Done]]),IF(CFDTable[[#This Row],[lookupLow]]&gt;=CFDTable[[#This Row],[FutureWork2]]+CFDTable[[#This Row],[lowDaily]],NA(),CFDTable[[#This Row],[lookupLow]]))</f>
        <v>42</v>
      </c>
      <c r="O52" s="10">
        <f ca="1">IF(ISNUMBER($M52),SUM(CFDTable[[#This Row],[Done]]),IF(CFDTable[[#This Row],[lookupMedian]]&gt;=CFDTable[[#This Row],[FutureWork2]],NA(),CFDTable[[#This Row],[lookupMedian]]))</f>
        <v>42</v>
      </c>
      <c r="P52" s="10">
        <f ca="1">IF(ISNUMBER(CFDTable[[#This Row],[Done Today]]),SUM(CFDTable[[#This Row],[Done]]),IF(CFDTable[[#This Row],[lookupHigh]]&gt;=CFDTable[[#This Row],[FutureWork2]]+CFDTable[[#This Row],[highDaily]],NA(),CFDTable[[#This Row],[lookupHigh]]))</f>
        <v>42</v>
      </c>
      <c r="Q52" s="10">
        <f ca="1">CFDTable[[#This Row],[AvgDaily]]-CFDTable[[#This Row],[Deviation]]</f>
        <v>0.80952380952380942</v>
      </c>
      <c r="R52" s="10">
        <f ca="1">AVERAGE(IF(ISNUMBER(M52),IF(ISNUMBER(OFFSET(M52,-Historic,0)),OFFSET(M52,-Historic,0),M$2):M52,R51))</f>
        <v>0.95238095238095233</v>
      </c>
      <c r="S52" s="10">
        <f ca="1">AVERAGE(IF(ISNUMBER(M52),IF(ISNUMBER(OFFSET(M52,-Historic,0)),OFFSET(M52,-Historic,0),M$2):M52,S51))</f>
        <v>0.95238095238095233</v>
      </c>
      <c r="T52" s="10">
        <f ca="1">AVERAGE(IF(ISNUMBER(M52),OFFSET(M$2,DaysToIgnoreOnAvg,0):M52,T51))</f>
        <v>0.81632653061224492</v>
      </c>
      <c r="U52" s="10">
        <f ca="1">CFDTable[[#This Row],[AvgDaily]]+CFDTable[[#This Row],[Deviation]]</f>
        <v>1.0952380952380953</v>
      </c>
      <c r="V52" s="10">
        <f ca="1">IF(ISNUMBER(M52),((_xlfn.PERCENTILE.INC(IF(ISNUMBER(OFFSET(R52,-Historic,0)),OFFSET(R52,-Historic,0),R$2):R52,PercentileHigh/100))-(MEDIAN(IF(ISNUMBER(OFFSET(R52,-Historic,0)),OFFSET(R52,-Historic,0),R$2):R52))),V51)</f>
        <v>0.1428571428571429</v>
      </c>
      <c r="W52" s="10">
        <f ca="1">IF(ISNUMBER(M52),((_xlfn.PERCENTILE.INC(R$2:R52,PercentileHigh/100))-(MEDIAN(R$2:R52))),V51)</f>
        <v>0.14285714285714279</v>
      </c>
      <c r="X52" s="10">
        <f ca="1">(SUM(CFDTable[[#This Row],[To Do]:[Done]])-SUM(G51:L51))</f>
        <v>0</v>
      </c>
      <c r="Y52" s="10">
        <f ca="1">AVERAGE(IF(ISNUMBER(X52),IF(ISNUMBER(OFFSET(X52,-Historic,0)),OFFSET(X52,-Historic,0),X$2):X52,Y51))</f>
        <v>0.33333333333333331</v>
      </c>
      <c r="Z52" s="10">
        <f ca="1">IF(ISNUMBER(CFDTable[[#This Row],[Done Today]]),SUM($G52:$L52),Z51+CFDTable[[#This Row],[avg added]])</f>
        <v>91</v>
      </c>
      <c r="AA52" s="10">
        <f ca="1">IF(ISNUMBER(CFDTable[[#This Row],[Done Today]]),SUM($G52:$L52),$AA51)</f>
        <v>91</v>
      </c>
      <c r="AB52" s="10">
        <f ca="1">IF(ISNUMBER(CFDTable[[#This Row],[Done Today]]),SUM($G52:$L52),$AB51)</f>
        <v>91</v>
      </c>
      <c r="AC52" s="10">
        <f ca="1">SUM(LOOKUP(2,1/(N$1:N51&lt;&gt;""),N$1:N51)+CFDTable[[#This Row],[lowDaily]])</f>
        <v>41.80952380952381</v>
      </c>
      <c r="AD52" s="10">
        <f ca="1">SUM(LOOKUP(2,1/(O$1:O51&lt;&gt;""),O$1:O51)+R52)</f>
        <v>41.952380952380949</v>
      </c>
      <c r="AE52" s="10">
        <f ca="1">SUM(LOOKUP(2,1/(P$1:P51&lt;&gt;""),P$1:P51)+CFDTable[[#This Row],[highDaily]])</f>
        <v>42.095238095238095</v>
      </c>
      <c r="AF52" s="12">
        <f>IF(CFDTable[[#This Row],[Date]]=DeadlineDate,CFDTable[[#This Row],[FutureWork2]],0)</f>
        <v>0</v>
      </c>
    </row>
    <row r="53" spans="1:32">
      <c r="A53" s="8">
        <f>CFDTable[[#This Row],[Date]]</f>
        <v>42481</v>
      </c>
      <c r="B53" s="9">
        <f>Data!B53</f>
        <v>42481</v>
      </c>
      <c r="C53" s="10" t="e">
        <f ca="1">IF(ISNUMBER(CFDTable[[#This Row],[Ready]]),NA(),CFDTable[[#This Row],[Target]]-CFDTable[[#This Row],[To Do]])</f>
        <v>#N/A</v>
      </c>
      <c r="D53" s="10" t="e">
        <f>IF(CFDTable[[#This Row],[Emergence]]&gt;0,CFDTable[[#This Row],[Future Work]]-CFDTable[[#This Row],[Emergence]],NA())</f>
        <v>#N/A</v>
      </c>
      <c r="E53" s="10">
        <f>Data!C53</f>
        <v>0</v>
      </c>
      <c r="F53" s="10">
        <f ca="1">Data!D53</f>
        <v>45</v>
      </c>
      <c r="G53" s="10">
        <f ca="1">Data!E53</f>
        <v>45</v>
      </c>
      <c r="H53" s="10">
        <f ca="1">IF(TodaysDate&gt;=$B53,Data!F53,NA())</f>
        <v>0</v>
      </c>
      <c r="I53" s="10">
        <f ca="1">IF(TodaysDate&gt;=$B53,Data!G53,NA())</f>
        <v>6</v>
      </c>
      <c r="J53" s="10">
        <f ca="1">IF(TodaysDate&gt;=$B53,Data!H53,NA())</f>
        <v>0</v>
      </c>
      <c r="K53" s="10">
        <f ca="1">IF(TodaysDate&gt;=$B53,Data!I53,NA())</f>
        <v>0</v>
      </c>
      <c r="L53" s="10">
        <f ca="1">IF(TodaysDate&gt;=$B53,Data!J53,NA())</f>
        <v>43</v>
      </c>
      <c r="M53" s="10">
        <f ca="1">IF(CFDTable[[#This Row],[Done]]&gt;0,(CFDTable[[#This Row],[Done]])-(L52),0)</f>
        <v>1</v>
      </c>
      <c r="N53" s="10">
        <f ca="1">IF(ISNUMBER($M53),SUM(CFDTable[[#This Row],[Done]]),IF(CFDTable[[#This Row],[lookupLow]]&gt;=CFDTable[[#This Row],[FutureWork2]]+CFDTable[[#This Row],[lowDaily]],NA(),CFDTable[[#This Row],[lookupLow]]))</f>
        <v>43</v>
      </c>
      <c r="O53" s="10">
        <f ca="1">IF(ISNUMBER($M53),SUM(CFDTable[[#This Row],[Done]]),IF(CFDTable[[#This Row],[lookupMedian]]&gt;=CFDTable[[#This Row],[FutureWork2]],NA(),CFDTable[[#This Row],[lookupMedian]]))</f>
        <v>43</v>
      </c>
      <c r="P53" s="10">
        <f ca="1">IF(ISNUMBER(CFDTable[[#This Row],[Done Today]]),SUM(CFDTable[[#This Row],[Done]]),IF(CFDTable[[#This Row],[lookupHigh]]&gt;=CFDTable[[#This Row],[FutureWork2]]+CFDTable[[#This Row],[highDaily]],NA(),CFDTable[[#This Row],[lookupHigh]]))</f>
        <v>43</v>
      </c>
      <c r="Q53" s="10">
        <f ca="1">CFDTable[[#This Row],[AvgDaily]]-CFDTable[[#This Row],[Deviation]]</f>
        <v>0.76190476190476186</v>
      </c>
      <c r="R53" s="10">
        <f ca="1">AVERAGE(IF(ISNUMBER(M53),IF(ISNUMBER(OFFSET(M53,-Historic,0)),OFFSET(M53,-Historic,0),M$2):M53,R52))</f>
        <v>0.8571428571428571</v>
      </c>
      <c r="S53" s="10">
        <f ca="1">AVERAGE(IF(ISNUMBER(M53),IF(ISNUMBER(OFFSET(M53,-Historic,0)),OFFSET(M53,-Historic,0),M$2):M53,S52))</f>
        <v>0.8571428571428571</v>
      </c>
      <c r="T53" s="10">
        <f ca="1">AVERAGE(IF(ISNUMBER(M53),OFFSET(M$2,DaysToIgnoreOnAvg,0):M53,T52))</f>
        <v>0.82</v>
      </c>
      <c r="U53" s="10">
        <f ca="1">CFDTable[[#This Row],[AvgDaily]]+CFDTable[[#This Row],[Deviation]]</f>
        <v>0.95238095238095233</v>
      </c>
      <c r="V53" s="10">
        <f ca="1">IF(ISNUMBER(M53),((_xlfn.PERCENTILE.INC(IF(ISNUMBER(OFFSET(R53,-Historic,0)),OFFSET(R53,-Historic,0),R$2):R53,PercentileHigh/100))-(MEDIAN(IF(ISNUMBER(OFFSET(R53,-Historic,0)),OFFSET(R53,-Historic,0),R$2):R53))),V52)</f>
        <v>9.5238095238095233E-2</v>
      </c>
      <c r="W53" s="10">
        <f ca="1">IF(ISNUMBER(M53),((_xlfn.PERCENTILE.INC(R$2:R53,PercentileHigh/100))-(MEDIAN(R$2:R53))),V52)</f>
        <v>0.12656641604010022</v>
      </c>
      <c r="X53" s="10">
        <f ca="1">(SUM(CFDTable[[#This Row],[To Do]:[Done]])-SUM(G52:L52))</f>
        <v>3</v>
      </c>
      <c r="Y53" s="10">
        <f ca="1">AVERAGE(IF(ISNUMBER(X53),IF(ISNUMBER(OFFSET(X53,-Historic,0)),OFFSET(X53,-Historic,0),X$2):X53,Y52))</f>
        <v>0.47619047619047616</v>
      </c>
      <c r="Z53" s="10">
        <f ca="1">IF(ISNUMBER(CFDTable[[#This Row],[Done Today]]),SUM($G53:$L53),Z52+CFDTable[[#This Row],[avg added]])</f>
        <v>94</v>
      </c>
      <c r="AA53" s="10">
        <f ca="1">IF(ISNUMBER(CFDTable[[#This Row],[Done Today]]),SUM($G53:$L53),$AA52)</f>
        <v>94</v>
      </c>
      <c r="AB53" s="10">
        <f ca="1">IF(ISNUMBER(CFDTable[[#This Row],[Done Today]]),SUM($G53:$L53),$AB52)</f>
        <v>94</v>
      </c>
      <c r="AC53" s="10">
        <f ca="1">SUM(LOOKUP(2,1/(N$1:N52&lt;&gt;""),N$1:N52)+CFDTable[[#This Row],[lowDaily]])</f>
        <v>42.761904761904759</v>
      </c>
      <c r="AD53" s="10">
        <f ca="1">SUM(LOOKUP(2,1/(O$1:O52&lt;&gt;""),O$1:O52)+R53)</f>
        <v>42.857142857142854</v>
      </c>
      <c r="AE53" s="10">
        <f ca="1">SUM(LOOKUP(2,1/(P$1:P52&lt;&gt;""),P$1:P52)+CFDTable[[#This Row],[highDaily]])</f>
        <v>42.952380952380949</v>
      </c>
      <c r="AF53" s="12">
        <f>IF(CFDTable[[#This Row],[Date]]=DeadlineDate,CFDTable[[#This Row],[FutureWork2]],0)</f>
        <v>0</v>
      </c>
    </row>
    <row r="54" spans="1:32">
      <c r="A54" s="8">
        <f>CFDTable[[#This Row],[Date]]</f>
        <v>42482</v>
      </c>
      <c r="B54" s="9">
        <f>Data!B54</f>
        <v>42482</v>
      </c>
      <c r="C54" s="10" t="e">
        <f ca="1">IF(ISNUMBER(CFDTable[[#This Row],[Ready]]),NA(),CFDTable[[#This Row],[Target]]-CFDTable[[#This Row],[To Do]])</f>
        <v>#N/A</v>
      </c>
      <c r="D54" s="10" t="e">
        <f>IF(CFDTable[[#This Row],[Emergence]]&gt;0,CFDTable[[#This Row],[Future Work]]-CFDTable[[#This Row],[Emergence]],NA())</f>
        <v>#N/A</v>
      </c>
      <c r="E54" s="10">
        <f>Data!C54</f>
        <v>0</v>
      </c>
      <c r="F54" s="10">
        <f ca="1">Data!D54</f>
        <v>44</v>
      </c>
      <c r="G54" s="10">
        <f ca="1">Data!E54</f>
        <v>44</v>
      </c>
      <c r="H54" s="10">
        <f ca="1">IF(TodaysDate&gt;=$B54,Data!F54,NA())</f>
        <v>0</v>
      </c>
      <c r="I54" s="10">
        <f ca="1">IF(TodaysDate&gt;=$B54,Data!G54,NA())</f>
        <v>4</v>
      </c>
      <c r="J54" s="10">
        <f ca="1">IF(TodaysDate&gt;=$B54,Data!H54,NA())</f>
        <v>0</v>
      </c>
      <c r="K54" s="10">
        <f ca="1">IF(TodaysDate&gt;=$B54,Data!I54,NA())</f>
        <v>0</v>
      </c>
      <c r="L54" s="10">
        <f ca="1">IF(TodaysDate&gt;=$B54,Data!J54,NA())</f>
        <v>48</v>
      </c>
      <c r="M54" s="10">
        <f ca="1">IF(CFDTable[[#This Row],[Done]]&gt;0,(CFDTable[[#This Row],[Done]])-(L53),0)</f>
        <v>5</v>
      </c>
      <c r="N54" s="10">
        <f ca="1">IF(ISNUMBER($M54),SUM(CFDTable[[#This Row],[Done]]),IF(CFDTable[[#This Row],[lookupLow]]&gt;=CFDTable[[#This Row],[FutureWork2]]+CFDTable[[#This Row],[lowDaily]],NA(),CFDTable[[#This Row],[lookupLow]]))</f>
        <v>48</v>
      </c>
      <c r="O54" s="10">
        <f ca="1">IF(ISNUMBER($M54),SUM(CFDTable[[#This Row],[Done]]),IF(CFDTable[[#This Row],[lookupMedian]]&gt;=CFDTable[[#This Row],[FutureWork2]],NA(),CFDTable[[#This Row],[lookupMedian]]))</f>
        <v>48</v>
      </c>
      <c r="P54" s="10">
        <f ca="1">IF(ISNUMBER(CFDTable[[#This Row],[Done Today]]),SUM(CFDTable[[#This Row],[Done]]),IF(CFDTable[[#This Row],[lookupHigh]]&gt;=CFDTable[[#This Row],[FutureWork2]]+CFDTable[[#This Row],[highDaily]],NA(),CFDTable[[#This Row],[lookupHigh]]))</f>
        <v>48</v>
      </c>
      <c r="Q54" s="10">
        <f ca="1">CFDTable[[#This Row],[AvgDaily]]-CFDTable[[#This Row],[Deviation]]</f>
        <v>0.95238095238095244</v>
      </c>
      <c r="R54" s="10">
        <f ca="1">AVERAGE(IF(ISNUMBER(M54),IF(ISNUMBER(OFFSET(M54,-Historic,0)),OFFSET(M54,-Historic,0),M$2):M54,R53))</f>
        <v>1.0476190476190477</v>
      </c>
      <c r="S54" s="10">
        <f ca="1">AVERAGE(IF(ISNUMBER(M54),IF(ISNUMBER(OFFSET(M54,-Historic,0)),OFFSET(M54,-Historic,0),M$2):M54,S53))</f>
        <v>1.0476190476190477</v>
      </c>
      <c r="T54" s="10">
        <f ca="1">AVERAGE(IF(ISNUMBER(M54),OFFSET(M$2,DaysToIgnoreOnAvg,0):M54,T53))</f>
        <v>0.90196078431372551</v>
      </c>
      <c r="U54" s="10">
        <f ca="1">CFDTable[[#This Row],[AvgDaily]]+CFDTable[[#This Row],[Deviation]]</f>
        <v>1.1428571428571428</v>
      </c>
      <c r="V54" s="10">
        <f ca="1">IF(ISNUMBER(M54),((_xlfn.PERCENTILE.INC(IF(ISNUMBER(OFFSET(R54,-Historic,0)),OFFSET(R54,-Historic,0),R$2):R54,PercentileHigh/100))-(MEDIAN(IF(ISNUMBER(OFFSET(R54,-Historic,0)),OFFSET(R54,-Historic,0),R$2):R54))),V53)</f>
        <v>9.5238095238095233E-2</v>
      </c>
      <c r="W54" s="10">
        <f ca="1">IF(ISNUMBER(M54),((_xlfn.PERCENTILE.INC(R$2:R54,PercentileHigh/100))-(MEDIAN(R$2:R54))),V53)</f>
        <v>0.11979949874686702</v>
      </c>
      <c r="X54" s="10">
        <f ca="1">(SUM(CFDTable[[#This Row],[To Do]:[Done]])-SUM(G53:L53))</f>
        <v>2</v>
      </c>
      <c r="Y54" s="10">
        <f ca="1">AVERAGE(IF(ISNUMBER(X54),IF(ISNUMBER(OFFSET(X54,-Historic,0)),OFFSET(X54,-Historic,0),X$2):X54,Y53))</f>
        <v>0.47619047619047616</v>
      </c>
      <c r="Z54" s="10">
        <f ca="1">IF(ISNUMBER(CFDTable[[#This Row],[Done Today]]),SUM($G54:$L54),Z53+CFDTable[[#This Row],[avg added]])</f>
        <v>96</v>
      </c>
      <c r="AA54" s="10">
        <f ca="1">IF(ISNUMBER(CFDTable[[#This Row],[Done Today]]),SUM($G54:$L54),$AA53)</f>
        <v>96</v>
      </c>
      <c r="AB54" s="10">
        <f ca="1">IF(ISNUMBER(CFDTable[[#This Row],[Done Today]]),SUM($G54:$L54),$AB53)</f>
        <v>96</v>
      </c>
      <c r="AC54" s="10">
        <f ca="1">SUM(LOOKUP(2,1/(N$1:N53&lt;&gt;""),N$1:N53)+CFDTable[[#This Row],[lowDaily]])</f>
        <v>43.952380952380949</v>
      </c>
      <c r="AD54" s="10">
        <f ca="1">SUM(LOOKUP(2,1/(O$1:O53&lt;&gt;""),O$1:O53)+R54)</f>
        <v>44.047619047619051</v>
      </c>
      <c r="AE54" s="10">
        <f ca="1">SUM(LOOKUP(2,1/(P$1:P53&lt;&gt;""),P$1:P53)+CFDTable[[#This Row],[highDaily]])</f>
        <v>44.142857142857146</v>
      </c>
      <c r="AF54" s="12">
        <f>IF(CFDTable[[#This Row],[Date]]=DeadlineDate,CFDTable[[#This Row],[FutureWork2]],0)</f>
        <v>0</v>
      </c>
    </row>
    <row r="55" spans="1:32">
      <c r="A55" s="8">
        <f>CFDTable[[#This Row],[Date]]</f>
        <v>42485</v>
      </c>
      <c r="B55" s="9">
        <f>Data!B55</f>
        <v>42485</v>
      </c>
      <c r="C55" s="10" t="e">
        <f ca="1">IF(ISNUMBER(CFDTable[[#This Row],[Ready]]),NA(),CFDTable[[#This Row],[Target]]-CFDTable[[#This Row],[To Do]])</f>
        <v>#N/A</v>
      </c>
      <c r="D55" s="10" t="e">
        <f>IF(CFDTable[[#This Row],[Emergence]]&gt;0,CFDTable[[#This Row],[Future Work]]-CFDTable[[#This Row],[Emergence]],NA())</f>
        <v>#N/A</v>
      </c>
      <c r="E55" s="10">
        <f>Data!C55</f>
        <v>0</v>
      </c>
      <c r="F55" s="10">
        <f ca="1">Data!D55</f>
        <v>44</v>
      </c>
      <c r="G55" s="10">
        <f ca="1">Data!E55</f>
        <v>44</v>
      </c>
      <c r="H55" s="10">
        <f ca="1">IF(TodaysDate&gt;=$B55,Data!F55,NA())</f>
        <v>0</v>
      </c>
      <c r="I55" s="10">
        <f ca="1">IF(TodaysDate&gt;=$B55,Data!G55,NA())</f>
        <v>4</v>
      </c>
      <c r="J55" s="10">
        <f ca="1">IF(TodaysDate&gt;=$B55,Data!H55,NA())</f>
        <v>0</v>
      </c>
      <c r="K55" s="10">
        <f ca="1">IF(TodaysDate&gt;=$B55,Data!I55,NA())</f>
        <v>0</v>
      </c>
      <c r="L55" s="10">
        <f ca="1">IF(TodaysDate&gt;=$B55,Data!J55,NA())</f>
        <v>48</v>
      </c>
      <c r="M55" s="10">
        <f ca="1">IF(CFDTable[[#This Row],[Done]]&gt;0,(CFDTable[[#This Row],[Done]])-(L54),0)</f>
        <v>0</v>
      </c>
      <c r="N55" s="10">
        <f ca="1">IF(ISNUMBER($M55),SUM(CFDTable[[#This Row],[Done]]),IF(CFDTable[[#This Row],[lookupLow]]&gt;=CFDTable[[#This Row],[FutureWork2]]+CFDTable[[#This Row],[lowDaily]],NA(),CFDTable[[#This Row],[lookupLow]]))</f>
        <v>48</v>
      </c>
      <c r="O55" s="10">
        <f ca="1">IF(ISNUMBER($M55),SUM(CFDTable[[#This Row],[Done]]),IF(CFDTable[[#This Row],[lookupMedian]]&gt;=CFDTable[[#This Row],[FutureWork2]],NA(),CFDTable[[#This Row],[lookupMedian]]))</f>
        <v>48</v>
      </c>
      <c r="P55" s="10">
        <f ca="1">IF(ISNUMBER(CFDTable[[#This Row],[Done Today]]),SUM(CFDTable[[#This Row],[Done]]),IF(CFDTable[[#This Row],[lookupHigh]]&gt;=CFDTable[[#This Row],[FutureWork2]]+CFDTable[[#This Row],[highDaily]],NA(),CFDTable[[#This Row],[lookupHigh]]))</f>
        <v>48</v>
      </c>
      <c r="Q55" s="10">
        <f ca="1">CFDTable[[#This Row],[AvgDaily]]-CFDTable[[#This Row],[Deviation]]</f>
        <v>0.90476190476190477</v>
      </c>
      <c r="R55" s="10">
        <f ca="1">AVERAGE(IF(ISNUMBER(M55),IF(ISNUMBER(OFFSET(M55,-Historic,0)),OFFSET(M55,-Historic,0),M$2):M55,R54))</f>
        <v>1</v>
      </c>
      <c r="S55" s="10">
        <f ca="1">AVERAGE(IF(ISNUMBER(M55),IF(ISNUMBER(OFFSET(M55,-Historic,0)),OFFSET(M55,-Historic,0),M$2):M55,S54))</f>
        <v>1</v>
      </c>
      <c r="T55" s="10">
        <f ca="1">AVERAGE(IF(ISNUMBER(M55),OFFSET(M$2,DaysToIgnoreOnAvg,0):M55,T54))</f>
        <v>0.88461538461538458</v>
      </c>
      <c r="U55" s="10">
        <f ca="1">CFDTable[[#This Row],[AvgDaily]]+CFDTable[[#This Row],[Deviation]]</f>
        <v>1.0952380952380953</v>
      </c>
      <c r="V55" s="10">
        <f ca="1">IF(ISNUMBER(M55),((_xlfn.PERCENTILE.INC(IF(ISNUMBER(OFFSET(R55,-Historic,0)),OFFSET(R55,-Historic,0),R$2):R55,PercentileHigh/100))-(MEDIAN(IF(ISNUMBER(OFFSET(R55,-Historic,0)),OFFSET(R55,-Historic,0),R$2):R55))),V54)</f>
        <v>9.5238095238095233E-2</v>
      </c>
      <c r="W55" s="10">
        <f ca="1">IF(ISNUMBER(M55),((_xlfn.PERCENTILE.INC(R$2:R55,PercentileHigh/100))-(MEDIAN(R$2:R55))),V54)</f>
        <v>0.15037593984962405</v>
      </c>
      <c r="X55" s="10">
        <f ca="1">(SUM(CFDTable[[#This Row],[To Do]:[Done]])-SUM(G54:L54))</f>
        <v>0</v>
      </c>
      <c r="Y55" s="10">
        <f ca="1">AVERAGE(IF(ISNUMBER(X55),IF(ISNUMBER(OFFSET(X55,-Historic,0)),OFFSET(X55,-Historic,0),X$2):X55,Y54))</f>
        <v>0.47619047619047616</v>
      </c>
      <c r="Z55" s="10">
        <f ca="1">IF(ISNUMBER(CFDTable[[#This Row],[Done Today]]),SUM($G55:$L55),Z54+CFDTable[[#This Row],[avg added]])</f>
        <v>96</v>
      </c>
      <c r="AA55" s="10">
        <f ca="1">IF(ISNUMBER(CFDTable[[#This Row],[Done Today]]),SUM($G55:$L55),$AA54)</f>
        <v>96</v>
      </c>
      <c r="AB55" s="10">
        <f ca="1">IF(ISNUMBER(CFDTable[[#This Row],[Done Today]]),SUM($G55:$L55),$AB54)</f>
        <v>96</v>
      </c>
      <c r="AC55" s="10">
        <f ca="1">SUM(LOOKUP(2,1/(N$1:N54&lt;&gt;""),N$1:N54)+CFDTable[[#This Row],[lowDaily]])</f>
        <v>48.904761904761905</v>
      </c>
      <c r="AD55" s="10">
        <f ca="1">SUM(LOOKUP(2,1/(O$1:O54&lt;&gt;""),O$1:O54)+R55)</f>
        <v>49</v>
      </c>
      <c r="AE55" s="10">
        <f ca="1">SUM(LOOKUP(2,1/(P$1:P54&lt;&gt;""),P$1:P54)+CFDTable[[#This Row],[highDaily]])</f>
        <v>49.095238095238095</v>
      </c>
      <c r="AF55" s="12">
        <f>IF(CFDTable[[#This Row],[Date]]=DeadlineDate,CFDTable[[#This Row],[FutureWork2]],0)</f>
        <v>0</v>
      </c>
    </row>
    <row r="56" spans="1:32">
      <c r="A56" s="8">
        <f>CFDTable[[#This Row],[Date]]</f>
        <v>42486</v>
      </c>
      <c r="B56" s="9">
        <f>Data!B56</f>
        <v>42486</v>
      </c>
      <c r="C56" s="10" t="e">
        <f ca="1">IF(ISNUMBER(CFDTable[[#This Row],[Ready]]),NA(),CFDTable[[#This Row],[Target]]-CFDTable[[#This Row],[To Do]])</f>
        <v>#N/A</v>
      </c>
      <c r="D56" s="10" t="e">
        <f>IF(CFDTable[[#This Row],[Emergence]]&gt;0,CFDTable[[#This Row],[Future Work]]-CFDTable[[#This Row],[Emergence]],NA())</f>
        <v>#N/A</v>
      </c>
      <c r="E56" s="10">
        <f>Data!C56</f>
        <v>0</v>
      </c>
      <c r="F56" s="10">
        <f ca="1">Data!D56</f>
        <v>44</v>
      </c>
      <c r="G56" s="10">
        <f ca="1">Data!E56</f>
        <v>44</v>
      </c>
      <c r="H56" s="10">
        <f ca="1">IF(TodaysDate&gt;=$B56,Data!F56,NA())</f>
        <v>0</v>
      </c>
      <c r="I56" s="10">
        <f ca="1">IF(TodaysDate&gt;=$B56,Data!G56,NA())</f>
        <v>4</v>
      </c>
      <c r="J56" s="10">
        <f ca="1">IF(TodaysDate&gt;=$B56,Data!H56,NA())</f>
        <v>0</v>
      </c>
      <c r="K56" s="10">
        <f ca="1">IF(TodaysDate&gt;=$B56,Data!I56,NA())</f>
        <v>0</v>
      </c>
      <c r="L56" s="10">
        <f ca="1">IF(TodaysDate&gt;=$B56,Data!J56,NA())</f>
        <v>49</v>
      </c>
      <c r="M56" s="10">
        <f ca="1">IF(CFDTable[[#This Row],[Done]]&gt;0,(CFDTable[[#This Row],[Done]])-(L55),0)</f>
        <v>1</v>
      </c>
      <c r="N56" s="10">
        <f ca="1">IF(ISNUMBER($M56),SUM(CFDTable[[#This Row],[Done]]),IF(CFDTable[[#This Row],[lookupLow]]&gt;=CFDTable[[#This Row],[FutureWork2]]+CFDTable[[#This Row],[lowDaily]],NA(),CFDTable[[#This Row],[lookupLow]]))</f>
        <v>49</v>
      </c>
      <c r="O56" s="10">
        <f ca="1">IF(ISNUMBER($M56),SUM(CFDTable[[#This Row],[Done]]),IF(CFDTable[[#This Row],[lookupMedian]]&gt;=CFDTable[[#This Row],[FutureWork2]],NA(),CFDTable[[#This Row],[lookupMedian]]))</f>
        <v>49</v>
      </c>
      <c r="P56" s="10">
        <f ca="1">IF(ISNUMBER(CFDTable[[#This Row],[Done Today]]),SUM(CFDTable[[#This Row],[Done]]),IF(CFDTable[[#This Row],[lookupHigh]]&gt;=CFDTable[[#This Row],[FutureWork2]]+CFDTable[[#This Row],[highDaily]],NA(),CFDTable[[#This Row],[lookupHigh]]))</f>
        <v>49</v>
      </c>
      <c r="Q56" s="10">
        <f ca="1">CFDTable[[#This Row],[AvgDaily]]-CFDTable[[#This Row],[Deviation]]</f>
        <v>0.90476190476190477</v>
      </c>
      <c r="R56" s="10">
        <f ca="1">AVERAGE(IF(ISNUMBER(M56),IF(ISNUMBER(OFFSET(M56,-Historic,0)),OFFSET(M56,-Historic,0),M$2):M56,R55))</f>
        <v>1.0476190476190477</v>
      </c>
      <c r="S56" s="10">
        <f ca="1">AVERAGE(IF(ISNUMBER(M56),IF(ISNUMBER(OFFSET(M56,-Historic,0)),OFFSET(M56,-Historic,0),M$2):M56,S55))</f>
        <v>1.0476190476190477</v>
      </c>
      <c r="T56" s="10">
        <f ca="1">AVERAGE(IF(ISNUMBER(M56),OFFSET(M$2,DaysToIgnoreOnAvg,0):M56,T55))</f>
        <v>0.8867924528301887</v>
      </c>
      <c r="U56" s="10">
        <f ca="1">CFDTable[[#This Row],[AvgDaily]]+CFDTable[[#This Row],[Deviation]]</f>
        <v>1.1904761904761907</v>
      </c>
      <c r="V56" s="10">
        <f ca="1">IF(ISNUMBER(M56),((_xlfn.PERCENTILE.INC(IF(ISNUMBER(OFFSET(R56,-Historic,0)),OFFSET(R56,-Historic,0),R$2):R56,PercentileHigh/100))-(MEDIAN(IF(ISNUMBER(OFFSET(R56,-Historic,0)),OFFSET(R56,-Historic,0),R$2):R56))),V55)</f>
        <v>0.1428571428571429</v>
      </c>
      <c r="W56" s="10">
        <f ca="1">IF(ISNUMBER(M56),((_xlfn.PERCENTILE.INC(R$2:R56,PercentileHigh/100))-(MEDIAN(R$2:R56))),V55)</f>
        <v>0.1428571428571429</v>
      </c>
      <c r="X56" s="10">
        <f ca="1">(SUM(CFDTable[[#This Row],[To Do]:[Done]])-SUM(G55:L55))</f>
        <v>1</v>
      </c>
      <c r="Y56" s="10">
        <f ca="1">AVERAGE(IF(ISNUMBER(X56),IF(ISNUMBER(OFFSET(X56,-Historic,0)),OFFSET(X56,-Historic,0),X$2):X56,Y55))</f>
        <v>0.52380952380952384</v>
      </c>
      <c r="Z56" s="10">
        <f ca="1">IF(ISNUMBER(CFDTable[[#This Row],[Done Today]]),SUM($G56:$L56),Z55+CFDTable[[#This Row],[avg added]])</f>
        <v>97</v>
      </c>
      <c r="AA56" s="10">
        <f ca="1">IF(ISNUMBER(CFDTable[[#This Row],[Done Today]]),SUM($G56:$L56),$AA55)</f>
        <v>97</v>
      </c>
      <c r="AB56" s="10">
        <f ca="1">IF(ISNUMBER(CFDTable[[#This Row],[Done Today]]),SUM($G56:$L56),$AB55)</f>
        <v>97</v>
      </c>
      <c r="AC56" s="10">
        <f ca="1">SUM(LOOKUP(2,1/(N$1:N55&lt;&gt;""),N$1:N55)+CFDTable[[#This Row],[lowDaily]])</f>
        <v>48.904761904761905</v>
      </c>
      <c r="AD56" s="10">
        <f ca="1">SUM(LOOKUP(2,1/(O$1:O55&lt;&gt;""),O$1:O55)+R56)</f>
        <v>49.047619047619051</v>
      </c>
      <c r="AE56" s="10">
        <f ca="1">SUM(LOOKUP(2,1/(P$1:P55&lt;&gt;""),P$1:P55)+CFDTable[[#This Row],[highDaily]])</f>
        <v>49.19047619047619</v>
      </c>
      <c r="AF56" s="12">
        <f>IF(CFDTable[[#This Row],[Date]]=DeadlineDate,CFDTable[[#This Row],[FutureWork2]],0)</f>
        <v>0</v>
      </c>
    </row>
    <row r="57" spans="1:32">
      <c r="A57" s="8">
        <f>CFDTable[[#This Row],[Date]]</f>
        <v>42487</v>
      </c>
      <c r="B57" s="9">
        <f>Data!B57</f>
        <v>42487</v>
      </c>
      <c r="C57" s="10" t="e">
        <f ca="1">IF(ISNUMBER(CFDTable[[#This Row],[Ready]]),NA(),CFDTable[[#This Row],[Target]]-CFDTable[[#This Row],[To Do]])</f>
        <v>#N/A</v>
      </c>
      <c r="D57" s="10" t="e">
        <f>IF(CFDTable[[#This Row],[Emergence]]&gt;0,CFDTable[[#This Row],[Future Work]]-CFDTable[[#This Row],[Emergence]],NA())</f>
        <v>#N/A</v>
      </c>
      <c r="E57" s="10">
        <f>Data!C57</f>
        <v>0</v>
      </c>
      <c r="F57" s="10">
        <f ca="1">Data!D57</f>
        <v>44</v>
      </c>
      <c r="G57" s="10">
        <f ca="1">Data!E57</f>
        <v>44</v>
      </c>
      <c r="H57" s="10">
        <f ca="1">IF(TodaysDate&gt;=$B57,Data!F57,NA())</f>
        <v>0</v>
      </c>
      <c r="I57" s="10">
        <f ca="1">IF(TodaysDate&gt;=$B57,Data!G57,NA())</f>
        <v>6</v>
      </c>
      <c r="J57" s="10">
        <f ca="1">IF(TodaysDate&gt;=$B57,Data!H57,NA())</f>
        <v>0</v>
      </c>
      <c r="K57" s="10">
        <f ca="1">IF(TodaysDate&gt;=$B57,Data!I57,NA())</f>
        <v>0</v>
      </c>
      <c r="L57" s="10">
        <f ca="1">IF(TodaysDate&gt;=$B57,Data!J57,NA())</f>
        <v>49</v>
      </c>
      <c r="M57" s="10">
        <f ca="1">IF(CFDTable[[#This Row],[Done]]&gt;0,(CFDTable[[#This Row],[Done]])-(L56),0)</f>
        <v>0</v>
      </c>
      <c r="N57" s="10">
        <f ca="1">IF(ISNUMBER($M57),SUM(CFDTable[[#This Row],[Done]]),IF(CFDTable[[#This Row],[lookupLow]]&gt;=CFDTable[[#This Row],[FutureWork2]]+CFDTable[[#This Row],[lowDaily]],NA(),CFDTable[[#This Row],[lookupLow]]))</f>
        <v>49</v>
      </c>
      <c r="O57" s="10">
        <f ca="1">IF(ISNUMBER($M57),SUM(CFDTable[[#This Row],[Done]]),IF(CFDTable[[#This Row],[lookupMedian]]&gt;=CFDTable[[#This Row],[FutureWork2]],NA(),CFDTable[[#This Row],[lookupMedian]]))</f>
        <v>49</v>
      </c>
      <c r="P57" s="10">
        <f ca="1">IF(ISNUMBER(CFDTable[[#This Row],[Done Today]]),SUM(CFDTable[[#This Row],[Done]]),IF(CFDTable[[#This Row],[lookupHigh]]&gt;=CFDTable[[#This Row],[FutureWork2]]+CFDTable[[#This Row],[highDaily]],NA(),CFDTable[[#This Row],[lookupHigh]]))</f>
        <v>49</v>
      </c>
      <c r="Q57" s="10">
        <f ca="1">CFDTable[[#This Row],[AvgDaily]]-CFDTable[[#This Row],[Deviation]]</f>
        <v>0.80952380952380953</v>
      </c>
      <c r="R57" s="10">
        <f ca="1">AVERAGE(IF(ISNUMBER(M57),IF(ISNUMBER(OFFSET(M57,-Historic,0)),OFFSET(M57,-Historic,0),M$2):M57,R56))</f>
        <v>0.90476190476190477</v>
      </c>
      <c r="S57" s="10">
        <f ca="1">AVERAGE(IF(ISNUMBER(M57),IF(ISNUMBER(OFFSET(M57,-Historic,0)),OFFSET(M57,-Historic,0),M$2):M57,S56))</f>
        <v>0.90476190476190477</v>
      </c>
      <c r="T57" s="10">
        <f ca="1">AVERAGE(IF(ISNUMBER(M57),OFFSET(M$2,DaysToIgnoreOnAvg,0):M57,T56))</f>
        <v>0.87037037037037035</v>
      </c>
      <c r="U57" s="10">
        <f ca="1">CFDTable[[#This Row],[AvgDaily]]+CFDTable[[#This Row],[Deviation]]</f>
        <v>1</v>
      </c>
      <c r="V57" s="10">
        <f ca="1">IF(ISNUMBER(M57),((_xlfn.PERCENTILE.INC(IF(ISNUMBER(OFFSET(R57,-Historic,0)),OFFSET(R57,-Historic,0),R$2):R57,PercentileHigh/100))-(MEDIAN(IF(ISNUMBER(OFFSET(R57,-Historic,0)),OFFSET(R57,-Historic,0),R$2):R57))),V56)</f>
        <v>9.5238095238095233E-2</v>
      </c>
      <c r="W57" s="10">
        <f ca="1">IF(ISNUMBER(M57),((_xlfn.PERCENTILE.INC(R$2:R57,PercentileHigh/100))-(MEDIAN(R$2:R57))),V56)</f>
        <v>0.1428571428571429</v>
      </c>
      <c r="X57" s="10">
        <f ca="1">(SUM(CFDTable[[#This Row],[To Do]:[Done]])-SUM(G56:L56))</f>
        <v>2</v>
      </c>
      <c r="Y57" s="10">
        <f ca="1">AVERAGE(IF(ISNUMBER(X57),IF(ISNUMBER(OFFSET(X57,-Historic,0)),OFFSET(X57,-Historic,0),X$2):X57,Y56))</f>
        <v>0.61904761904761907</v>
      </c>
      <c r="Z57" s="10">
        <f ca="1">IF(ISNUMBER(CFDTable[[#This Row],[Done Today]]),SUM($G57:$L57),Z56+CFDTable[[#This Row],[avg added]])</f>
        <v>99</v>
      </c>
      <c r="AA57" s="10">
        <f ca="1">IF(ISNUMBER(CFDTable[[#This Row],[Done Today]]),SUM($G57:$L57),$AA56)</f>
        <v>99</v>
      </c>
      <c r="AB57" s="10">
        <f ca="1">IF(ISNUMBER(CFDTable[[#This Row],[Done Today]]),SUM($G57:$L57),$AB56)</f>
        <v>99</v>
      </c>
      <c r="AC57" s="10">
        <f ca="1">SUM(LOOKUP(2,1/(N$1:N56&lt;&gt;""),N$1:N56)+CFDTable[[#This Row],[lowDaily]])</f>
        <v>49.80952380952381</v>
      </c>
      <c r="AD57" s="10">
        <f ca="1">SUM(LOOKUP(2,1/(O$1:O56&lt;&gt;""),O$1:O56)+R57)</f>
        <v>49.904761904761905</v>
      </c>
      <c r="AE57" s="10">
        <f ca="1">SUM(LOOKUP(2,1/(P$1:P56&lt;&gt;""),P$1:P56)+CFDTable[[#This Row],[highDaily]])</f>
        <v>50</v>
      </c>
      <c r="AF57" s="12">
        <f>IF(CFDTable[[#This Row],[Date]]=DeadlineDate,CFDTable[[#This Row],[FutureWork2]],0)</f>
        <v>0</v>
      </c>
    </row>
    <row r="58" spans="1:32">
      <c r="A58" s="8">
        <f>CFDTable[[#This Row],[Date]]</f>
        <v>42488</v>
      </c>
      <c r="B58" s="9">
        <f>Data!B58</f>
        <v>42488</v>
      </c>
      <c r="C58" s="10" t="e">
        <f ca="1">IF(ISNUMBER(CFDTable[[#This Row],[Ready]]),NA(),CFDTable[[#This Row],[Target]]-CFDTable[[#This Row],[To Do]])</f>
        <v>#N/A</v>
      </c>
      <c r="D58" s="10" t="e">
        <f>IF(CFDTable[[#This Row],[Emergence]]&gt;0,CFDTable[[#This Row],[Future Work]]-CFDTable[[#This Row],[Emergence]],NA())</f>
        <v>#N/A</v>
      </c>
      <c r="E58" s="10">
        <f>Data!C58</f>
        <v>0</v>
      </c>
      <c r="F58" s="10">
        <f ca="1">Data!D58</f>
        <v>44</v>
      </c>
      <c r="G58" s="10">
        <f ca="1">Data!E58</f>
        <v>44</v>
      </c>
      <c r="H58" s="10">
        <f ca="1">IF(TodaysDate&gt;=$B58,Data!F58,NA())</f>
        <v>0</v>
      </c>
      <c r="I58" s="10">
        <f ca="1">IF(TodaysDate&gt;=$B58,Data!G58,NA())</f>
        <v>6</v>
      </c>
      <c r="J58" s="10">
        <f ca="1">IF(TodaysDate&gt;=$B58,Data!H58,NA())</f>
        <v>0</v>
      </c>
      <c r="K58" s="10">
        <f ca="1">IF(TodaysDate&gt;=$B58,Data!I58,NA())</f>
        <v>0</v>
      </c>
      <c r="L58" s="10">
        <f ca="1">IF(TodaysDate&gt;=$B58,Data!J58,NA())</f>
        <v>50</v>
      </c>
      <c r="M58" s="10">
        <f ca="1">IF(CFDTable[[#This Row],[Done]]&gt;0,(CFDTable[[#This Row],[Done]])-(L57),0)</f>
        <v>1</v>
      </c>
      <c r="N58" s="10">
        <f ca="1">IF(ISNUMBER($M58),SUM(CFDTable[[#This Row],[Done]]),IF(CFDTable[[#This Row],[lookupLow]]&gt;=CFDTable[[#This Row],[FutureWork2]]+CFDTable[[#This Row],[lowDaily]],NA(),CFDTable[[#This Row],[lookupLow]]))</f>
        <v>50</v>
      </c>
      <c r="O58" s="10">
        <f ca="1">IF(ISNUMBER($M58),SUM(CFDTable[[#This Row],[Done]]),IF(CFDTable[[#This Row],[lookupMedian]]&gt;=CFDTable[[#This Row],[FutureWork2]],NA(),CFDTable[[#This Row],[lookupMedian]]))</f>
        <v>50</v>
      </c>
      <c r="P58" s="10">
        <f ca="1">IF(ISNUMBER(CFDTable[[#This Row],[Done Today]]),SUM(CFDTable[[#This Row],[Done]]),IF(CFDTable[[#This Row],[lookupHigh]]&gt;=CFDTable[[#This Row],[FutureWork2]]+CFDTable[[#This Row],[highDaily]],NA(),CFDTable[[#This Row],[lookupHigh]]))</f>
        <v>50</v>
      </c>
      <c r="Q58" s="10">
        <f ca="1">CFDTable[[#This Row],[AvgDaily]]-CFDTable[[#This Row],[Deviation]]</f>
        <v>0.8571428571428571</v>
      </c>
      <c r="R58" s="10">
        <f ca="1">AVERAGE(IF(ISNUMBER(M58),IF(ISNUMBER(OFFSET(M58,-Historic,0)),OFFSET(M58,-Historic,0),M$2):M58,R57))</f>
        <v>0.95238095238095233</v>
      </c>
      <c r="S58" s="10">
        <f ca="1">AVERAGE(IF(ISNUMBER(M58),IF(ISNUMBER(OFFSET(M58,-Historic,0)),OFFSET(M58,-Historic,0),M$2):M58,S57))</f>
        <v>0.95238095238095233</v>
      </c>
      <c r="T58" s="10">
        <f ca="1">AVERAGE(IF(ISNUMBER(M58),OFFSET(M$2,DaysToIgnoreOnAvg,0):M58,T57))</f>
        <v>0.87272727272727268</v>
      </c>
      <c r="U58" s="10">
        <f ca="1">CFDTable[[#This Row],[AvgDaily]]+CFDTable[[#This Row],[Deviation]]</f>
        <v>1.0476190476190474</v>
      </c>
      <c r="V58" s="10">
        <f ca="1">IF(ISNUMBER(M58),((_xlfn.PERCENTILE.INC(IF(ISNUMBER(OFFSET(R58,-Historic,0)),OFFSET(R58,-Historic,0),R$2):R58,PercentileHigh/100))-(MEDIAN(IF(ISNUMBER(OFFSET(R58,-Historic,0)),OFFSET(R58,-Historic,0),R$2):R58))),V57)</f>
        <v>9.5238095238095233E-2</v>
      </c>
      <c r="W58" s="10">
        <f ca="1">IF(ISNUMBER(M58),((_xlfn.PERCENTILE.INC(R$2:R58,PercentileHigh/100))-(MEDIAN(R$2:R58))),V57)</f>
        <v>0.1428571428571429</v>
      </c>
      <c r="X58" s="10">
        <f ca="1">(SUM(CFDTable[[#This Row],[To Do]:[Done]])-SUM(G57:L57))</f>
        <v>1</v>
      </c>
      <c r="Y58" s="10">
        <f ca="1">AVERAGE(IF(ISNUMBER(X58),IF(ISNUMBER(OFFSET(X58,-Historic,0)),OFFSET(X58,-Historic,0),X$2):X58,Y57))</f>
        <v>0.66666666666666663</v>
      </c>
      <c r="Z58" s="10">
        <f ca="1">IF(ISNUMBER(CFDTable[[#This Row],[Done Today]]),SUM($G58:$L58),Z57+CFDTable[[#This Row],[avg added]])</f>
        <v>100</v>
      </c>
      <c r="AA58" s="10">
        <f ca="1">IF(ISNUMBER(CFDTable[[#This Row],[Done Today]]),SUM($G58:$L58),$AA57)</f>
        <v>100</v>
      </c>
      <c r="AB58" s="10">
        <f ca="1">IF(ISNUMBER(CFDTable[[#This Row],[Done Today]]),SUM($G58:$L58),$AB57)</f>
        <v>100</v>
      </c>
      <c r="AC58" s="10">
        <f ca="1">SUM(LOOKUP(2,1/(N$1:N57&lt;&gt;""),N$1:N57)+CFDTable[[#This Row],[lowDaily]])</f>
        <v>49.857142857142854</v>
      </c>
      <c r="AD58" s="10">
        <f ca="1">SUM(LOOKUP(2,1/(O$1:O57&lt;&gt;""),O$1:O57)+R58)</f>
        <v>49.952380952380949</v>
      </c>
      <c r="AE58" s="10">
        <f ca="1">SUM(LOOKUP(2,1/(P$1:P57&lt;&gt;""),P$1:P57)+CFDTable[[#This Row],[highDaily]])</f>
        <v>50.047619047619051</v>
      </c>
      <c r="AF58" s="12">
        <f>IF(CFDTable[[#This Row],[Date]]=DeadlineDate,CFDTable[[#This Row],[FutureWork2]],0)</f>
        <v>0</v>
      </c>
    </row>
    <row r="59" spans="1:32">
      <c r="A59" s="8">
        <f>CFDTable[[#This Row],[Date]]</f>
        <v>42489</v>
      </c>
      <c r="B59" s="9">
        <f>Data!B59</f>
        <v>42489</v>
      </c>
      <c r="C59" s="10" t="e">
        <f ca="1">IF(ISNUMBER(CFDTable[[#This Row],[Ready]]),NA(),CFDTable[[#This Row],[Target]]-CFDTable[[#This Row],[To Do]])</f>
        <v>#N/A</v>
      </c>
      <c r="D59" s="10" t="e">
        <f>IF(CFDTable[[#This Row],[Emergence]]&gt;0,CFDTable[[#This Row],[Future Work]]-CFDTable[[#This Row],[Emergence]],NA())</f>
        <v>#N/A</v>
      </c>
      <c r="E59" s="10">
        <f>Data!C59</f>
        <v>0</v>
      </c>
      <c r="F59" s="10">
        <f ca="1">Data!D59</f>
        <v>44</v>
      </c>
      <c r="G59" s="10">
        <f ca="1">Data!E59</f>
        <v>44</v>
      </c>
      <c r="H59" s="10">
        <f ca="1">IF(TodaysDate&gt;=$B59,Data!F59,NA())</f>
        <v>0</v>
      </c>
      <c r="I59" s="10">
        <f ca="1">IF(TodaysDate&gt;=$B59,Data!G59,NA())</f>
        <v>6</v>
      </c>
      <c r="J59" s="10">
        <f ca="1">IF(TodaysDate&gt;=$B59,Data!H59,NA())</f>
        <v>0</v>
      </c>
      <c r="K59" s="10">
        <f ca="1">IF(TodaysDate&gt;=$B59,Data!I59,NA())</f>
        <v>0</v>
      </c>
      <c r="L59" s="10">
        <f ca="1">IF(TodaysDate&gt;=$B59,Data!J59,NA())</f>
        <v>50</v>
      </c>
      <c r="M59" s="10">
        <f ca="1">IF(CFDTable[[#This Row],[Done]]&gt;0,(CFDTable[[#This Row],[Done]])-(L58),0)</f>
        <v>0</v>
      </c>
      <c r="N59" s="10">
        <f ca="1">IF(ISNUMBER($M59),SUM(CFDTable[[#This Row],[Done]]),IF(CFDTable[[#This Row],[lookupLow]]&gt;=CFDTable[[#This Row],[FutureWork2]]+CFDTable[[#This Row],[lowDaily]],NA(),CFDTable[[#This Row],[lookupLow]]))</f>
        <v>50</v>
      </c>
      <c r="O59" s="10">
        <f ca="1">IF(ISNUMBER($M59),SUM(CFDTable[[#This Row],[Done]]),IF(CFDTable[[#This Row],[lookupMedian]]&gt;=CFDTable[[#This Row],[FutureWork2]],NA(),CFDTable[[#This Row],[lookupMedian]]))</f>
        <v>50</v>
      </c>
      <c r="P59" s="10">
        <f ca="1">IF(ISNUMBER(CFDTable[[#This Row],[Done Today]]),SUM(CFDTable[[#This Row],[Done]]),IF(CFDTable[[#This Row],[lookupHigh]]&gt;=CFDTable[[#This Row],[FutureWork2]]+CFDTable[[#This Row],[highDaily]],NA(),CFDTable[[#This Row],[lookupHigh]]))</f>
        <v>50</v>
      </c>
      <c r="Q59" s="10">
        <f ca="1">CFDTable[[#This Row],[AvgDaily]]-CFDTable[[#This Row],[Deviation]]</f>
        <v>0.90476190476190477</v>
      </c>
      <c r="R59" s="10">
        <f ca="1">AVERAGE(IF(ISNUMBER(M59),IF(ISNUMBER(OFFSET(M59,-Historic,0)),OFFSET(M59,-Historic,0),M$2):M59,R58))</f>
        <v>0.95238095238095233</v>
      </c>
      <c r="S59" s="10">
        <f ca="1">AVERAGE(IF(ISNUMBER(M59),IF(ISNUMBER(OFFSET(M59,-Historic,0)),OFFSET(M59,-Historic,0),M$2):M59,S58))</f>
        <v>0.95238095238095233</v>
      </c>
      <c r="T59" s="10">
        <f ca="1">AVERAGE(IF(ISNUMBER(M59),OFFSET(M$2,DaysToIgnoreOnAvg,0):M59,T58))</f>
        <v>0.8571428571428571</v>
      </c>
      <c r="U59" s="10">
        <f ca="1">CFDTable[[#This Row],[AvgDaily]]+CFDTable[[#This Row],[Deviation]]</f>
        <v>0.99999999999999989</v>
      </c>
      <c r="V59" s="10">
        <f ca="1">IF(ISNUMBER(M59),((_xlfn.PERCENTILE.INC(IF(ISNUMBER(OFFSET(R59,-Historic,0)),OFFSET(R59,-Historic,0),R$2):R59,PercentileHigh/100))-(MEDIAN(IF(ISNUMBER(OFFSET(R59,-Historic,0)),OFFSET(R59,-Historic,0),R$2):R59))),V58)</f>
        <v>4.7619047619047561E-2</v>
      </c>
      <c r="W59" s="10">
        <f ca="1">IF(ISNUMBER(M59),((_xlfn.PERCENTILE.INC(R$2:R59,PercentileHigh/100))-(MEDIAN(R$2:R59))),V58)</f>
        <v>0.1428571428571429</v>
      </c>
      <c r="X59" s="10">
        <f ca="1">(SUM(CFDTable[[#This Row],[To Do]:[Done]])-SUM(G58:L58))</f>
        <v>0</v>
      </c>
      <c r="Y59" s="10">
        <f ca="1">AVERAGE(IF(ISNUMBER(X59),IF(ISNUMBER(OFFSET(X59,-Historic,0)),OFFSET(X59,-Historic,0),X$2):X59,Y58))</f>
        <v>0.66666666666666663</v>
      </c>
      <c r="Z59" s="10">
        <f ca="1">IF(ISNUMBER(CFDTable[[#This Row],[Done Today]]),SUM($G59:$L59),Z58+CFDTable[[#This Row],[avg added]])</f>
        <v>100</v>
      </c>
      <c r="AA59" s="10">
        <f ca="1">IF(ISNUMBER(CFDTable[[#This Row],[Done Today]]),SUM($G59:$L59),$AA58)</f>
        <v>100</v>
      </c>
      <c r="AB59" s="10">
        <f ca="1">IF(ISNUMBER(CFDTable[[#This Row],[Done Today]]),SUM($G59:$L59),$AB58)</f>
        <v>100</v>
      </c>
      <c r="AC59" s="10">
        <f ca="1">SUM(LOOKUP(2,1/(N$1:N58&lt;&gt;""),N$1:N58)+CFDTable[[#This Row],[lowDaily]])</f>
        <v>50.904761904761905</v>
      </c>
      <c r="AD59" s="10">
        <f ca="1">SUM(LOOKUP(2,1/(O$1:O58&lt;&gt;""),O$1:O58)+R59)</f>
        <v>50.952380952380949</v>
      </c>
      <c r="AE59" s="10">
        <f ca="1">SUM(LOOKUP(2,1/(P$1:P58&lt;&gt;""),P$1:P58)+CFDTable[[#This Row],[highDaily]])</f>
        <v>51</v>
      </c>
      <c r="AF59" s="12">
        <f>IF(CFDTable[[#This Row],[Date]]=DeadlineDate,CFDTable[[#This Row],[FutureWork2]],0)</f>
        <v>0</v>
      </c>
    </row>
    <row r="60" spans="1:32">
      <c r="A60" s="8">
        <f>CFDTable[[#This Row],[Date]]</f>
        <v>42493</v>
      </c>
      <c r="B60" s="9">
        <f>Data!B60</f>
        <v>42493</v>
      </c>
      <c r="C60" s="10" t="e">
        <f ca="1">IF(ISNUMBER(CFDTable[[#This Row],[Ready]]),NA(),CFDTable[[#This Row],[Target]]-CFDTable[[#This Row],[To Do]])</f>
        <v>#N/A</v>
      </c>
      <c r="D60" s="10" t="e">
        <f>IF(CFDTable[[#This Row],[Emergence]]&gt;0,CFDTable[[#This Row],[Future Work]]-CFDTable[[#This Row],[Emergence]],NA())</f>
        <v>#N/A</v>
      </c>
      <c r="E60" s="10">
        <f>Data!C60</f>
        <v>0</v>
      </c>
      <c r="F60" s="10">
        <f ca="1">Data!D60</f>
        <v>44</v>
      </c>
      <c r="G60" s="10">
        <f ca="1">Data!E60</f>
        <v>44</v>
      </c>
      <c r="H60" s="10">
        <f ca="1">IF(TodaysDate&gt;=$B60,Data!F60,NA())</f>
        <v>0</v>
      </c>
      <c r="I60" s="10">
        <f ca="1">IF(TodaysDate&gt;=$B60,Data!G60,NA())</f>
        <v>6</v>
      </c>
      <c r="J60" s="10">
        <f ca="1">IF(TodaysDate&gt;=$B60,Data!H60,NA())</f>
        <v>0</v>
      </c>
      <c r="K60" s="10">
        <f ca="1">IF(TodaysDate&gt;=$B60,Data!I60,NA())</f>
        <v>0</v>
      </c>
      <c r="L60" s="10">
        <f ca="1">IF(TodaysDate&gt;=$B60,Data!J60,NA())</f>
        <v>50</v>
      </c>
      <c r="M60" s="10">
        <f ca="1">IF(CFDTable[[#This Row],[Done]]&gt;0,(CFDTable[[#This Row],[Done]])-(L59),0)</f>
        <v>0</v>
      </c>
      <c r="N60" s="10">
        <f ca="1">IF(ISNUMBER($M60),SUM(CFDTable[[#This Row],[Done]]),IF(CFDTable[[#This Row],[lookupLow]]&gt;=CFDTable[[#This Row],[FutureWork2]]+CFDTable[[#This Row],[lowDaily]],NA(),CFDTable[[#This Row],[lookupLow]]))</f>
        <v>50</v>
      </c>
      <c r="O60" s="10">
        <f ca="1">IF(ISNUMBER($M60),SUM(CFDTable[[#This Row],[Done]]),IF(CFDTable[[#This Row],[lookupMedian]]&gt;=CFDTable[[#This Row],[FutureWork2]],NA(),CFDTable[[#This Row],[lookupMedian]]))</f>
        <v>50</v>
      </c>
      <c r="P60" s="10">
        <f ca="1">IF(ISNUMBER(CFDTable[[#This Row],[Done Today]]),SUM(CFDTable[[#This Row],[Done]]),IF(CFDTable[[#This Row],[lookupHigh]]&gt;=CFDTable[[#This Row],[FutureWork2]]+CFDTable[[#This Row],[highDaily]],NA(),CFDTable[[#This Row],[lookupHigh]]))</f>
        <v>50</v>
      </c>
      <c r="Q60" s="10">
        <f ca="1">CFDTable[[#This Row],[AvgDaily]]-CFDTable[[#This Row],[Deviation]]</f>
        <v>0.85714285714285721</v>
      </c>
      <c r="R60" s="10">
        <f ca="1">AVERAGE(IF(ISNUMBER(M60),IF(ISNUMBER(OFFSET(M60,-Historic,0)),OFFSET(M60,-Historic,0),M$2):M60,R59))</f>
        <v>0.90476190476190477</v>
      </c>
      <c r="S60" s="10">
        <f ca="1">AVERAGE(IF(ISNUMBER(M60),IF(ISNUMBER(OFFSET(M60,-Historic,0)),OFFSET(M60,-Historic,0),M$2):M60,S59))</f>
        <v>0.90476190476190477</v>
      </c>
      <c r="T60" s="10">
        <f ca="1">AVERAGE(IF(ISNUMBER(M60),OFFSET(M$2,DaysToIgnoreOnAvg,0):M60,T59))</f>
        <v>0.84210526315789469</v>
      </c>
      <c r="U60" s="10">
        <f ca="1">CFDTable[[#This Row],[AvgDaily]]+CFDTable[[#This Row],[Deviation]]</f>
        <v>0.95238095238095233</v>
      </c>
      <c r="V60" s="10">
        <f ca="1">IF(ISNUMBER(M60),((_xlfn.PERCENTILE.INC(IF(ISNUMBER(OFFSET(R60,-Historic,0)),OFFSET(R60,-Historic,0),R$2):R60,PercentileHigh/100))-(MEDIAN(IF(ISNUMBER(OFFSET(R60,-Historic,0)),OFFSET(R60,-Historic,0),R$2):R60))),V59)</f>
        <v>4.7619047619047561E-2</v>
      </c>
      <c r="W60" s="10">
        <f ca="1">IF(ISNUMBER(M60),((_xlfn.PERCENTILE.INC(R$2:R60,PercentileHigh/100))-(MEDIAN(R$2:R60))),V59)</f>
        <v>0.1428571428571429</v>
      </c>
      <c r="X60" s="10">
        <f ca="1">(SUM(CFDTable[[#This Row],[To Do]:[Done]])-SUM(G59:L59))</f>
        <v>0</v>
      </c>
      <c r="Y60" s="10">
        <f ca="1">AVERAGE(IF(ISNUMBER(X60),IF(ISNUMBER(OFFSET(X60,-Historic,0)),OFFSET(X60,-Historic,0),X$2):X60,Y59))</f>
        <v>0.61904761904761907</v>
      </c>
      <c r="Z60" s="10">
        <f ca="1">IF(ISNUMBER(CFDTable[[#This Row],[Done Today]]),SUM($G60:$L60),Z59+CFDTable[[#This Row],[avg added]])</f>
        <v>100</v>
      </c>
      <c r="AA60" s="10">
        <f ca="1">IF(ISNUMBER(CFDTable[[#This Row],[Done Today]]),SUM($G60:$L60),$AA59)</f>
        <v>100</v>
      </c>
      <c r="AB60" s="10">
        <f ca="1">IF(ISNUMBER(CFDTable[[#This Row],[Done Today]]),SUM($G60:$L60),$AB59)</f>
        <v>100</v>
      </c>
      <c r="AC60" s="10">
        <f ca="1">SUM(LOOKUP(2,1/(N$1:N59&lt;&gt;""),N$1:N59)+CFDTable[[#This Row],[lowDaily]])</f>
        <v>50.857142857142854</v>
      </c>
      <c r="AD60" s="10">
        <f ca="1">SUM(LOOKUP(2,1/(O$1:O59&lt;&gt;""),O$1:O59)+R60)</f>
        <v>50.904761904761905</v>
      </c>
      <c r="AE60" s="10">
        <f ca="1">SUM(LOOKUP(2,1/(P$1:P59&lt;&gt;""),P$1:P59)+CFDTable[[#This Row],[highDaily]])</f>
        <v>50.952380952380949</v>
      </c>
      <c r="AF60" s="12">
        <f>IF(CFDTable[[#This Row],[Date]]=DeadlineDate,CFDTable[[#This Row],[FutureWork2]],0)</f>
        <v>0</v>
      </c>
    </row>
    <row r="61" spans="1:32">
      <c r="A61" s="8">
        <f>CFDTable[[#This Row],[Date]]</f>
        <v>42494</v>
      </c>
      <c r="B61" s="9">
        <f>Data!B61</f>
        <v>42494</v>
      </c>
      <c r="C61" s="10" t="e">
        <f ca="1">IF(ISNUMBER(CFDTable[[#This Row],[Ready]]),NA(),CFDTable[[#This Row],[Target]]-CFDTable[[#This Row],[To Do]])</f>
        <v>#N/A</v>
      </c>
      <c r="D61" s="10" t="e">
        <f>IF(CFDTable[[#This Row],[Emergence]]&gt;0,CFDTable[[#This Row],[Future Work]]-CFDTable[[#This Row],[Emergence]],NA())</f>
        <v>#N/A</v>
      </c>
      <c r="E61" s="10">
        <f>Data!C61</f>
        <v>0</v>
      </c>
      <c r="F61" s="10">
        <f ca="1">Data!D61</f>
        <v>44</v>
      </c>
      <c r="G61" s="10">
        <f ca="1">Data!E61</f>
        <v>44</v>
      </c>
      <c r="H61" s="10">
        <f ca="1">IF(TodaysDate&gt;=$B61,Data!F61,NA())</f>
        <v>0</v>
      </c>
      <c r="I61" s="10">
        <f ca="1">IF(TodaysDate&gt;=$B61,Data!G61,NA())</f>
        <v>7</v>
      </c>
      <c r="J61" s="10">
        <f ca="1">IF(TodaysDate&gt;=$B61,Data!H61,NA())</f>
        <v>0</v>
      </c>
      <c r="K61" s="10">
        <f ca="1">IF(TodaysDate&gt;=$B61,Data!I61,NA())</f>
        <v>0</v>
      </c>
      <c r="L61" s="10">
        <f ca="1">IF(TodaysDate&gt;=$B61,Data!J61,NA())</f>
        <v>50</v>
      </c>
      <c r="M61" s="10">
        <f ca="1">IF(CFDTable[[#This Row],[Done]]&gt;0,(CFDTable[[#This Row],[Done]])-(L60),0)</f>
        <v>0</v>
      </c>
      <c r="N61" s="10">
        <f ca="1">IF(ISNUMBER($M61),SUM(CFDTable[[#This Row],[Done]]),IF(CFDTable[[#This Row],[lookupLow]]&gt;=CFDTable[[#This Row],[FutureWork2]]+CFDTable[[#This Row],[lowDaily]],NA(),CFDTable[[#This Row],[lookupLow]]))</f>
        <v>50</v>
      </c>
      <c r="O61" s="10">
        <f ca="1">IF(ISNUMBER($M61),SUM(CFDTable[[#This Row],[Done]]),IF(CFDTable[[#This Row],[lookupMedian]]&gt;=CFDTable[[#This Row],[FutureWork2]],NA(),CFDTable[[#This Row],[lookupMedian]]))</f>
        <v>50</v>
      </c>
      <c r="P61" s="10">
        <f ca="1">IF(ISNUMBER(CFDTable[[#This Row],[Done Today]]),SUM(CFDTable[[#This Row],[Done]]),IF(CFDTable[[#This Row],[lookupHigh]]&gt;=CFDTable[[#This Row],[FutureWork2]]+CFDTable[[#This Row],[highDaily]],NA(),CFDTable[[#This Row],[lookupHigh]]))</f>
        <v>50</v>
      </c>
      <c r="Q61" s="10">
        <f ca="1">CFDTable[[#This Row],[AvgDaily]]-CFDTable[[#This Row],[Deviation]]</f>
        <v>0.80952380952380953</v>
      </c>
      <c r="R61" s="10">
        <f ca="1">AVERAGE(IF(ISNUMBER(M61),IF(ISNUMBER(OFFSET(M61,-Historic,0)),OFFSET(M61,-Historic,0),M$2):M61,R60))</f>
        <v>0.8571428571428571</v>
      </c>
      <c r="S61" s="10">
        <f ca="1">AVERAGE(IF(ISNUMBER(M61),IF(ISNUMBER(OFFSET(M61,-Historic,0)),OFFSET(M61,-Historic,0),M$2):M61,S60))</f>
        <v>0.8571428571428571</v>
      </c>
      <c r="T61" s="10">
        <f ca="1">AVERAGE(IF(ISNUMBER(M61),OFFSET(M$2,DaysToIgnoreOnAvg,0):M61,T60))</f>
        <v>0.82758620689655171</v>
      </c>
      <c r="U61" s="10">
        <f ca="1">CFDTable[[#This Row],[AvgDaily]]+CFDTable[[#This Row],[Deviation]]</f>
        <v>0.90476190476190466</v>
      </c>
      <c r="V61" s="10">
        <f ca="1">IF(ISNUMBER(M61),((_xlfn.PERCENTILE.INC(IF(ISNUMBER(OFFSET(R61,-Historic,0)),OFFSET(R61,-Historic,0),R$2):R61,PercentileHigh/100))-(MEDIAN(IF(ISNUMBER(OFFSET(R61,-Historic,0)),OFFSET(R61,-Historic,0),R$2):R61))),V60)</f>
        <v>4.7619047619047561E-2</v>
      </c>
      <c r="W61" s="10">
        <f ca="1">IF(ISNUMBER(M61),((_xlfn.PERCENTILE.INC(R$2:R61,PercentileHigh/100))-(MEDIAN(R$2:R61))),V60)</f>
        <v>0.1428571428571429</v>
      </c>
      <c r="X61" s="10">
        <f ca="1">(SUM(CFDTable[[#This Row],[To Do]:[Done]])-SUM(G60:L60))</f>
        <v>1</v>
      </c>
      <c r="Y61" s="10">
        <f ca="1">AVERAGE(IF(ISNUMBER(X61),IF(ISNUMBER(OFFSET(X61,-Historic,0)),OFFSET(X61,-Historic,0),X$2):X61,Y60))</f>
        <v>0.66666666666666663</v>
      </c>
      <c r="Z61" s="10">
        <f ca="1">IF(ISNUMBER(CFDTable[[#This Row],[Done Today]]),SUM($G61:$L61),Z60+CFDTable[[#This Row],[avg added]])</f>
        <v>101</v>
      </c>
      <c r="AA61" s="10">
        <f ca="1">IF(ISNUMBER(CFDTable[[#This Row],[Done Today]]),SUM($G61:$L61),$AA60)</f>
        <v>101</v>
      </c>
      <c r="AB61" s="10">
        <f ca="1">IF(ISNUMBER(CFDTable[[#This Row],[Done Today]]),SUM($G61:$L61),$AB60)</f>
        <v>101</v>
      </c>
      <c r="AC61" s="10">
        <f ca="1">SUM(LOOKUP(2,1/(N$1:N60&lt;&gt;""),N$1:N60)+CFDTable[[#This Row],[lowDaily]])</f>
        <v>50.80952380952381</v>
      </c>
      <c r="AD61" s="10">
        <f ca="1">SUM(LOOKUP(2,1/(O$1:O60&lt;&gt;""),O$1:O60)+R61)</f>
        <v>50.857142857142854</v>
      </c>
      <c r="AE61" s="10">
        <f ca="1">SUM(LOOKUP(2,1/(P$1:P60&lt;&gt;""),P$1:P60)+CFDTable[[#This Row],[highDaily]])</f>
        <v>50.904761904761905</v>
      </c>
      <c r="AF61" s="12">
        <f>IF(CFDTable[[#This Row],[Date]]=DeadlineDate,CFDTable[[#This Row],[FutureWork2]],0)</f>
        <v>0</v>
      </c>
    </row>
    <row r="62" spans="1:32">
      <c r="A62" s="8">
        <f>CFDTable[[#This Row],[Date]]</f>
        <v>42495</v>
      </c>
      <c r="B62" s="9">
        <f>Data!B62</f>
        <v>42495</v>
      </c>
      <c r="C62" s="10" t="e">
        <f ca="1">IF(ISNUMBER(CFDTable[[#This Row],[Ready]]),NA(),CFDTable[[#This Row],[Target]]-CFDTable[[#This Row],[To Do]])</f>
        <v>#N/A</v>
      </c>
      <c r="D62" s="10" t="e">
        <f>IF(CFDTable[[#This Row],[Emergence]]&gt;0,CFDTable[[#This Row],[Future Work]]-CFDTable[[#This Row],[Emergence]],NA())</f>
        <v>#N/A</v>
      </c>
      <c r="E62" s="10">
        <f>Data!C62</f>
        <v>0</v>
      </c>
      <c r="F62" s="10">
        <f ca="1">Data!D62</f>
        <v>44</v>
      </c>
      <c r="G62" s="10">
        <f ca="1">Data!E62</f>
        <v>44</v>
      </c>
      <c r="H62" s="10">
        <f ca="1">IF(TodaysDate&gt;=$B62,Data!F62,NA())</f>
        <v>0</v>
      </c>
      <c r="I62" s="10">
        <f ca="1">IF(TodaysDate&gt;=$B62,Data!G62,NA())</f>
        <v>8</v>
      </c>
      <c r="J62" s="10">
        <f ca="1">IF(TodaysDate&gt;=$B62,Data!H62,NA())</f>
        <v>0</v>
      </c>
      <c r="K62" s="10">
        <f ca="1">IF(TodaysDate&gt;=$B62,Data!I62,NA())</f>
        <v>0</v>
      </c>
      <c r="L62" s="10">
        <f ca="1">IF(TodaysDate&gt;=$B62,Data!J62,NA())</f>
        <v>50</v>
      </c>
      <c r="M62" s="10">
        <f ca="1">IF(CFDTable[[#This Row],[Done]]&gt;0,(CFDTable[[#This Row],[Done]])-(L61),0)</f>
        <v>0</v>
      </c>
      <c r="N62" s="10">
        <f ca="1">IF(ISNUMBER($M62),SUM(CFDTable[[#This Row],[Done]]),IF(CFDTable[[#This Row],[lookupLow]]&gt;=CFDTable[[#This Row],[FutureWork2]]+CFDTable[[#This Row],[lowDaily]],NA(),CFDTable[[#This Row],[lookupLow]]))</f>
        <v>50</v>
      </c>
      <c r="O62" s="10">
        <f ca="1">IF(ISNUMBER($M62),SUM(CFDTable[[#This Row],[Done]]),IF(CFDTable[[#This Row],[lookupMedian]]&gt;=CFDTable[[#This Row],[FutureWork2]],NA(),CFDTable[[#This Row],[lookupMedian]]))</f>
        <v>50</v>
      </c>
      <c r="P62" s="10">
        <f ca="1">IF(ISNUMBER(CFDTable[[#This Row],[Done Today]]),SUM(CFDTable[[#This Row],[Done]]),IF(CFDTable[[#This Row],[lookupHigh]]&gt;=CFDTable[[#This Row],[FutureWork2]]+CFDTable[[#This Row],[highDaily]],NA(),CFDTable[[#This Row],[lookupHigh]]))</f>
        <v>50</v>
      </c>
      <c r="Q62" s="10">
        <f ca="1">CFDTable[[#This Row],[AvgDaily]]-CFDTable[[#This Row],[Deviation]]</f>
        <v>0.80952380952380953</v>
      </c>
      <c r="R62" s="10">
        <f ca="1">AVERAGE(IF(ISNUMBER(M62),IF(ISNUMBER(OFFSET(M62,-Historic,0)),OFFSET(M62,-Historic,0),M$2):M62,R61))</f>
        <v>0.8571428571428571</v>
      </c>
      <c r="S62" s="10">
        <f ca="1">AVERAGE(IF(ISNUMBER(M62),IF(ISNUMBER(OFFSET(M62,-Historic,0)),OFFSET(M62,-Historic,0),M$2):M62,S61))</f>
        <v>0.8571428571428571</v>
      </c>
      <c r="T62" s="10">
        <f ca="1">AVERAGE(IF(ISNUMBER(M62),OFFSET(M$2,DaysToIgnoreOnAvg,0):M62,T61))</f>
        <v>0.81355932203389836</v>
      </c>
      <c r="U62" s="10">
        <f ca="1">CFDTable[[#This Row],[AvgDaily]]+CFDTable[[#This Row],[Deviation]]</f>
        <v>0.90476190476190466</v>
      </c>
      <c r="V62" s="10">
        <f ca="1">IF(ISNUMBER(M62),((_xlfn.PERCENTILE.INC(IF(ISNUMBER(OFFSET(R62,-Historic,0)),OFFSET(R62,-Historic,0),R$2):R62,PercentileHigh/100))-(MEDIAN(IF(ISNUMBER(OFFSET(R62,-Historic,0)),OFFSET(R62,-Historic,0),R$2):R62))),V61)</f>
        <v>4.7619047619047561E-2</v>
      </c>
      <c r="W62" s="10">
        <f ca="1">IF(ISNUMBER(M62),((_xlfn.PERCENTILE.INC(R$2:R62,PercentileHigh/100))-(MEDIAN(R$2:R62))),V61)</f>
        <v>0.1428571428571429</v>
      </c>
      <c r="X62" s="10">
        <f ca="1">(SUM(CFDTable[[#This Row],[To Do]:[Done]])-SUM(G61:L61))</f>
        <v>1</v>
      </c>
      <c r="Y62" s="10">
        <f ca="1">AVERAGE(IF(ISNUMBER(X62),IF(ISNUMBER(OFFSET(X62,-Historic,0)),OFFSET(X62,-Historic,0),X$2):X62,Y61))</f>
        <v>0.7142857142857143</v>
      </c>
      <c r="Z62" s="10">
        <f ca="1">IF(ISNUMBER(CFDTable[[#This Row],[Done Today]]),SUM($G62:$L62),Z61+CFDTable[[#This Row],[avg added]])</f>
        <v>102</v>
      </c>
      <c r="AA62" s="10">
        <f ca="1">IF(ISNUMBER(CFDTable[[#This Row],[Done Today]]),SUM($G62:$L62),$AA61)</f>
        <v>102</v>
      </c>
      <c r="AB62" s="10">
        <f ca="1">IF(ISNUMBER(CFDTable[[#This Row],[Done Today]]),SUM($G62:$L62),$AB61)</f>
        <v>102</v>
      </c>
      <c r="AC62" s="10">
        <f ca="1">SUM(LOOKUP(2,1/(N$1:N61&lt;&gt;""),N$1:N61)+CFDTable[[#This Row],[lowDaily]])</f>
        <v>50.80952380952381</v>
      </c>
      <c r="AD62" s="10">
        <f ca="1">SUM(LOOKUP(2,1/(O$1:O61&lt;&gt;""),O$1:O61)+R62)</f>
        <v>50.857142857142854</v>
      </c>
      <c r="AE62" s="10">
        <f ca="1">SUM(LOOKUP(2,1/(P$1:P61&lt;&gt;""),P$1:P61)+CFDTable[[#This Row],[highDaily]])</f>
        <v>50.904761904761905</v>
      </c>
      <c r="AF62" s="12">
        <f>IF(CFDTable[[#This Row],[Date]]=DeadlineDate,CFDTable[[#This Row],[FutureWork2]],0)</f>
        <v>0</v>
      </c>
    </row>
    <row r="63" spans="1:32">
      <c r="A63" s="8">
        <f>CFDTable[[#This Row],[Date]]</f>
        <v>42496</v>
      </c>
      <c r="B63" s="9">
        <f>Data!B63</f>
        <v>42496</v>
      </c>
      <c r="C63" s="10" t="e">
        <f ca="1">IF(ISNUMBER(CFDTable[[#This Row],[Ready]]),NA(),CFDTable[[#This Row],[Target]]-CFDTable[[#This Row],[To Do]])</f>
        <v>#N/A</v>
      </c>
      <c r="D63" s="10" t="e">
        <f>IF(CFDTable[[#This Row],[Emergence]]&gt;0,CFDTable[[#This Row],[Future Work]]-CFDTable[[#This Row],[Emergence]],NA())</f>
        <v>#N/A</v>
      </c>
      <c r="E63" s="10">
        <f>Data!C63</f>
        <v>0</v>
      </c>
      <c r="F63" s="10">
        <f ca="1">Data!D63</f>
        <v>44</v>
      </c>
      <c r="G63" s="10">
        <f ca="1">Data!E63</f>
        <v>44</v>
      </c>
      <c r="H63" s="10">
        <f ca="1">IF(TodaysDate&gt;=$B63,Data!F63,NA())</f>
        <v>0</v>
      </c>
      <c r="I63" s="10">
        <f ca="1">IF(TodaysDate&gt;=$B63,Data!G63,NA())</f>
        <v>4</v>
      </c>
      <c r="J63" s="10">
        <f ca="1">IF(TodaysDate&gt;=$B63,Data!H63,NA())</f>
        <v>0</v>
      </c>
      <c r="K63" s="10">
        <f ca="1">IF(TodaysDate&gt;=$B63,Data!I63,NA())</f>
        <v>0</v>
      </c>
      <c r="L63" s="10">
        <f ca="1">IF(TodaysDate&gt;=$B63,Data!J63,NA())</f>
        <v>54</v>
      </c>
      <c r="M63" s="10">
        <f ca="1">IF(CFDTable[[#This Row],[Done]]&gt;0,(CFDTable[[#This Row],[Done]])-(L62),0)</f>
        <v>4</v>
      </c>
      <c r="N63" s="10">
        <f ca="1">IF(ISNUMBER($M63),SUM(CFDTable[[#This Row],[Done]]),IF(CFDTable[[#This Row],[lookupLow]]&gt;=CFDTable[[#This Row],[FutureWork2]]+CFDTable[[#This Row],[lowDaily]],NA(),CFDTable[[#This Row],[lookupLow]]))</f>
        <v>54</v>
      </c>
      <c r="O63" s="10">
        <f ca="1">IF(ISNUMBER($M63),SUM(CFDTable[[#This Row],[Done]]),IF(CFDTable[[#This Row],[lookupMedian]]&gt;=CFDTable[[#This Row],[FutureWork2]],NA(),CFDTable[[#This Row],[lookupMedian]]))</f>
        <v>54</v>
      </c>
      <c r="P63" s="10">
        <f ca="1">IF(ISNUMBER(CFDTable[[#This Row],[Done Today]]),SUM(CFDTable[[#This Row],[Done]]),IF(CFDTable[[#This Row],[lookupHigh]]&gt;=CFDTable[[#This Row],[FutureWork2]]+CFDTable[[#This Row],[highDaily]],NA(),CFDTable[[#This Row],[lookupHigh]]))</f>
        <v>54</v>
      </c>
      <c r="Q63" s="10">
        <f ca="1">CFDTable[[#This Row],[AvgDaily]]-CFDTable[[#This Row],[Deviation]]</f>
        <v>0.90476190476190477</v>
      </c>
      <c r="R63" s="10">
        <f ca="1">AVERAGE(IF(ISNUMBER(M63),IF(ISNUMBER(OFFSET(M63,-Historic,0)),OFFSET(M63,-Historic,0),M$2):M63,R62))</f>
        <v>0.95238095238095233</v>
      </c>
      <c r="S63" s="10">
        <f ca="1">AVERAGE(IF(ISNUMBER(M63),IF(ISNUMBER(OFFSET(M63,-Historic,0)),OFFSET(M63,-Historic,0),M$2):M63,S62))</f>
        <v>0.95238095238095233</v>
      </c>
      <c r="T63" s="10">
        <f ca="1">AVERAGE(IF(ISNUMBER(M63),OFFSET(M$2,DaysToIgnoreOnAvg,0):M63,T62))</f>
        <v>0.8666666666666667</v>
      </c>
      <c r="U63" s="10">
        <f ca="1">CFDTable[[#This Row],[AvgDaily]]+CFDTable[[#This Row],[Deviation]]</f>
        <v>0.99999999999999989</v>
      </c>
      <c r="V63" s="10">
        <f ca="1">IF(ISNUMBER(M63),((_xlfn.PERCENTILE.INC(IF(ISNUMBER(OFFSET(R63,-Historic,0)),OFFSET(R63,-Historic,0),R$2):R63,PercentileHigh/100))-(MEDIAN(IF(ISNUMBER(OFFSET(R63,-Historic,0)),OFFSET(R63,-Historic,0),R$2):R63))),V62)</f>
        <v>4.7619047619047561E-2</v>
      </c>
      <c r="W63" s="10">
        <f ca="1">IF(ISNUMBER(M63),((_xlfn.PERCENTILE.INC(R$2:R63,PercentileHigh/100))-(MEDIAN(R$2:R63))),V62)</f>
        <v>0.13571428571428579</v>
      </c>
      <c r="X63" s="10">
        <f ca="1">(SUM(CFDTable[[#This Row],[To Do]:[Done]])-SUM(G62:L62))</f>
        <v>0</v>
      </c>
      <c r="Y63" s="10">
        <f ca="1">AVERAGE(IF(ISNUMBER(X63),IF(ISNUMBER(OFFSET(X63,-Historic,0)),OFFSET(X63,-Historic,0),X$2):X63,Y62))</f>
        <v>0.7142857142857143</v>
      </c>
      <c r="Z63" s="10">
        <f ca="1">IF(ISNUMBER(CFDTable[[#This Row],[Done Today]]),SUM($G63:$L63),Z62+CFDTable[[#This Row],[avg added]])</f>
        <v>102</v>
      </c>
      <c r="AA63" s="10">
        <f ca="1">IF(ISNUMBER(CFDTable[[#This Row],[Done Today]]),SUM($G63:$L63),$AA62)</f>
        <v>102</v>
      </c>
      <c r="AB63" s="10">
        <f ca="1">IF(ISNUMBER(CFDTable[[#This Row],[Done Today]]),SUM($G63:$L63),$AB62)</f>
        <v>102</v>
      </c>
      <c r="AC63" s="10">
        <f ca="1">SUM(LOOKUP(2,1/(N$1:N62&lt;&gt;""),N$1:N62)+CFDTable[[#This Row],[lowDaily]])</f>
        <v>50.904761904761905</v>
      </c>
      <c r="AD63" s="10">
        <f ca="1">SUM(LOOKUP(2,1/(O$1:O62&lt;&gt;""),O$1:O62)+R63)</f>
        <v>50.952380952380949</v>
      </c>
      <c r="AE63" s="10">
        <f ca="1">SUM(LOOKUP(2,1/(P$1:P62&lt;&gt;""),P$1:P62)+CFDTable[[#This Row],[highDaily]])</f>
        <v>51</v>
      </c>
      <c r="AF63" s="12">
        <f>IF(CFDTable[[#This Row],[Date]]=DeadlineDate,CFDTable[[#This Row],[FutureWork2]],0)</f>
        <v>0</v>
      </c>
    </row>
    <row r="64" spans="1:32">
      <c r="A64" s="8">
        <f>CFDTable[[#This Row],[Date]]</f>
        <v>42499</v>
      </c>
      <c r="B64" s="9">
        <f>Data!B64</f>
        <v>42499</v>
      </c>
      <c r="C64" s="10" t="e">
        <f ca="1">IF(ISNUMBER(CFDTable[[#This Row],[Ready]]),NA(),CFDTable[[#This Row],[Target]]-CFDTable[[#This Row],[To Do]])</f>
        <v>#N/A</v>
      </c>
      <c r="D64" s="10" t="e">
        <f>IF(CFDTable[[#This Row],[Emergence]]&gt;0,CFDTable[[#This Row],[Future Work]]-CFDTable[[#This Row],[Emergence]],NA())</f>
        <v>#N/A</v>
      </c>
      <c r="E64" s="10">
        <f>Data!C64</f>
        <v>0</v>
      </c>
      <c r="F64" s="10">
        <f ca="1">Data!D64</f>
        <v>49</v>
      </c>
      <c r="G64" s="10">
        <f ca="1">Data!E64</f>
        <v>49</v>
      </c>
      <c r="H64" s="10">
        <f ca="1">IF(TodaysDate&gt;=$B64,Data!F64,NA())</f>
        <v>0</v>
      </c>
      <c r="I64" s="10">
        <f ca="1">IF(TodaysDate&gt;=$B64,Data!G64,NA())</f>
        <v>2</v>
      </c>
      <c r="J64" s="10">
        <f ca="1">IF(TodaysDate&gt;=$B64,Data!H64,NA())</f>
        <v>0</v>
      </c>
      <c r="K64" s="10">
        <f ca="1">IF(TodaysDate&gt;=$B64,Data!I64,NA())</f>
        <v>0</v>
      </c>
      <c r="L64" s="10">
        <f ca="1">IF(TodaysDate&gt;=$B64,Data!J64,NA())</f>
        <v>56</v>
      </c>
      <c r="M64" s="10">
        <f ca="1">IF(CFDTable[[#This Row],[Done]]&gt;0,(CFDTable[[#This Row],[Done]])-(L63),0)</f>
        <v>2</v>
      </c>
      <c r="N64" s="10">
        <f ca="1">IF(ISNUMBER($M64),SUM(CFDTable[[#This Row],[Done]]),IF(CFDTable[[#This Row],[lookupLow]]&gt;=CFDTable[[#This Row],[FutureWork2]]+CFDTable[[#This Row],[lowDaily]],NA(),CFDTable[[#This Row],[lookupLow]]))</f>
        <v>56</v>
      </c>
      <c r="O64" s="10">
        <f ca="1">IF(ISNUMBER($M64),SUM(CFDTable[[#This Row],[Done]]),IF(CFDTable[[#This Row],[lookupMedian]]&gt;=CFDTable[[#This Row],[FutureWork2]],NA(),CFDTable[[#This Row],[lookupMedian]]))</f>
        <v>56</v>
      </c>
      <c r="P64" s="10">
        <f ca="1">IF(ISNUMBER(CFDTable[[#This Row],[Done Today]]),SUM(CFDTable[[#This Row],[Done]]),IF(CFDTable[[#This Row],[lookupHigh]]&gt;=CFDTable[[#This Row],[FutureWork2]]+CFDTable[[#This Row],[highDaily]],NA(),CFDTable[[#This Row],[lookupHigh]]))</f>
        <v>56</v>
      </c>
      <c r="Q64" s="10">
        <f ca="1">CFDTable[[#This Row],[AvgDaily]]-CFDTable[[#This Row],[Deviation]]</f>
        <v>0.95238095238095244</v>
      </c>
      <c r="R64" s="10">
        <f ca="1">AVERAGE(IF(ISNUMBER(M64),IF(ISNUMBER(OFFSET(M64,-Historic,0)),OFFSET(M64,-Historic,0),M$2):M64,R63))</f>
        <v>1.0476190476190477</v>
      </c>
      <c r="S64" s="10">
        <f ca="1">AVERAGE(IF(ISNUMBER(M64),IF(ISNUMBER(OFFSET(M64,-Historic,0)),OFFSET(M64,-Historic,0),M$2):M64,S63))</f>
        <v>1.0476190476190477</v>
      </c>
      <c r="T64" s="10">
        <f ca="1">AVERAGE(IF(ISNUMBER(M64),OFFSET(M$2,DaysToIgnoreOnAvg,0):M64,T63))</f>
        <v>0.88524590163934425</v>
      </c>
      <c r="U64" s="10">
        <f ca="1">CFDTable[[#This Row],[AvgDaily]]+CFDTable[[#This Row],[Deviation]]</f>
        <v>1.1428571428571428</v>
      </c>
      <c r="V64" s="10">
        <f ca="1">IF(ISNUMBER(M64),((_xlfn.PERCENTILE.INC(IF(ISNUMBER(OFFSET(R64,-Historic,0)),OFFSET(R64,-Historic,0),R$2):R64,PercentileHigh/100))-(MEDIAN(IF(ISNUMBER(OFFSET(R64,-Historic,0)),OFFSET(R64,-Historic,0),R$2):R64))),V63)</f>
        <v>9.5238095238095233E-2</v>
      </c>
      <c r="W64" s="10">
        <f ca="1">IF(ISNUMBER(M64),((_xlfn.PERCENTILE.INC(R$2:R64,PercentileHigh/100))-(MEDIAN(R$2:R64))),V63)</f>
        <v>0.1428571428571429</v>
      </c>
      <c r="X64" s="10">
        <f ca="1">(SUM(CFDTable[[#This Row],[To Do]:[Done]])-SUM(G63:L63))</f>
        <v>5</v>
      </c>
      <c r="Y64" s="10">
        <f ca="1">AVERAGE(IF(ISNUMBER(X64),IF(ISNUMBER(OFFSET(X64,-Historic,0)),OFFSET(X64,-Historic,0),X$2):X64,Y63))</f>
        <v>0.95238095238095233</v>
      </c>
      <c r="Z64" s="10">
        <f ca="1">IF(ISNUMBER(CFDTable[[#This Row],[Done Today]]),SUM($G64:$L64),Z63+CFDTable[[#This Row],[avg added]])</f>
        <v>107</v>
      </c>
      <c r="AA64" s="10">
        <f ca="1">IF(ISNUMBER(CFDTable[[#This Row],[Done Today]]),SUM($G64:$L64),$AA63)</f>
        <v>107</v>
      </c>
      <c r="AB64" s="10">
        <f ca="1">IF(ISNUMBER(CFDTable[[#This Row],[Done Today]]),SUM($G64:$L64),$AB63)</f>
        <v>107</v>
      </c>
      <c r="AC64" s="10">
        <f ca="1">SUM(LOOKUP(2,1/(N$1:N63&lt;&gt;""),N$1:N63)+CFDTable[[#This Row],[lowDaily]])</f>
        <v>54.952380952380949</v>
      </c>
      <c r="AD64" s="10">
        <f ca="1">SUM(LOOKUP(2,1/(O$1:O63&lt;&gt;""),O$1:O63)+R64)</f>
        <v>55.047619047619051</v>
      </c>
      <c r="AE64" s="10">
        <f ca="1">SUM(LOOKUP(2,1/(P$1:P63&lt;&gt;""),P$1:P63)+CFDTable[[#This Row],[highDaily]])</f>
        <v>55.142857142857146</v>
      </c>
      <c r="AF64" s="12">
        <f>IF(CFDTable[[#This Row],[Date]]=DeadlineDate,CFDTable[[#This Row],[FutureWork2]],0)</f>
        <v>0</v>
      </c>
    </row>
    <row r="65" spans="1:32">
      <c r="A65" s="8">
        <f>CFDTable[[#This Row],[Date]]</f>
        <v>42500</v>
      </c>
      <c r="B65" s="9">
        <f>Data!B65</f>
        <v>42500</v>
      </c>
      <c r="C65" s="10" t="e">
        <f ca="1">IF(ISNUMBER(CFDTable[[#This Row],[Ready]]),NA(),CFDTable[[#This Row],[Target]]-CFDTable[[#This Row],[To Do]])</f>
        <v>#N/A</v>
      </c>
      <c r="D65" s="10" t="e">
        <f>IF(CFDTable[[#This Row],[Emergence]]&gt;0,CFDTable[[#This Row],[Future Work]]-CFDTable[[#This Row],[Emergence]],NA())</f>
        <v>#N/A</v>
      </c>
      <c r="E65" s="10">
        <f>Data!C65</f>
        <v>0</v>
      </c>
      <c r="F65" s="10">
        <f ca="1">Data!D65</f>
        <v>48</v>
      </c>
      <c r="G65" s="10">
        <f ca="1">Data!E65</f>
        <v>48</v>
      </c>
      <c r="H65" s="10">
        <f ca="1">IF(TodaysDate&gt;=$B65,Data!F65,NA())</f>
        <v>0</v>
      </c>
      <c r="I65" s="10">
        <f ca="1">IF(TodaysDate&gt;=$B65,Data!G65,NA())</f>
        <v>5</v>
      </c>
      <c r="J65" s="10">
        <f ca="1">IF(TodaysDate&gt;=$B65,Data!H65,NA())</f>
        <v>0</v>
      </c>
      <c r="K65" s="10">
        <f ca="1">IF(TodaysDate&gt;=$B65,Data!I65,NA())</f>
        <v>0</v>
      </c>
      <c r="L65" s="10">
        <f ca="1">IF(TodaysDate&gt;=$B65,Data!J65,NA())</f>
        <v>56</v>
      </c>
      <c r="M65" s="10">
        <f ca="1">IF(CFDTable[[#This Row],[Done]]&gt;0,(CFDTable[[#This Row],[Done]])-(L64),0)</f>
        <v>0</v>
      </c>
      <c r="N65" s="10">
        <f ca="1">IF(ISNUMBER($M65),SUM(CFDTable[[#This Row],[Done]]),IF(CFDTable[[#This Row],[lookupLow]]&gt;=CFDTable[[#This Row],[FutureWork2]]+CFDTable[[#This Row],[lowDaily]],NA(),CFDTable[[#This Row],[lookupLow]]))</f>
        <v>56</v>
      </c>
      <c r="O65" s="10">
        <f ca="1">IF(ISNUMBER($M65),SUM(CFDTable[[#This Row],[Done]]),IF(CFDTable[[#This Row],[lookupMedian]]&gt;=CFDTable[[#This Row],[FutureWork2]],NA(),CFDTable[[#This Row],[lookupMedian]]))</f>
        <v>56</v>
      </c>
      <c r="P65" s="10">
        <f ca="1">IF(ISNUMBER(CFDTable[[#This Row],[Done Today]]),SUM(CFDTable[[#This Row],[Done]]),IF(CFDTable[[#This Row],[lookupHigh]]&gt;=CFDTable[[#This Row],[FutureWork2]]+CFDTable[[#This Row],[highDaily]],NA(),CFDTable[[#This Row],[lookupHigh]]))</f>
        <v>56</v>
      </c>
      <c r="Q65" s="10">
        <f ca="1">CFDTable[[#This Row],[AvgDaily]]-CFDTable[[#This Row],[Deviation]]</f>
        <v>0.90476190476190477</v>
      </c>
      <c r="R65" s="10">
        <f ca="1">AVERAGE(IF(ISNUMBER(M65),IF(ISNUMBER(OFFSET(M65,-Historic,0)),OFFSET(M65,-Historic,0),M$2):M65,R64))</f>
        <v>1.0476190476190477</v>
      </c>
      <c r="S65" s="10">
        <f ca="1">AVERAGE(IF(ISNUMBER(M65),IF(ISNUMBER(OFFSET(M65,-Historic,0)),OFFSET(M65,-Historic,0),M$2):M65,S64))</f>
        <v>1.0476190476190477</v>
      </c>
      <c r="T65" s="10">
        <f ca="1">AVERAGE(IF(ISNUMBER(M65),OFFSET(M$2,DaysToIgnoreOnAvg,0):M65,T64))</f>
        <v>0.87096774193548387</v>
      </c>
      <c r="U65" s="10">
        <f ca="1">CFDTable[[#This Row],[AvgDaily]]+CFDTable[[#This Row],[Deviation]]</f>
        <v>1.1904761904761907</v>
      </c>
      <c r="V65" s="10">
        <f ca="1">IF(ISNUMBER(M65),((_xlfn.PERCENTILE.INC(IF(ISNUMBER(OFFSET(R65,-Historic,0)),OFFSET(R65,-Historic,0),R$2):R65,PercentileHigh/100))-(MEDIAN(IF(ISNUMBER(OFFSET(R65,-Historic,0)),OFFSET(R65,-Historic,0),R$2):R65))),V64)</f>
        <v>0.1428571428571429</v>
      </c>
      <c r="W65" s="10">
        <f ca="1">IF(ISNUMBER(M65),((_xlfn.PERCENTILE.INC(R$2:R65,PercentileHigh/100))-(MEDIAN(R$2:R65))),V64)</f>
        <v>0.1428571428571429</v>
      </c>
      <c r="X65" s="10">
        <f ca="1">(SUM(CFDTable[[#This Row],[To Do]:[Done]])-SUM(G64:L64))</f>
        <v>2</v>
      </c>
      <c r="Y65" s="10">
        <f ca="1">AVERAGE(IF(ISNUMBER(X65),IF(ISNUMBER(OFFSET(X65,-Historic,0)),OFFSET(X65,-Historic,0),X$2):X65,Y64))</f>
        <v>1.0476190476190477</v>
      </c>
      <c r="Z65" s="10">
        <f ca="1">IF(ISNUMBER(CFDTable[[#This Row],[Done Today]]),SUM($G65:$L65),Z64+CFDTable[[#This Row],[avg added]])</f>
        <v>109</v>
      </c>
      <c r="AA65" s="10">
        <f ca="1">IF(ISNUMBER(CFDTable[[#This Row],[Done Today]]),SUM($G65:$L65),$AA64)</f>
        <v>109</v>
      </c>
      <c r="AB65" s="10">
        <f ca="1">IF(ISNUMBER(CFDTable[[#This Row],[Done Today]]),SUM($G65:$L65),$AB64)</f>
        <v>109</v>
      </c>
      <c r="AC65" s="10">
        <f ca="1">SUM(LOOKUP(2,1/(N$1:N64&lt;&gt;""),N$1:N64)+CFDTable[[#This Row],[lowDaily]])</f>
        <v>56.904761904761905</v>
      </c>
      <c r="AD65" s="10">
        <f ca="1">SUM(LOOKUP(2,1/(O$1:O64&lt;&gt;""),O$1:O64)+R65)</f>
        <v>57.047619047619051</v>
      </c>
      <c r="AE65" s="10">
        <f ca="1">SUM(LOOKUP(2,1/(P$1:P64&lt;&gt;""),P$1:P64)+CFDTable[[#This Row],[highDaily]])</f>
        <v>57.19047619047619</v>
      </c>
      <c r="AF65" s="12">
        <f>IF(CFDTable[[#This Row],[Date]]=DeadlineDate,CFDTable[[#This Row],[FutureWork2]],0)</f>
        <v>0</v>
      </c>
    </row>
    <row r="66" spans="1:32">
      <c r="A66" s="8">
        <f>CFDTable[[#This Row],[Date]]</f>
        <v>42501</v>
      </c>
      <c r="B66" s="9">
        <f>Data!B66</f>
        <v>42501</v>
      </c>
      <c r="C66" s="10" t="e">
        <f ca="1">IF(ISNUMBER(CFDTable[[#This Row],[Ready]]),NA(),CFDTable[[#This Row],[Target]]-CFDTable[[#This Row],[To Do]])</f>
        <v>#N/A</v>
      </c>
      <c r="D66" s="10" t="e">
        <f>IF(CFDTable[[#This Row],[Emergence]]&gt;0,CFDTable[[#This Row],[Future Work]]-CFDTable[[#This Row],[Emergence]],NA())</f>
        <v>#N/A</v>
      </c>
      <c r="E66" s="10">
        <f>Data!C66</f>
        <v>0</v>
      </c>
      <c r="F66" s="10">
        <f ca="1">Data!D66</f>
        <v>47</v>
      </c>
      <c r="G66" s="10">
        <f ca="1">Data!E66</f>
        <v>47</v>
      </c>
      <c r="H66" s="10">
        <f ca="1">IF(TodaysDate&gt;=$B66,Data!F66,NA())</f>
        <v>0</v>
      </c>
      <c r="I66" s="10">
        <f ca="1">IF(TodaysDate&gt;=$B66,Data!G66,NA())</f>
        <v>6</v>
      </c>
      <c r="J66" s="10">
        <f ca="1">IF(TodaysDate&gt;=$B66,Data!H66,NA())</f>
        <v>0</v>
      </c>
      <c r="K66" s="10">
        <f ca="1">IF(TodaysDate&gt;=$B66,Data!I66,NA())</f>
        <v>0</v>
      </c>
      <c r="L66" s="10">
        <f ca="1">IF(TodaysDate&gt;=$B66,Data!J66,NA())</f>
        <v>59</v>
      </c>
      <c r="M66" s="10">
        <f ca="1">IF(CFDTable[[#This Row],[Done]]&gt;0,(CFDTable[[#This Row],[Done]])-(L65),0)</f>
        <v>3</v>
      </c>
      <c r="N66" s="10">
        <f ca="1">IF(ISNUMBER($M66),SUM(CFDTable[[#This Row],[Done]]),IF(CFDTable[[#This Row],[lookupLow]]&gt;=CFDTable[[#This Row],[FutureWork2]]+CFDTable[[#This Row],[lowDaily]],NA(),CFDTable[[#This Row],[lookupLow]]))</f>
        <v>59</v>
      </c>
      <c r="O66" s="10">
        <f ca="1">IF(ISNUMBER($M66),SUM(CFDTable[[#This Row],[Done]]),IF(CFDTable[[#This Row],[lookupMedian]]&gt;=CFDTable[[#This Row],[FutureWork2]],NA(),CFDTable[[#This Row],[lookupMedian]]))</f>
        <v>59</v>
      </c>
      <c r="P66" s="10">
        <f ca="1">IF(ISNUMBER(CFDTable[[#This Row],[Done Today]]),SUM(CFDTable[[#This Row],[Done]]),IF(CFDTable[[#This Row],[lookupHigh]]&gt;=CFDTable[[#This Row],[FutureWork2]]+CFDTable[[#This Row],[highDaily]],NA(),CFDTable[[#This Row],[lookupHigh]]))</f>
        <v>59</v>
      </c>
      <c r="Q66" s="10">
        <f ca="1">CFDTable[[#This Row],[AvgDaily]]-CFDTable[[#This Row],[Deviation]]</f>
        <v>1</v>
      </c>
      <c r="R66" s="10">
        <f ca="1">AVERAGE(IF(ISNUMBER(M66),IF(ISNUMBER(OFFSET(M66,-Historic,0)),OFFSET(M66,-Historic,0),M$2):M66,R65))</f>
        <v>1.0952380952380953</v>
      </c>
      <c r="S66" s="10">
        <f ca="1">AVERAGE(IF(ISNUMBER(M66),IF(ISNUMBER(OFFSET(M66,-Historic,0)),OFFSET(M66,-Historic,0),M$2):M66,S65))</f>
        <v>1.0952380952380953</v>
      </c>
      <c r="T66" s="10">
        <f ca="1">AVERAGE(IF(ISNUMBER(M66),OFFSET(M$2,DaysToIgnoreOnAvg,0):M66,T65))</f>
        <v>0.90476190476190477</v>
      </c>
      <c r="U66" s="10">
        <f ca="1">CFDTable[[#This Row],[AvgDaily]]+CFDTable[[#This Row],[Deviation]]</f>
        <v>1.1904761904761907</v>
      </c>
      <c r="V66" s="10">
        <f ca="1">IF(ISNUMBER(M66),((_xlfn.PERCENTILE.INC(IF(ISNUMBER(OFFSET(R66,-Historic,0)),OFFSET(R66,-Historic,0),R$2):R66,PercentileHigh/100))-(MEDIAN(IF(ISNUMBER(OFFSET(R66,-Historic,0)),OFFSET(R66,-Historic,0),R$2):R66))),V65)</f>
        <v>9.5238095238095344E-2</v>
      </c>
      <c r="W66" s="10">
        <f ca="1">IF(ISNUMBER(M66),((_xlfn.PERCENTILE.INC(R$2:R66,PercentileHigh/100))-(MEDIAN(R$2:R66))),V65)</f>
        <v>0.1428571428571429</v>
      </c>
      <c r="X66" s="10">
        <f ca="1">(SUM(CFDTable[[#This Row],[To Do]:[Done]])-SUM(G65:L65))</f>
        <v>3</v>
      </c>
      <c r="Y66" s="10">
        <f ca="1">AVERAGE(IF(ISNUMBER(X66),IF(ISNUMBER(OFFSET(X66,-Historic,0)),OFFSET(X66,-Historic,0),X$2):X66,Y65))</f>
        <v>1.0952380952380953</v>
      </c>
      <c r="Z66" s="10">
        <f ca="1">IF(ISNUMBER(CFDTable[[#This Row],[Done Today]]),SUM($G66:$L66),Z65+CFDTable[[#This Row],[avg added]])</f>
        <v>112</v>
      </c>
      <c r="AA66" s="10">
        <f ca="1">IF(ISNUMBER(CFDTable[[#This Row],[Done Today]]),SUM($G66:$L66),$AA65)</f>
        <v>112</v>
      </c>
      <c r="AB66" s="10">
        <f ca="1">IF(ISNUMBER(CFDTable[[#This Row],[Done Today]]),SUM($G66:$L66),$AB65)</f>
        <v>112</v>
      </c>
      <c r="AC66" s="10">
        <f ca="1">SUM(LOOKUP(2,1/(N$1:N65&lt;&gt;""),N$1:N65)+CFDTable[[#This Row],[lowDaily]])</f>
        <v>57</v>
      </c>
      <c r="AD66" s="10">
        <f ca="1">SUM(LOOKUP(2,1/(O$1:O65&lt;&gt;""),O$1:O65)+R66)</f>
        <v>57.095238095238095</v>
      </c>
      <c r="AE66" s="10">
        <f ca="1">SUM(LOOKUP(2,1/(P$1:P65&lt;&gt;""),P$1:P65)+CFDTable[[#This Row],[highDaily]])</f>
        <v>57.19047619047619</v>
      </c>
      <c r="AF66" s="12">
        <f>IF(CFDTable[[#This Row],[Date]]=DeadlineDate,CFDTable[[#This Row],[FutureWork2]],0)</f>
        <v>0</v>
      </c>
    </row>
    <row r="67" spans="1:32">
      <c r="A67" s="8">
        <f>CFDTable[[#This Row],[Date]]</f>
        <v>42502</v>
      </c>
      <c r="B67" s="9">
        <f>Data!B67</f>
        <v>42502</v>
      </c>
      <c r="C67" s="10" t="e">
        <f ca="1">IF(ISNUMBER(CFDTable[[#This Row],[Ready]]),NA(),CFDTable[[#This Row],[Target]]-CFDTable[[#This Row],[To Do]])</f>
        <v>#N/A</v>
      </c>
      <c r="D67" s="10" t="e">
        <f>IF(CFDTable[[#This Row],[Emergence]]&gt;0,CFDTable[[#This Row],[Future Work]]-CFDTable[[#This Row],[Emergence]],NA())</f>
        <v>#N/A</v>
      </c>
      <c r="E67" s="10">
        <f>Data!C67</f>
        <v>0</v>
      </c>
      <c r="F67" s="10">
        <f ca="1">Data!D67</f>
        <v>47</v>
      </c>
      <c r="G67" s="10">
        <f ca="1">Data!E67</f>
        <v>47</v>
      </c>
      <c r="H67" s="10">
        <f ca="1">IF(TodaysDate&gt;=$B67,Data!F67,NA())</f>
        <v>0</v>
      </c>
      <c r="I67" s="10">
        <f ca="1">IF(TodaysDate&gt;=$B67,Data!G67,NA())</f>
        <v>6</v>
      </c>
      <c r="J67" s="10">
        <f ca="1">IF(TodaysDate&gt;=$B67,Data!H67,NA())</f>
        <v>0</v>
      </c>
      <c r="K67" s="10">
        <f ca="1">IF(TodaysDate&gt;=$B67,Data!I67,NA())</f>
        <v>0</v>
      </c>
      <c r="L67" s="10">
        <f ca="1">IF(TodaysDate&gt;=$B67,Data!J67,NA())</f>
        <v>60</v>
      </c>
      <c r="M67" s="10">
        <f ca="1">IF(CFDTable[[#This Row],[Done]]&gt;0,(CFDTable[[#This Row],[Done]])-(L66),0)</f>
        <v>1</v>
      </c>
      <c r="N67" s="10">
        <f ca="1">IF(ISNUMBER($M67),SUM(CFDTable[[#This Row],[Done]]),IF(CFDTable[[#This Row],[lookupLow]]&gt;=CFDTable[[#This Row],[FutureWork2]]+CFDTable[[#This Row],[lowDaily]],NA(),CFDTable[[#This Row],[lookupLow]]))</f>
        <v>60</v>
      </c>
      <c r="O67" s="10">
        <f ca="1">IF(ISNUMBER($M67),SUM(CFDTable[[#This Row],[Done]]),IF(CFDTable[[#This Row],[lookupMedian]]&gt;=CFDTable[[#This Row],[FutureWork2]],NA(),CFDTable[[#This Row],[lookupMedian]]))</f>
        <v>60</v>
      </c>
      <c r="P67" s="10">
        <f ca="1">IF(ISNUMBER(CFDTable[[#This Row],[Done Today]]),SUM(CFDTable[[#This Row],[Done]]),IF(CFDTable[[#This Row],[lookupHigh]]&gt;=CFDTable[[#This Row],[FutureWork2]]+CFDTable[[#This Row],[highDaily]],NA(),CFDTable[[#This Row],[lookupHigh]]))</f>
        <v>60</v>
      </c>
      <c r="Q67" s="10">
        <f ca="1">CFDTable[[#This Row],[AvgDaily]]-CFDTable[[#This Row],[Deviation]]</f>
        <v>1.0476190476190474</v>
      </c>
      <c r="R67" s="10">
        <f ca="1">AVERAGE(IF(ISNUMBER(M67),IF(ISNUMBER(OFFSET(M67,-Historic,0)),OFFSET(M67,-Historic,0),M$2):M67,R66))</f>
        <v>1.1428571428571428</v>
      </c>
      <c r="S67" s="10">
        <f ca="1">AVERAGE(IF(ISNUMBER(M67),IF(ISNUMBER(OFFSET(M67,-Historic,0)),OFFSET(M67,-Historic,0),M$2):M67,S66))</f>
        <v>1.1428571428571428</v>
      </c>
      <c r="T67" s="10">
        <f ca="1">AVERAGE(IF(ISNUMBER(M67),OFFSET(M$2,DaysToIgnoreOnAvg,0):M67,T66))</f>
        <v>0.90625</v>
      </c>
      <c r="U67" s="10">
        <f ca="1">CFDTable[[#This Row],[AvgDaily]]+CFDTable[[#This Row],[Deviation]]</f>
        <v>1.2380952380952381</v>
      </c>
      <c r="V67" s="10">
        <f ca="1">IF(ISNUMBER(M67),((_xlfn.PERCENTILE.INC(IF(ISNUMBER(OFFSET(R67,-Historic,0)),OFFSET(R67,-Historic,0),R$2):R67,PercentileHigh/100))-(MEDIAN(IF(ISNUMBER(OFFSET(R67,-Historic,0)),OFFSET(R67,-Historic,0),R$2):R67))),V66)</f>
        <v>9.5238095238095344E-2</v>
      </c>
      <c r="W67" s="10">
        <f ca="1">IF(ISNUMBER(M67),((_xlfn.PERCENTILE.INC(R$2:R67,PercentileHigh/100))-(MEDIAN(R$2:R67))),V66)</f>
        <v>0.15476190476190477</v>
      </c>
      <c r="X67" s="10">
        <f ca="1">(SUM(CFDTable[[#This Row],[To Do]:[Done]])-SUM(G66:L66))</f>
        <v>1</v>
      </c>
      <c r="Y67" s="10">
        <f ca="1">AVERAGE(IF(ISNUMBER(X67),IF(ISNUMBER(OFFSET(X67,-Historic,0)),OFFSET(X67,-Historic,0),X$2):X67,Y66))</f>
        <v>1.1428571428571428</v>
      </c>
      <c r="Z67" s="10">
        <f ca="1">IF(ISNUMBER(CFDTable[[#This Row],[Done Today]]),SUM($G67:$L67),Z66+CFDTable[[#This Row],[avg added]])</f>
        <v>113</v>
      </c>
      <c r="AA67" s="10">
        <f ca="1">IF(ISNUMBER(CFDTable[[#This Row],[Done Today]]),SUM($G67:$L67),$AA66)</f>
        <v>113</v>
      </c>
      <c r="AB67" s="10">
        <f ca="1">IF(ISNUMBER(CFDTable[[#This Row],[Done Today]]),SUM($G67:$L67),$AB66)</f>
        <v>113</v>
      </c>
      <c r="AC67" s="10">
        <f ca="1">SUM(LOOKUP(2,1/(N$1:N66&lt;&gt;""),N$1:N66)+CFDTable[[#This Row],[lowDaily]])</f>
        <v>60.047619047619051</v>
      </c>
      <c r="AD67" s="10">
        <f ca="1">SUM(LOOKUP(2,1/(O$1:O66&lt;&gt;""),O$1:O66)+R67)</f>
        <v>60.142857142857146</v>
      </c>
      <c r="AE67" s="10">
        <f ca="1">SUM(LOOKUP(2,1/(P$1:P66&lt;&gt;""),P$1:P66)+CFDTable[[#This Row],[highDaily]])</f>
        <v>60.238095238095241</v>
      </c>
      <c r="AF67" s="12">
        <f>IF(CFDTable[[#This Row],[Date]]=DeadlineDate,CFDTable[[#This Row],[FutureWork2]],0)</f>
        <v>0</v>
      </c>
    </row>
    <row r="68" spans="1:32">
      <c r="A68" s="8">
        <f>CFDTable[[#This Row],[Date]]</f>
        <v>42503</v>
      </c>
      <c r="B68" s="9">
        <f>Data!B68</f>
        <v>42503</v>
      </c>
      <c r="C68" s="10" t="e">
        <f ca="1">IF(ISNUMBER(CFDTable[[#This Row],[Ready]]),NA(),CFDTable[[#This Row],[Target]]-CFDTable[[#This Row],[To Do]])</f>
        <v>#N/A</v>
      </c>
      <c r="D68" s="10" t="e">
        <f>IF(CFDTable[[#This Row],[Emergence]]&gt;0,CFDTable[[#This Row],[Future Work]]-CFDTable[[#This Row],[Emergence]],NA())</f>
        <v>#N/A</v>
      </c>
      <c r="E68" s="10">
        <f>Data!C68</f>
        <v>0</v>
      </c>
      <c r="F68" s="10">
        <f ca="1">Data!D68</f>
        <v>48</v>
      </c>
      <c r="G68" s="10">
        <f ca="1">Data!E68</f>
        <v>48</v>
      </c>
      <c r="H68" s="10">
        <f ca="1">IF(TodaysDate&gt;=$B68,Data!F68,NA())</f>
        <v>0</v>
      </c>
      <c r="I68" s="10">
        <f ca="1">IF(TodaysDate&gt;=$B68,Data!G68,NA())</f>
        <v>5</v>
      </c>
      <c r="J68" s="10">
        <f ca="1">IF(TodaysDate&gt;=$B68,Data!H68,NA())</f>
        <v>1</v>
      </c>
      <c r="K68" s="10">
        <f ca="1">IF(TodaysDate&gt;=$B68,Data!I68,NA())</f>
        <v>0</v>
      </c>
      <c r="L68" s="10">
        <f ca="1">IF(TodaysDate&gt;=$B68,Data!J68,NA())</f>
        <v>60</v>
      </c>
      <c r="M68" s="10">
        <f ca="1">IF(CFDTable[[#This Row],[Done]]&gt;0,(CFDTable[[#This Row],[Done]])-(L67),0)</f>
        <v>0</v>
      </c>
      <c r="N68" s="10">
        <f ca="1">IF(ISNUMBER($M68),SUM(CFDTable[[#This Row],[Done]]),IF(CFDTable[[#This Row],[lookupLow]]&gt;=CFDTable[[#This Row],[FutureWork2]]+CFDTable[[#This Row],[lowDaily]],NA(),CFDTable[[#This Row],[lookupLow]]))</f>
        <v>60</v>
      </c>
      <c r="O68" s="10">
        <f ca="1">IF(ISNUMBER($M68),SUM(CFDTable[[#This Row],[Done]]),IF(CFDTable[[#This Row],[lookupMedian]]&gt;=CFDTable[[#This Row],[FutureWork2]],NA(),CFDTable[[#This Row],[lookupMedian]]))</f>
        <v>60</v>
      </c>
      <c r="P68" s="10">
        <f ca="1">IF(ISNUMBER(CFDTable[[#This Row],[Done Today]]),SUM(CFDTable[[#This Row],[Done]]),IF(CFDTable[[#This Row],[lookupHigh]]&gt;=CFDTable[[#This Row],[FutureWork2]]+CFDTable[[#This Row],[highDaily]],NA(),CFDTable[[#This Row],[lookupHigh]]))</f>
        <v>60</v>
      </c>
      <c r="Q68" s="10">
        <f ca="1">CFDTable[[#This Row],[AvgDaily]]-CFDTable[[#This Row],[Deviation]]</f>
        <v>1.0476190476190474</v>
      </c>
      <c r="R68" s="10">
        <f ca="1">AVERAGE(IF(ISNUMBER(M68),IF(ISNUMBER(OFFSET(M68,-Historic,0)),OFFSET(M68,-Historic,0),M$2):M68,R67))</f>
        <v>1.1428571428571428</v>
      </c>
      <c r="S68" s="10">
        <f ca="1">AVERAGE(IF(ISNUMBER(M68),IF(ISNUMBER(OFFSET(M68,-Historic,0)),OFFSET(M68,-Historic,0),M$2):M68,S67))</f>
        <v>1.1428571428571428</v>
      </c>
      <c r="T68" s="10">
        <f ca="1">AVERAGE(IF(ISNUMBER(M68),OFFSET(M$2,DaysToIgnoreOnAvg,0):M68,T67))</f>
        <v>0.89230769230769236</v>
      </c>
      <c r="U68" s="10">
        <f ca="1">CFDTable[[#This Row],[AvgDaily]]+CFDTable[[#This Row],[Deviation]]</f>
        <v>1.2380952380952381</v>
      </c>
      <c r="V68" s="10">
        <f ca="1">IF(ISNUMBER(M68),((_xlfn.PERCENTILE.INC(IF(ISNUMBER(OFFSET(R68,-Historic,0)),OFFSET(R68,-Historic,0),R$2):R68,PercentileHigh/100))-(MEDIAN(IF(ISNUMBER(OFFSET(R68,-Historic,0)),OFFSET(R68,-Historic,0),R$2):R68))),V67)</f>
        <v>9.5238095238095344E-2</v>
      </c>
      <c r="W68" s="10">
        <f ca="1">IF(ISNUMBER(M68),((_xlfn.PERCENTILE.INC(R$2:R68,PercentileHigh/100))-(MEDIAN(R$2:R68))),V67)</f>
        <v>0.19047619047619058</v>
      </c>
      <c r="X68" s="10">
        <f ca="1">(SUM(CFDTable[[#This Row],[To Do]:[Done]])-SUM(G67:L67))</f>
        <v>1</v>
      </c>
      <c r="Y68" s="10">
        <f ca="1">AVERAGE(IF(ISNUMBER(X68),IF(ISNUMBER(OFFSET(X68,-Historic,0)),OFFSET(X68,-Historic,0),X$2):X68,Y67))</f>
        <v>1.1904761904761905</v>
      </c>
      <c r="Z68" s="10">
        <f ca="1">IF(ISNUMBER(CFDTable[[#This Row],[Done Today]]),SUM($G68:$L68),Z67+CFDTable[[#This Row],[avg added]])</f>
        <v>114</v>
      </c>
      <c r="AA68" s="10">
        <f ca="1">IF(ISNUMBER(CFDTable[[#This Row],[Done Today]]),SUM($G68:$L68),$AA67)</f>
        <v>114</v>
      </c>
      <c r="AB68" s="10">
        <f ca="1">IF(ISNUMBER(CFDTable[[#This Row],[Done Today]]),SUM($G68:$L68),$AB67)</f>
        <v>114</v>
      </c>
      <c r="AC68" s="10">
        <f ca="1">SUM(LOOKUP(2,1/(N$1:N67&lt;&gt;""),N$1:N67)+CFDTable[[#This Row],[lowDaily]])</f>
        <v>61.047619047619051</v>
      </c>
      <c r="AD68" s="10">
        <f ca="1">SUM(LOOKUP(2,1/(O$1:O67&lt;&gt;""),O$1:O67)+R68)</f>
        <v>61.142857142857146</v>
      </c>
      <c r="AE68" s="10">
        <f ca="1">SUM(LOOKUP(2,1/(P$1:P67&lt;&gt;""),P$1:P67)+CFDTable[[#This Row],[highDaily]])</f>
        <v>61.238095238095241</v>
      </c>
      <c r="AF68" s="12">
        <f>IF(CFDTable[[#This Row],[Date]]=DeadlineDate,CFDTable[[#This Row],[FutureWork2]],0)</f>
        <v>0</v>
      </c>
    </row>
    <row r="69" spans="1:32">
      <c r="A69" s="8">
        <f>CFDTable[[#This Row],[Date]]</f>
        <v>42506</v>
      </c>
      <c r="B69" s="9">
        <f>Data!B69</f>
        <v>42506</v>
      </c>
      <c r="C69" s="10" t="e">
        <f ca="1">IF(ISNUMBER(CFDTable[[#This Row],[Ready]]),NA(),CFDTable[[#This Row],[Target]]-CFDTable[[#This Row],[To Do]])</f>
        <v>#N/A</v>
      </c>
      <c r="D69" s="10" t="e">
        <f>IF(CFDTable[[#This Row],[Emergence]]&gt;0,CFDTable[[#This Row],[Future Work]]-CFDTable[[#This Row],[Emergence]],NA())</f>
        <v>#N/A</v>
      </c>
      <c r="E69" s="10">
        <f>Data!C69</f>
        <v>0</v>
      </c>
      <c r="F69" s="10">
        <f ca="1">Data!D69</f>
        <v>47</v>
      </c>
      <c r="G69" s="10">
        <f ca="1">Data!E69</f>
        <v>47</v>
      </c>
      <c r="H69" s="10">
        <f ca="1">IF(TodaysDate&gt;=$B69,Data!F69,NA())</f>
        <v>0</v>
      </c>
      <c r="I69" s="10">
        <f ca="1">IF(TodaysDate&gt;=$B69,Data!G69,NA())</f>
        <v>6</v>
      </c>
      <c r="J69" s="10">
        <f ca="1">IF(TodaysDate&gt;=$B69,Data!H69,NA())</f>
        <v>2</v>
      </c>
      <c r="K69" s="10">
        <f ca="1">IF(TodaysDate&gt;=$B69,Data!I69,NA())</f>
        <v>0</v>
      </c>
      <c r="L69" s="10">
        <f ca="1">IF(TodaysDate&gt;=$B69,Data!J69,NA())</f>
        <v>60</v>
      </c>
      <c r="M69" s="10">
        <f ca="1">IF(CFDTable[[#This Row],[Done]]&gt;0,(CFDTable[[#This Row],[Done]])-(L68),0)</f>
        <v>0</v>
      </c>
      <c r="N69" s="10">
        <f ca="1">IF(ISNUMBER($M69),SUM(CFDTable[[#This Row],[Done]]),IF(CFDTable[[#This Row],[lookupLow]]&gt;=CFDTable[[#This Row],[FutureWork2]]+CFDTable[[#This Row],[lowDaily]],NA(),CFDTable[[#This Row],[lookupLow]]))</f>
        <v>60</v>
      </c>
      <c r="O69" s="10">
        <f ca="1">IF(ISNUMBER($M69),SUM(CFDTable[[#This Row],[Done]]),IF(CFDTable[[#This Row],[lookupMedian]]&gt;=CFDTable[[#This Row],[FutureWork2]],NA(),CFDTable[[#This Row],[lookupMedian]]))</f>
        <v>60</v>
      </c>
      <c r="P69" s="10">
        <f ca="1">IF(ISNUMBER(CFDTable[[#This Row],[Done Today]]),SUM(CFDTable[[#This Row],[Done]]),IF(CFDTable[[#This Row],[lookupHigh]]&gt;=CFDTable[[#This Row],[FutureWork2]]+CFDTable[[#This Row],[highDaily]],NA(),CFDTable[[#This Row],[lookupHigh]]))</f>
        <v>60</v>
      </c>
      <c r="Q69" s="10">
        <f ca="1">CFDTable[[#This Row],[AvgDaily]]-CFDTable[[#This Row],[Deviation]]</f>
        <v>0.99999999999999978</v>
      </c>
      <c r="R69" s="10">
        <f ca="1">AVERAGE(IF(ISNUMBER(M69),IF(ISNUMBER(OFFSET(M69,-Historic,0)),OFFSET(M69,-Historic,0),M$2):M69,R68))</f>
        <v>1.1428571428571428</v>
      </c>
      <c r="S69" s="10">
        <f ca="1">AVERAGE(IF(ISNUMBER(M69),IF(ISNUMBER(OFFSET(M69,-Historic,0)),OFFSET(M69,-Historic,0),M$2):M69,S68))</f>
        <v>1.1428571428571428</v>
      </c>
      <c r="T69" s="10">
        <f ca="1">AVERAGE(IF(ISNUMBER(M69),OFFSET(M$2,DaysToIgnoreOnAvg,0):M69,T68))</f>
        <v>0.87878787878787878</v>
      </c>
      <c r="U69" s="10">
        <f ca="1">CFDTable[[#This Row],[AvgDaily]]+CFDTable[[#This Row],[Deviation]]</f>
        <v>1.2857142857142858</v>
      </c>
      <c r="V69" s="10">
        <f ca="1">IF(ISNUMBER(M69),((_xlfn.PERCENTILE.INC(IF(ISNUMBER(OFFSET(R69,-Historic,0)),OFFSET(R69,-Historic,0),R$2):R69,PercentileHigh/100))-(MEDIAN(IF(ISNUMBER(OFFSET(R69,-Historic,0)),OFFSET(R69,-Historic,0),R$2):R69))),V68)</f>
        <v>0.14285714285714302</v>
      </c>
      <c r="W69" s="10">
        <f ca="1">IF(ISNUMBER(M69),((_xlfn.PERCENTILE.INC(R$2:R69,PercentileHigh/100))-(MEDIAN(R$2:R69))),V68)</f>
        <v>0.19047619047619058</v>
      </c>
      <c r="X69" s="10">
        <f ca="1">(SUM(CFDTable[[#This Row],[To Do]:[Done]])-SUM(G68:L68))</f>
        <v>1</v>
      </c>
      <c r="Y69" s="10">
        <f ca="1">AVERAGE(IF(ISNUMBER(X69),IF(ISNUMBER(OFFSET(X69,-Historic,0)),OFFSET(X69,-Historic,0),X$2):X69,Y68))</f>
        <v>1.1428571428571428</v>
      </c>
      <c r="Z69" s="10">
        <f ca="1">IF(ISNUMBER(CFDTable[[#This Row],[Done Today]]),SUM($G69:$L69),Z68+CFDTable[[#This Row],[avg added]])</f>
        <v>115</v>
      </c>
      <c r="AA69" s="10">
        <f ca="1">IF(ISNUMBER(CFDTable[[#This Row],[Done Today]]),SUM($G69:$L69),$AA68)</f>
        <v>115</v>
      </c>
      <c r="AB69" s="10">
        <f ca="1">IF(ISNUMBER(CFDTable[[#This Row],[Done Today]]),SUM($G69:$L69),$AB68)</f>
        <v>115</v>
      </c>
      <c r="AC69" s="10">
        <f ca="1">SUM(LOOKUP(2,1/(N$1:N68&lt;&gt;""),N$1:N68)+CFDTable[[#This Row],[lowDaily]])</f>
        <v>61</v>
      </c>
      <c r="AD69" s="10">
        <f ca="1">SUM(LOOKUP(2,1/(O$1:O68&lt;&gt;""),O$1:O68)+R69)</f>
        <v>61.142857142857146</v>
      </c>
      <c r="AE69" s="10">
        <f ca="1">SUM(LOOKUP(2,1/(P$1:P68&lt;&gt;""),P$1:P68)+CFDTable[[#This Row],[highDaily]])</f>
        <v>61.285714285714285</v>
      </c>
      <c r="AF69" s="12">
        <f>IF(CFDTable[[#This Row],[Date]]=DeadlineDate,CFDTable[[#This Row],[FutureWork2]],0)</f>
        <v>0</v>
      </c>
    </row>
    <row r="70" spans="1:32">
      <c r="A70" s="8">
        <f>CFDTable[[#This Row],[Date]]</f>
        <v>42507</v>
      </c>
      <c r="B70" s="9">
        <f>Data!B70</f>
        <v>42507</v>
      </c>
      <c r="C70" s="10" t="e">
        <f ca="1">IF(ISNUMBER(CFDTable[[#This Row],[Ready]]),NA(),CFDTable[[#This Row],[Target]]-CFDTable[[#This Row],[To Do]])</f>
        <v>#N/A</v>
      </c>
      <c r="D70" s="10" t="e">
        <f>IF(CFDTable[[#This Row],[Emergence]]&gt;0,CFDTable[[#This Row],[Future Work]]-CFDTable[[#This Row],[Emergence]],NA())</f>
        <v>#N/A</v>
      </c>
      <c r="E70" s="10">
        <f>Data!C70</f>
        <v>0</v>
      </c>
      <c r="F70" s="10">
        <f ca="1">Data!D70</f>
        <v>47</v>
      </c>
      <c r="G70" s="10">
        <f ca="1">Data!E70</f>
        <v>47</v>
      </c>
      <c r="H70" s="10">
        <f ca="1">IF(TodaysDate&gt;=$B70,Data!F70,NA())</f>
        <v>0</v>
      </c>
      <c r="I70" s="10">
        <f ca="1">IF(TodaysDate&gt;=$B70,Data!G70,NA())</f>
        <v>7</v>
      </c>
      <c r="J70" s="10">
        <f ca="1">IF(TodaysDate&gt;=$B70,Data!H70,NA())</f>
        <v>1</v>
      </c>
      <c r="K70" s="10">
        <f ca="1">IF(TodaysDate&gt;=$B70,Data!I70,NA())</f>
        <v>0</v>
      </c>
      <c r="L70" s="10">
        <f ca="1">IF(TodaysDate&gt;=$B70,Data!J70,NA())</f>
        <v>61</v>
      </c>
      <c r="M70" s="10">
        <f ca="1">IF(CFDTable[[#This Row],[Done]]&gt;0,(CFDTable[[#This Row],[Done]])-(L69),0)</f>
        <v>1</v>
      </c>
      <c r="N70" s="10">
        <f ca="1">IF(ISNUMBER($M70),SUM(CFDTable[[#This Row],[Done]]),IF(CFDTable[[#This Row],[lookupLow]]&gt;=CFDTable[[#This Row],[FutureWork2]]+CFDTable[[#This Row],[lowDaily]],NA(),CFDTable[[#This Row],[lookupLow]]))</f>
        <v>61</v>
      </c>
      <c r="O70" s="10">
        <f ca="1">IF(ISNUMBER($M70),SUM(CFDTable[[#This Row],[Done]]),IF(CFDTable[[#This Row],[lookupMedian]]&gt;=CFDTable[[#This Row],[FutureWork2]],NA(),CFDTable[[#This Row],[lookupMedian]]))</f>
        <v>61</v>
      </c>
      <c r="P70" s="10">
        <f ca="1">IF(ISNUMBER(CFDTable[[#This Row],[Done Today]]),SUM(CFDTable[[#This Row],[Done]]),IF(CFDTable[[#This Row],[lookupHigh]]&gt;=CFDTable[[#This Row],[FutureWork2]]+CFDTable[[#This Row],[highDaily]],NA(),CFDTable[[#This Row],[lookupHigh]]))</f>
        <v>61</v>
      </c>
      <c r="Q70" s="10">
        <f ca="1">CFDTable[[#This Row],[AvgDaily]]-CFDTable[[#This Row],[Deviation]]</f>
        <v>0.80952380952380931</v>
      </c>
      <c r="R70" s="10">
        <f ca="1">AVERAGE(IF(ISNUMBER(M70),IF(ISNUMBER(OFFSET(M70,-Historic,0)),OFFSET(M70,-Historic,0),M$2):M70,R69))</f>
        <v>0.95238095238095233</v>
      </c>
      <c r="S70" s="10">
        <f ca="1">AVERAGE(IF(ISNUMBER(M70),IF(ISNUMBER(OFFSET(M70,-Historic,0)),OFFSET(M70,-Historic,0),M$2):M70,S69))</f>
        <v>0.95238095238095233</v>
      </c>
      <c r="T70" s="10">
        <f ca="1">AVERAGE(IF(ISNUMBER(M70),OFFSET(M$2,DaysToIgnoreOnAvg,0):M70,T69))</f>
        <v>0.88059701492537312</v>
      </c>
      <c r="U70" s="10">
        <f ca="1">CFDTable[[#This Row],[AvgDaily]]+CFDTable[[#This Row],[Deviation]]</f>
        <v>1.0952380952380953</v>
      </c>
      <c r="V70" s="10">
        <f ca="1">IF(ISNUMBER(M70),((_xlfn.PERCENTILE.INC(IF(ISNUMBER(OFFSET(R70,-Historic,0)),OFFSET(R70,-Historic,0),R$2):R70,PercentileHigh/100))-(MEDIAN(IF(ISNUMBER(OFFSET(R70,-Historic,0)),OFFSET(R70,-Historic,0),R$2):R70))),V69)</f>
        <v>0.14285714285714302</v>
      </c>
      <c r="W70" s="10">
        <f ca="1">IF(ISNUMBER(M70),((_xlfn.PERCENTILE.INC(R$2:R70,PercentileHigh/100))-(MEDIAN(R$2:R70))),V69)</f>
        <v>0.19047619047619058</v>
      </c>
      <c r="X70" s="10">
        <f ca="1">(SUM(CFDTable[[#This Row],[To Do]:[Done]])-SUM(G69:L69))</f>
        <v>1</v>
      </c>
      <c r="Y70" s="10">
        <f ca="1">AVERAGE(IF(ISNUMBER(X70),IF(ISNUMBER(OFFSET(X70,-Historic,0)),OFFSET(X70,-Historic,0),X$2):X70,Y69))</f>
        <v>1.1904761904761905</v>
      </c>
      <c r="Z70" s="10">
        <f ca="1">IF(ISNUMBER(CFDTable[[#This Row],[Done Today]]),SUM($G70:$L70),Z69+CFDTable[[#This Row],[avg added]])</f>
        <v>116</v>
      </c>
      <c r="AA70" s="10">
        <f ca="1">IF(ISNUMBER(CFDTable[[#This Row],[Done Today]]),SUM($G70:$L70),$AA69)</f>
        <v>116</v>
      </c>
      <c r="AB70" s="10">
        <f ca="1">IF(ISNUMBER(CFDTable[[#This Row],[Done Today]]),SUM($G70:$L70),$AB69)</f>
        <v>116</v>
      </c>
      <c r="AC70" s="10">
        <f ca="1">SUM(LOOKUP(2,1/(N$1:N69&lt;&gt;""),N$1:N69)+CFDTable[[#This Row],[lowDaily]])</f>
        <v>60.80952380952381</v>
      </c>
      <c r="AD70" s="10">
        <f ca="1">SUM(LOOKUP(2,1/(O$1:O69&lt;&gt;""),O$1:O69)+R70)</f>
        <v>60.952380952380949</v>
      </c>
      <c r="AE70" s="10">
        <f ca="1">SUM(LOOKUP(2,1/(P$1:P69&lt;&gt;""),P$1:P69)+CFDTable[[#This Row],[highDaily]])</f>
        <v>61.095238095238095</v>
      </c>
      <c r="AF70" s="12">
        <f>IF(CFDTable[[#This Row],[Date]]=DeadlineDate,CFDTable[[#This Row],[FutureWork2]],0)</f>
        <v>0</v>
      </c>
    </row>
    <row r="71" spans="1:32">
      <c r="A71" s="8">
        <f>CFDTable[[#This Row],[Date]]</f>
        <v>42508</v>
      </c>
      <c r="B71" s="9">
        <f>Data!B71</f>
        <v>42508</v>
      </c>
      <c r="C71" s="10" t="e">
        <f ca="1">IF(ISNUMBER(CFDTable[[#This Row],[Ready]]),NA(),CFDTable[[#This Row],[Target]]-CFDTable[[#This Row],[To Do]])</f>
        <v>#N/A</v>
      </c>
      <c r="D71" s="10" t="e">
        <f>IF(CFDTable[[#This Row],[Emergence]]&gt;0,CFDTable[[#This Row],[Future Work]]-CFDTable[[#This Row],[Emergence]],NA())</f>
        <v>#N/A</v>
      </c>
      <c r="E71" s="10">
        <f>Data!C71</f>
        <v>0</v>
      </c>
      <c r="F71" s="10">
        <f ca="1">Data!D71</f>
        <v>47</v>
      </c>
      <c r="G71" s="10">
        <f ca="1">Data!E71</f>
        <v>47</v>
      </c>
      <c r="H71" s="10">
        <f ca="1">IF(TodaysDate&gt;=$B71,Data!F71,NA())</f>
        <v>0</v>
      </c>
      <c r="I71" s="10">
        <f ca="1">IF(TodaysDate&gt;=$B71,Data!G71,NA())</f>
        <v>7</v>
      </c>
      <c r="J71" s="10">
        <f ca="1">IF(TodaysDate&gt;=$B71,Data!H71,NA())</f>
        <v>1</v>
      </c>
      <c r="K71" s="10">
        <f ca="1">IF(TodaysDate&gt;=$B71,Data!I71,NA())</f>
        <v>0</v>
      </c>
      <c r="L71" s="10">
        <f ca="1">IF(TodaysDate&gt;=$B71,Data!J71,NA())</f>
        <v>61</v>
      </c>
      <c r="M71" s="10">
        <f ca="1">IF(CFDTable[[#This Row],[Done]]&gt;0,(CFDTable[[#This Row],[Done]])-(L70),0)</f>
        <v>0</v>
      </c>
      <c r="N71" s="10">
        <f ca="1">IF(ISNUMBER($M71),SUM(CFDTable[[#This Row],[Done]]),IF(CFDTable[[#This Row],[lookupLow]]&gt;=CFDTable[[#This Row],[FutureWork2]]+CFDTable[[#This Row],[lowDaily]],NA(),CFDTable[[#This Row],[lookupLow]]))</f>
        <v>61</v>
      </c>
      <c r="O71" s="10">
        <f ca="1">IF(ISNUMBER($M71),SUM(CFDTable[[#This Row],[Done]]),IF(CFDTable[[#This Row],[lookupMedian]]&gt;=CFDTable[[#This Row],[FutureWork2]],NA(),CFDTable[[#This Row],[lookupMedian]]))</f>
        <v>61</v>
      </c>
      <c r="P71" s="10">
        <f ca="1">IF(ISNUMBER(CFDTable[[#This Row],[Done Today]]),SUM(CFDTable[[#This Row],[Done]]),IF(CFDTable[[#This Row],[lookupHigh]]&gt;=CFDTable[[#This Row],[FutureWork2]]+CFDTable[[#This Row],[highDaily]],NA(),CFDTable[[#This Row],[lookupHigh]]))</f>
        <v>61</v>
      </c>
      <c r="Q71" s="10">
        <f ca="1">CFDTable[[#This Row],[AvgDaily]]-CFDTable[[#This Row],[Deviation]]</f>
        <v>0.80952380952380931</v>
      </c>
      <c r="R71" s="10">
        <f ca="1">AVERAGE(IF(ISNUMBER(M71),IF(ISNUMBER(OFFSET(M71,-Historic,0)),OFFSET(M71,-Historic,0),M$2):M71,R70))</f>
        <v>0.95238095238095233</v>
      </c>
      <c r="S71" s="10">
        <f ca="1">AVERAGE(IF(ISNUMBER(M71),IF(ISNUMBER(OFFSET(M71,-Historic,0)),OFFSET(M71,-Historic,0),M$2):M71,S70))</f>
        <v>0.95238095238095233</v>
      </c>
      <c r="T71" s="10">
        <f ca="1">AVERAGE(IF(ISNUMBER(M71),OFFSET(M$2,DaysToIgnoreOnAvg,0):M71,T70))</f>
        <v>0.86764705882352944</v>
      </c>
      <c r="U71" s="10">
        <f ca="1">CFDTable[[#This Row],[AvgDaily]]+CFDTable[[#This Row],[Deviation]]</f>
        <v>1.0952380952380953</v>
      </c>
      <c r="V71" s="10">
        <f ca="1">IF(ISNUMBER(M71),((_xlfn.PERCENTILE.INC(IF(ISNUMBER(OFFSET(R71,-Historic,0)),OFFSET(R71,-Historic,0),R$2):R71,PercentileHigh/100))-(MEDIAN(IF(ISNUMBER(OFFSET(R71,-Historic,0)),OFFSET(R71,-Historic,0),R$2):R71))),V70)</f>
        <v>0.14285714285714302</v>
      </c>
      <c r="W71" s="10">
        <f ca="1">IF(ISNUMBER(M71),((_xlfn.PERCENTILE.INC(R$2:R71,PercentileHigh/100))-(MEDIAN(R$2:R71))),V70)</f>
        <v>0.16666666666666674</v>
      </c>
      <c r="X71" s="10">
        <f ca="1">(SUM(CFDTable[[#This Row],[To Do]:[Done]])-SUM(G70:L70))</f>
        <v>0</v>
      </c>
      <c r="Y71" s="10">
        <f ca="1">AVERAGE(IF(ISNUMBER(X71),IF(ISNUMBER(OFFSET(X71,-Historic,0)),OFFSET(X71,-Historic,0),X$2):X71,Y70))</f>
        <v>1.1904761904761905</v>
      </c>
      <c r="Z71" s="10">
        <f ca="1">IF(ISNUMBER(CFDTable[[#This Row],[Done Today]]),SUM($G71:$L71),Z70+CFDTable[[#This Row],[avg added]])</f>
        <v>116</v>
      </c>
      <c r="AA71" s="10">
        <f ca="1">IF(ISNUMBER(CFDTable[[#This Row],[Done Today]]),SUM($G71:$L71),$AA70)</f>
        <v>116</v>
      </c>
      <c r="AB71" s="10">
        <f ca="1">IF(ISNUMBER(CFDTable[[#This Row],[Done Today]]),SUM($G71:$L71),$AB70)</f>
        <v>116</v>
      </c>
      <c r="AC71" s="10">
        <f ca="1">SUM(LOOKUP(2,1/(N$1:N70&lt;&gt;""),N$1:N70)+CFDTable[[#This Row],[lowDaily]])</f>
        <v>61.80952380952381</v>
      </c>
      <c r="AD71" s="10">
        <f ca="1">SUM(LOOKUP(2,1/(O$1:O70&lt;&gt;""),O$1:O70)+R71)</f>
        <v>61.952380952380949</v>
      </c>
      <c r="AE71" s="10">
        <f ca="1">SUM(LOOKUP(2,1/(P$1:P70&lt;&gt;""),P$1:P70)+CFDTable[[#This Row],[highDaily]])</f>
        <v>62.095238095238095</v>
      </c>
      <c r="AF71" s="12">
        <f>IF(CFDTable[[#This Row],[Date]]=DeadlineDate,CFDTable[[#This Row],[FutureWork2]],0)</f>
        <v>0</v>
      </c>
    </row>
    <row r="72" spans="1:32">
      <c r="A72" s="8">
        <f>CFDTable[[#This Row],[Date]]</f>
        <v>42509</v>
      </c>
      <c r="B72" s="9">
        <f>Data!B72</f>
        <v>42509</v>
      </c>
      <c r="C72" s="10" t="e">
        <f ca="1">IF(ISNUMBER(CFDTable[[#This Row],[Ready]]),NA(),CFDTable[[#This Row],[Target]]-CFDTable[[#This Row],[To Do]])</f>
        <v>#N/A</v>
      </c>
      <c r="D72" s="10" t="e">
        <f>IF(CFDTable[[#This Row],[Emergence]]&gt;0,CFDTable[[#This Row],[Future Work]]-CFDTable[[#This Row],[Emergence]],NA())</f>
        <v>#N/A</v>
      </c>
      <c r="E72" s="10">
        <f>Data!C72</f>
        <v>0</v>
      </c>
      <c r="F72" s="10">
        <f ca="1">Data!D72</f>
        <v>47</v>
      </c>
      <c r="G72" s="10">
        <f ca="1">Data!E72</f>
        <v>47</v>
      </c>
      <c r="H72" s="10">
        <f ca="1">IF(TodaysDate&gt;=$B72,Data!F72,NA())</f>
        <v>0</v>
      </c>
      <c r="I72" s="10">
        <f ca="1">IF(TodaysDate&gt;=$B72,Data!G72,NA())</f>
        <v>7</v>
      </c>
      <c r="J72" s="10">
        <f ca="1">IF(TodaysDate&gt;=$B72,Data!H72,NA())</f>
        <v>0</v>
      </c>
      <c r="K72" s="10">
        <f ca="1">IF(TodaysDate&gt;=$B72,Data!I72,NA())</f>
        <v>0</v>
      </c>
      <c r="L72" s="10">
        <f ca="1">IF(TodaysDate&gt;=$B72,Data!J72,NA())</f>
        <v>62</v>
      </c>
      <c r="M72" s="10">
        <f ca="1">IF(CFDTable[[#This Row],[Done]]&gt;0,(CFDTable[[#This Row],[Done]])-(L71),0)</f>
        <v>1</v>
      </c>
      <c r="N72" s="10">
        <f ca="1">IF(ISNUMBER($M72),SUM(CFDTable[[#This Row],[Done]]),IF(CFDTable[[#This Row],[lookupLow]]&gt;=CFDTable[[#This Row],[FutureWork2]]+CFDTable[[#This Row],[lowDaily]],NA(),CFDTable[[#This Row],[lookupLow]]))</f>
        <v>62</v>
      </c>
      <c r="O72" s="10">
        <f ca="1">IF(ISNUMBER($M72),SUM(CFDTable[[#This Row],[Done]]),IF(CFDTable[[#This Row],[lookupMedian]]&gt;=CFDTable[[#This Row],[FutureWork2]],NA(),CFDTable[[#This Row],[lookupMedian]]))</f>
        <v>62</v>
      </c>
      <c r="P72" s="10">
        <f ca="1">IF(ISNUMBER(CFDTable[[#This Row],[Done Today]]),SUM(CFDTable[[#This Row],[Done]]),IF(CFDTable[[#This Row],[lookupHigh]]&gt;=CFDTable[[#This Row],[FutureWork2]]+CFDTable[[#This Row],[highDaily]],NA(),CFDTable[[#This Row],[lookupHigh]]))</f>
        <v>62</v>
      </c>
      <c r="Q72" s="10">
        <f ca="1">CFDTable[[#This Row],[AvgDaily]]-CFDTable[[#This Row],[Deviation]]</f>
        <v>0.85714285714285698</v>
      </c>
      <c r="R72" s="10">
        <f ca="1">AVERAGE(IF(ISNUMBER(M72),IF(ISNUMBER(OFFSET(M72,-Historic,0)),OFFSET(M72,-Historic,0),M$2):M72,R71))</f>
        <v>1</v>
      </c>
      <c r="S72" s="10">
        <f ca="1">AVERAGE(IF(ISNUMBER(M72),IF(ISNUMBER(OFFSET(M72,-Historic,0)),OFFSET(M72,-Historic,0),M$2):M72,S71))</f>
        <v>1</v>
      </c>
      <c r="T72" s="10">
        <f ca="1">AVERAGE(IF(ISNUMBER(M72),OFFSET(M$2,DaysToIgnoreOnAvg,0):M72,T71))</f>
        <v>0.86956521739130432</v>
      </c>
      <c r="U72" s="10">
        <f ca="1">CFDTable[[#This Row],[AvgDaily]]+CFDTable[[#This Row],[Deviation]]</f>
        <v>1.142857142857143</v>
      </c>
      <c r="V72" s="10">
        <f ca="1">IF(ISNUMBER(M72),((_xlfn.PERCENTILE.INC(IF(ISNUMBER(OFFSET(R72,-Historic,0)),OFFSET(R72,-Historic,0),R$2):R72,PercentileHigh/100))-(MEDIAN(IF(ISNUMBER(OFFSET(R72,-Historic,0)),OFFSET(R72,-Historic,0),R$2):R72))),V71)</f>
        <v>0.14285714285714302</v>
      </c>
      <c r="W72" s="10">
        <f ca="1">IF(ISNUMBER(M72),((_xlfn.PERCENTILE.INC(R$2:R72,PercentileHigh/100))-(MEDIAN(R$2:R72))),V71)</f>
        <v>0.1428571428571429</v>
      </c>
      <c r="X72" s="10">
        <f ca="1">(SUM(CFDTable[[#This Row],[To Do]:[Done]])-SUM(G71:L71))</f>
        <v>0</v>
      </c>
      <c r="Y72" s="10">
        <f ca="1">AVERAGE(IF(ISNUMBER(X72),IF(ISNUMBER(OFFSET(X72,-Historic,0)),OFFSET(X72,-Historic,0),X$2):X72,Y71))</f>
        <v>1.1904761904761905</v>
      </c>
      <c r="Z72" s="10">
        <f ca="1">IF(ISNUMBER(CFDTable[[#This Row],[Done Today]]),SUM($G72:$L72),Z71+CFDTable[[#This Row],[avg added]])</f>
        <v>116</v>
      </c>
      <c r="AA72" s="10">
        <f ca="1">IF(ISNUMBER(CFDTable[[#This Row],[Done Today]]),SUM($G72:$L72),$AA71)</f>
        <v>116</v>
      </c>
      <c r="AB72" s="10">
        <f ca="1">IF(ISNUMBER(CFDTable[[#This Row],[Done Today]]),SUM($G72:$L72),$AB71)</f>
        <v>116</v>
      </c>
      <c r="AC72" s="10">
        <f ca="1">SUM(LOOKUP(2,1/(N$1:N71&lt;&gt;""),N$1:N71)+CFDTable[[#This Row],[lowDaily]])</f>
        <v>61.857142857142854</v>
      </c>
      <c r="AD72" s="10">
        <f ca="1">SUM(LOOKUP(2,1/(O$1:O71&lt;&gt;""),O$1:O71)+R72)</f>
        <v>62</v>
      </c>
      <c r="AE72" s="10">
        <f ca="1">SUM(LOOKUP(2,1/(P$1:P71&lt;&gt;""),P$1:P71)+CFDTable[[#This Row],[highDaily]])</f>
        <v>62.142857142857146</v>
      </c>
      <c r="AF72" s="12">
        <f>IF(CFDTable[[#This Row],[Date]]=DeadlineDate,CFDTable[[#This Row],[FutureWork2]],0)</f>
        <v>0</v>
      </c>
    </row>
    <row r="73" spans="1:32">
      <c r="A73" s="8">
        <f>CFDTable[[#This Row],[Date]]</f>
        <v>42510</v>
      </c>
      <c r="B73" s="9">
        <f>Data!B73</f>
        <v>42510</v>
      </c>
      <c r="C73" s="10" t="e">
        <f ca="1">IF(ISNUMBER(CFDTable[[#This Row],[Ready]]),NA(),CFDTable[[#This Row],[Target]]-CFDTable[[#This Row],[To Do]])</f>
        <v>#N/A</v>
      </c>
      <c r="D73" s="10" t="e">
        <f>IF(CFDTable[[#This Row],[Emergence]]&gt;0,CFDTable[[#This Row],[Future Work]]-CFDTable[[#This Row],[Emergence]],NA())</f>
        <v>#N/A</v>
      </c>
      <c r="E73" s="10">
        <f>Data!C73</f>
        <v>0</v>
      </c>
      <c r="F73" s="10">
        <f ca="1">Data!D73</f>
        <v>48</v>
      </c>
      <c r="G73" s="10">
        <f ca="1">Data!E73</f>
        <v>48</v>
      </c>
      <c r="H73" s="10">
        <f ca="1">IF(TodaysDate&gt;=$B73,Data!F73,NA())</f>
        <v>0</v>
      </c>
      <c r="I73" s="10">
        <f ca="1">IF(TodaysDate&gt;=$B73,Data!G73,NA())</f>
        <v>6</v>
      </c>
      <c r="J73" s="10">
        <f ca="1">IF(TodaysDate&gt;=$B73,Data!H73,NA())</f>
        <v>0</v>
      </c>
      <c r="K73" s="10">
        <f ca="1">IF(TodaysDate&gt;=$B73,Data!I73,NA())</f>
        <v>0</v>
      </c>
      <c r="L73" s="10">
        <f ca="1">IF(TodaysDate&gt;=$B73,Data!J73,NA())</f>
        <v>65</v>
      </c>
      <c r="M73" s="10">
        <f ca="1">IF(CFDTable[[#This Row],[Done]]&gt;0,(CFDTable[[#This Row],[Done]])-(L72),0)</f>
        <v>3</v>
      </c>
      <c r="N73" s="10">
        <f ca="1">IF(ISNUMBER($M73),SUM(CFDTable[[#This Row],[Done]]),IF(CFDTable[[#This Row],[lookupLow]]&gt;=CFDTable[[#This Row],[FutureWork2]]+CFDTable[[#This Row],[lowDaily]],NA(),CFDTable[[#This Row],[lookupLow]]))</f>
        <v>65</v>
      </c>
      <c r="O73" s="10">
        <f ca="1">IF(ISNUMBER($M73),SUM(CFDTable[[#This Row],[Done]]),IF(CFDTable[[#This Row],[lookupMedian]]&gt;=CFDTable[[#This Row],[FutureWork2]],NA(),CFDTable[[#This Row],[lookupMedian]]))</f>
        <v>65</v>
      </c>
      <c r="P73" s="10">
        <f ca="1">IF(ISNUMBER(CFDTable[[#This Row],[Done Today]]),SUM(CFDTable[[#This Row],[Done]]),IF(CFDTable[[#This Row],[lookupHigh]]&gt;=CFDTable[[#This Row],[FutureWork2]]+CFDTable[[#This Row],[highDaily]],NA(),CFDTable[[#This Row],[lookupHigh]]))</f>
        <v>65</v>
      </c>
      <c r="Q73" s="10">
        <f ca="1">CFDTable[[#This Row],[AvgDaily]]-CFDTable[[#This Row],[Deviation]]</f>
        <v>1</v>
      </c>
      <c r="R73" s="10">
        <f ca="1">AVERAGE(IF(ISNUMBER(M73),IF(ISNUMBER(OFFSET(M73,-Historic,0)),OFFSET(M73,-Historic,0),M$2):M73,R72))</f>
        <v>1.0952380952380953</v>
      </c>
      <c r="S73" s="10">
        <f ca="1">AVERAGE(IF(ISNUMBER(M73),IF(ISNUMBER(OFFSET(M73,-Historic,0)),OFFSET(M73,-Historic,0),M$2):M73,S72))</f>
        <v>1.0952380952380953</v>
      </c>
      <c r="T73" s="10">
        <f ca="1">AVERAGE(IF(ISNUMBER(M73),OFFSET(M$2,DaysToIgnoreOnAvg,0):M73,T72))</f>
        <v>0.9</v>
      </c>
      <c r="U73" s="10">
        <f ca="1">CFDTable[[#This Row],[AvgDaily]]+CFDTable[[#This Row],[Deviation]]</f>
        <v>1.1904761904761907</v>
      </c>
      <c r="V73" s="10">
        <f ca="1">IF(ISNUMBER(M73),((_xlfn.PERCENTILE.INC(IF(ISNUMBER(OFFSET(R73,-Historic,0)),OFFSET(R73,-Historic,0),R$2):R73,PercentileHigh/100))-(MEDIAN(IF(ISNUMBER(OFFSET(R73,-Historic,0)),OFFSET(R73,-Historic,0),R$2):R73))),V72)</f>
        <v>9.5238095238095344E-2</v>
      </c>
      <c r="W73" s="10">
        <f ca="1">IF(ISNUMBER(M73),((_xlfn.PERCENTILE.INC(R$2:R73,PercentileHigh/100))-(MEDIAN(R$2:R73))),V72)</f>
        <v>0.1428571428571429</v>
      </c>
      <c r="X73" s="10">
        <f ca="1">(SUM(CFDTable[[#This Row],[To Do]:[Done]])-SUM(G72:L72))</f>
        <v>3</v>
      </c>
      <c r="Y73" s="10">
        <f ca="1">AVERAGE(IF(ISNUMBER(X73),IF(ISNUMBER(OFFSET(X73,-Historic,0)),OFFSET(X73,-Historic,0),X$2):X73,Y72))</f>
        <v>1.3333333333333333</v>
      </c>
      <c r="Z73" s="10">
        <f ca="1">IF(ISNUMBER(CFDTable[[#This Row],[Done Today]]),SUM($G73:$L73),Z72+CFDTable[[#This Row],[avg added]])</f>
        <v>119</v>
      </c>
      <c r="AA73" s="10">
        <f ca="1">IF(ISNUMBER(CFDTable[[#This Row],[Done Today]]),SUM($G73:$L73),$AA72)</f>
        <v>119</v>
      </c>
      <c r="AB73" s="10">
        <f ca="1">IF(ISNUMBER(CFDTable[[#This Row],[Done Today]]),SUM($G73:$L73),$AB72)</f>
        <v>119</v>
      </c>
      <c r="AC73" s="10">
        <f ca="1">SUM(LOOKUP(2,1/(N$1:N72&lt;&gt;""),N$1:N72)+CFDTable[[#This Row],[lowDaily]])</f>
        <v>63</v>
      </c>
      <c r="AD73" s="10">
        <f ca="1">SUM(LOOKUP(2,1/(O$1:O72&lt;&gt;""),O$1:O72)+R73)</f>
        <v>63.095238095238095</v>
      </c>
      <c r="AE73" s="10">
        <f ca="1">SUM(LOOKUP(2,1/(P$1:P72&lt;&gt;""),P$1:P72)+CFDTable[[#This Row],[highDaily]])</f>
        <v>63.19047619047619</v>
      </c>
      <c r="AF73" s="12">
        <f>IF(CFDTable[[#This Row],[Date]]=DeadlineDate,CFDTable[[#This Row],[FutureWork2]],0)</f>
        <v>0</v>
      </c>
    </row>
    <row r="74" spans="1:32">
      <c r="A74" s="8">
        <f>CFDTable[[#This Row],[Date]]</f>
        <v>42513</v>
      </c>
      <c r="B74" s="9">
        <f>Data!B74</f>
        <v>42513</v>
      </c>
      <c r="C74" s="10" t="e">
        <f ca="1">IF(ISNUMBER(CFDTable[[#This Row],[Ready]]),NA(),CFDTable[[#This Row],[Target]]-CFDTable[[#This Row],[To Do]])</f>
        <v>#N/A</v>
      </c>
      <c r="D74" s="10" t="e">
        <f>IF(CFDTable[[#This Row],[Emergence]]&gt;0,CFDTable[[#This Row],[Future Work]]-CFDTable[[#This Row],[Emergence]],NA())</f>
        <v>#N/A</v>
      </c>
      <c r="E74" s="10">
        <f>Data!C74</f>
        <v>0</v>
      </c>
      <c r="F74" s="10">
        <f ca="1">Data!D74</f>
        <v>48</v>
      </c>
      <c r="G74" s="10">
        <f ca="1">Data!E74</f>
        <v>48</v>
      </c>
      <c r="H74" s="10">
        <f ca="1">IF(TodaysDate&gt;=$B74,Data!F74,NA())</f>
        <v>0</v>
      </c>
      <c r="I74" s="10">
        <f ca="1">IF(TodaysDate&gt;=$B74,Data!G74,NA())</f>
        <v>5</v>
      </c>
      <c r="J74" s="10">
        <f ca="1">IF(TodaysDate&gt;=$B74,Data!H74,NA())</f>
        <v>0</v>
      </c>
      <c r="K74" s="10">
        <f ca="1">IF(TodaysDate&gt;=$B74,Data!I74,NA())</f>
        <v>0</v>
      </c>
      <c r="L74" s="10">
        <f ca="1">IF(TodaysDate&gt;=$B74,Data!J74,NA())</f>
        <v>66</v>
      </c>
      <c r="M74" s="10">
        <f ca="1">IF(CFDTable[[#This Row],[Done]]&gt;0,(CFDTable[[#This Row],[Done]])-(L73),0)</f>
        <v>1</v>
      </c>
      <c r="N74" s="10">
        <f ca="1">IF(ISNUMBER($M74),SUM(CFDTable[[#This Row],[Done]]),IF(CFDTable[[#This Row],[lookupLow]]&gt;=CFDTable[[#This Row],[FutureWork2]]+CFDTable[[#This Row],[lowDaily]],NA(),CFDTable[[#This Row],[lookupLow]]))</f>
        <v>66</v>
      </c>
      <c r="O74" s="10">
        <f ca="1">IF(ISNUMBER($M74),SUM(CFDTable[[#This Row],[Done]]),IF(CFDTable[[#This Row],[lookupMedian]]&gt;=CFDTable[[#This Row],[FutureWork2]],NA(),CFDTable[[#This Row],[lookupMedian]]))</f>
        <v>66</v>
      </c>
      <c r="P74" s="10">
        <f ca="1">IF(ISNUMBER(CFDTable[[#This Row],[Done Today]]),SUM(CFDTable[[#This Row],[Done]]),IF(CFDTable[[#This Row],[lookupHigh]]&gt;=CFDTable[[#This Row],[FutureWork2]]+CFDTable[[#This Row],[highDaily]],NA(),CFDTable[[#This Row],[lookupHigh]]))</f>
        <v>66</v>
      </c>
      <c r="Q74" s="10">
        <f ca="1">CFDTable[[#This Row],[AvgDaily]]-CFDTable[[#This Row],[Deviation]]</f>
        <v>1</v>
      </c>
      <c r="R74" s="10">
        <f ca="1">AVERAGE(IF(ISNUMBER(M74),IF(ISNUMBER(OFFSET(M74,-Historic,0)),OFFSET(M74,-Historic,0),M$2):M74,R73))</f>
        <v>1.0952380952380953</v>
      </c>
      <c r="S74" s="10">
        <f ca="1">AVERAGE(IF(ISNUMBER(M74),IF(ISNUMBER(OFFSET(M74,-Historic,0)),OFFSET(M74,-Historic,0),M$2):M74,S73))</f>
        <v>1.0952380952380953</v>
      </c>
      <c r="T74" s="10">
        <f ca="1">AVERAGE(IF(ISNUMBER(M74),OFFSET(M$2,DaysToIgnoreOnAvg,0):M74,T73))</f>
        <v>0.90140845070422537</v>
      </c>
      <c r="U74" s="10">
        <f ca="1">CFDTable[[#This Row],[AvgDaily]]+CFDTable[[#This Row],[Deviation]]</f>
        <v>1.1904761904761907</v>
      </c>
      <c r="V74" s="10">
        <f ca="1">IF(ISNUMBER(M74),((_xlfn.PERCENTILE.INC(IF(ISNUMBER(OFFSET(R74,-Historic,0)),OFFSET(R74,-Historic,0),R$2):R74,PercentileHigh/100))-(MEDIAN(IF(ISNUMBER(OFFSET(R74,-Historic,0)),OFFSET(R74,-Historic,0),R$2):R74))),V73)</f>
        <v>9.5238095238095344E-2</v>
      </c>
      <c r="W74" s="10">
        <f ca="1">IF(ISNUMBER(M74),((_xlfn.PERCENTILE.INC(R$2:R74,PercentileHigh/100))-(MEDIAN(R$2:R74))),V73)</f>
        <v>0.1428571428571429</v>
      </c>
      <c r="X74" s="10">
        <f ca="1">(SUM(CFDTable[[#This Row],[To Do]:[Done]])-SUM(G73:L73))</f>
        <v>0</v>
      </c>
      <c r="Y74" s="10">
        <f ca="1">AVERAGE(IF(ISNUMBER(X74),IF(ISNUMBER(OFFSET(X74,-Historic,0)),OFFSET(X74,-Historic,0),X$2):X74,Y73))</f>
        <v>1.1904761904761905</v>
      </c>
      <c r="Z74" s="10">
        <f ca="1">IF(ISNUMBER(CFDTable[[#This Row],[Done Today]]),SUM($G74:$L74),Z73+CFDTable[[#This Row],[avg added]])</f>
        <v>119</v>
      </c>
      <c r="AA74" s="10">
        <f ca="1">IF(ISNUMBER(CFDTable[[#This Row],[Done Today]]),SUM($G74:$L74),$AA73)</f>
        <v>119</v>
      </c>
      <c r="AB74" s="10">
        <f ca="1">IF(ISNUMBER(CFDTable[[#This Row],[Done Today]]),SUM($G74:$L74),$AB73)</f>
        <v>119</v>
      </c>
      <c r="AC74" s="10">
        <f ca="1">SUM(LOOKUP(2,1/(N$1:N73&lt;&gt;""),N$1:N73)+CFDTable[[#This Row],[lowDaily]])</f>
        <v>66</v>
      </c>
      <c r="AD74" s="10">
        <f ca="1">SUM(LOOKUP(2,1/(O$1:O73&lt;&gt;""),O$1:O73)+R74)</f>
        <v>66.095238095238102</v>
      </c>
      <c r="AE74" s="10">
        <f ca="1">SUM(LOOKUP(2,1/(P$1:P73&lt;&gt;""),P$1:P73)+CFDTable[[#This Row],[highDaily]])</f>
        <v>66.19047619047619</v>
      </c>
      <c r="AF74" s="12">
        <f>IF(CFDTable[[#This Row],[Date]]=DeadlineDate,CFDTable[[#This Row],[FutureWork2]],0)</f>
        <v>0</v>
      </c>
    </row>
    <row r="75" spans="1:32">
      <c r="A75" s="8">
        <f>CFDTable[[#This Row],[Date]]</f>
        <v>42514</v>
      </c>
      <c r="B75" s="9">
        <f>Data!B75</f>
        <v>42514</v>
      </c>
      <c r="C75" s="10" t="e">
        <f ca="1">IF(ISNUMBER(CFDTable[[#This Row],[Ready]]),NA(),CFDTable[[#This Row],[Target]]-CFDTable[[#This Row],[To Do]])</f>
        <v>#N/A</v>
      </c>
      <c r="D75" s="10" t="e">
        <f>IF(CFDTable[[#This Row],[Emergence]]&gt;0,CFDTable[[#This Row],[Future Work]]-CFDTable[[#This Row],[Emergence]],NA())</f>
        <v>#N/A</v>
      </c>
      <c r="E75" s="10">
        <f>Data!C75</f>
        <v>0</v>
      </c>
      <c r="F75" s="10">
        <f ca="1">Data!D75</f>
        <v>47</v>
      </c>
      <c r="G75" s="10">
        <f ca="1">Data!E75</f>
        <v>47</v>
      </c>
      <c r="H75" s="10">
        <f ca="1">IF(TodaysDate&gt;=$B75,Data!F75,NA())</f>
        <v>0</v>
      </c>
      <c r="I75" s="10">
        <f ca="1">IF(TodaysDate&gt;=$B75,Data!G75,NA())</f>
        <v>6</v>
      </c>
      <c r="J75" s="10">
        <f ca="1">IF(TodaysDate&gt;=$B75,Data!H75,NA())</f>
        <v>0</v>
      </c>
      <c r="K75" s="10">
        <f ca="1">IF(TodaysDate&gt;=$B75,Data!I75,NA())</f>
        <v>0</v>
      </c>
      <c r="L75" s="10">
        <f ca="1">IF(TodaysDate&gt;=$B75,Data!J75,NA())</f>
        <v>66</v>
      </c>
      <c r="M75" s="10">
        <f ca="1">IF(CFDTable[[#This Row],[Done]]&gt;0,(CFDTable[[#This Row],[Done]])-(L74),0)</f>
        <v>0</v>
      </c>
      <c r="N75" s="10">
        <f ca="1">IF(ISNUMBER($M75),SUM(CFDTable[[#This Row],[Done]]),IF(CFDTable[[#This Row],[lookupLow]]&gt;=CFDTable[[#This Row],[FutureWork2]]+CFDTable[[#This Row],[lowDaily]],NA(),CFDTable[[#This Row],[lookupLow]]))</f>
        <v>66</v>
      </c>
      <c r="O75" s="10">
        <f ca="1">IF(ISNUMBER($M75),SUM(CFDTable[[#This Row],[Done]]),IF(CFDTable[[#This Row],[lookupMedian]]&gt;=CFDTable[[#This Row],[FutureWork2]],NA(),CFDTable[[#This Row],[lookupMedian]]))</f>
        <v>66</v>
      </c>
      <c r="P75" s="10">
        <f ca="1">IF(ISNUMBER(CFDTable[[#This Row],[Done Today]]),SUM(CFDTable[[#This Row],[Done]]),IF(CFDTable[[#This Row],[lookupHigh]]&gt;=CFDTable[[#This Row],[FutureWork2]]+CFDTable[[#This Row],[highDaily]],NA(),CFDTable[[#This Row],[lookupHigh]]))</f>
        <v>66</v>
      </c>
      <c r="Q75" s="10">
        <f ca="1">CFDTable[[#This Row],[AvgDaily]]-CFDTable[[#This Row],[Deviation]]</f>
        <v>0.76190476190476175</v>
      </c>
      <c r="R75" s="10">
        <f ca="1">AVERAGE(IF(ISNUMBER(M75),IF(ISNUMBER(OFFSET(M75,-Historic,0)),OFFSET(M75,-Historic,0),M$2):M75,R74))</f>
        <v>0.8571428571428571</v>
      </c>
      <c r="S75" s="10">
        <f ca="1">AVERAGE(IF(ISNUMBER(M75),IF(ISNUMBER(OFFSET(M75,-Historic,0)),OFFSET(M75,-Historic,0),M$2):M75,S74))</f>
        <v>0.8571428571428571</v>
      </c>
      <c r="T75" s="10">
        <f ca="1">AVERAGE(IF(ISNUMBER(M75),OFFSET(M$2,DaysToIgnoreOnAvg,0):M75,T74))</f>
        <v>0.88888888888888884</v>
      </c>
      <c r="U75" s="10">
        <f ca="1">CFDTable[[#This Row],[AvgDaily]]+CFDTable[[#This Row],[Deviation]]</f>
        <v>0.95238095238095244</v>
      </c>
      <c r="V75" s="10">
        <f ca="1">IF(ISNUMBER(M75),((_xlfn.PERCENTILE.INC(IF(ISNUMBER(OFFSET(R75,-Historic,0)),OFFSET(R75,-Historic,0),R$2):R75,PercentileHigh/100))-(MEDIAN(IF(ISNUMBER(OFFSET(R75,-Historic,0)),OFFSET(R75,-Historic,0),R$2):R75))),V74)</f>
        <v>9.5238095238095344E-2</v>
      </c>
      <c r="W75" s="10">
        <f ca="1">IF(ISNUMBER(M75),((_xlfn.PERCENTILE.INC(R$2:R75,PercentileHigh/100))-(MEDIAN(R$2:R75))),V74)</f>
        <v>0.1428571428571429</v>
      </c>
      <c r="X75" s="10">
        <f ca="1">(SUM(CFDTable[[#This Row],[To Do]:[Done]])-SUM(G74:L74))</f>
        <v>0</v>
      </c>
      <c r="Y75" s="10">
        <f ca="1">AVERAGE(IF(ISNUMBER(X75),IF(ISNUMBER(OFFSET(X75,-Historic,0)),OFFSET(X75,-Historic,0),X$2):X75,Y74))</f>
        <v>1.0952380952380953</v>
      </c>
      <c r="Z75" s="10">
        <f ca="1">IF(ISNUMBER(CFDTable[[#This Row],[Done Today]]),SUM($G75:$L75),Z74+CFDTable[[#This Row],[avg added]])</f>
        <v>119</v>
      </c>
      <c r="AA75" s="10">
        <f ca="1">IF(ISNUMBER(CFDTable[[#This Row],[Done Today]]),SUM($G75:$L75),$AA74)</f>
        <v>119</v>
      </c>
      <c r="AB75" s="10">
        <f ca="1">IF(ISNUMBER(CFDTable[[#This Row],[Done Today]]),SUM($G75:$L75),$AB74)</f>
        <v>119</v>
      </c>
      <c r="AC75" s="10">
        <f ca="1">SUM(LOOKUP(2,1/(N$1:N74&lt;&gt;""),N$1:N74)+CFDTable[[#This Row],[lowDaily]])</f>
        <v>66.761904761904759</v>
      </c>
      <c r="AD75" s="10">
        <f ca="1">SUM(LOOKUP(2,1/(O$1:O74&lt;&gt;""),O$1:O74)+R75)</f>
        <v>66.857142857142861</v>
      </c>
      <c r="AE75" s="10">
        <f ca="1">SUM(LOOKUP(2,1/(P$1:P74&lt;&gt;""),P$1:P74)+CFDTable[[#This Row],[highDaily]])</f>
        <v>66.952380952380949</v>
      </c>
      <c r="AF75" s="12">
        <f>IF(CFDTable[[#This Row],[Date]]=DeadlineDate,CFDTable[[#This Row],[FutureWork2]],0)</f>
        <v>0</v>
      </c>
    </row>
    <row r="76" spans="1:32">
      <c r="A76" s="8">
        <f>CFDTable[[#This Row],[Date]]</f>
        <v>42515</v>
      </c>
      <c r="B76" s="9">
        <f>Data!B76</f>
        <v>42515</v>
      </c>
      <c r="C76" s="10" t="e">
        <f ca="1">IF(ISNUMBER(CFDTable[[#This Row],[Ready]]),NA(),CFDTable[[#This Row],[Target]]-CFDTable[[#This Row],[To Do]])</f>
        <v>#N/A</v>
      </c>
      <c r="D76" s="10" t="e">
        <f>IF(CFDTable[[#This Row],[Emergence]]&gt;0,CFDTable[[#This Row],[Future Work]]-CFDTable[[#This Row],[Emergence]],NA())</f>
        <v>#N/A</v>
      </c>
      <c r="E76" s="10">
        <f>Data!C76</f>
        <v>0</v>
      </c>
      <c r="F76" s="10">
        <f ca="1">Data!D76</f>
        <v>48</v>
      </c>
      <c r="G76" s="10">
        <f ca="1">Data!E76</f>
        <v>48</v>
      </c>
      <c r="H76" s="10">
        <f ca="1">IF(TodaysDate&gt;=$B76,Data!F76,NA())</f>
        <v>0</v>
      </c>
      <c r="I76" s="10">
        <f ca="1">IF(TodaysDate&gt;=$B76,Data!G76,NA())</f>
        <v>6</v>
      </c>
      <c r="J76" s="10">
        <f ca="1">IF(TodaysDate&gt;=$B76,Data!H76,NA())</f>
        <v>0</v>
      </c>
      <c r="K76" s="10">
        <f ca="1">IF(TodaysDate&gt;=$B76,Data!I76,NA())</f>
        <v>0</v>
      </c>
      <c r="L76" s="10">
        <f ca="1">IF(TodaysDate&gt;=$B76,Data!J76,NA())</f>
        <v>67</v>
      </c>
      <c r="M76" s="10">
        <f ca="1">IF(CFDTable[[#This Row],[Done]]&gt;0,(CFDTable[[#This Row],[Done]])-(L75),0)</f>
        <v>1</v>
      </c>
      <c r="N76" s="10">
        <f ca="1">IF(ISNUMBER($M76),SUM(CFDTable[[#This Row],[Done]]),IF(CFDTable[[#This Row],[lookupLow]]&gt;=CFDTable[[#This Row],[FutureWork2]]+CFDTable[[#This Row],[lowDaily]],NA(),CFDTable[[#This Row],[lookupLow]]))</f>
        <v>67</v>
      </c>
      <c r="O76" s="10">
        <f ca="1">IF(ISNUMBER($M76),SUM(CFDTable[[#This Row],[Done]]),IF(CFDTable[[#This Row],[lookupMedian]]&gt;=CFDTable[[#This Row],[FutureWork2]],NA(),CFDTable[[#This Row],[lookupMedian]]))</f>
        <v>67</v>
      </c>
      <c r="P76" s="10">
        <f ca="1">IF(ISNUMBER(CFDTable[[#This Row],[Done Today]]),SUM(CFDTable[[#This Row],[Done]]),IF(CFDTable[[#This Row],[lookupHigh]]&gt;=CFDTable[[#This Row],[FutureWork2]]+CFDTable[[#This Row],[highDaily]],NA(),CFDTable[[#This Row],[lookupHigh]]))</f>
        <v>67</v>
      </c>
      <c r="Q76" s="10">
        <f ca="1">CFDTable[[#This Row],[AvgDaily]]-CFDTable[[#This Row],[Deviation]]</f>
        <v>0.76190476190476175</v>
      </c>
      <c r="R76" s="10">
        <f ca="1">AVERAGE(IF(ISNUMBER(M76),IF(ISNUMBER(OFFSET(M76,-Historic,0)),OFFSET(M76,-Historic,0),M$2):M76,R75))</f>
        <v>0.90476190476190477</v>
      </c>
      <c r="S76" s="10">
        <f ca="1">AVERAGE(IF(ISNUMBER(M76),IF(ISNUMBER(OFFSET(M76,-Historic,0)),OFFSET(M76,-Historic,0),M$2):M76,S75))</f>
        <v>0.90476190476190477</v>
      </c>
      <c r="T76" s="10">
        <f ca="1">AVERAGE(IF(ISNUMBER(M76),OFFSET(M$2,DaysToIgnoreOnAvg,0):M76,T75))</f>
        <v>0.8904109589041096</v>
      </c>
      <c r="U76" s="10">
        <f ca="1">CFDTable[[#This Row],[AvgDaily]]+CFDTable[[#This Row],[Deviation]]</f>
        <v>1.0476190476190479</v>
      </c>
      <c r="V76" s="10">
        <f ca="1">IF(ISNUMBER(M76),((_xlfn.PERCENTILE.INC(IF(ISNUMBER(OFFSET(R76,-Historic,0)),OFFSET(R76,-Historic,0),R$2):R76,PercentileHigh/100))-(MEDIAN(IF(ISNUMBER(OFFSET(R76,-Historic,0)),OFFSET(R76,-Historic,0),R$2):R76))),V75)</f>
        <v>0.14285714285714302</v>
      </c>
      <c r="W76" s="10">
        <f ca="1">IF(ISNUMBER(M76),((_xlfn.PERCENTILE.INC(R$2:R76,PercentileHigh/100))-(MEDIAN(R$2:R76))),V75)</f>
        <v>0.1428571428571429</v>
      </c>
      <c r="X76" s="10">
        <f ca="1">(SUM(CFDTable[[#This Row],[To Do]:[Done]])-SUM(G75:L75))</f>
        <v>2</v>
      </c>
      <c r="Y76" s="10">
        <f ca="1">AVERAGE(IF(ISNUMBER(X76),IF(ISNUMBER(OFFSET(X76,-Historic,0)),OFFSET(X76,-Historic,0),X$2):X76,Y75))</f>
        <v>1.1904761904761905</v>
      </c>
      <c r="Z76" s="10">
        <f ca="1">IF(ISNUMBER(CFDTable[[#This Row],[Done Today]]),SUM($G76:$L76),Z75+CFDTable[[#This Row],[avg added]])</f>
        <v>121</v>
      </c>
      <c r="AA76" s="10">
        <f ca="1">IF(ISNUMBER(CFDTable[[#This Row],[Done Today]]),SUM($G76:$L76),$AA75)</f>
        <v>121</v>
      </c>
      <c r="AB76" s="10">
        <f ca="1">IF(ISNUMBER(CFDTable[[#This Row],[Done Today]]),SUM($G76:$L76),$AB75)</f>
        <v>121</v>
      </c>
      <c r="AC76" s="10">
        <f ca="1">SUM(LOOKUP(2,1/(N$1:N75&lt;&gt;""),N$1:N75)+CFDTable[[#This Row],[lowDaily]])</f>
        <v>66.761904761904759</v>
      </c>
      <c r="AD76" s="10">
        <f ca="1">SUM(LOOKUP(2,1/(O$1:O75&lt;&gt;""),O$1:O75)+R76)</f>
        <v>66.904761904761898</v>
      </c>
      <c r="AE76" s="10">
        <f ca="1">SUM(LOOKUP(2,1/(P$1:P75&lt;&gt;""),P$1:P75)+CFDTable[[#This Row],[highDaily]])</f>
        <v>67.047619047619051</v>
      </c>
      <c r="AF76" s="12">
        <f>IF(CFDTable[[#This Row],[Date]]=DeadlineDate,CFDTable[[#This Row],[FutureWork2]],0)</f>
        <v>0</v>
      </c>
    </row>
    <row r="77" spans="1:32">
      <c r="A77" s="8">
        <f>CFDTable[[#This Row],[Date]]</f>
        <v>42516</v>
      </c>
      <c r="B77" s="9">
        <f>Data!B77</f>
        <v>42516</v>
      </c>
      <c r="C77" s="10" t="e">
        <f ca="1">IF(ISNUMBER(CFDTable[[#This Row],[Ready]]),NA(),CFDTable[[#This Row],[Target]]-CFDTable[[#This Row],[To Do]])</f>
        <v>#N/A</v>
      </c>
      <c r="D77" s="10" t="e">
        <f>IF(CFDTable[[#This Row],[Emergence]]&gt;0,CFDTable[[#This Row],[Future Work]]-CFDTable[[#This Row],[Emergence]],NA())</f>
        <v>#N/A</v>
      </c>
      <c r="E77" s="10">
        <f>Data!C77</f>
        <v>0</v>
      </c>
      <c r="F77" s="10">
        <f ca="1">Data!D77</f>
        <v>47</v>
      </c>
      <c r="G77" s="10">
        <f ca="1">Data!E77</f>
        <v>47</v>
      </c>
      <c r="H77" s="10">
        <f ca="1">IF(TodaysDate&gt;=$B77,Data!F77,NA())</f>
        <v>0</v>
      </c>
      <c r="I77" s="10">
        <f ca="1">IF(TodaysDate&gt;=$B77,Data!G77,NA())</f>
        <v>6</v>
      </c>
      <c r="J77" s="10">
        <f ca="1">IF(TodaysDate&gt;=$B77,Data!H77,NA())</f>
        <v>1</v>
      </c>
      <c r="K77" s="10">
        <f ca="1">IF(TodaysDate&gt;=$B77,Data!I77,NA())</f>
        <v>0</v>
      </c>
      <c r="L77" s="10">
        <f ca="1">IF(TodaysDate&gt;=$B77,Data!J77,NA())</f>
        <v>68</v>
      </c>
      <c r="M77" s="10">
        <f ca="1">IF(CFDTable[[#This Row],[Done]]&gt;0,(CFDTable[[#This Row],[Done]])-(L76),0)</f>
        <v>1</v>
      </c>
      <c r="N77" s="10">
        <f ca="1">IF(ISNUMBER($M77),SUM(CFDTable[[#This Row],[Done]]),IF(CFDTable[[#This Row],[lookupLow]]&gt;=CFDTable[[#This Row],[FutureWork2]]+CFDTable[[#This Row],[lowDaily]],NA(),CFDTable[[#This Row],[lookupLow]]))</f>
        <v>68</v>
      </c>
      <c r="O77" s="10">
        <f ca="1">IF(ISNUMBER($M77),SUM(CFDTable[[#This Row],[Done]]),IF(CFDTable[[#This Row],[lookupMedian]]&gt;=CFDTable[[#This Row],[FutureWork2]],NA(),CFDTable[[#This Row],[lookupMedian]]))</f>
        <v>68</v>
      </c>
      <c r="P77" s="10">
        <f ca="1">IF(ISNUMBER(CFDTable[[#This Row],[Done Today]]),SUM(CFDTable[[#This Row],[Done]]),IF(CFDTable[[#This Row],[lookupHigh]]&gt;=CFDTable[[#This Row],[FutureWork2]]+CFDTable[[#This Row],[highDaily]],NA(),CFDTable[[#This Row],[lookupHigh]]))</f>
        <v>68</v>
      </c>
      <c r="Q77" s="10">
        <f ca="1">CFDTable[[#This Row],[AvgDaily]]-CFDTable[[#This Row],[Deviation]]</f>
        <v>0.76190476190476175</v>
      </c>
      <c r="R77" s="10">
        <f ca="1">AVERAGE(IF(ISNUMBER(M77),IF(ISNUMBER(OFFSET(M77,-Historic,0)),OFFSET(M77,-Historic,0),M$2):M77,R76))</f>
        <v>0.90476190476190477</v>
      </c>
      <c r="S77" s="10">
        <f ca="1">AVERAGE(IF(ISNUMBER(M77),IF(ISNUMBER(OFFSET(M77,-Historic,0)),OFFSET(M77,-Historic,0),M$2):M77,S76))</f>
        <v>0.90476190476190477</v>
      </c>
      <c r="T77" s="10">
        <f ca="1">AVERAGE(IF(ISNUMBER(M77),OFFSET(M$2,DaysToIgnoreOnAvg,0):M77,T76))</f>
        <v>0.89189189189189189</v>
      </c>
      <c r="U77" s="10">
        <f ca="1">CFDTable[[#This Row],[AvgDaily]]+CFDTable[[#This Row],[Deviation]]</f>
        <v>1.0476190476190479</v>
      </c>
      <c r="V77" s="10">
        <f ca="1">IF(ISNUMBER(M77),((_xlfn.PERCENTILE.INC(IF(ISNUMBER(OFFSET(R77,-Historic,0)),OFFSET(R77,-Historic,0),R$2):R77,PercentileHigh/100))-(MEDIAN(IF(ISNUMBER(OFFSET(R77,-Historic,0)),OFFSET(R77,-Historic,0),R$2):R77))),V76)</f>
        <v>0.14285714285714302</v>
      </c>
      <c r="W77" s="10">
        <f ca="1">IF(ISNUMBER(M77),((_xlfn.PERCENTILE.INC(R$2:R77,PercentileHigh/100))-(MEDIAN(R$2:R77))),V76)</f>
        <v>0.1428571428571429</v>
      </c>
      <c r="X77" s="10">
        <f ca="1">(SUM(CFDTable[[#This Row],[To Do]:[Done]])-SUM(G76:L76))</f>
        <v>1</v>
      </c>
      <c r="Y77" s="10">
        <f ca="1">AVERAGE(IF(ISNUMBER(X77),IF(ISNUMBER(OFFSET(X77,-Historic,0)),OFFSET(X77,-Historic,0),X$2):X77,Y76))</f>
        <v>1.1904761904761905</v>
      </c>
      <c r="Z77" s="10">
        <f ca="1">IF(ISNUMBER(CFDTable[[#This Row],[Done Today]]),SUM($G77:$L77),Z76+CFDTable[[#This Row],[avg added]])</f>
        <v>122</v>
      </c>
      <c r="AA77" s="10">
        <f ca="1">IF(ISNUMBER(CFDTable[[#This Row],[Done Today]]),SUM($G77:$L77),$AA76)</f>
        <v>122</v>
      </c>
      <c r="AB77" s="10">
        <f ca="1">IF(ISNUMBER(CFDTable[[#This Row],[Done Today]]),SUM($G77:$L77),$AB76)</f>
        <v>122</v>
      </c>
      <c r="AC77" s="10">
        <f ca="1">SUM(LOOKUP(2,1/(N$1:N76&lt;&gt;""),N$1:N76)+CFDTable[[#This Row],[lowDaily]])</f>
        <v>67.761904761904759</v>
      </c>
      <c r="AD77" s="10">
        <f ca="1">SUM(LOOKUP(2,1/(O$1:O76&lt;&gt;""),O$1:O76)+R77)</f>
        <v>67.904761904761898</v>
      </c>
      <c r="AE77" s="10">
        <f ca="1">SUM(LOOKUP(2,1/(P$1:P76&lt;&gt;""),P$1:P76)+CFDTable[[#This Row],[highDaily]])</f>
        <v>68.047619047619051</v>
      </c>
      <c r="AF77" s="12">
        <f>IF(CFDTable[[#This Row],[Date]]=DeadlineDate,CFDTable[[#This Row],[FutureWork2]],0)</f>
        <v>0</v>
      </c>
    </row>
    <row r="78" spans="1:32">
      <c r="A78" s="8">
        <f>CFDTable[[#This Row],[Date]]</f>
        <v>42517</v>
      </c>
      <c r="B78" s="9">
        <f>Data!B78</f>
        <v>42517</v>
      </c>
      <c r="C78" s="10" t="e">
        <f ca="1">IF(ISNUMBER(CFDTable[[#This Row],[Ready]]),NA(),CFDTable[[#This Row],[Target]]-CFDTable[[#This Row],[To Do]])</f>
        <v>#N/A</v>
      </c>
      <c r="D78" s="10" t="e">
        <f>IF(CFDTable[[#This Row],[Emergence]]&gt;0,CFDTable[[#This Row],[Future Work]]-CFDTable[[#This Row],[Emergence]],NA())</f>
        <v>#N/A</v>
      </c>
      <c r="E78" s="10">
        <f>Data!C78</f>
        <v>0</v>
      </c>
      <c r="F78" s="10">
        <f ca="1">Data!D78</f>
        <v>47</v>
      </c>
      <c r="G78" s="10">
        <f ca="1">Data!E78</f>
        <v>47</v>
      </c>
      <c r="H78" s="10">
        <f ca="1">IF(TodaysDate&gt;=$B78,Data!F78,NA())</f>
        <v>0</v>
      </c>
      <c r="I78" s="10">
        <f ca="1">IF(TodaysDate&gt;=$B78,Data!G78,NA())</f>
        <v>6</v>
      </c>
      <c r="J78" s="10">
        <f ca="1">IF(TodaysDate&gt;=$B78,Data!H78,NA())</f>
        <v>1</v>
      </c>
      <c r="K78" s="10">
        <f ca="1">IF(TodaysDate&gt;=$B78,Data!I78,NA())</f>
        <v>0</v>
      </c>
      <c r="L78" s="10">
        <f ca="1">IF(TodaysDate&gt;=$B78,Data!J78,NA())</f>
        <v>69</v>
      </c>
      <c r="M78" s="10">
        <f ca="1">IF(CFDTable[[#This Row],[Done]]&gt;0,(CFDTable[[#This Row],[Done]])-(L77),0)</f>
        <v>1</v>
      </c>
      <c r="N78" s="10">
        <f ca="1">IF(ISNUMBER($M78),SUM(CFDTable[[#This Row],[Done]]),IF(CFDTable[[#This Row],[lookupLow]]&gt;=CFDTable[[#This Row],[FutureWork2]]+CFDTable[[#This Row],[lowDaily]],NA(),CFDTable[[#This Row],[lookupLow]]))</f>
        <v>69</v>
      </c>
      <c r="O78" s="10">
        <f ca="1">IF(ISNUMBER($M78),SUM(CFDTable[[#This Row],[Done]]),IF(CFDTable[[#This Row],[lookupMedian]]&gt;=CFDTable[[#This Row],[FutureWork2]],NA(),CFDTable[[#This Row],[lookupMedian]]))</f>
        <v>69</v>
      </c>
      <c r="P78" s="10">
        <f ca="1">IF(ISNUMBER(CFDTable[[#This Row],[Done Today]]),SUM(CFDTable[[#This Row],[Done]]),IF(CFDTable[[#This Row],[lookupHigh]]&gt;=CFDTable[[#This Row],[FutureWork2]]+CFDTable[[#This Row],[highDaily]],NA(),CFDTable[[#This Row],[lookupHigh]]))</f>
        <v>69</v>
      </c>
      <c r="Q78" s="10">
        <f ca="1">CFDTable[[#This Row],[AvgDaily]]-CFDTable[[#This Row],[Deviation]]</f>
        <v>0.80952380952380931</v>
      </c>
      <c r="R78" s="10">
        <f ca="1">AVERAGE(IF(ISNUMBER(M78),IF(ISNUMBER(OFFSET(M78,-Historic,0)),OFFSET(M78,-Historic,0),M$2):M78,R77))</f>
        <v>0.95238095238095233</v>
      </c>
      <c r="S78" s="10">
        <f ca="1">AVERAGE(IF(ISNUMBER(M78),IF(ISNUMBER(OFFSET(M78,-Historic,0)),OFFSET(M78,-Historic,0),M$2):M78,S77))</f>
        <v>0.95238095238095233</v>
      </c>
      <c r="T78" s="10">
        <f ca="1">AVERAGE(IF(ISNUMBER(M78),OFFSET(M$2,DaysToIgnoreOnAvg,0):M78,T77))</f>
        <v>0.89333333333333331</v>
      </c>
      <c r="U78" s="10">
        <f ca="1">CFDTable[[#This Row],[AvgDaily]]+CFDTable[[#This Row],[Deviation]]</f>
        <v>1.0952380952380953</v>
      </c>
      <c r="V78" s="10">
        <f ca="1">IF(ISNUMBER(M78),((_xlfn.PERCENTILE.INC(IF(ISNUMBER(OFFSET(R78,-Historic,0)),OFFSET(R78,-Historic,0),R$2):R78,PercentileHigh/100))-(MEDIAN(IF(ISNUMBER(OFFSET(R78,-Historic,0)),OFFSET(R78,-Historic,0),R$2):R78))),V77)</f>
        <v>0.14285714285714302</v>
      </c>
      <c r="W78" s="10">
        <f ca="1">IF(ISNUMBER(M78),((_xlfn.PERCENTILE.INC(R$2:R78,PercentileHigh/100))-(MEDIAN(R$2:R78))),V77)</f>
        <v>0.1428571428571429</v>
      </c>
      <c r="X78" s="10">
        <f ca="1">(SUM(CFDTable[[#This Row],[To Do]:[Done]])-SUM(G77:L77))</f>
        <v>1</v>
      </c>
      <c r="Y78" s="10">
        <f ca="1">AVERAGE(IF(ISNUMBER(X78),IF(ISNUMBER(OFFSET(X78,-Historic,0)),OFFSET(X78,-Historic,0),X$2):X78,Y77))</f>
        <v>1.1428571428571428</v>
      </c>
      <c r="Z78" s="10">
        <f ca="1">IF(ISNUMBER(CFDTable[[#This Row],[Done Today]]),SUM($G78:$L78),Z77+CFDTable[[#This Row],[avg added]])</f>
        <v>123</v>
      </c>
      <c r="AA78" s="10">
        <f ca="1">IF(ISNUMBER(CFDTable[[#This Row],[Done Today]]),SUM($G78:$L78),$AA77)</f>
        <v>123</v>
      </c>
      <c r="AB78" s="10">
        <f ca="1">IF(ISNUMBER(CFDTable[[#This Row],[Done Today]]),SUM($G78:$L78),$AB77)</f>
        <v>123</v>
      </c>
      <c r="AC78" s="10">
        <f ca="1">SUM(LOOKUP(2,1/(N$1:N77&lt;&gt;""),N$1:N77)+CFDTable[[#This Row],[lowDaily]])</f>
        <v>68.80952380952381</v>
      </c>
      <c r="AD78" s="10">
        <f ca="1">SUM(LOOKUP(2,1/(O$1:O77&lt;&gt;""),O$1:O77)+R78)</f>
        <v>68.952380952380949</v>
      </c>
      <c r="AE78" s="10">
        <f ca="1">SUM(LOOKUP(2,1/(P$1:P77&lt;&gt;""),P$1:P77)+CFDTable[[#This Row],[highDaily]])</f>
        <v>69.095238095238102</v>
      </c>
      <c r="AF78" s="12">
        <f>IF(CFDTable[[#This Row],[Date]]=DeadlineDate,CFDTable[[#This Row],[FutureWork2]],0)</f>
        <v>0</v>
      </c>
    </row>
    <row r="79" spans="1:32">
      <c r="A79" s="8">
        <f>CFDTable[[#This Row],[Date]]</f>
        <v>42521</v>
      </c>
      <c r="B79" s="9">
        <f>Data!B79</f>
        <v>42521</v>
      </c>
      <c r="C79" s="10" t="e">
        <f ca="1">IF(ISNUMBER(CFDTable[[#This Row],[Ready]]),NA(),CFDTable[[#This Row],[Target]]-CFDTable[[#This Row],[To Do]])</f>
        <v>#N/A</v>
      </c>
      <c r="D79" s="10" t="e">
        <f>IF(CFDTable[[#This Row],[Emergence]]&gt;0,CFDTable[[#This Row],[Future Work]]-CFDTable[[#This Row],[Emergence]],NA())</f>
        <v>#N/A</v>
      </c>
      <c r="E79" s="10">
        <f>Data!C79</f>
        <v>0</v>
      </c>
      <c r="F79" s="10">
        <f ca="1">Data!D79</f>
        <v>47</v>
      </c>
      <c r="G79" s="10">
        <f ca="1">Data!E79</f>
        <v>47</v>
      </c>
      <c r="H79" s="10">
        <f ca="1">IF(TodaysDate&gt;=$B79,Data!F79,NA())</f>
        <v>0</v>
      </c>
      <c r="I79" s="10">
        <f ca="1">IF(TodaysDate&gt;=$B79,Data!G79,NA())</f>
        <v>6</v>
      </c>
      <c r="J79" s="10">
        <f ca="1">IF(TodaysDate&gt;=$B79,Data!H79,NA())</f>
        <v>1</v>
      </c>
      <c r="K79" s="10">
        <f ca="1">IF(TodaysDate&gt;=$B79,Data!I79,NA())</f>
        <v>0</v>
      </c>
      <c r="L79" s="10">
        <f ca="1">IF(TodaysDate&gt;=$B79,Data!J79,NA())</f>
        <v>69</v>
      </c>
      <c r="M79" s="10">
        <f ca="1">IF(CFDTable[[#This Row],[Done]]&gt;0,(CFDTable[[#This Row],[Done]])-(L78),0)</f>
        <v>0</v>
      </c>
      <c r="N79" s="10">
        <f ca="1">IF(ISNUMBER($M79),SUM(CFDTable[[#This Row],[Done]]),IF(CFDTable[[#This Row],[lookupLow]]&gt;=CFDTable[[#This Row],[FutureWork2]]+CFDTable[[#This Row],[lowDaily]],NA(),CFDTable[[#This Row],[lookupLow]]))</f>
        <v>69</v>
      </c>
      <c r="O79" s="10">
        <f ca="1">IF(ISNUMBER($M79),SUM(CFDTable[[#This Row],[Done]]),IF(CFDTable[[#This Row],[lookupMedian]]&gt;=CFDTable[[#This Row],[FutureWork2]],NA(),CFDTable[[#This Row],[lookupMedian]]))</f>
        <v>69</v>
      </c>
      <c r="P79" s="10">
        <f ca="1">IF(ISNUMBER(CFDTable[[#This Row],[Done Today]]),SUM(CFDTable[[#This Row],[Done]]),IF(CFDTable[[#This Row],[lookupHigh]]&gt;=CFDTable[[#This Row],[FutureWork2]]+CFDTable[[#This Row],[highDaily]],NA(),CFDTable[[#This Row],[lookupHigh]]))</f>
        <v>69</v>
      </c>
      <c r="Q79" s="10">
        <f ca="1">CFDTable[[#This Row],[AvgDaily]]-CFDTable[[#This Row],[Deviation]]</f>
        <v>0.76190476190476175</v>
      </c>
      <c r="R79" s="10">
        <f ca="1">AVERAGE(IF(ISNUMBER(M79),IF(ISNUMBER(OFFSET(M79,-Historic,0)),OFFSET(M79,-Historic,0),M$2):M79,R78))</f>
        <v>0.90476190476190477</v>
      </c>
      <c r="S79" s="10">
        <f ca="1">AVERAGE(IF(ISNUMBER(M79),IF(ISNUMBER(OFFSET(M79,-Historic,0)),OFFSET(M79,-Historic,0),M$2):M79,S78))</f>
        <v>0.90476190476190477</v>
      </c>
      <c r="T79" s="10">
        <f ca="1">AVERAGE(IF(ISNUMBER(M79),OFFSET(M$2,DaysToIgnoreOnAvg,0):M79,T78))</f>
        <v>0.88157894736842102</v>
      </c>
      <c r="U79" s="10">
        <f ca="1">CFDTable[[#This Row],[AvgDaily]]+CFDTable[[#This Row],[Deviation]]</f>
        <v>1.0476190476190479</v>
      </c>
      <c r="V79" s="10">
        <f ca="1">IF(ISNUMBER(M79),((_xlfn.PERCENTILE.INC(IF(ISNUMBER(OFFSET(R79,-Historic,0)),OFFSET(R79,-Historic,0),R$2):R79,PercentileHigh/100))-(MEDIAN(IF(ISNUMBER(OFFSET(R79,-Historic,0)),OFFSET(R79,-Historic,0),R$2):R79))),V78)</f>
        <v>0.14285714285714302</v>
      </c>
      <c r="W79" s="10">
        <f ca="1">IF(ISNUMBER(M79),((_xlfn.PERCENTILE.INC(R$2:R79,PercentileHigh/100))-(MEDIAN(R$2:R79))),V78)</f>
        <v>0.1428571428571429</v>
      </c>
      <c r="X79" s="10">
        <f ca="1">(SUM(CFDTable[[#This Row],[To Do]:[Done]])-SUM(G78:L78))</f>
        <v>0</v>
      </c>
      <c r="Y79" s="10">
        <f ca="1">AVERAGE(IF(ISNUMBER(X79),IF(ISNUMBER(OFFSET(X79,-Historic,0)),OFFSET(X79,-Historic,0),X$2):X79,Y78))</f>
        <v>1.0952380952380953</v>
      </c>
      <c r="Z79" s="10">
        <f ca="1">IF(ISNUMBER(CFDTable[[#This Row],[Done Today]]),SUM($G79:$L79),Z78+CFDTable[[#This Row],[avg added]])</f>
        <v>123</v>
      </c>
      <c r="AA79" s="10">
        <f ca="1">IF(ISNUMBER(CFDTable[[#This Row],[Done Today]]),SUM($G79:$L79),$AA78)</f>
        <v>123</v>
      </c>
      <c r="AB79" s="10">
        <f ca="1">IF(ISNUMBER(CFDTable[[#This Row],[Done Today]]),SUM($G79:$L79),$AB78)</f>
        <v>123</v>
      </c>
      <c r="AC79" s="10">
        <f ca="1">SUM(LOOKUP(2,1/(N$1:N78&lt;&gt;""),N$1:N78)+CFDTable[[#This Row],[lowDaily]])</f>
        <v>69.761904761904759</v>
      </c>
      <c r="AD79" s="10">
        <f ca="1">SUM(LOOKUP(2,1/(O$1:O78&lt;&gt;""),O$1:O78)+R79)</f>
        <v>69.904761904761898</v>
      </c>
      <c r="AE79" s="10">
        <f ca="1">SUM(LOOKUP(2,1/(P$1:P78&lt;&gt;""),P$1:P78)+CFDTable[[#This Row],[highDaily]])</f>
        <v>70.047619047619051</v>
      </c>
      <c r="AF79" s="12">
        <f>IF(CFDTable[[#This Row],[Date]]=DeadlineDate,CFDTable[[#This Row],[FutureWork2]],0)</f>
        <v>0</v>
      </c>
    </row>
    <row r="80" spans="1:32">
      <c r="A80" s="8">
        <f>CFDTable[[#This Row],[Date]]</f>
        <v>42522</v>
      </c>
      <c r="B80" s="9">
        <f>Data!B80</f>
        <v>42522</v>
      </c>
      <c r="C80" s="10" t="e">
        <f ca="1">IF(ISNUMBER(CFDTable[[#This Row],[Ready]]),NA(),CFDTable[[#This Row],[Target]]-CFDTable[[#This Row],[To Do]])</f>
        <v>#N/A</v>
      </c>
      <c r="D80" s="10" t="e">
        <f>IF(CFDTable[[#This Row],[Emergence]]&gt;0,CFDTable[[#This Row],[Future Work]]-CFDTable[[#This Row],[Emergence]],NA())</f>
        <v>#N/A</v>
      </c>
      <c r="E80" s="10">
        <f>Data!C80</f>
        <v>0</v>
      </c>
      <c r="F80" s="10">
        <f ca="1">Data!D80</f>
        <v>47</v>
      </c>
      <c r="G80" s="10">
        <f ca="1">Data!E80</f>
        <v>47</v>
      </c>
      <c r="H80" s="10">
        <f ca="1">IF(TodaysDate&gt;=$B80,Data!F80,NA())</f>
        <v>0</v>
      </c>
      <c r="I80" s="10">
        <f ca="1">IF(TodaysDate&gt;=$B80,Data!G80,NA())</f>
        <v>6</v>
      </c>
      <c r="J80" s="10">
        <f ca="1">IF(TodaysDate&gt;=$B80,Data!H80,NA())</f>
        <v>1</v>
      </c>
      <c r="K80" s="10">
        <f ca="1">IF(TodaysDate&gt;=$B80,Data!I80,NA())</f>
        <v>0</v>
      </c>
      <c r="L80" s="10">
        <f ca="1">IF(TodaysDate&gt;=$B80,Data!J80,NA())</f>
        <v>70</v>
      </c>
      <c r="M80" s="10">
        <f ca="1">IF(CFDTable[[#This Row],[Done]]&gt;0,(CFDTable[[#This Row],[Done]])-(L79),0)</f>
        <v>1</v>
      </c>
      <c r="N80" s="10">
        <f ca="1">IF(ISNUMBER($M80),SUM(CFDTable[[#This Row],[Done]]),IF(CFDTable[[#This Row],[lookupLow]]&gt;=CFDTable[[#This Row],[FutureWork2]]+CFDTable[[#This Row],[lowDaily]],NA(),CFDTable[[#This Row],[lookupLow]]))</f>
        <v>70</v>
      </c>
      <c r="O80" s="10">
        <f ca="1">IF(ISNUMBER($M80),SUM(CFDTable[[#This Row],[Done]]),IF(CFDTable[[#This Row],[lookupMedian]]&gt;=CFDTable[[#This Row],[FutureWork2]],NA(),CFDTable[[#This Row],[lookupMedian]]))</f>
        <v>70</v>
      </c>
      <c r="P80" s="10">
        <f ca="1">IF(ISNUMBER(CFDTable[[#This Row],[Done Today]]),SUM(CFDTable[[#This Row],[Done]]),IF(CFDTable[[#This Row],[lookupHigh]]&gt;=CFDTable[[#This Row],[FutureWork2]]+CFDTable[[#This Row],[highDaily]],NA(),CFDTable[[#This Row],[lookupHigh]]))</f>
        <v>70</v>
      </c>
      <c r="Q80" s="10">
        <f ca="1">CFDTable[[#This Row],[AvgDaily]]-CFDTable[[#This Row],[Deviation]]</f>
        <v>0.80952380952380931</v>
      </c>
      <c r="R80" s="10">
        <f ca="1">AVERAGE(IF(ISNUMBER(M80),IF(ISNUMBER(OFFSET(M80,-Historic,0)),OFFSET(M80,-Historic,0),M$2):M80,R79))</f>
        <v>0.95238095238095233</v>
      </c>
      <c r="S80" s="10">
        <f ca="1">AVERAGE(IF(ISNUMBER(M80),IF(ISNUMBER(OFFSET(M80,-Historic,0)),OFFSET(M80,-Historic,0),M$2):M80,S79))</f>
        <v>0.95238095238095233</v>
      </c>
      <c r="T80" s="10">
        <f ca="1">AVERAGE(IF(ISNUMBER(M80),OFFSET(M$2,DaysToIgnoreOnAvg,0):M80,T79))</f>
        <v>0.88311688311688308</v>
      </c>
      <c r="U80" s="10">
        <f ca="1">CFDTable[[#This Row],[AvgDaily]]+CFDTable[[#This Row],[Deviation]]</f>
        <v>1.0952380952380953</v>
      </c>
      <c r="V80" s="10">
        <f ca="1">IF(ISNUMBER(M80),((_xlfn.PERCENTILE.INC(IF(ISNUMBER(OFFSET(R80,-Historic,0)),OFFSET(R80,-Historic,0),R$2):R80,PercentileHigh/100))-(MEDIAN(IF(ISNUMBER(OFFSET(R80,-Historic,0)),OFFSET(R80,-Historic,0),R$2):R80))),V79)</f>
        <v>0.14285714285714302</v>
      </c>
      <c r="W80" s="10">
        <f ca="1">IF(ISNUMBER(M80),((_xlfn.PERCENTILE.INC(R$2:R80,PercentileHigh/100))-(MEDIAN(R$2:R80))),V79)</f>
        <v>0.1428571428571429</v>
      </c>
      <c r="X80" s="10">
        <f ca="1">(SUM(CFDTable[[#This Row],[To Do]:[Done]])-SUM(G79:L79))</f>
        <v>1</v>
      </c>
      <c r="Y80" s="10">
        <f ca="1">AVERAGE(IF(ISNUMBER(X80),IF(ISNUMBER(OFFSET(X80,-Historic,0)),OFFSET(X80,-Historic,0),X$2):X80,Y79))</f>
        <v>1.1428571428571428</v>
      </c>
      <c r="Z80" s="10">
        <f ca="1">IF(ISNUMBER(CFDTable[[#This Row],[Done Today]]),SUM($G80:$L80),Z79+CFDTable[[#This Row],[avg added]])</f>
        <v>124</v>
      </c>
      <c r="AA80" s="10">
        <f ca="1">IF(ISNUMBER(CFDTable[[#This Row],[Done Today]]),SUM($G80:$L80),$AA79)</f>
        <v>124</v>
      </c>
      <c r="AB80" s="10">
        <f ca="1">IF(ISNUMBER(CFDTable[[#This Row],[Done Today]]),SUM($G80:$L80),$AB79)</f>
        <v>124</v>
      </c>
      <c r="AC80" s="10">
        <f ca="1">SUM(LOOKUP(2,1/(N$1:N79&lt;&gt;""),N$1:N79)+CFDTable[[#This Row],[lowDaily]])</f>
        <v>69.80952380952381</v>
      </c>
      <c r="AD80" s="10">
        <f ca="1">SUM(LOOKUP(2,1/(O$1:O79&lt;&gt;""),O$1:O79)+R80)</f>
        <v>69.952380952380949</v>
      </c>
      <c r="AE80" s="10">
        <f ca="1">SUM(LOOKUP(2,1/(P$1:P79&lt;&gt;""),P$1:P79)+CFDTable[[#This Row],[highDaily]])</f>
        <v>70.095238095238102</v>
      </c>
      <c r="AF80" s="12">
        <f>IF(CFDTable[[#This Row],[Date]]=DeadlineDate,CFDTable[[#This Row],[FutureWork2]],0)</f>
        <v>0</v>
      </c>
    </row>
    <row r="81" spans="1:32">
      <c r="A81" s="8">
        <f>CFDTable[[#This Row],[Date]]</f>
        <v>42523</v>
      </c>
      <c r="B81" s="9">
        <f>Data!B81</f>
        <v>42523</v>
      </c>
      <c r="C81" s="10">
        <f ca="1">IF(ISNUMBER(CFDTable[[#This Row],[Ready]]),NA(),CFDTable[[#This Row],[Target]]-CFDTable[[#This Row],[To Do]])</f>
        <v>77</v>
      </c>
      <c r="D81" s="10" t="e">
        <f>IF(CFDTable[[#This Row],[Emergence]]&gt;0,CFDTable[[#This Row],[Future Work]]-CFDTable[[#This Row],[Emergence]],NA())</f>
        <v>#N/A</v>
      </c>
      <c r="E81" s="10">
        <f>Data!C81</f>
        <v>0</v>
      </c>
      <c r="F81" s="10" t="str">
        <f ca="1">Data!D81</f>
        <v/>
      </c>
      <c r="G81" s="10">
        <f ca="1">Data!E81</f>
        <v>47</v>
      </c>
      <c r="H81" s="10" t="e">
        <f ca="1">IF(TodaysDate&gt;=$B81,Data!F81,NA())</f>
        <v>#N/A</v>
      </c>
      <c r="I81" s="10" t="e">
        <f ca="1">IF(TodaysDate&gt;=$B81,Data!G81,NA())</f>
        <v>#N/A</v>
      </c>
      <c r="J81" s="10" t="e">
        <f ca="1">IF(TodaysDate&gt;=$B81,Data!H81,NA())</f>
        <v>#N/A</v>
      </c>
      <c r="K81" s="10" t="e">
        <f ca="1">IF(TodaysDate&gt;=$B81,Data!I81,NA())</f>
        <v>#N/A</v>
      </c>
      <c r="L81" s="10" t="e">
        <f ca="1">IF(TodaysDate&gt;=$B81,Data!J81,NA())</f>
        <v>#N/A</v>
      </c>
      <c r="M81" s="10" t="e">
        <f ca="1">IF(CFDTable[[#This Row],[Done]]&gt;0,(CFDTable[[#This Row],[Done]])-(L80),0)</f>
        <v>#N/A</v>
      </c>
      <c r="N81" s="10">
        <f ca="1">IF(ISNUMBER($M81),SUM(CFDTable[[#This Row],[Done]]),IF(CFDTable[[#This Row],[lookupLow]]&gt;=CFDTable[[#This Row],[FutureWork2]]+CFDTable[[#This Row],[lowDaily]],NA(),CFDTable[[#This Row],[lookupLow]]))</f>
        <v>70.80952380952381</v>
      </c>
      <c r="O81" s="10">
        <f ca="1">IF(ISNUMBER($M81),SUM(CFDTable[[#This Row],[Done]]),IF(CFDTable[[#This Row],[lookupMedian]]&gt;=CFDTable[[#This Row],[FutureWork2]],NA(),CFDTable[[#This Row],[lookupMedian]]))</f>
        <v>70.952380952380949</v>
      </c>
      <c r="P81" s="10">
        <f ca="1">IF(ISNUMBER(CFDTable[[#This Row],[Done Today]]),SUM(CFDTable[[#This Row],[Done]]),IF(CFDTable[[#This Row],[lookupHigh]]&gt;=CFDTable[[#This Row],[FutureWork2]]+CFDTable[[#This Row],[highDaily]],NA(),CFDTable[[#This Row],[lookupHigh]]))</f>
        <v>71.095238095238102</v>
      </c>
      <c r="Q81" s="10">
        <f ca="1">CFDTable[[#This Row],[AvgDaily]]-CFDTable[[#This Row],[Deviation]]</f>
        <v>0.80952380952380931</v>
      </c>
      <c r="R81" s="10">
        <f ca="1">AVERAGE(IF(ISNUMBER(M81),IF(ISNUMBER(OFFSET(M81,-Historic,0)),OFFSET(M81,-Historic,0),M$2):M81,R80))</f>
        <v>0.95238095238095233</v>
      </c>
      <c r="S81" s="10">
        <f ca="1">AVERAGE(IF(ISNUMBER(M81),IF(ISNUMBER(OFFSET(M81,-Historic,0)),OFFSET(M81,-Historic,0),M$2):M81,S80))</f>
        <v>0.95238095238095233</v>
      </c>
      <c r="T81" s="10">
        <f ca="1">AVERAGE(IF(ISNUMBER(M81),OFFSET(M$2,DaysToIgnoreOnAvg,0):M81,T80))</f>
        <v>0.88311688311688308</v>
      </c>
      <c r="U81" s="10">
        <f ca="1">CFDTable[[#This Row],[AvgDaily]]+CFDTable[[#This Row],[Deviation]]</f>
        <v>1.0952380952380953</v>
      </c>
      <c r="V81" s="10">
        <f ca="1">IF(ISNUMBER(M81),((_xlfn.PERCENTILE.INC(IF(ISNUMBER(OFFSET(R81,-Historic,0)),OFFSET(R81,-Historic,0),R$2):R81,PercentileHigh/100))-(MEDIAN(IF(ISNUMBER(OFFSET(R81,-Historic,0)),OFFSET(R81,-Historic,0),R$2):R81))),V80)</f>
        <v>0.14285714285714302</v>
      </c>
      <c r="W81" s="10">
        <f ca="1">IF(ISNUMBER(M81),((_xlfn.PERCENTILE.INC(R$2:R81,PercentileHigh/100))-(MEDIAN(R$2:R81))),V80)</f>
        <v>0.14285714285714302</v>
      </c>
      <c r="X81" s="10" t="e">
        <f ca="1">(SUM(CFDTable[[#This Row],[To Do]:[Done]])-SUM(G80:L80))</f>
        <v>#N/A</v>
      </c>
      <c r="Y81" s="10">
        <f ca="1">AVERAGE(IF(ISNUMBER(X81),IF(ISNUMBER(OFFSET(X81,-Historic,0)),OFFSET(X81,-Historic,0),X$2):X81,Y80))</f>
        <v>1.1428571428571428</v>
      </c>
      <c r="Z81" s="10">
        <f ca="1">IF(ISNUMBER(CFDTable[[#This Row],[Done Today]]),SUM($G81:$L81),Z80+CFDTable[[#This Row],[avg added]])</f>
        <v>125.14285714285714</v>
      </c>
      <c r="AA81" s="10">
        <f ca="1">IF(ISNUMBER(CFDTable[[#This Row],[Done Today]]),SUM($G81:$L81),$AA80)</f>
        <v>124</v>
      </c>
      <c r="AB81" s="10">
        <f ca="1">IF(ISNUMBER(CFDTable[[#This Row],[Done Today]]),SUM($G81:$L81),$AB80)</f>
        <v>124</v>
      </c>
      <c r="AC81" s="10">
        <f ca="1">SUM(LOOKUP(2,1/(N$1:N80&lt;&gt;""),N$1:N80)+CFDTable[[#This Row],[lowDaily]])</f>
        <v>70.80952380952381</v>
      </c>
      <c r="AD81" s="10">
        <f ca="1">SUM(LOOKUP(2,1/(O$1:O80&lt;&gt;""),O$1:O80)+R81)</f>
        <v>70.952380952380949</v>
      </c>
      <c r="AE81" s="10">
        <f ca="1">SUM(LOOKUP(2,1/(P$1:P80&lt;&gt;""),P$1:P80)+CFDTable[[#This Row],[highDaily]])</f>
        <v>71.095238095238102</v>
      </c>
      <c r="AF81" s="12">
        <f>IF(CFDTable[[#This Row],[Date]]=DeadlineDate,CFDTable[[#This Row],[FutureWork2]],0)</f>
        <v>0</v>
      </c>
    </row>
    <row r="82" spans="1:32">
      <c r="A82" s="8">
        <f>CFDTable[[#This Row],[Date]]</f>
        <v>42524</v>
      </c>
      <c r="B82" s="9">
        <f>Data!B82</f>
        <v>42524</v>
      </c>
      <c r="C82" s="10">
        <f ca="1">IF(ISNUMBER(CFDTable[[#This Row],[Ready]]),NA(),CFDTable[[#This Row],[Target]]-CFDTable[[#This Row],[To Do]])</f>
        <v>77</v>
      </c>
      <c r="D82" s="10" t="e">
        <f>IF(CFDTable[[#This Row],[Emergence]]&gt;0,CFDTable[[#This Row],[Future Work]]-CFDTable[[#This Row],[Emergence]],NA())</f>
        <v>#N/A</v>
      </c>
      <c r="E82" s="10">
        <f>Data!C82</f>
        <v>0</v>
      </c>
      <c r="F82" s="10" t="str">
        <f ca="1">Data!D82</f>
        <v/>
      </c>
      <c r="G82" s="10">
        <f ca="1">Data!E82</f>
        <v>47</v>
      </c>
      <c r="H82" s="10" t="e">
        <f ca="1">IF(TodaysDate&gt;=$B82,Data!F82,NA())</f>
        <v>#N/A</v>
      </c>
      <c r="I82" s="10" t="e">
        <f ca="1">IF(TodaysDate&gt;=$B82,Data!G82,NA())</f>
        <v>#N/A</v>
      </c>
      <c r="J82" s="10" t="e">
        <f ca="1">IF(TodaysDate&gt;=$B82,Data!H82,NA())</f>
        <v>#N/A</v>
      </c>
      <c r="K82" s="10" t="e">
        <f ca="1">IF(TodaysDate&gt;=$B82,Data!I82,NA())</f>
        <v>#N/A</v>
      </c>
      <c r="L82" s="10" t="e">
        <f ca="1">IF(TodaysDate&gt;=$B82,Data!J82,NA())</f>
        <v>#N/A</v>
      </c>
      <c r="M82" s="10" t="e">
        <f ca="1">IF(CFDTable[[#This Row],[Done]]&gt;0,(CFDTable[[#This Row],[Done]])-(L81),0)</f>
        <v>#N/A</v>
      </c>
      <c r="N82" s="10">
        <f ca="1">IF(ISNUMBER($M82),SUM(CFDTable[[#This Row],[Done]]),IF(CFDTable[[#This Row],[lookupLow]]&gt;=CFDTable[[#This Row],[FutureWork2]]+CFDTable[[#This Row],[lowDaily]],NA(),CFDTable[[#This Row],[lookupLow]]))</f>
        <v>71.61904761904762</v>
      </c>
      <c r="O82" s="10">
        <f ca="1">IF(ISNUMBER($M82),SUM(CFDTable[[#This Row],[Done]]),IF(CFDTable[[#This Row],[lookupMedian]]&gt;=CFDTable[[#This Row],[FutureWork2]],NA(),CFDTable[[#This Row],[lookupMedian]]))</f>
        <v>71.904761904761898</v>
      </c>
      <c r="P82" s="10">
        <f ca="1">IF(ISNUMBER(CFDTable[[#This Row],[Done Today]]),SUM(CFDTable[[#This Row],[Done]]),IF(CFDTable[[#This Row],[lookupHigh]]&gt;=CFDTable[[#This Row],[FutureWork2]]+CFDTable[[#This Row],[highDaily]],NA(),CFDTable[[#This Row],[lookupHigh]]))</f>
        <v>72.190476190476204</v>
      </c>
      <c r="Q82" s="10">
        <f ca="1">CFDTable[[#This Row],[AvgDaily]]-CFDTable[[#This Row],[Deviation]]</f>
        <v>0.80952380952380931</v>
      </c>
      <c r="R82" s="10">
        <f ca="1">AVERAGE(IF(ISNUMBER(M82),IF(ISNUMBER(OFFSET(M82,-Historic,0)),OFFSET(M82,-Historic,0),M$2):M82,R81))</f>
        <v>0.95238095238095233</v>
      </c>
      <c r="S82" s="10">
        <f ca="1">AVERAGE(IF(ISNUMBER(M82),IF(ISNUMBER(OFFSET(M82,-Historic,0)),OFFSET(M82,-Historic,0),M$2):M82,S81))</f>
        <v>0.95238095238095233</v>
      </c>
      <c r="T82" s="10">
        <f ca="1">AVERAGE(IF(ISNUMBER(M82),OFFSET(M$2,DaysToIgnoreOnAvg,0):M82,T81))</f>
        <v>0.88311688311688308</v>
      </c>
      <c r="U82" s="10">
        <f ca="1">CFDTable[[#This Row],[AvgDaily]]+CFDTable[[#This Row],[Deviation]]</f>
        <v>1.0952380952380953</v>
      </c>
      <c r="V82" s="10">
        <f ca="1">IF(ISNUMBER(M82),((_xlfn.PERCENTILE.INC(IF(ISNUMBER(OFFSET(R82,-Historic,0)),OFFSET(R82,-Historic,0),R$2):R82,PercentileHigh/100))-(MEDIAN(IF(ISNUMBER(OFFSET(R82,-Historic,0)),OFFSET(R82,-Historic,0),R$2):R82))),V81)</f>
        <v>0.14285714285714302</v>
      </c>
      <c r="W82" s="10">
        <f ca="1">IF(ISNUMBER(M82),((_xlfn.PERCENTILE.INC(R$2:R82,PercentileHigh/100))-(MEDIAN(R$2:R82))),V81)</f>
        <v>0.14285714285714302</v>
      </c>
      <c r="X82" s="10" t="e">
        <f ca="1">(SUM(CFDTable[[#This Row],[To Do]:[Done]])-SUM(G81:L81))</f>
        <v>#N/A</v>
      </c>
      <c r="Y82" s="10">
        <f ca="1">AVERAGE(IF(ISNUMBER(X82),IF(ISNUMBER(OFFSET(X82,-Historic,0)),OFFSET(X82,-Historic,0),X$2):X82,Y81))</f>
        <v>1.1428571428571428</v>
      </c>
      <c r="Z82" s="10">
        <f ca="1">IF(ISNUMBER(CFDTable[[#This Row],[Done Today]]),SUM($G82:$L82),Z81+CFDTable[[#This Row],[avg added]])</f>
        <v>126.28571428571428</v>
      </c>
      <c r="AA82" s="10">
        <f ca="1">IF(ISNUMBER(CFDTable[[#This Row],[Done Today]]),SUM($G82:$L82),$AA81)</f>
        <v>124</v>
      </c>
      <c r="AB82" s="10">
        <f ca="1">IF(ISNUMBER(CFDTable[[#This Row],[Done Today]]),SUM($G82:$L82),$AB81)</f>
        <v>124</v>
      </c>
      <c r="AC82" s="10">
        <f ca="1">SUM(LOOKUP(2,1/(N$1:N81&lt;&gt;""),N$1:N81)+CFDTable[[#This Row],[lowDaily]])</f>
        <v>71.61904761904762</v>
      </c>
      <c r="AD82" s="10">
        <f ca="1">SUM(LOOKUP(2,1/(O$1:O81&lt;&gt;""),O$1:O81)+R82)</f>
        <v>71.904761904761898</v>
      </c>
      <c r="AE82" s="10">
        <f ca="1">SUM(LOOKUP(2,1/(P$1:P81&lt;&gt;""),P$1:P81)+CFDTable[[#This Row],[highDaily]])</f>
        <v>72.190476190476204</v>
      </c>
      <c r="AF82" s="12">
        <f>IF(CFDTable[[#This Row],[Date]]=DeadlineDate,CFDTable[[#This Row],[FutureWork2]],0)</f>
        <v>0</v>
      </c>
    </row>
    <row r="83" spans="1:32">
      <c r="A83" s="8">
        <f>CFDTable[[#This Row],[Date]]</f>
        <v>42527</v>
      </c>
      <c r="B83" s="9">
        <f>Data!B83</f>
        <v>42527</v>
      </c>
      <c r="C83" s="10">
        <f ca="1">IF(ISNUMBER(CFDTable[[#This Row],[Ready]]),NA(),CFDTable[[#This Row],[Target]]-CFDTable[[#This Row],[To Do]])</f>
        <v>77</v>
      </c>
      <c r="D83" s="10" t="e">
        <f>IF(CFDTable[[#This Row],[Emergence]]&gt;0,CFDTable[[#This Row],[Future Work]]-CFDTable[[#This Row],[Emergence]],NA())</f>
        <v>#N/A</v>
      </c>
      <c r="E83" s="10">
        <f>Data!C83</f>
        <v>0</v>
      </c>
      <c r="F83" s="10" t="str">
        <f ca="1">Data!D83</f>
        <v/>
      </c>
      <c r="G83" s="10">
        <f ca="1">Data!E83</f>
        <v>47</v>
      </c>
      <c r="H83" s="10" t="e">
        <f ca="1">IF(TodaysDate&gt;=$B83,Data!F83,NA())</f>
        <v>#N/A</v>
      </c>
      <c r="I83" s="10" t="e">
        <f ca="1">IF(TodaysDate&gt;=$B83,Data!G83,NA())</f>
        <v>#N/A</v>
      </c>
      <c r="J83" s="10" t="e">
        <f ca="1">IF(TodaysDate&gt;=$B83,Data!H83,NA())</f>
        <v>#N/A</v>
      </c>
      <c r="K83" s="10" t="e">
        <f ca="1">IF(TodaysDate&gt;=$B83,Data!I83,NA())</f>
        <v>#N/A</v>
      </c>
      <c r="L83" s="10" t="e">
        <f ca="1">IF(TodaysDate&gt;=$B83,Data!J83,NA())</f>
        <v>#N/A</v>
      </c>
      <c r="M83" s="10" t="e">
        <f ca="1">IF(CFDTable[[#This Row],[Done]]&gt;0,(CFDTable[[#This Row],[Done]])-(L82),0)</f>
        <v>#N/A</v>
      </c>
      <c r="N83" s="10">
        <f ca="1">IF(ISNUMBER($M83),SUM(CFDTable[[#This Row],[Done]]),IF(CFDTable[[#This Row],[lookupLow]]&gt;=CFDTable[[#This Row],[FutureWork2]]+CFDTable[[#This Row],[lowDaily]],NA(),CFDTable[[#This Row],[lookupLow]]))</f>
        <v>72.428571428571431</v>
      </c>
      <c r="O83" s="10">
        <f ca="1">IF(ISNUMBER($M83),SUM(CFDTable[[#This Row],[Done]]),IF(CFDTable[[#This Row],[lookupMedian]]&gt;=CFDTable[[#This Row],[FutureWork2]],NA(),CFDTable[[#This Row],[lookupMedian]]))</f>
        <v>72.857142857142847</v>
      </c>
      <c r="P83" s="10">
        <f ca="1">IF(ISNUMBER(CFDTable[[#This Row],[Done Today]]),SUM(CFDTable[[#This Row],[Done]]),IF(CFDTable[[#This Row],[lookupHigh]]&gt;=CFDTable[[#This Row],[FutureWork2]]+CFDTable[[#This Row],[highDaily]],NA(),CFDTable[[#This Row],[lookupHigh]]))</f>
        <v>73.285714285714306</v>
      </c>
      <c r="Q83" s="10">
        <f ca="1">CFDTable[[#This Row],[AvgDaily]]-CFDTable[[#This Row],[Deviation]]</f>
        <v>0.80952380952380931</v>
      </c>
      <c r="R83" s="10">
        <f ca="1">AVERAGE(IF(ISNUMBER(M83),IF(ISNUMBER(OFFSET(M83,-Historic,0)),OFFSET(M83,-Historic,0),M$2):M83,R82))</f>
        <v>0.95238095238095233</v>
      </c>
      <c r="S83" s="10">
        <f ca="1">AVERAGE(IF(ISNUMBER(M83),IF(ISNUMBER(OFFSET(M83,-Historic,0)),OFFSET(M83,-Historic,0),M$2):M83,S82))</f>
        <v>0.95238095238095233</v>
      </c>
      <c r="T83" s="10">
        <f ca="1">AVERAGE(IF(ISNUMBER(M83),OFFSET(M$2,DaysToIgnoreOnAvg,0):M83,T82))</f>
        <v>0.88311688311688308</v>
      </c>
      <c r="U83" s="10">
        <f ca="1">CFDTable[[#This Row],[AvgDaily]]+CFDTable[[#This Row],[Deviation]]</f>
        <v>1.0952380952380953</v>
      </c>
      <c r="V83" s="10">
        <f ca="1">IF(ISNUMBER(M83),((_xlfn.PERCENTILE.INC(IF(ISNUMBER(OFFSET(R83,-Historic,0)),OFFSET(R83,-Historic,0),R$2):R83,PercentileHigh/100))-(MEDIAN(IF(ISNUMBER(OFFSET(R83,-Historic,0)),OFFSET(R83,-Historic,0),R$2):R83))),V82)</f>
        <v>0.14285714285714302</v>
      </c>
      <c r="W83" s="10">
        <f ca="1">IF(ISNUMBER(M83),((_xlfn.PERCENTILE.INC(R$2:R83,PercentileHigh/100))-(MEDIAN(R$2:R83))),V82)</f>
        <v>0.14285714285714302</v>
      </c>
      <c r="X83" s="10" t="e">
        <f ca="1">(SUM(CFDTable[[#This Row],[To Do]:[Done]])-SUM(G82:L82))</f>
        <v>#N/A</v>
      </c>
      <c r="Y83" s="10">
        <f ca="1">AVERAGE(IF(ISNUMBER(X83),IF(ISNUMBER(OFFSET(X83,-Historic,0)),OFFSET(X83,-Historic,0),X$2):X83,Y82))</f>
        <v>1.1428571428571428</v>
      </c>
      <c r="Z83" s="10">
        <f ca="1">IF(ISNUMBER(CFDTable[[#This Row],[Done Today]]),SUM($G83:$L83),Z82+CFDTable[[#This Row],[avg added]])</f>
        <v>127.42857142857142</v>
      </c>
      <c r="AA83" s="10">
        <f ca="1">IF(ISNUMBER(CFDTable[[#This Row],[Done Today]]),SUM($G83:$L83),$AA82)</f>
        <v>124</v>
      </c>
      <c r="AB83" s="10">
        <f ca="1">IF(ISNUMBER(CFDTable[[#This Row],[Done Today]]),SUM($G83:$L83),$AB82)</f>
        <v>124</v>
      </c>
      <c r="AC83" s="10">
        <f ca="1">SUM(LOOKUP(2,1/(N$1:N82&lt;&gt;""),N$1:N82)+CFDTable[[#This Row],[lowDaily]])</f>
        <v>72.428571428571431</v>
      </c>
      <c r="AD83" s="10">
        <f ca="1">SUM(LOOKUP(2,1/(O$1:O82&lt;&gt;""),O$1:O82)+R83)</f>
        <v>72.857142857142847</v>
      </c>
      <c r="AE83" s="10">
        <f ca="1">SUM(LOOKUP(2,1/(P$1:P82&lt;&gt;""),P$1:P82)+CFDTable[[#This Row],[highDaily]])</f>
        <v>73.285714285714306</v>
      </c>
      <c r="AF83" s="12">
        <f>IF(CFDTable[[#This Row],[Date]]=DeadlineDate,CFDTable[[#This Row],[FutureWork2]],0)</f>
        <v>0</v>
      </c>
    </row>
    <row r="84" spans="1:32">
      <c r="A84" s="8">
        <f>CFDTable[[#This Row],[Date]]</f>
        <v>42528</v>
      </c>
      <c r="B84" s="9">
        <f>Data!B84</f>
        <v>42528</v>
      </c>
      <c r="C84" s="10">
        <f ca="1">IF(ISNUMBER(CFDTable[[#This Row],[Ready]]),NA(),CFDTable[[#This Row],[Target]]-CFDTable[[#This Row],[To Do]])</f>
        <v>77</v>
      </c>
      <c r="D84" s="10" t="e">
        <f>IF(CFDTable[[#This Row],[Emergence]]&gt;0,CFDTable[[#This Row],[Future Work]]-CFDTable[[#This Row],[Emergence]],NA())</f>
        <v>#N/A</v>
      </c>
      <c r="E84" s="10">
        <f>Data!C84</f>
        <v>0</v>
      </c>
      <c r="F84" s="10" t="str">
        <f ca="1">Data!D84</f>
        <v/>
      </c>
      <c r="G84" s="10">
        <f ca="1">Data!E84</f>
        <v>47</v>
      </c>
      <c r="H84" s="10" t="e">
        <f ca="1">IF(TodaysDate&gt;=$B84,Data!F84,NA())</f>
        <v>#N/A</v>
      </c>
      <c r="I84" s="10" t="e">
        <f ca="1">IF(TodaysDate&gt;=$B84,Data!G84,NA())</f>
        <v>#N/A</v>
      </c>
      <c r="J84" s="10" t="e">
        <f ca="1">IF(TodaysDate&gt;=$B84,Data!H84,NA())</f>
        <v>#N/A</v>
      </c>
      <c r="K84" s="10" t="e">
        <f ca="1">IF(TodaysDate&gt;=$B84,Data!I84,NA())</f>
        <v>#N/A</v>
      </c>
      <c r="L84" s="10" t="e">
        <f ca="1">IF(TodaysDate&gt;=$B84,Data!J84,NA())</f>
        <v>#N/A</v>
      </c>
      <c r="M84" s="10" t="e">
        <f ca="1">IF(CFDTable[[#This Row],[Done]]&gt;0,(CFDTable[[#This Row],[Done]])-(L83),0)</f>
        <v>#N/A</v>
      </c>
      <c r="N84" s="10">
        <f ca="1">IF(ISNUMBER($M84),SUM(CFDTable[[#This Row],[Done]]),IF(CFDTable[[#This Row],[lookupLow]]&gt;=CFDTable[[#This Row],[FutureWork2]]+CFDTable[[#This Row],[lowDaily]],NA(),CFDTable[[#This Row],[lookupLow]]))</f>
        <v>73.238095238095241</v>
      </c>
      <c r="O84" s="10">
        <f ca="1">IF(ISNUMBER($M84),SUM(CFDTable[[#This Row],[Done]]),IF(CFDTable[[#This Row],[lookupMedian]]&gt;=CFDTable[[#This Row],[FutureWork2]],NA(),CFDTable[[#This Row],[lookupMedian]]))</f>
        <v>73.809523809523796</v>
      </c>
      <c r="P84" s="10">
        <f ca="1">IF(ISNUMBER(CFDTable[[#This Row],[Done Today]]),SUM(CFDTable[[#This Row],[Done]]),IF(CFDTable[[#This Row],[lookupHigh]]&gt;=CFDTable[[#This Row],[FutureWork2]]+CFDTable[[#This Row],[highDaily]],NA(),CFDTable[[#This Row],[lookupHigh]]))</f>
        <v>74.380952380952408</v>
      </c>
      <c r="Q84" s="10">
        <f ca="1">CFDTable[[#This Row],[AvgDaily]]-CFDTable[[#This Row],[Deviation]]</f>
        <v>0.80952380952380931</v>
      </c>
      <c r="R84" s="10">
        <f ca="1">AVERAGE(IF(ISNUMBER(M84),IF(ISNUMBER(OFFSET(M84,-Historic,0)),OFFSET(M84,-Historic,0),M$2):M84,R83))</f>
        <v>0.95238095238095233</v>
      </c>
      <c r="S84" s="10">
        <f ca="1">AVERAGE(IF(ISNUMBER(M84),IF(ISNUMBER(OFFSET(M84,-Historic,0)),OFFSET(M84,-Historic,0),M$2):M84,S83))</f>
        <v>0.95238095238095233</v>
      </c>
      <c r="T84" s="10">
        <f ca="1">AVERAGE(IF(ISNUMBER(M84),OFFSET(M$2,DaysToIgnoreOnAvg,0):M84,T83))</f>
        <v>0.88311688311688308</v>
      </c>
      <c r="U84" s="10">
        <f ca="1">CFDTable[[#This Row],[AvgDaily]]+CFDTable[[#This Row],[Deviation]]</f>
        <v>1.0952380952380953</v>
      </c>
      <c r="V84" s="10">
        <f ca="1">IF(ISNUMBER(M84),((_xlfn.PERCENTILE.INC(IF(ISNUMBER(OFFSET(R84,-Historic,0)),OFFSET(R84,-Historic,0),R$2):R84,PercentileHigh/100))-(MEDIAN(IF(ISNUMBER(OFFSET(R84,-Historic,0)),OFFSET(R84,-Historic,0),R$2):R84))),V83)</f>
        <v>0.14285714285714302</v>
      </c>
      <c r="W84" s="10">
        <f ca="1">IF(ISNUMBER(M84),((_xlfn.PERCENTILE.INC(R$2:R84,PercentileHigh/100))-(MEDIAN(R$2:R84))),V83)</f>
        <v>0.14285714285714302</v>
      </c>
      <c r="X84" s="10" t="e">
        <f ca="1">(SUM(CFDTable[[#This Row],[To Do]:[Done]])-SUM(G83:L83))</f>
        <v>#N/A</v>
      </c>
      <c r="Y84" s="10">
        <f ca="1">AVERAGE(IF(ISNUMBER(X84),IF(ISNUMBER(OFFSET(X84,-Historic,0)),OFFSET(X84,-Historic,0),X$2):X84,Y83))</f>
        <v>1.1428571428571428</v>
      </c>
      <c r="Z84" s="10">
        <f ca="1">IF(ISNUMBER(CFDTable[[#This Row],[Done Today]]),SUM($G84:$L84),Z83+CFDTable[[#This Row],[avg added]])</f>
        <v>128.57142857142856</v>
      </c>
      <c r="AA84" s="10">
        <f ca="1">IF(ISNUMBER(CFDTable[[#This Row],[Done Today]]),SUM($G84:$L84),$AA83)</f>
        <v>124</v>
      </c>
      <c r="AB84" s="10">
        <f ca="1">IF(ISNUMBER(CFDTable[[#This Row],[Done Today]]),SUM($G84:$L84),$AB83)</f>
        <v>124</v>
      </c>
      <c r="AC84" s="10">
        <f ca="1">SUM(LOOKUP(2,1/(N$1:N83&lt;&gt;""),N$1:N83)+CFDTable[[#This Row],[lowDaily]])</f>
        <v>73.238095238095241</v>
      </c>
      <c r="AD84" s="10">
        <f ca="1">SUM(LOOKUP(2,1/(O$1:O83&lt;&gt;""),O$1:O83)+R84)</f>
        <v>73.809523809523796</v>
      </c>
      <c r="AE84" s="10">
        <f ca="1">SUM(LOOKUP(2,1/(P$1:P83&lt;&gt;""),P$1:P83)+CFDTable[[#This Row],[highDaily]])</f>
        <v>74.380952380952408</v>
      </c>
      <c r="AF84" s="12">
        <f>IF(CFDTable[[#This Row],[Date]]=DeadlineDate,CFDTable[[#This Row],[FutureWork2]],0)</f>
        <v>0</v>
      </c>
    </row>
    <row r="85" spans="1:32">
      <c r="A85" s="8">
        <f>CFDTable[[#This Row],[Date]]</f>
        <v>42529</v>
      </c>
      <c r="B85" s="9">
        <f>Data!B85</f>
        <v>42529</v>
      </c>
      <c r="C85" s="10">
        <f ca="1">IF(ISNUMBER(CFDTable[[#This Row],[Ready]]),NA(),CFDTable[[#This Row],[Target]]-CFDTable[[#This Row],[To Do]])</f>
        <v>77</v>
      </c>
      <c r="D85" s="10" t="e">
        <f>IF(CFDTable[[#This Row],[Emergence]]&gt;0,CFDTable[[#This Row],[Future Work]]-CFDTable[[#This Row],[Emergence]],NA())</f>
        <v>#N/A</v>
      </c>
      <c r="E85" s="10">
        <f>Data!C85</f>
        <v>0</v>
      </c>
      <c r="F85" s="10" t="str">
        <f ca="1">Data!D85</f>
        <v/>
      </c>
      <c r="G85" s="10">
        <f ca="1">Data!E85</f>
        <v>47</v>
      </c>
      <c r="H85" s="10" t="e">
        <f ca="1">IF(TodaysDate&gt;=$B85,Data!F85,NA())</f>
        <v>#N/A</v>
      </c>
      <c r="I85" s="10" t="e">
        <f ca="1">IF(TodaysDate&gt;=$B85,Data!G85,NA())</f>
        <v>#N/A</v>
      </c>
      <c r="J85" s="10" t="e">
        <f ca="1">IF(TodaysDate&gt;=$B85,Data!H85,NA())</f>
        <v>#N/A</v>
      </c>
      <c r="K85" s="10" t="e">
        <f ca="1">IF(TodaysDate&gt;=$B85,Data!I85,NA())</f>
        <v>#N/A</v>
      </c>
      <c r="L85" s="10" t="e">
        <f ca="1">IF(TodaysDate&gt;=$B85,Data!J85,NA())</f>
        <v>#N/A</v>
      </c>
      <c r="M85" s="10" t="e">
        <f ca="1">IF(CFDTable[[#This Row],[Done]]&gt;0,(CFDTable[[#This Row],[Done]])-(L84),0)</f>
        <v>#N/A</v>
      </c>
      <c r="N85" s="10">
        <f ca="1">IF(ISNUMBER($M85),SUM(CFDTable[[#This Row],[Done]]),IF(CFDTable[[#This Row],[lookupLow]]&gt;=CFDTable[[#This Row],[FutureWork2]]+CFDTable[[#This Row],[lowDaily]],NA(),CFDTable[[#This Row],[lookupLow]]))</f>
        <v>74.047619047619051</v>
      </c>
      <c r="O85" s="10">
        <f ca="1">IF(ISNUMBER($M85),SUM(CFDTable[[#This Row],[Done]]),IF(CFDTable[[#This Row],[lookupMedian]]&gt;=CFDTable[[#This Row],[FutureWork2]],NA(),CFDTable[[#This Row],[lookupMedian]]))</f>
        <v>74.761904761904745</v>
      </c>
      <c r="P85" s="10">
        <f ca="1">IF(ISNUMBER(CFDTable[[#This Row],[Done Today]]),SUM(CFDTable[[#This Row],[Done]]),IF(CFDTable[[#This Row],[lookupHigh]]&gt;=CFDTable[[#This Row],[FutureWork2]]+CFDTable[[#This Row],[highDaily]],NA(),CFDTable[[#This Row],[lookupHigh]]))</f>
        <v>75.47619047619051</v>
      </c>
      <c r="Q85" s="10">
        <f ca="1">CFDTable[[#This Row],[AvgDaily]]-CFDTable[[#This Row],[Deviation]]</f>
        <v>0.80952380952380931</v>
      </c>
      <c r="R85" s="10">
        <f ca="1">AVERAGE(IF(ISNUMBER(M85),IF(ISNUMBER(OFFSET(M85,-Historic,0)),OFFSET(M85,-Historic,0),M$2):M85,R84))</f>
        <v>0.95238095238095233</v>
      </c>
      <c r="S85" s="10">
        <f ca="1">AVERAGE(IF(ISNUMBER(M85),IF(ISNUMBER(OFFSET(M85,-Historic,0)),OFFSET(M85,-Historic,0),M$2):M85,S84))</f>
        <v>0.95238095238095233</v>
      </c>
      <c r="T85" s="10">
        <f ca="1">AVERAGE(IF(ISNUMBER(M85),OFFSET(M$2,DaysToIgnoreOnAvg,0):M85,T84))</f>
        <v>0.88311688311688308</v>
      </c>
      <c r="U85" s="10">
        <f ca="1">CFDTable[[#This Row],[AvgDaily]]+CFDTable[[#This Row],[Deviation]]</f>
        <v>1.0952380952380953</v>
      </c>
      <c r="V85" s="10">
        <f ca="1">IF(ISNUMBER(M85),((_xlfn.PERCENTILE.INC(IF(ISNUMBER(OFFSET(R85,-Historic,0)),OFFSET(R85,-Historic,0),R$2):R85,PercentileHigh/100))-(MEDIAN(IF(ISNUMBER(OFFSET(R85,-Historic,0)),OFFSET(R85,-Historic,0),R$2):R85))),V84)</f>
        <v>0.14285714285714302</v>
      </c>
      <c r="W85" s="10">
        <f ca="1">IF(ISNUMBER(M85),((_xlfn.PERCENTILE.INC(R$2:R85,PercentileHigh/100))-(MEDIAN(R$2:R85))),V84)</f>
        <v>0.14285714285714302</v>
      </c>
      <c r="X85" s="10" t="e">
        <f ca="1">(SUM(CFDTable[[#This Row],[To Do]:[Done]])-SUM(G84:L84))</f>
        <v>#N/A</v>
      </c>
      <c r="Y85" s="10">
        <f ca="1">AVERAGE(IF(ISNUMBER(X85),IF(ISNUMBER(OFFSET(X85,-Historic,0)),OFFSET(X85,-Historic,0),X$2):X85,Y84))</f>
        <v>1.1428571428571428</v>
      </c>
      <c r="Z85" s="10">
        <f ca="1">IF(ISNUMBER(CFDTable[[#This Row],[Done Today]]),SUM($G85:$L85),Z84+CFDTable[[#This Row],[avg added]])</f>
        <v>129.71428571428569</v>
      </c>
      <c r="AA85" s="10">
        <f ca="1">IF(ISNUMBER(CFDTable[[#This Row],[Done Today]]),SUM($G85:$L85),$AA84)</f>
        <v>124</v>
      </c>
      <c r="AB85" s="10">
        <f ca="1">IF(ISNUMBER(CFDTable[[#This Row],[Done Today]]),SUM($G85:$L85),$AB84)</f>
        <v>124</v>
      </c>
      <c r="AC85" s="10">
        <f ca="1">SUM(LOOKUP(2,1/(N$1:N84&lt;&gt;""),N$1:N84)+CFDTable[[#This Row],[lowDaily]])</f>
        <v>74.047619047619051</v>
      </c>
      <c r="AD85" s="10">
        <f ca="1">SUM(LOOKUP(2,1/(O$1:O84&lt;&gt;""),O$1:O84)+R85)</f>
        <v>74.761904761904745</v>
      </c>
      <c r="AE85" s="10">
        <f ca="1">SUM(LOOKUP(2,1/(P$1:P84&lt;&gt;""),P$1:P84)+CFDTable[[#This Row],[highDaily]])</f>
        <v>75.47619047619051</v>
      </c>
      <c r="AF85" s="12">
        <f>IF(CFDTable[[#This Row],[Date]]=DeadlineDate,CFDTable[[#This Row],[FutureWork2]],0)</f>
        <v>0</v>
      </c>
    </row>
    <row r="86" spans="1:32">
      <c r="A86" s="8">
        <f>CFDTable[[#This Row],[Date]]</f>
        <v>42530</v>
      </c>
      <c r="B86" s="9">
        <f>Data!B86</f>
        <v>42530</v>
      </c>
      <c r="C86" s="10">
        <f ca="1">IF(ISNUMBER(CFDTable[[#This Row],[Ready]]),NA(),CFDTable[[#This Row],[Target]]-CFDTable[[#This Row],[To Do]])</f>
        <v>77</v>
      </c>
      <c r="D86" s="10" t="e">
        <f>IF(CFDTable[[#This Row],[Emergence]]&gt;0,CFDTable[[#This Row],[Future Work]]-CFDTable[[#This Row],[Emergence]],NA())</f>
        <v>#N/A</v>
      </c>
      <c r="E86" s="10">
        <f>Data!C86</f>
        <v>0</v>
      </c>
      <c r="F86" s="10" t="str">
        <f ca="1">Data!D86</f>
        <v/>
      </c>
      <c r="G86" s="10">
        <f ca="1">Data!E86</f>
        <v>47</v>
      </c>
      <c r="H86" s="10" t="e">
        <f ca="1">IF(TodaysDate&gt;=$B86,Data!F86,NA())</f>
        <v>#N/A</v>
      </c>
      <c r="I86" s="10" t="e">
        <f ca="1">IF(TodaysDate&gt;=$B86,Data!G86,NA())</f>
        <v>#N/A</v>
      </c>
      <c r="J86" s="10" t="e">
        <f ca="1">IF(TodaysDate&gt;=$B86,Data!H86,NA())</f>
        <v>#N/A</v>
      </c>
      <c r="K86" s="10" t="e">
        <f ca="1">IF(TodaysDate&gt;=$B86,Data!I86,NA())</f>
        <v>#N/A</v>
      </c>
      <c r="L86" s="10" t="e">
        <f ca="1">IF(TodaysDate&gt;=$B86,Data!J86,NA())</f>
        <v>#N/A</v>
      </c>
      <c r="M86" s="10" t="e">
        <f ca="1">IF(CFDTable[[#This Row],[Done]]&gt;0,(CFDTable[[#This Row],[Done]])-(L85),0)</f>
        <v>#N/A</v>
      </c>
      <c r="N86" s="10">
        <f ca="1">IF(ISNUMBER($M86),SUM(CFDTable[[#This Row],[Done]]),IF(CFDTable[[#This Row],[lookupLow]]&gt;=CFDTable[[#This Row],[FutureWork2]]+CFDTable[[#This Row],[lowDaily]],NA(),CFDTable[[#This Row],[lookupLow]]))</f>
        <v>74.857142857142861</v>
      </c>
      <c r="O86" s="10">
        <f ca="1">IF(ISNUMBER($M86),SUM(CFDTable[[#This Row],[Done]]),IF(CFDTable[[#This Row],[lookupMedian]]&gt;=CFDTable[[#This Row],[FutureWork2]],NA(),CFDTable[[#This Row],[lookupMedian]]))</f>
        <v>75.714285714285694</v>
      </c>
      <c r="P86" s="10">
        <f ca="1">IF(ISNUMBER(CFDTable[[#This Row],[Done Today]]),SUM(CFDTable[[#This Row],[Done]]),IF(CFDTable[[#This Row],[lookupHigh]]&gt;=CFDTable[[#This Row],[FutureWork2]]+CFDTable[[#This Row],[highDaily]],NA(),CFDTable[[#This Row],[lookupHigh]]))</f>
        <v>76.571428571428612</v>
      </c>
      <c r="Q86" s="10">
        <f ca="1">CFDTable[[#This Row],[AvgDaily]]-CFDTable[[#This Row],[Deviation]]</f>
        <v>0.80952380952380931</v>
      </c>
      <c r="R86" s="10">
        <f ca="1">AVERAGE(IF(ISNUMBER(M86),IF(ISNUMBER(OFFSET(M86,-Historic,0)),OFFSET(M86,-Historic,0),M$2):M86,R85))</f>
        <v>0.95238095238095233</v>
      </c>
      <c r="S86" s="10">
        <f ca="1">AVERAGE(IF(ISNUMBER(M86),IF(ISNUMBER(OFFSET(M86,-Historic,0)),OFFSET(M86,-Historic,0),M$2):M86,S85))</f>
        <v>0.95238095238095233</v>
      </c>
      <c r="T86" s="10">
        <f ca="1">AVERAGE(IF(ISNUMBER(M86),OFFSET(M$2,DaysToIgnoreOnAvg,0):M86,T85))</f>
        <v>0.88311688311688308</v>
      </c>
      <c r="U86" s="10">
        <f ca="1">CFDTable[[#This Row],[AvgDaily]]+CFDTable[[#This Row],[Deviation]]</f>
        <v>1.0952380952380953</v>
      </c>
      <c r="V86" s="10">
        <f ca="1">IF(ISNUMBER(M86),((_xlfn.PERCENTILE.INC(IF(ISNUMBER(OFFSET(R86,-Historic,0)),OFFSET(R86,-Historic,0),R$2):R86,PercentileHigh/100))-(MEDIAN(IF(ISNUMBER(OFFSET(R86,-Historic,0)),OFFSET(R86,-Historic,0),R$2):R86))),V85)</f>
        <v>0.14285714285714302</v>
      </c>
      <c r="W86" s="10">
        <f ca="1">IF(ISNUMBER(M86),((_xlfn.PERCENTILE.INC(R$2:R86,PercentileHigh/100))-(MEDIAN(R$2:R86))),V85)</f>
        <v>0.14285714285714302</v>
      </c>
      <c r="X86" s="10" t="e">
        <f ca="1">(SUM(CFDTable[[#This Row],[To Do]:[Done]])-SUM(G85:L85))</f>
        <v>#N/A</v>
      </c>
      <c r="Y86" s="10">
        <f ca="1">AVERAGE(IF(ISNUMBER(X86),IF(ISNUMBER(OFFSET(X86,-Historic,0)),OFFSET(X86,-Historic,0),X$2):X86,Y85))</f>
        <v>1.1428571428571428</v>
      </c>
      <c r="Z86" s="10">
        <f ca="1">IF(ISNUMBER(CFDTable[[#This Row],[Done Today]]),SUM($G86:$L86),Z85+CFDTable[[#This Row],[avg added]])</f>
        <v>130.85714285714283</v>
      </c>
      <c r="AA86" s="10">
        <f ca="1">IF(ISNUMBER(CFDTable[[#This Row],[Done Today]]),SUM($G86:$L86),$AA85)</f>
        <v>124</v>
      </c>
      <c r="AB86" s="10">
        <f ca="1">IF(ISNUMBER(CFDTable[[#This Row],[Done Today]]),SUM($G86:$L86),$AB85)</f>
        <v>124</v>
      </c>
      <c r="AC86" s="10">
        <f ca="1">SUM(LOOKUP(2,1/(N$1:N85&lt;&gt;""),N$1:N85)+CFDTable[[#This Row],[lowDaily]])</f>
        <v>74.857142857142861</v>
      </c>
      <c r="AD86" s="10">
        <f ca="1">SUM(LOOKUP(2,1/(O$1:O85&lt;&gt;""),O$1:O85)+R86)</f>
        <v>75.714285714285694</v>
      </c>
      <c r="AE86" s="10">
        <f ca="1">SUM(LOOKUP(2,1/(P$1:P85&lt;&gt;""),P$1:P85)+CFDTable[[#This Row],[highDaily]])</f>
        <v>76.571428571428612</v>
      </c>
      <c r="AF86" s="12">
        <f>IF(CFDTable[[#This Row],[Date]]=DeadlineDate,CFDTable[[#This Row],[FutureWork2]],0)</f>
        <v>0</v>
      </c>
    </row>
    <row r="87" spans="1:32">
      <c r="A87" s="8">
        <f>CFDTable[[#This Row],[Date]]</f>
        <v>42531</v>
      </c>
      <c r="B87" s="9">
        <f>Data!B87</f>
        <v>42531</v>
      </c>
      <c r="C87" s="10">
        <f ca="1">IF(ISNUMBER(CFDTable[[#This Row],[Ready]]),NA(),CFDTable[[#This Row],[Target]]-CFDTable[[#This Row],[To Do]])</f>
        <v>77</v>
      </c>
      <c r="D87" s="10" t="e">
        <f>IF(CFDTable[[#This Row],[Emergence]]&gt;0,CFDTable[[#This Row],[Future Work]]-CFDTable[[#This Row],[Emergence]],NA())</f>
        <v>#N/A</v>
      </c>
      <c r="E87" s="10">
        <f>Data!C87</f>
        <v>0</v>
      </c>
      <c r="F87" s="10" t="str">
        <f ca="1">Data!D87</f>
        <v/>
      </c>
      <c r="G87" s="10">
        <f ca="1">Data!E87</f>
        <v>47</v>
      </c>
      <c r="H87" s="10" t="e">
        <f ca="1">IF(TodaysDate&gt;=$B87,Data!F87,NA())</f>
        <v>#N/A</v>
      </c>
      <c r="I87" s="10" t="e">
        <f ca="1">IF(TodaysDate&gt;=$B87,Data!G87,NA())</f>
        <v>#N/A</v>
      </c>
      <c r="J87" s="10" t="e">
        <f ca="1">IF(TodaysDate&gt;=$B87,Data!H87,NA())</f>
        <v>#N/A</v>
      </c>
      <c r="K87" s="10" t="e">
        <f ca="1">IF(TodaysDate&gt;=$B87,Data!I87,NA())</f>
        <v>#N/A</v>
      </c>
      <c r="L87" s="10" t="e">
        <f ca="1">IF(TodaysDate&gt;=$B87,Data!J87,NA())</f>
        <v>#N/A</v>
      </c>
      <c r="M87" s="10" t="e">
        <f ca="1">IF(CFDTable[[#This Row],[Done]]&gt;0,(CFDTable[[#This Row],[Done]])-(L86),0)</f>
        <v>#N/A</v>
      </c>
      <c r="N87" s="10">
        <f ca="1">IF(ISNUMBER($M87),SUM(CFDTable[[#This Row],[Done]]),IF(CFDTable[[#This Row],[lookupLow]]&gt;=CFDTable[[#This Row],[FutureWork2]]+CFDTable[[#This Row],[lowDaily]],NA(),CFDTable[[#This Row],[lookupLow]]))</f>
        <v>75.666666666666671</v>
      </c>
      <c r="O87" s="10">
        <f ca="1">IF(ISNUMBER($M87),SUM(CFDTable[[#This Row],[Done]]),IF(CFDTable[[#This Row],[lookupMedian]]&gt;=CFDTable[[#This Row],[FutureWork2]],NA(),CFDTable[[#This Row],[lookupMedian]]))</f>
        <v>76.666666666666643</v>
      </c>
      <c r="P87" s="10">
        <f ca="1">IF(ISNUMBER(CFDTable[[#This Row],[Done Today]]),SUM(CFDTable[[#This Row],[Done]]),IF(CFDTable[[#This Row],[lookupHigh]]&gt;=CFDTable[[#This Row],[FutureWork2]]+CFDTable[[#This Row],[highDaily]],NA(),CFDTable[[#This Row],[lookupHigh]]))</f>
        <v>77.666666666666714</v>
      </c>
      <c r="Q87" s="10">
        <f ca="1">CFDTable[[#This Row],[AvgDaily]]-CFDTable[[#This Row],[Deviation]]</f>
        <v>0.80952380952380931</v>
      </c>
      <c r="R87" s="10">
        <f ca="1">AVERAGE(IF(ISNUMBER(M87),IF(ISNUMBER(OFFSET(M87,-Historic,0)),OFFSET(M87,-Historic,0),M$2):M87,R86))</f>
        <v>0.95238095238095233</v>
      </c>
      <c r="S87" s="10">
        <f ca="1">AVERAGE(IF(ISNUMBER(M87),IF(ISNUMBER(OFFSET(M87,-Historic,0)),OFFSET(M87,-Historic,0),M$2):M87,S86))</f>
        <v>0.95238095238095233</v>
      </c>
      <c r="T87" s="10">
        <f ca="1">AVERAGE(IF(ISNUMBER(M87),OFFSET(M$2,DaysToIgnoreOnAvg,0):M87,T86))</f>
        <v>0.88311688311688308</v>
      </c>
      <c r="U87" s="10">
        <f ca="1">CFDTable[[#This Row],[AvgDaily]]+CFDTable[[#This Row],[Deviation]]</f>
        <v>1.0952380952380953</v>
      </c>
      <c r="V87" s="10">
        <f ca="1">IF(ISNUMBER(M87),((_xlfn.PERCENTILE.INC(IF(ISNUMBER(OFFSET(R87,-Historic,0)),OFFSET(R87,-Historic,0),R$2):R87,PercentileHigh/100))-(MEDIAN(IF(ISNUMBER(OFFSET(R87,-Historic,0)),OFFSET(R87,-Historic,0),R$2):R87))),V86)</f>
        <v>0.14285714285714302</v>
      </c>
      <c r="W87" s="10">
        <f ca="1">IF(ISNUMBER(M87),((_xlfn.PERCENTILE.INC(R$2:R87,PercentileHigh/100))-(MEDIAN(R$2:R87))),V86)</f>
        <v>0.14285714285714302</v>
      </c>
      <c r="X87" s="10" t="e">
        <f ca="1">(SUM(CFDTable[[#This Row],[To Do]:[Done]])-SUM(G86:L86))</f>
        <v>#N/A</v>
      </c>
      <c r="Y87" s="10">
        <f ca="1">AVERAGE(IF(ISNUMBER(X87),IF(ISNUMBER(OFFSET(X87,-Historic,0)),OFFSET(X87,-Historic,0),X$2):X87,Y86))</f>
        <v>1.1428571428571428</v>
      </c>
      <c r="Z87" s="10">
        <f ca="1">IF(ISNUMBER(CFDTable[[#This Row],[Done Today]]),SUM($G87:$L87),Z86+CFDTable[[#This Row],[avg added]])</f>
        <v>131.99999999999997</v>
      </c>
      <c r="AA87" s="10">
        <f ca="1">IF(ISNUMBER(CFDTable[[#This Row],[Done Today]]),SUM($G87:$L87),$AA86)</f>
        <v>124</v>
      </c>
      <c r="AB87" s="10">
        <f ca="1">IF(ISNUMBER(CFDTable[[#This Row],[Done Today]]),SUM($G87:$L87),$AB86)</f>
        <v>124</v>
      </c>
      <c r="AC87" s="10">
        <f ca="1">SUM(LOOKUP(2,1/(N$1:N86&lt;&gt;""),N$1:N86)+CFDTable[[#This Row],[lowDaily]])</f>
        <v>75.666666666666671</v>
      </c>
      <c r="AD87" s="10">
        <f ca="1">SUM(LOOKUP(2,1/(O$1:O86&lt;&gt;""),O$1:O86)+R87)</f>
        <v>76.666666666666643</v>
      </c>
      <c r="AE87" s="10">
        <f ca="1">SUM(LOOKUP(2,1/(P$1:P86&lt;&gt;""),P$1:P86)+CFDTable[[#This Row],[highDaily]])</f>
        <v>77.666666666666714</v>
      </c>
      <c r="AF87" s="12">
        <f>IF(CFDTable[[#This Row],[Date]]=DeadlineDate,CFDTable[[#This Row],[FutureWork2]],0)</f>
        <v>0</v>
      </c>
    </row>
    <row r="88" spans="1:32">
      <c r="A88" s="8">
        <f>CFDTable[[#This Row],[Date]]</f>
        <v>42534</v>
      </c>
      <c r="B88" s="9">
        <f>Data!B88</f>
        <v>42534</v>
      </c>
      <c r="C88" s="10">
        <f ca="1">IF(ISNUMBER(CFDTable[[#This Row],[Ready]]),NA(),CFDTable[[#This Row],[Target]]-CFDTable[[#This Row],[To Do]])</f>
        <v>77</v>
      </c>
      <c r="D88" s="10" t="e">
        <f>IF(CFDTable[[#This Row],[Emergence]]&gt;0,CFDTable[[#This Row],[Future Work]]-CFDTable[[#This Row],[Emergence]],NA())</f>
        <v>#N/A</v>
      </c>
      <c r="E88" s="10">
        <f>Data!C88</f>
        <v>0</v>
      </c>
      <c r="F88" s="10" t="str">
        <f ca="1">Data!D88</f>
        <v/>
      </c>
      <c r="G88" s="10">
        <f ca="1">Data!E88</f>
        <v>47</v>
      </c>
      <c r="H88" s="10" t="e">
        <f ca="1">IF(TodaysDate&gt;=$B88,Data!F88,NA())</f>
        <v>#N/A</v>
      </c>
      <c r="I88" s="10" t="e">
        <f ca="1">IF(TodaysDate&gt;=$B88,Data!G88,NA())</f>
        <v>#N/A</v>
      </c>
      <c r="J88" s="10" t="e">
        <f ca="1">IF(TodaysDate&gt;=$B88,Data!H88,NA())</f>
        <v>#N/A</v>
      </c>
      <c r="K88" s="10" t="e">
        <f ca="1">IF(TodaysDate&gt;=$B88,Data!I88,NA())</f>
        <v>#N/A</v>
      </c>
      <c r="L88" s="10" t="e">
        <f ca="1">IF(TodaysDate&gt;=$B88,Data!J88,NA())</f>
        <v>#N/A</v>
      </c>
      <c r="M88" s="10" t="e">
        <f ca="1">IF(CFDTable[[#This Row],[Done]]&gt;0,(CFDTable[[#This Row],[Done]])-(L87),0)</f>
        <v>#N/A</v>
      </c>
      <c r="N88" s="10">
        <f ca="1">IF(ISNUMBER($M88),SUM(CFDTable[[#This Row],[Done]]),IF(CFDTable[[#This Row],[lookupLow]]&gt;=CFDTable[[#This Row],[FutureWork2]]+CFDTable[[#This Row],[lowDaily]],NA(),CFDTable[[#This Row],[lookupLow]]))</f>
        <v>76.476190476190482</v>
      </c>
      <c r="O88" s="10">
        <f ca="1">IF(ISNUMBER($M88),SUM(CFDTable[[#This Row],[Done]]),IF(CFDTable[[#This Row],[lookupMedian]]&gt;=CFDTable[[#This Row],[FutureWork2]],NA(),CFDTable[[#This Row],[lookupMedian]]))</f>
        <v>77.619047619047592</v>
      </c>
      <c r="P88" s="10">
        <f ca="1">IF(ISNUMBER(CFDTable[[#This Row],[Done Today]]),SUM(CFDTable[[#This Row],[Done]]),IF(CFDTable[[#This Row],[lookupHigh]]&gt;=CFDTable[[#This Row],[FutureWork2]]+CFDTable[[#This Row],[highDaily]],NA(),CFDTable[[#This Row],[lookupHigh]]))</f>
        <v>78.761904761904816</v>
      </c>
      <c r="Q88" s="10">
        <f ca="1">CFDTable[[#This Row],[AvgDaily]]-CFDTable[[#This Row],[Deviation]]</f>
        <v>0.80952380952380931</v>
      </c>
      <c r="R88" s="10">
        <f ca="1">AVERAGE(IF(ISNUMBER(M88),IF(ISNUMBER(OFFSET(M88,-Historic,0)),OFFSET(M88,-Historic,0),M$2):M88,R87))</f>
        <v>0.95238095238095233</v>
      </c>
      <c r="S88" s="10">
        <f ca="1">AVERAGE(IF(ISNUMBER(M88),IF(ISNUMBER(OFFSET(M88,-Historic,0)),OFFSET(M88,-Historic,0),M$2):M88,S87))</f>
        <v>0.95238095238095233</v>
      </c>
      <c r="T88" s="10">
        <f ca="1">AVERAGE(IF(ISNUMBER(M88),OFFSET(M$2,DaysToIgnoreOnAvg,0):M88,T87))</f>
        <v>0.88311688311688308</v>
      </c>
      <c r="U88" s="10">
        <f ca="1">CFDTable[[#This Row],[AvgDaily]]+CFDTable[[#This Row],[Deviation]]</f>
        <v>1.0952380952380953</v>
      </c>
      <c r="V88" s="10">
        <f ca="1">IF(ISNUMBER(M88),((_xlfn.PERCENTILE.INC(IF(ISNUMBER(OFFSET(R88,-Historic,0)),OFFSET(R88,-Historic,0),R$2):R88,PercentileHigh/100))-(MEDIAN(IF(ISNUMBER(OFFSET(R88,-Historic,0)),OFFSET(R88,-Historic,0),R$2):R88))),V87)</f>
        <v>0.14285714285714302</v>
      </c>
      <c r="W88" s="10">
        <f ca="1">IF(ISNUMBER(M88),((_xlfn.PERCENTILE.INC(R$2:R88,PercentileHigh/100))-(MEDIAN(R$2:R88))),V87)</f>
        <v>0.14285714285714302</v>
      </c>
      <c r="X88" s="10" t="e">
        <f ca="1">(SUM(CFDTable[[#This Row],[To Do]:[Done]])-SUM(G87:L87))</f>
        <v>#N/A</v>
      </c>
      <c r="Y88" s="10">
        <f ca="1">AVERAGE(IF(ISNUMBER(X88),IF(ISNUMBER(OFFSET(X88,-Historic,0)),OFFSET(X88,-Historic,0),X$2):X88,Y87))</f>
        <v>1.1428571428571428</v>
      </c>
      <c r="Z88" s="10">
        <f ca="1">IF(ISNUMBER(CFDTable[[#This Row],[Done Today]]),SUM($G88:$L88),Z87+CFDTable[[#This Row],[avg added]])</f>
        <v>133.14285714285711</v>
      </c>
      <c r="AA88" s="10">
        <f ca="1">IF(ISNUMBER(CFDTable[[#This Row],[Done Today]]),SUM($G88:$L88),$AA87)</f>
        <v>124</v>
      </c>
      <c r="AB88" s="10">
        <f ca="1">IF(ISNUMBER(CFDTable[[#This Row],[Done Today]]),SUM($G88:$L88),$AB87)</f>
        <v>124</v>
      </c>
      <c r="AC88" s="10">
        <f ca="1">SUM(LOOKUP(2,1/(N$1:N87&lt;&gt;""),N$1:N87)+CFDTable[[#This Row],[lowDaily]])</f>
        <v>76.476190476190482</v>
      </c>
      <c r="AD88" s="10">
        <f ca="1">SUM(LOOKUP(2,1/(O$1:O87&lt;&gt;""),O$1:O87)+R88)</f>
        <v>77.619047619047592</v>
      </c>
      <c r="AE88" s="10">
        <f ca="1">SUM(LOOKUP(2,1/(P$1:P87&lt;&gt;""),P$1:P87)+CFDTable[[#This Row],[highDaily]])</f>
        <v>78.761904761904816</v>
      </c>
      <c r="AF88" s="12">
        <f>IF(CFDTable[[#This Row],[Date]]=DeadlineDate,CFDTable[[#This Row],[FutureWork2]],0)</f>
        <v>0</v>
      </c>
    </row>
    <row r="89" spans="1:32">
      <c r="A89" s="8">
        <f>CFDTable[[#This Row],[Date]]</f>
        <v>42535</v>
      </c>
      <c r="B89" s="9">
        <f>Data!B89</f>
        <v>42535</v>
      </c>
      <c r="C89" s="10">
        <f ca="1">IF(ISNUMBER(CFDTable[[#This Row],[Ready]]),NA(),CFDTable[[#This Row],[Target]]-CFDTable[[#This Row],[To Do]])</f>
        <v>77</v>
      </c>
      <c r="D89" s="10" t="e">
        <f>IF(CFDTable[[#This Row],[Emergence]]&gt;0,CFDTable[[#This Row],[Future Work]]-CFDTable[[#This Row],[Emergence]],NA())</f>
        <v>#N/A</v>
      </c>
      <c r="E89" s="10">
        <f>Data!C89</f>
        <v>0</v>
      </c>
      <c r="F89" s="10" t="str">
        <f ca="1">Data!D89</f>
        <v/>
      </c>
      <c r="G89" s="10">
        <f ca="1">Data!E89</f>
        <v>47</v>
      </c>
      <c r="H89" s="10" t="e">
        <f ca="1">IF(TodaysDate&gt;=$B89,Data!F89,NA())</f>
        <v>#N/A</v>
      </c>
      <c r="I89" s="10" t="e">
        <f ca="1">IF(TodaysDate&gt;=$B89,Data!G89,NA())</f>
        <v>#N/A</v>
      </c>
      <c r="J89" s="10" t="e">
        <f ca="1">IF(TodaysDate&gt;=$B89,Data!H89,NA())</f>
        <v>#N/A</v>
      </c>
      <c r="K89" s="10" t="e">
        <f ca="1">IF(TodaysDate&gt;=$B89,Data!I89,NA())</f>
        <v>#N/A</v>
      </c>
      <c r="L89" s="10" t="e">
        <f ca="1">IF(TodaysDate&gt;=$B89,Data!J89,NA())</f>
        <v>#N/A</v>
      </c>
      <c r="M89" s="10" t="e">
        <f ca="1">IF(CFDTable[[#This Row],[Done]]&gt;0,(CFDTable[[#This Row],[Done]])-(L88),0)</f>
        <v>#N/A</v>
      </c>
      <c r="N89" s="10">
        <f ca="1">IF(ISNUMBER($M89),SUM(CFDTable[[#This Row],[Done]]),IF(CFDTable[[#This Row],[lookupLow]]&gt;=CFDTable[[#This Row],[FutureWork2]]+CFDTable[[#This Row],[lowDaily]],NA(),CFDTable[[#This Row],[lookupLow]]))</f>
        <v>77.285714285714292</v>
      </c>
      <c r="O89" s="10">
        <f ca="1">IF(ISNUMBER($M89),SUM(CFDTable[[#This Row],[Done]]),IF(CFDTable[[#This Row],[lookupMedian]]&gt;=CFDTable[[#This Row],[FutureWork2]],NA(),CFDTable[[#This Row],[lookupMedian]]))</f>
        <v>78.571428571428541</v>
      </c>
      <c r="P89" s="10">
        <f ca="1">IF(ISNUMBER(CFDTable[[#This Row],[Done Today]]),SUM(CFDTable[[#This Row],[Done]]),IF(CFDTable[[#This Row],[lookupHigh]]&gt;=CFDTable[[#This Row],[FutureWork2]]+CFDTable[[#This Row],[highDaily]],NA(),CFDTable[[#This Row],[lookupHigh]]))</f>
        <v>79.857142857142918</v>
      </c>
      <c r="Q89" s="10">
        <f ca="1">CFDTable[[#This Row],[AvgDaily]]-CFDTable[[#This Row],[Deviation]]</f>
        <v>0.80952380952380931</v>
      </c>
      <c r="R89" s="10">
        <f ca="1">AVERAGE(IF(ISNUMBER(M89),IF(ISNUMBER(OFFSET(M89,-Historic,0)),OFFSET(M89,-Historic,0),M$2):M89,R88))</f>
        <v>0.95238095238095233</v>
      </c>
      <c r="S89" s="10">
        <f ca="1">AVERAGE(IF(ISNUMBER(M89),IF(ISNUMBER(OFFSET(M89,-Historic,0)),OFFSET(M89,-Historic,0),M$2):M89,S88))</f>
        <v>0.95238095238095233</v>
      </c>
      <c r="T89" s="10">
        <f ca="1">AVERAGE(IF(ISNUMBER(M89),OFFSET(M$2,DaysToIgnoreOnAvg,0):M89,T88))</f>
        <v>0.88311688311688308</v>
      </c>
      <c r="U89" s="10">
        <f ca="1">CFDTable[[#This Row],[AvgDaily]]+CFDTable[[#This Row],[Deviation]]</f>
        <v>1.0952380952380953</v>
      </c>
      <c r="V89" s="10">
        <f ca="1">IF(ISNUMBER(M89),((_xlfn.PERCENTILE.INC(IF(ISNUMBER(OFFSET(R89,-Historic,0)),OFFSET(R89,-Historic,0),R$2):R89,PercentileHigh/100))-(MEDIAN(IF(ISNUMBER(OFFSET(R89,-Historic,0)),OFFSET(R89,-Historic,0),R$2):R89))),V88)</f>
        <v>0.14285714285714302</v>
      </c>
      <c r="W89" s="10">
        <f ca="1">IF(ISNUMBER(M89),((_xlfn.PERCENTILE.INC(R$2:R89,PercentileHigh/100))-(MEDIAN(R$2:R89))),V88)</f>
        <v>0.14285714285714302</v>
      </c>
      <c r="X89" s="10" t="e">
        <f ca="1">(SUM(CFDTable[[#This Row],[To Do]:[Done]])-SUM(G88:L88))</f>
        <v>#N/A</v>
      </c>
      <c r="Y89" s="10">
        <f ca="1">AVERAGE(IF(ISNUMBER(X89),IF(ISNUMBER(OFFSET(X89,-Historic,0)),OFFSET(X89,-Historic,0),X$2):X89,Y88))</f>
        <v>1.1428571428571428</v>
      </c>
      <c r="Z89" s="10">
        <f ca="1">IF(ISNUMBER(CFDTable[[#This Row],[Done Today]]),SUM($G89:$L89),Z88+CFDTable[[#This Row],[avg added]])</f>
        <v>134.28571428571425</v>
      </c>
      <c r="AA89" s="10">
        <f ca="1">IF(ISNUMBER(CFDTable[[#This Row],[Done Today]]),SUM($G89:$L89),$AA88)</f>
        <v>124</v>
      </c>
      <c r="AB89" s="10">
        <f ca="1">IF(ISNUMBER(CFDTable[[#This Row],[Done Today]]),SUM($G89:$L89),$AB88)</f>
        <v>124</v>
      </c>
      <c r="AC89" s="10">
        <f ca="1">SUM(LOOKUP(2,1/(N$1:N88&lt;&gt;""),N$1:N88)+CFDTable[[#This Row],[lowDaily]])</f>
        <v>77.285714285714292</v>
      </c>
      <c r="AD89" s="10">
        <f ca="1">SUM(LOOKUP(2,1/(O$1:O88&lt;&gt;""),O$1:O88)+R89)</f>
        <v>78.571428571428541</v>
      </c>
      <c r="AE89" s="10">
        <f ca="1">SUM(LOOKUP(2,1/(P$1:P88&lt;&gt;""),P$1:P88)+CFDTable[[#This Row],[highDaily]])</f>
        <v>79.857142857142918</v>
      </c>
      <c r="AF89" s="12">
        <f>IF(CFDTable[[#This Row],[Date]]=DeadlineDate,CFDTable[[#This Row],[FutureWork2]],0)</f>
        <v>0</v>
      </c>
    </row>
    <row r="90" spans="1:32">
      <c r="A90" s="8">
        <f>CFDTable[[#This Row],[Date]]</f>
        <v>42536</v>
      </c>
      <c r="B90" s="9">
        <f>Data!B90</f>
        <v>42536</v>
      </c>
      <c r="C90" s="10">
        <f ca="1">IF(ISNUMBER(CFDTable[[#This Row],[Ready]]),NA(),CFDTable[[#This Row],[Target]]-CFDTable[[#This Row],[To Do]])</f>
        <v>77</v>
      </c>
      <c r="D90" s="10" t="e">
        <f>IF(CFDTable[[#This Row],[Emergence]]&gt;0,CFDTable[[#This Row],[Future Work]]-CFDTable[[#This Row],[Emergence]],NA())</f>
        <v>#N/A</v>
      </c>
      <c r="E90" s="10">
        <f>Data!C90</f>
        <v>0</v>
      </c>
      <c r="F90" s="10" t="str">
        <f ca="1">Data!D90</f>
        <v/>
      </c>
      <c r="G90" s="10">
        <f ca="1">Data!E90</f>
        <v>47</v>
      </c>
      <c r="H90" s="10" t="e">
        <f ca="1">IF(TodaysDate&gt;=$B90,Data!F90,NA())</f>
        <v>#N/A</v>
      </c>
      <c r="I90" s="10" t="e">
        <f ca="1">IF(TodaysDate&gt;=$B90,Data!G90,NA())</f>
        <v>#N/A</v>
      </c>
      <c r="J90" s="10" t="e">
        <f ca="1">IF(TodaysDate&gt;=$B90,Data!H90,NA())</f>
        <v>#N/A</v>
      </c>
      <c r="K90" s="10" t="e">
        <f ca="1">IF(TodaysDate&gt;=$B90,Data!I90,NA())</f>
        <v>#N/A</v>
      </c>
      <c r="L90" s="10" t="e">
        <f ca="1">IF(TodaysDate&gt;=$B90,Data!J90,NA())</f>
        <v>#N/A</v>
      </c>
      <c r="M90" s="10" t="e">
        <f ca="1">IF(CFDTable[[#This Row],[Done]]&gt;0,(CFDTable[[#This Row],[Done]])-(L89),0)</f>
        <v>#N/A</v>
      </c>
      <c r="N90" s="10">
        <f ca="1">IF(ISNUMBER($M90),SUM(CFDTable[[#This Row],[Done]]),IF(CFDTable[[#This Row],[lookupLow]]&gt;=CFDTable[[#This Row],[FutureWork2]]+CFDTable[[#This Row],[lowDaily]],NA(),CFDTable[[#This Row],[lookupLow]]))</f>
        <v>78.095238095238102</v>
      </c>
      <c r="O90" s="10">
        <f ca="1">IF(ISNUMBER($M90),SUM(CFDTable[[#This Row],[Done]]),IF(CFDTable[[#This Row],[lookupMedian]]&gt;=CFDTable[[#This Row],[FutureWork2]],NA(),CFDTable[[#This Row],[lookupMedian]]))</f>
        <v>79.52380952380949</v>
      </c>
      <c r="P90" s="10">
        <f ca="1">IF(ISNUMBER(CFDTable[[#This Row],[Done Today]]),SUM(CFDTable[[#This Row],[Done]]),IF(CFDTable[[#This Row],[lookupHigh]]&gt;=CFDTable[[#This Row],[FutureWork2]]+CFDTable[[#This Row],[highDaily]],NA(),CFDTable[[#This Row],[lookupHigh]]))</f>
        <v>80.95238095238102</v>
      </c>
      <c r="Q90" s="10">
        <f ca="1">CFDTable[[#This Row],[AvgDaily]]-CFDTable[[#This Row],[Deviation]]</f>
        <v>0.80952380952380931</v>
      </c>
      <c r="R90" s="10">
        <f ca="1">AVERAGE(IF(ISNUMBER(M90),IF(ISNUMBER(OFFSET(M90,-Historic,0)),OFFSET(M90,-Historic,0),M$2):M90,R89))</f>
        <v>0.95238095238095233</v>
      </c>
      <c r="S90" s="10">
        <f ca="1">AVERAGE(IF(ISNUMBER(M90),IF(ISNUMBER(OFFSET(M90,-Historic,0)),OFFSET(M90,-Historic,0),M$2):M90,S89))</f>
        <v>0.95238095238095233</v>
      </c>
      <c r="T90" s="10">
        <f ca="1">AVERAGE(IF(ISNUMBER(M90),OFFSET(M$2,DaysToIgnoreOnAvg,0):M90,T89))</f>
        <v>0.88311688311688308</v>
      </c>
      <c r="U90" s="10">
        <f ca="1">CFDTable[[#This Row],[AvgDaily]]+CFDTable[[#This Row],[Deviation]]</f>
        <v>1.0952380952380953</v>
      </c>
      <c r="V90" s="10">
        <f ca="1">IF(ISNUMBER(M90),((_xlfn.PERCENTILE.INC(IF(ISNUMBER(OFFSET(R90,-Historic,0)),OFFSET(R90,-Historic,0),R$2):R90,PercentileHigh/100))-(MEDIAN(IF(ISNUMBER(OFFSET(R90,-Historic,0)),OFFSET(R90,-Historic,0),R$2):R90))),V89)</f>
        <v>0.14285714285714302</v>
      </c>
      <c r="W90" s="10">
        <f ca="1">IF(ISNUMBER(M90),((_xlfn.PERCENTILE.INC(R$2:R90,PercentileHigh/100))-(MEDIAN(R$2:R90))),V89)</f>
        <v>0.14285714285714302</v>
      </c>
      <c r="X90" s="10" t="e">
        <f ca="1">(SUM(CFDTable[[#This Row],[To Do]:[Done]])-SUM(G89:L89))</f>
        <v>#N/A</v>
      </c>
      <c r="Y90" s="10">
        <f ca="1">AVERAGE(IF(ISNUMBER(X90),IF(ISNUMBER(OFFSET(X90,-Historic,0)),OFFSET(X90,-Historic,0),X$2):X90,Y89))</f>
        <v>1.1428571428571428</v>
      </c>
      <c r="Z90" s="10">
        <f ca="1">IF(ISNUMBER(CFDTable[[#This Row],[Done Today]]),SUM($G90:$L90),Z89+CFDTable[[#This Row],[avg added]])</f>
        <v>135.42857142857139</v>
      </c>
      <c r="AA90" s="10">
        <f ca="1">IF(ISNUMBER(CFDTable[[#This Row],[Done Today]]),SUM($G90:$L90),$AA89)</f>
        <v>124</v>
      </c>
      <c r="AB90" s="10">
        <f ca="1">IF(ISNUMBER(CFDTable[[#This Row],[Done Today]]),SUM($G90:$L90),$AB89)</f>
        <v>124</v>
      </c>
      <c r="AC90" s="10">
        <f ca="1">SUM(LOOKUP(2,1/(N$1:N89&lt;&gt;""),N$1:N89)+CFDTable[[#This Row],[lowDaily]])</f>
        <v>78.095238095238102</v>
      </c>
      <c r="AD90" s="10">
        <f ca="1">SUM(LOOKUP(2,1/(O$1:O89&lt;&gt;""),O$1:O89)+R90)</f>
        <v>79.52380952380949</v>
      </c>
      <c r="AE90" s="10">
        <f ca="1">SUM(LOOKUP(2,1/(P$1:P89&lt;&gt;""),P$1:P89)+CFDTable[[#This Row],[highDaily]])</f>
        <v>80.95238095238102</v>
      </c>
      <c r="AF90" s="12">
        <f>IF(CFDTable[[#This Row],[Date]]=DeadlineDate,CFDTable[[#This Row],[FutureWork2]],0)</f>
        <v>0</v>
      </c>
    </row>
    <row r="91" spans="1:32">
      <c r="A91" s="8">
        <f>CFDTable[[#This Row],[Date]]</f>
        <v>42537</v>
      </c>
      <c r="B91" s="9">
        <f>Data!B91</f>
        <v>42537</v>
      </c>
      <c r="C91" s="10">
        <f ca="1">IF(ISNUMBER(CFDTable[[#This Row],[Ready]]),NA(),CFDTable[[#This Row],[Target]]-CFDTable[[#This Row],[To Do]])</f>
        <v>77</v>
      </c>
      <c r="D91" s="10" t="e">
        <f>IF(CFDTable[[#This Row],[Emergence]]&gt;0,CFDTable[[#This Row],[Future Work]]-CFDTable[[#This Row],[Emergence]],NA())</f>
        <v>#N/A</v>
      </c>
      <c r="E91" s="10">
        <f>Data!C91</f>
        <v>0</v>
      </c>
      <c r="F91" s="10" t="str">
        <f ca="1">Data!D91</f>
        <v/>
      </c>
      <c r="G91" s="10">
        <f ca="1">Data!E91</f>
        <v>47</v>
      </c>
      <c r="H91" s="10" t="e">
        <f ca="1">IF(TodaysDate&gt;=$B91,Data!F91,NA())</f>
        <v>#N/A</v>
      </c>
      <c r="I91" s="10" t="e">
        <f ca="1">IF(TodaysDate&gt;=$B91,Data!G91,NA())</f>
        <v>#N/A</v>
      </c>
      <c r="J91" s="10" t="e">
        <f ca="1">IF(TodaysDate&gt;=$B91,Data!H91,NA())</f>
        <v>#N/A</v>
      </c>
      <c r="K91" s="10" t="e">
        <f ca="1">IF(TodaysDate&gt;=$B91,Data!I91,NA())</f>
        <v>#N/A</v>
      </c>
      <c r="L91" s="10" t="e">
        <f ca="1">IF(TodaysDate&gt;=$B91,Data!J91,NA())</f>
        <v>#N/A</v>
      </c>
      <c r="M91" s="10" t="e">
        <f ca="1">IF(CFDTable[[#This Row],[Done]]&gt;0,(CFDTable[[#This Row],[Done]])-(L90),0)</f>
        <v>#N/A</v>
      </c>
      <c r="N91" s="10">
        <f ca="1">IF(ISNUMBER($M91),SUM(CFDTable[[#This Row],[Done]]),IF(CFDTable[[#This Row],[lookupLow]]&gt;=CFDTable[[#This Row],[FutureWork2]]+CFDTable[[#This Row],[lowDaily]],NA(),CFDTable[[#This Row],[lookupLow]]))</f>
        <v>78.904761904761912</v>
      </c>
      <c r="O91" s="10">
        <f ca="1">IF(ISNUMBER($M91),SUM(CFDTable[[#This Row],[Done]]),IF(CFDTable[[#This Row],[lookupMedian]]&gt;=CFDTable[[#This Row],[FutureWork2]],NA(),CFDTable[[#This Row],[lookupMedian]]))</f>
        <v>80.476190476190439</v>
      </c>
      <c r="P91" s="10">
        <f ca="1">IF(ISNUMBER(CFDTable[[#This Row],[Done Today]]),SUM(CFDTable[[#This Row],[Done]]),IF(CFDTable[[#This Row],[lookupHigh]]&gt;=CFDTable[[#This Row],[FutureWork2]]+CFDTable[[#This Row],[highDaily]],NA(),CFDTable[[#This Row],[lookupHigh]]))</f>
        <v>82.047619047619122</v>
      </c>
      <c r="Q91" s="10">
        <f ca="1">CFDTable[[#This Row],[AvgDaily]]-CFDTable[[#This Row],[Deviation]]</f>
        <v>0.80952380952380931</v>
      </c>
      <c r="R91" s="10">
        <f ca="1">AVERAGE(IF(ISNUMBER(M91),IF(ISNUMBER(OFFSET(M91,-Historic,0)),OFFSET(M91,-Historic,0),M$2):M91,R90))</f>
        <v>0.95238095238095233</v>
      </c>
      <c r="S91" s="10">
        <f ca="1">AVERAGE(IF(ISNUMBER(M91),IF(ISNUMBER(OFFSET(M91,-Historic,0)),OFFSET(M91,-Historic,0),M$2):M91,S90))</f>
        <v>0.95238095238095233</v>
      </c>
      <c r="T91" s="10">
        <f ca="1">AVERAGE(IF(ISNUMBER(M91),OFFSET(M$2,DaysToIgnoreOnAvg,0):M91,T90))</f>
        <v>0.88311688311688308</v>
      </c>
      <c r="U91" s="10">
        <f ca="1">CFDTable[[#This Row],[AvgDaily]]+CFDTable[[#This Row],[Deviation]]</f>
        <v>1.0952380952380953</v>
      </c>
      <c r="V91" s="10">
        <f ca="1">IF(ISNUMBER(M91),((_xlfn.PERCENTILE.INC(IF(ISNUMBER(OFFSET(R91,-Historic,0)),OFFSET(R91,-Historic,0),R$2):R91,PercentileHigh/100))-(MEDIAN(IF(ISNUMBER(OFFSET(R91,-Historic,0)),OFFSET(R91,-Historic,0),R$2):R91))),V90)</f>
        <v>0.14285714285714302</v>
      </c>
      <c r="W91" s="10">
        <f ca="1">IF(ISNUMBER(M91),((_xlfn.PERCENTILE.INC(R$2:R91,PercentileHigh/100))-(MEDIAN(R$2:R91))),V90)</f>
        <v>0.14285714285714302</v>
      </c>
      <c r="X91" s="10" t="e">
        <f ca="1">(SUM(CFDTable[[#This Row],[To Do]:[Done]])-SUM(G90:L90))</f>
        <v>#N/A</v>
      </c>
      <c r="Y91" s="10">
        <f ca="1">AVERAGE(IF(ISNUMBER(X91),IF(ISNUMBER(OFFSET(X91,-Historic,0)),OFFSET(X91,-Historic,0),X$2):X91,Y90))</f>
        <v>1.1428571428571428</v>
      </c>
      <c r="Z91" s="10">
        <f ca="1">IF(ISNUMBER(CFDTable[[#This Row],[Done Today]]),SUM($G91:$L91),Z90+CFDTable[[#This Row],[avg added]])</f>
        <v>136.57142857142853</v>
      </c>
      <c r="AA91" s="10">
        <f ca="1">IF(ISNUMBER(CFDTable[[#This Row],[Done Today]]),SUM($G91:$L91),$AA90)</f>
        <v>124</v>
      </c>
      <c r="AB91" s="10">
        <f ca="1">IF(ISNUMBER(CFDTable[[#This Row],[Done Today]]),SUM($G91:$L91),$AB90)</f>
        <v>124</v>
      </c>
      <c r="AC91" s="10">
        <f ca="1">SUM(LOOKUP(2,1/(N$1:N90&lt;&gt;""),N$1:N90)+CFDTable[[#This Row],[lowDaily]])</f>
        <v>78.904761904761912</v>
      </c>
      <c r="AD91" s="10">
        <f ca="1">SUM(LOOKUP(2,1/(O$1:O90&lt;&gt;""),O$1:O90)+R91)</f>
        <v>80.476190476190439</v>
      </c>
      <c r="AE91" s="10">
        <f ca="1">SUM(LOOKUP(2,1/(P$1:P90&lt;&gt;""),P$1:P90)+CFDTable[[#This Row],[highDaily]])</f>
        <v>82.047619047619122</v>
      </c>
      <c r="AF91" s="12">
        <f>IF(CFDTable[[#This Row],[Date]]=DeadlineDate,CFDTable[[#This Row],[FutureWork2]],0)</f>
        <v>0</v>
      </c>
    </row>
    <row r="92" spans="1:32">
      <c r="A92" s="8">
        <f>CFDTable[[#This Row],[Date]]</f>
        <v>42538</v>
      </c>
      <c r="B92" s="9">
        <f>Data!B92</f>
        <v>42538</v>
      </c>
      <c r="C92" s="10">
        <f ca="1">IF(ISNUMBER(CFDTable[[#This Row],[Ready]]),NA(),CFDTable[[#This Row],[Target]]-CFDTable[[#This Row],[To Do]])</f>
        <v>77</v>
      </c>
      <c r="D92" s="10" t="e">
        <f>IF(CFDTable[[#This Row],[Emergence]]&gt;0,CFDTable[[#This Row],[Future Work]]-CFDTable[[#This Row],[Emergence]],NA())</f>
        <v>#N/A</v>
      </c>
      <c r="E92" s="10">
        <f>Data!C92</f>
        <v>0</v>
      </c>
      <c r="F92" s="10" t="str">
        <f ca="1">Data!D92</f>
        <v/>
      </c>
      <c r="G92" s="10">
        <f ca="1">Data!E92</f>
        <v>47</v>
      </c>
      <c r="H92" s="10" t="e">
        <f ca="1">IF(TodaysDate&gt;=$B92,Data!F92,NA())</f>
        <v>#N/A</v>
      </c>
      <c r="I92" s="10" t="e">
        <f ca="1">IF(TodaysDate&gt;=$B92,Data!G92,NA())</f>
        <v>#N/A</v>
      </c>
      <c r="J92" s="10" t="e">
        <f ca="1">IF(TodaysDate&gt;=$B92,Data!H92,NA())</f>
        <v>#N/A</v>
      </c>
      <c r="K92" s="10" t="e">
        <f ca="1">IF(TodaysDate&gt;=$B92,Data!I92,NA())</f>
        <v>#N/A</v>
      </c>
      <c r="L92" s="10" t="e">
        <f ca="1">IF(TodaysDate&gt;=$B92,Data!J92,NA())</f>
        <v>#N/A</v>
      </c>
      <c r="M92" s="10" t="e">
        <f ca="1">IF(CFDTable[[#This Row],[Done]]&gt;0,(CFDTable[[#This Row],[Done]])-(L91),0)</f>
        <v>#N/A</v>
      </c>
      <c r="N92" s="10">
        <f ca="1">IF(ISNUMBER($M92),SUM(CFDTable[[#This Row],[Done]]),IF(CFDTable[[#This Row],[lookupLow]]&gt;=CFDTable[[#This Row],[FutureWork2]]+CFDTable[[#This Row],[lowDaily]],NA(),CFDTable[[#This Row],[lookupLow]]))</f>
        <v>79.714285714285722</v>
      </c>
      <c r="O92" s="10">
        <f ca="1">IF(ISNUMBER($M92),SUM(CFDTable[[#This Row],[Done]]),IF(CFDTable[[#This Row],[lookupMedian]]&gt;=CFDTable[[#This Row],[FutureWork2]],NA(),CFDTable[[#This Row],[lookupMedian]]))</f>
        <v>81.428571428571388</v>
      </c>
      <c r="P92" s="10">
        <f ca="1">IF(ISNUMBER(CFDTable[[#This Row],[Done Today]]),SUM(CFDTable[[#This Row],[Done]]),IF(CFDTable[[#This Row],[lookupHigh]]&gt;=CFDTable[[#This Row],[FutureWork2]]+CFDTable[[#This Row],[highDaily]],NA(),CFDTable[[#This Row],[lookupHigh]]))</f>
        <v>83.142857142857224</v>
      </c>
      <c r="Q92" s="10">
        <f ca="1">CFDTable[[#This Row],[AvgDaily]]-CFDTable[[#This Row],[Deviation]]</f>
        <v>0.80952380952380931</v>
      </c>
      <c r="R92" s="10">
        <f ca="1">AVERAGE(IF(ISNUMBER(M92),IF(ISNUMBER(OFFSET(M92,-Historic,0)),OFFSET(M92,-Historic,0),M$2):M92,R91))</f>
        <v>0.95238095238095233</v>
      </c>
      <c r="S92" s="10">
        <f ca="1">AVERAGE(IF(ISNUMBER(M92),IF(ISNUMBER(OFFSET(M92,-Historic,0)),OFFSET(M92,-Historic,0),M$2):M92,S91))</f>
        <v>0.95238095238095233</v>
      </c>
      <c r="T92" s="10">
        <f ca="1">AVERAGE(IF(ISNUMBER(M92),OFFSET(M$2,DaysToIgnoreOnAvg,0):M92,T91))</f>
        <v>0.88311688311688308</v>
      </c>
      <c r="U92" s="10">
        <f ca="1">CFDTable[[#This Row],[AvgDaily]]+CFDTable[[#This Row],[Deviation]]</f>
        <v>1.0952380952380953</v>
      </c>
      <c r="V92" s="10">
        <f ca="1">IF(ISNUMBER(M92),((_xlfn.PERCENTILE.INC(IF(ISNUMBER(OFFSET(R92,-Historic,0)),OFFSET(R92,-Historic,0),R$2):R92,PercentileHigh/100))-(MEDIAN(IF(ISNUMBER(OFFSET(R92,-Historic,0)),OFFSET(R92,-Historic,0),R$2):R92))),V91)</f>
        <v>0.14285714285714302</v>
      </c>
      <c r="W92" s="10">
        <f ca="1">IF(ISNUMBER(M92),((_xlfn.PERCENTILE.INC(R$2:R92,PercentileHigh/100))-(MEDIAN(R$2:R92))),V91)</f>
        <v>0.14285714285714302</v>
      </c>
      <c r="X92" s="10" t="e">
        <f ca="1">(SUM(CFDTable[[#This Row],[To Do]:[Done]])-SUM(G91:L91))</f>
        <v>#N/A</v>
      </c>
      <c r="Y92" s="10">
        <f ca="1">AVERAGE(IF(ISNUMBER(X92),IF(ISNUMBER(OFFSET(X92,-Historic,0)),OFFSET(X92,-Historic,0),X$2):X92,Y91))</f>
        <v>1.1428571428571428</v>
      </c>
      <c r="Z92" s="10">
        <f ca="1">IF(ISNUMBER(CFDTable[[#This Row],[Done Today]]),SUM($G92:$L92),Z91+CFDTable[[#This Row],[avg added]])</f>
        <v>137.71428571428567</v>
      </c>
      <c r="AA92" s="10">
        <f ca="1">IF(ISNUMBER(CFDTable[[#This Row],[Done Today]]),SUM($G92:$L92),$AA91)</f>
        <v>124</v>
      </c>
      <c r="AB92" s="10">
        <f ca="1">IF(ISNUMBER(CFDTable[[#This Row],[Done Today]]),SUM($G92:$L92),$AB91)</f>
        <v>124</v>
      </c>
      <c r="AC92" s="10">
        <f ca="1">SUM(LOOKUP(2,1/(N$1:N91&lt;&gt;""),N$1:N91)+CFDTable[[#This Row],[lowDaily]])</f>
        <v>79.714285714285722</v>
      </c>
      <c r="AD92" s="10">
        <f ca="1">SUM(LOOKUP(2,1/(O$1:O91&lt;&gt;""),O$1:O91)+R92)</f>
        <v>81.428571428571388</v>
      </c>
      <c r="AE92" s="10">
        <f ca="1">SUM(LOOKUP(2,1/(P$1:P91&lt;&gt;""),P$1:P91)+CFDTable[[#This Row],[highDaily]])</f>
        <v>83.142857142857224</v>
      </c>
      <c r="AF92" s="12">
        <f>IF(CFDTable[[#This Row],[Date]]=DeadlineDate,CFDTable[[#This Row],[FutureWork2]],0)</f>
        <v>0</v>
      </c>
    </row>
    <row r="93" spans="1:32">
      <c r="A93" s="8">
        <f>CFDTable[[#This Row],[Date]]</f>
        <v>42541</v>
      </c>
      <c r="B93" s="38">
        <f>Data!B93</f>
        <v>42541</v>
      </c>
      <c r="C93" s="10">
        <f ca="1">IF(ISNUMBER(CFDTable[[#This Row],[Ready]]),NA(),CFDTable[[#This Row],[Target]]-CFDTable[[#This Row],[To Do]])</f>
        <v>77</v>
      </c>
      <c r="D93" s="10" t="e">
        <f>IF(CFDTable[[#This Row],[Emergence]]&gt;0,CFDTable[[#This Row],[Future Work]]-CFDTable[[#This Row],[Emergence]],NA())</f>
        <v>#N/A</v>
      </c>
      <c r="E93" s="10">
        <f>Data!C93</f>
        <v>0</v>
      </c>
      <c r="F93" s="10" t="str">
        <f ca="1">Data!D93</f>
        <v/>
      </c>
      <c r="G93" s="10">
        <f ca="1">Data!E93</f>
        <v>47</v>
      </c>
      <c r="H93" s="10" t="e">
        <f ca="1">IF(TodaysDate&gt;=$B93,Data!F93,NA())</f>
        <v>#N/A</v>
      </c>
      <c r="I93" s="10" t="e">
        <f ca="1">IF(TodaysDate&gt;=$B93,Data!G93,NA())</f>
        <v>#N/A</v>
      </c>
      <c r="J93" s="10" t="e">
        <f ca="1">IF(TodaysDate&gt;=$B93,Data!H93,NA())</f>
        <v>#N/A</v>
      </c>
      <c r="K93" s="10" t="e">
        <f ca="1">IF(TodaysDate&gt;=$B93,Data!I93,NA())</f>
        <v>#N/A</v>
      </c>
      <c r="L93" s="10" t="e">
        <f ca="1">IF(TodaysDate&gt;=$B93,Data!J93,NA())</f>
        <v>#N/A</v>
      </c>
      <c r="M93" s="10" t="e">
        <f ca="1">IF(CFDTable[[#This Row],[Done]]&gt;0,(CFDTable[[#This Row],[Done]])-(L92),0)</f>
        <v>#N/A</v>
      </c>
      <c r="N93" s="10">
        <f ca="1">IF(ISNUMBER($M93),SUM(CFDTable[[#This Row],[Done]]),IF(CFDTable[[#This Row],[lookupLow]]&gt;=CFDTable[[#This Row],[FutureWork2]]+CFDTable[[#This Row],[lowDaily]],NA(),CFDTable[[#This Row],[lookupLow]]))</f>
        <v>80.523809523809533</v>
      </c>
      <c r="O93" s="10">
        <f ca="1">IF(ISNUMBER($M93),SUM(CFDTable[[#This Row],[Done]]),IF(CFDTable[[#This Row],[lookupMedian]]&gt;=CFDTable[[#This Row],[FutureWork2]],NA(),CFDTable[[#This Row],[lookupMedian]]))</f>
        <v>82.380952380952337</v>
      </c>
      <c r="P93" s="10">
        <f ca="1">IF(ISNUMBER(CFDTable[[#This Row],[Done Today]]),SUM(CFDTable[[#This Row],[Done]]),IF(CFDTable[[#This Row],[lookupHigh]]&gt;=CFDTable[[#This Row],[FutureWork2]]+CFDTable[[#This Row],[highDaily]],NA(),CFDTable[[#This Row],[lookupHigh]]))</f>
        <v>84.238095238095326</v>
      </c>
      <c r="Q93" s="10">
        <f ca="1">CFDTable[[#This Row],[AvgDaily]]-CFDTable[[#This Row],[Deviation]]</f>
        <v>0.80952380952380931</v>
      </c>
      <c r="R93" s="10">
        <f ca="1">AVERAGE(IF(ISNUMBER(M93),IF(ISNUMBER(OFFSET(M93,-Historic,0)),OFFSET(M93,-Historic,0),M$2):M93,R92))</f>
        <v>0.95238095238095233</v>
      </c>
      <c r="S93" s="10">
        <f ca="1">AVERAGE(IF(ISNUMBER(M93),IF(ISNUMBER(OFFSET(M93,-Historic,0)),OFFSET(M93,-Historic,0),M$2):M93,S92))</f>
        <v>0.95238095238095233</v>
      </c>
      <c r="T93" s="10">
        <f ca="1">AVERAGE(IF(ISNUMBER(M93),OFFSET(M$2,DaysToIgnoreOnAvg,0):M93,T92))</f>
        <v>0.88311688311688308</v>
      </c>
      <c r="U93" s="10">
        <f ca="1">CFDTable[[#This Row],[AvgDaily]]+CFDTable[[#This Row],[Deviation]]</f>
        <v>1.0952380952380953</v>
      </c>
      <c r="V93" s="10">
        <f ca="1">IF(ISNUMBER(M93),((_xlfn.PERCENTILE.INC(IF(ISNUMBER(OFFSET(R93,-Historic,0)),OFFSET(R93,-Historic,0),R$2):R93,PercentileHigh/100))-(MEDIAN(IF(ISNUMBER(OFFSET(R93,-Historic,0)),OFFSET(R93,-Historic,0),R$2):R93))),V92)</f>
        <v>0.14285714285714302</v>
      </c>
      <c r="W93" s="10">
        <f ca="1">IF(ISNUMBER(M93),((_xlfn.PERCENTILE.INC(R$2:R93,PercentileHigh/100))-(MEDIAN(R$2:R93))),V92)</f>
        <v>0.14285714285714302</v>
      </c>
      <c r="X93" s="10" t="e">
        <f ca="1">(SUM(CFDTable[[#This Row],[To Do]:[Done]])-SUM(G92:L92))</f>
        <v>#N/A</v>
      </c>
      <c r="Y93" s="10">
        <f ca="1">AVERAGE(IF(ISNUMBER(X93),IF(ISNUMBER(OFFSET(X93,-Historic,0)),OFFSET(X93,-Historic,0),X$2):X93,Y92))</f>
        <v>1.1428571428571428</v>
      </c>
      <c r="Z93" s="10">
        <f ca="1">IF(ISNUMBER(CFDTable[[#This Row],[Done Today]]),SUM($G93:$L93),Z92+CFDTable[[#This Row],[avg added]])</f>
        <v>138.8571428571428</v>
      </c>
      <c r="AA93" s="10">
        <f ca="1">IF(ISNUMBER(CFDTable[[#This Row],[Done Today]]),SUM($G93:$L93),$AA92)</f>
        <v>124</v>
      </c>
      <c r="AB93" s="10">
        <f ca="1">IF(ISNUMBER(CFDTable[[#This Row],[Done Today]]),SUM($G93:$L93),$AB92)</f>
        <v>124</v>
      </c>
      <c r="AC93" s="10">
        <f ca="1">SUM(LOOKUP(2,1/(N$1:N92&lt;&gt;""),N$1:N92)+CFDTable[[#This Row],[lowDaily]])</f>
        <v>80.523809523809533</v>
      </c>
      <c r="AD93" s="10">
        <f ca="1">SUM(LOOKUP(2,1/(O$1:O92&lt;&gt;""),O$1:O92)+R93)</f>
        <v>82.380952380952337</v>
      </c>
      <c r="AE93" s="10">
        <f ca="1">SUM(LOOKUP(2,1/(P$1:P92&lt;&gt;""),P$1:P92)+CFDTable[[#This Row],[highDaily]])</f>
        <v>84.238095238095326</v>
      </c>
      <c r="AF93" s="12">
        <f>IF(CFDTable[[#This Row],[Date]]=DeadlineDate,CFDTable[[#This Row],[FutureWork2]],0)</f>
        <v>0</v>
      </c>
    </row>
    <row r="94" spans="1:32">
      <c r="A94" s="8">
        <f>CFDTable[[#This Row],[Date]]</f>
        <v>42542</v>
      </c>
      <c r="B94" s="38">
        <f>Data!B94</f>
        <v>42542</v>
      </c>
      <c r="C94" s="10">
        <f ca="1">IF(ISNUMBER(CFDTable[[#This Row],[Ready]]),NA(),CFDTable[[#This Row],[Target]]-CFDTable[[#This Row],[To Do]])</f>
        <v>77</v>
      </c>
      <c r="D94" s="10" t="e">
        <f>IF(CFDTable[[#This Row],[Emergence]]&gt;0,CFDTable[[#This Row],[Future Work]]-CFDTable[[#This Row],[Emergence]],NA())</f>
        <v>#N/A</v>
      </c>
      <c r="E94" s="10">
        <f>Data!C94</f>
        <v>0</v>
      </c>
      <c r="F94" s="10" t="str">
        <f ca="1">Data!D94</f>
        <v/>
      </c>
      <c r="G94" s="10">
        <f ca="1">Data!E94</f>
        <v>47</v>
      </c>
      <c r="H94" s="10" t="e">
        <f ca="1">IF(TodaysDate&gt;=$B94,Data!F94,NA())</f>
        <v>#N/A</v>
      </c>
      <c r="I94" s="10" t="e">
        <f ca="1">IF(TodaysDate&gt;=$B94,Data!G94,NA())</f>
        <v>#N/A</v>
      </c>
      <c r="J94" s="10" t="e">
        <f ca="1">IF(TodaysDate&gt;=$B94,Data!H94,NA())</f>
        <v>#N/A</v>
      </c>
      <c r="K94" s="10" t="e">
        <f ca="1">IF(TodaysDate&gt;=$B94,Data!I94,NA())</f>
        <v>#N/A</v>
      </c>
      <c r="L94" s="10" t="e">
        <f ca="1">IF(TodaysDate&gt;=$B94,Data!J94,NA())</f>
        <v>#N/A</v>
      </c>
      <c r="M94" s="10" t="e">
        <f ca="1">IF(CFDTable[[#This Row],[Done]]&gt;0,(CFDTable[[#This Row],[Done]])-(L93),0)</f>
        <v>#N/A</v>
      </c>
      <c r="N94" s="10">
        <f ca="1">IF(ISNUMBER($M94),SUM(CFDTable[[#This Row],[Done]]),IF(CFDTable[[#This Row],[lookupLow]]&gt;=CFDTable[[#This Row],[FutureWork2]]+CFDTable[[#This Row],[lowDaily]],NA(),CFDTable[[#This Row],[lookupLow]]))</f>
        <v>81.333333333333343</v>
      </c>
      <c r="O94" s="10">
        <f ca="1">IF(ISNUMBER($M94),SUM(CFDTable[[#This Row],[Done]]),IF(CFDTable[[#This Row],[lookupMedian]]&gt;=CFDTable[[#This Row],[FutureWork2]],NA(),CFDTable[[#This Row],[lookupMedian]]))</f>
        <v>83.333333333333286</v>
      </c>
      <c r="P94" s="10">
        <f ca="1">IF(ISNUMBER(CFDTable[[#This Row],[Done Today]]),SUM(CFDTable[[#This Row],[Done]]),IF(CFDTable[[#This Row],[lookupHigh]]&gt;=CFDTable[[#This Row],[FutureWork2]]+CFDTable[[#This Row],[highDaily]],NA(),CFDTable[[#This Row],[lookupHigh]]))</f>
        <v>85.333333333333428</v>
      </c>
      <c r="Q94" s="10">
        <f ca="1">CFDTable[[#This Row],[AvgDaily]]-CFDTable[[#This Row],[Deviation]]</f>
        <v>0.80952380952380931</v>
      </c>
      <c r="R94" s="10">
        <f ca="1">AVERAGE(IF(ISNUMBER(M94),IF(ISNUMBER(OFFSET(M94,-Historic,0)),OFFSET(M94,-Historic,0),M$2):M94,R93))</f>
        <v>0.95238095238095233</v>
      </c>
      <c r="S94" s="10">
        <f ca="1">AVERAGE(IF(ISNUMBER(M94),IF(ISNUMBER(OFFSET(M94,-Historic,0)),OFFSET(M94,-Historic,0),M$2):M94,S93))</f>
        <v>0.95238095238095233</v>
      </c>
      <c r="T94" s="10">
        <f ca="1">AVERAGE(IF(ISNUMBER(M94),OFFSET(M$2,DaysToIgnoreOnAvg,0):M94,T93))</f>
        <v>0.88311688311688308</v>
      </c>
      <c r="U94" s="10">
        <f ca="1">CFDTable[[#This Row],[AvgDaily]]+CFDTable[[#This Row],[Deviation]]</f>
        <v>1.0952380952380953</v>
      </c>
      <c r="V94" s="10">
        <f ca="1">IF(ISNUMBER(M94),((_xlfn.PERCENTILE.INC(IF(ISNUMBER(OFFSET(R94,-Historic,0)),OFFSET(R94,-Historic,0),R$2):R94,PercentileHigh/100))-(MEDIAN(IF(ISNUMBER(OFFSET(R94,-Historic,0)),OFFSET(R94,-Historic,0),R$2):R94))),V93)</f>
        <v>0.14285714285714302</v>
      </c>
      <c r="W94" s="10">
        <f ca="1">IF(ISNUMBER(M94),((_xlfn.PERCENTILE.INC(R$2:R94,PercentileHigh/100))-(MEDIAN(R$2:R94))),V93)</f>
        <v>0.14285714285714302</v>
      </c>
      <c r="X94" s="10" t="e">
        <f ca="1">(SUM(CFDTable[[#This Row],[To Do]:[Done]])-SUM(G93:L93))</f>
        <v>#N/A</v>
      </c>
      <c r="Y94" s="10">
        <f ca="1">AVERAGE(IF(ISNUMBER(X94),IF(ISNUMBER(OFFSET(X94,-Historic,0)),OFFSET(X94,-Historic,0),X$2):X94,Y93))</f>
        <v>1.1428571428571428</v>
      </c>
      <c r="Z94" s="10">
        <f ca="1">IF(ISNUMBER(CFDTable[[#This Row],[Done Today]]),SUM($G94:$L94),Z93+CFDTable[[#This Row],[avg added]])</f>
        <v>139.99999999999994</v>
      </c>
      <c r="AA94" s="10">
        <f ca="1">IF(ISNUMBER(CFDTable[[#This Row],[Done Today]]),SUM($G94:$L94),$AA93)</f>
        <v>124</v>
      </c>
      <c r="AB94" s="10">
        <f ca="1">IF(ISNUMBER(CFDTable[[#This Row],[Done Today]]),SUM($G94:$L94),$AB93)</f>
        <v>124</v>
      </c>
      <c r="AC94" s="10">
        <f ca="1">SUM(LOOKUP(2,1/(N$1:N93&lt;&gt;""),N$1:N93)+CFDTable[[#This Row],[lowDaily]])</f>
        <v>81.333333333333343</v>
      </c>
      <c r="AD94" s="10">
        <f ca="1">SUM(LOOKUP(2,1/(O$1:O93&lt;&gt;""),O$1:O93)+R94)</f>
        <v>83.333333333333286</v>
      </c>
      <c r="AE94" s="10">
        <f ca="1">SUM(LOOKUP(2,1/(P$1:P93&lt;&gt;""),P$1:P93)+CFDTable[[#This Row],[highDaily]])</f>
        <v>85.333333333333428</v>
      </c>
      <c r="AF94" s="12">
        <f>IF(CFDTable[[#This Row],[Date]]=DeadlineDate,CFDTable[[#This Row],[FutureWork2]],0)</f>
        <v>0</v>
      </c>
    </row>
    <row r="95" spans="1:32">
      <c r="A95" s="8">
        <f>CFDTable[[#This Row],[Date]]</f>
        <v>42543</v>
      </c>
      <c r="B95" s="38">
        <f>Data!B95</f>
        <v>42543</v>
      </c>
      <c r="C95" s="10">
        <f ca="1">IF(ISNUMBER(CFDTable[[#This Row],[Ready]]),NA(),CFDTable[[#This Row],[Target]]-CFDTable[[#This Row],[To Do]])</f>
        <v>77</v>
      </c>
      <c r="D95" s="10" t="e">
        <f>IF(CFDTable[[#This Row],[Emergence]]&gt;0,CFDTable[[#This Row],[Future Work]]-CFDTable[[#This Row],[Emergence]],NA())</f>
        <v>#N/A</v>
      </c>
      <c r="E95" s="10">
        <f>Data!C95</f>
        <v>0</v>
      </c>
      <c r="F95" s="10" t="str">
        <f ca="1">Data!D95</f>
        <v/>
      </c>
      <c r="G95" s="10">
        <f ca="1">Data!E95</f>
        <v>47</v>
      </c>
      <c r="H95" s="10" t="e">
        <f ca="1">IF(TodaysDate&gt;=$B95,Data!F95,NA())</f>
        <v>#N/A</v>
      </c>
      <c r="I95" s="10" t="e">
        <f ca="1">IF(TodaysDate&gt;=$B95,Data!G95,NA())</f>
        <v>#N/A</v>
      </c>
      <c r="J95" s="10" t="e">
        <f ca="1">IF(TodaysDate&gt;=$B95,Data!H95,NA())</f>
        <v>#N/A</v>
      </c>
      <c r="K95" s="10" t="e">
        <f ca="1">IF(TodaysDate&gt;=$B95,Data!I95,NA())</f>
        <v>#N/A</v>
      </c>
      <c r="L95" s="10" t="e">
        <f ca="1">IF(TodaysDate&gt;=$B95,Data!J95,NA())</f>
        <v>#N/A</v>
      </c>
      <c r="M95" s="10" t="e">
        <f ca="1">IF(CFDTable[[#This Row],[Done]]&gt;0,(CFDTable[[#This Row],[Done]])-(L94),0)</f>
        <v>#N/A</v>
      </c>
      <c r="N95" s="10">
        <f ca="1">IF(ISNUMBER($M95),SUM(CFDTable[[#This Row],[Done]]),IF(CFDTable[[#This Row],[lookupLow]]&gt;=CFDTable[[#This Row],[FutureWork2]]+CFDTable[[#This Row],[lowDaily]],NA(),CFDTable[[#This Row],[lookupLow]]))</f>
        <v>82.142857142857153</v>
      </c>
      <c r="O95" s="10">
        <f ca="1">IF(ISNUMBER($M95),SUM(CFDTable[[#This Row],[Done]]),IF(CFDTable[[#This Row],[lookupMedian]]&gt;=CFDTable[[#This Row],[FutureWork2]],NA(),CFDTable[[#This Row],[lookupMedian]]))</f>
        <v>84.285714285714235</v>
      </c>
      <c r="P95" s="10">
        <f ca="1">IF(ISNUMBER(CFDTable[[#This Row],[Done Today]]),SUM(CFDTable[[#This Row],[Done]]),IF(CFDTable[[#This Row],[lookupHigh]]&gt;=CFDTable[[#This Row],[FutureWork2]]+CFDTable[[#This Row],[highDaily]],NA(),CFDTable[[#This Row],[lookupHigh]]))</f>
        <v>86.42857142857153</v>
      </c>
      <c r="Q95" s="10">
        <f ca="1">CFDTable[[#This Row],[AvgDaily]]-CFDTable[[#This Row],[Deviation]]</f>
        <v>0.80952380952380931</v>
      </c>
      <c r="R95" s="10">
        <f ca="1">AVERAGE(IF(ISNUMBER(M95),IF(ISNUMBER(OFFSET(M95,-Historic,0)),OFFSET(M95,-Historic,0),M$2):M95,R94))</f>
        <v>0.95238095238095233</v>
      </c>
      <c r="S95" s="10">
        <f ca="1">AVERAGE(IF(ISNUMBER(M95),IF(ISNUMBER(OFFSET(M95,-Historic,0)),OFFSET(M95,-Historic,0),M$2):M95,S94))</f>
        <v>0.95238095238095233</v>
      </c>
      <c r="T95" s="10">
        <f ca="1">AVERAGE(IF(ISNUMBER(M95),OFFSET(M$2,DaysToIgnoreOnAvg,0):M95,T94))</f>
        <v>0.88311688311688308</v>
      </c>
      <c r="U95" s="10">
        <f ca="1">CFDTable[[#This Row],[AvgDaily]]+CFDTable[[#This Row],[Deviation]]</f>
        <v>1.0952380952380953</v>
      </c>
      <c r="V95" s="10">
        <f ca="1">IF(ISNUMBER(M95),((_xlfn.PERCENTILE.INC(IF(ISNUMBER(OFFSET(R95,-Historic,0)),OFFSET(R95,-Historic,0),R$2):R95,PercentileHigh/100))-(MEDIAN(IF(ISNUMBER(OFFSET(R95,-Historic,0)),OFFSET(R95,-Historic,0),R$2):R95))),V94)</f>
        <v>0.14285714285714302</v>
      </c>
      <c r="W95" s="10">
        <f ca="1">IF(ISNUMBER(M95),((_xlfn.PERCENTILE.INC(R$2:R95,PercentileHigh/100))-(MEDIAN(R$2:R95))),V94)</f>
        <v>0.14285714285714302</v>
      </c>
      <c r="X95" s="10" t="e">
        <f ca="1">(SUM(CFDTable[[#This Row],[To Do]:[Done]])-SUM(G94:L94))</f>
        <v>#N/A</v>
      </c>
      <c r="Y95" s="10">
        <f ca="1">AVERAGE(IF(ISNUMBER(X95),IF(ISNUMBER(OFFSET(X95,-Historic,0)),OFFSET(X95,-Historic,0),X$2):X95,Y94))</f>
        <v>1.1428571428571428</v>
      </c>
      <c r="Z95" s="10">
        <f ca="1">IF(ISNUMBER(CFDTable[[#This Row],[Done Today]]),SUM($G95:$L95),Z94+CFDTable[[#This Row],[avg added]])</f>
        <v>141.14285714285708</v>
      </c>
      <c r="AA95" s="10">
        <f ca="1">IF(ISNUMBER(CFDTable[[#This Row],[Done Today]]),SUM($G95:$L95),$AA94)</f>
        <v>124</v>
      </c>
      <c r="AB95" s="10">
        <f ca="1">IF(ISNUMBER(CFDTable[[#This Row],[Done Today]]),SUM($G95:$L95),$AB94)</f>
        <v>124</v>
      </c>
      <c r="AC95" s="10">
        <f ca="1">SUM(LOOKUP(2,1/(N$1:N94&lt;&gt;""),N$1:N94)+CFDTable[[#This Row],[lowDaily]])</f>
        <v>82.142857142857153</v>
      </c>
      <c r="AD95" s="10">
        <f ca="1">SUM(LOOKUP(2,1/(O$1:O94&lt;&gt;""),O$1:O94)+R95)</f>
        <v>84.285714285714235</v>
      </c>
      <c r="AE95" s="10">
        <f ca="1">SUM(LOOKUP(2,1/(P$1:P94&lt;&gt;""),P$1:P94)+CFDTable[[#This Row],[highDaily]])</f>
        <v>86.42857142857153</v>
      </c>
      <c r="AF95" s="12">
        <f>IF(CFDTable[[#This Row],[Date]]=DeadlineDate,CFDTable[[#This Row],[FutureWork2]],0)</f>
        <v>0</v>
      </c>
    </row>
    <row r="96" spans="1:32">
      <c r="A96" s="8">
        <f>CFDTable[[#This Row],[Date]]</f>
        <v>42544</v>
      </c>
      <c r="B96" s="38">
        <f>Data!B96</f>
        <v>42544</v>
      </c>
      <c r="C96" s="10">
        <f ca="1">IF(ISNUMBER(CFDTable[[#This Row],[Ready]]),NA(),CFDTable[[#This Row],[Target]]-CFDTable[[#This Row],[To Do]])</f>
        <v>77</v>
      </c>
      <c r="D96" s="10" t="e">
        <f>IF(CFDTable[[#This Row],[Emergence]]&gt;0,CFDTable[[#This Row],[Future Work]]-CFDTable[[#This Row],[Emergence]],NA())</f>
        <v>#N/A</v>
      </c>
      <c r="E96" s="10">
        <f>Data!C96</f>
        <v>0</v>
      </c>
      <c r="F96" s="10" t="str">
        <f ca="1">Data!D96</f>
        <v/>
      </c>
      <c r="G96" s="10">
        <f ca="1">Data!E96</f>
        <v>47</v>
      </c>
      <c r="H96" s="10" t="e">
        <f ca="1">IF(TodaysDate&gt;=$B96,Data!F96,NA())</f>
        <v>#N/A</v>
      </c>
      <c r="I96" s="10" t="e">
        <f ca="1">IF(TodaysDate&gt;=$B96,Data!G96,NA())</f>
        <v>#N/A</v>
      </c>
      <c r="J96" s="10" t="e">
        <f ca="1">IF(TodaysDate&gt;=$B96,Data!H96,NA())</f>
        <v>#N/A</v>
      </c>
      <c r="K96" s="10" t="e">
        <f ca="1">IF(TodaysDate&gt;=$B96,Data!I96,NA())</f>
        <v>#N/A</v>
      </c>
      <c r="L96" s="10" t="e">
        <f ca="1">IF(TodaysDate&gt;=$B96,Data!J96,NA())</f>
        <v>#N/A</v>
      </c>
      <c r="M96" s="10" t="e">
        <f ca="1">IF(CFDTable[[#This Row],[Done]]&gt;0,(CFDTable[[#This Row],[Done]])-(L95),0)</f>
        <v>#N/A</v>
      </c>
      <c r="N96" s="10">
        <f ca="1">IF(ISNUMBER($M96),SUM(CFDTable[[#This Row],[Done]]),IF(CFDTable[[#This Row],[lookupLow]]&gt;=CFDTable[[#This Row],[FutureWork2]]+CFDTable[[#This Row],[lowDaily]],NA(),CFDTable[[#This Row],[lookupLow]]))</f>
        <v>82.952380952380963</v>
      </c>
      <c r="O96" s="10">
        <f ca="1">IF(ISNUMBER($M96),SUM(CFDTable[[#This Row],[Done]]),IF(CFDTable[[#This Row],[lookupMedian]]&gt;=CFDTable[[#This Row],[FutureWork2]],NA(),CFDTable[[#This Row],[lookupMedian]]))</f>
        <v>85.238095238095184</v>
      </c>
      <c r="P96" s="10">
        <f ca="1">IF(ISNUMBER(CFDTable[[#This Row],[Done Today]]),SUM(CFDTable[[#This Row],[Done]]),IF(CFDTable[[#This Row],[lookupHigh]]&gt;=CFDTable[[#This Row],[FutureWork2]]+CFDTable[[#This Row],[highDaily]],NA(),CFDTable[[#This Row],[lookupHigh]]))</f>
        <v>87.523809523809632</v>
      </c>
      <c r="Q96" s="10">
        <f ca="1">CFDTable[[#This Row],[AvgDaily]]-CFDTable[[#This Row],[Deviation]]</f>
        <v>0.80952380952380931</v>
      </c>
      <c r="R96" s="10">
        <f ca="1">AVERAGE(IF(ISNUMBER(M96),IF(ISNUMBER(OFFSET(M96,-Historic,0)),OFFSET(M96,-Historic,0),M$2):M96,R95))</f>
        <v>0.95238095238095233</v>
      </c>
      <c r="S96" s="10">
        <f ca="1">AVERAGE(IF(ISNUMBER(M96),IF(ISNUMBER(OFFSET(M96,-Historic,0)),OFFSET(M96,-Historic,0),M$2):M96,S95))</f>
        <v>0.95238095238095233</v>
      </c>
      <c r="T96" s="10">
        <f ca="1">AVERAGE(IF(ISNUMBER(M96),OFFSET(M$2,DaysToIgnoreOnAvg,0):M96,T95))</f>
        <v>0.88311688311688308</v>
      </c>
      <c r="U96" s="10">
        <f ca="1">CFDTable[[#This Row],[AvgDaily]]+CFDTable[[#This Row],[Deviation]]</f>
        <v>1.0952380952380953</v>
      </c>
      <c r="V96" s="10">
        <f ca="1">IF(ISNUMBER(M96),((_xlfn.PERCENTILE.INC(IF(ISNUMBER(OFFSET(R96,-Historic,0)),OFFSET(R96,-Historic,0),R$2):R96,PercentileHigh/100))-(MEDIAN(IF(ISNUMBER(OFFSET(R96,-Historic,0)),OFFSET(R96,-Historic,0),R$2):R96))),V95)</f>
        <v>0.14285714285714302</v>
      </c>
      <c r="W96" s="10">
        <f ca="1">IF(ISNUMBER(M96),((_xlfn.PERCENTILE.INC(R$2:R96,PercentileHigh/100))-(MEDIAN(R$2:R96))),V95)</f>
        <v>0.14285714285714302</v>
      </c>
      <c r="X96" s="10" t="e">
        <f ca="1">(SUM(CFDTable[[#This Row],[To Do]:[Done]])-SUM(G95:L95))</f>
        <v>#N/A</v>
      </c>
      <c r="Y96" s="10">
        <f ca="1">AVERAGE(IF(ISNUMBER(X96),IF(ISNUMBER(OFFSET(X96,-Historic,0)),OFFSET(X96,-Historic,0),X$2):X96,Y95))</f>
        <v>1.1428571428571428</v>
      </c>
      <c r="Z96" s="10">
        <f ca="1">IF(ISNUMBER(CFDTable[[#This Row],[Done Today]]),SUM($G96:$L96),Z95+CFDTable[[#This Row],[avg added]])</f>
        <v>142.28571428571422</v>
      </c>
      <c r="AA96" s="10">
        <f ca="1">IF(ISNUMBER(CFDTable[[#This Row],[Done Today]]),SUM($G96:$L96),$AA95)</f>
        <v>124</v>
      </c>
      <c r="AB96" s="10">
        <f ca="1">IF(ISNUMBER(CFDTable[[#This Row],[Done Today]]),SUM($G96:$L96),$AB95)</f>
        <v>124</v>
      </c>
      <c r="AC96" s="10">
        <f ca="1">SUM(LOOKUP(2,1/(N$1:N95&lt;&gt;""),N$1:N95)+CFDTable[[#This Row],[lowDaily]])</f>
        <v>82.952380952380963</v>
      </c>
      <c r="AD96" s="10">
        <f ca="1">SUM(LOOKUP(2,1/(O$1:O95&lt;&gt;""),O$1:O95)+R96)</f>
        <v>85.238095238095184</v>
      </c>
      <c r="AE96" s="10">
        <f ca="1">SUM(LOOKUP(2,1/(P$1:P95&lt;&gt;""),P$1:P95)+CFDTable[[#This Row],[highDaily]])</f>
        <v>87.523809523809632</v>
      </c>
      <c r="AF96" s="12">
        <f>IF(CFDTable[[#This Row],[Date]]=DeadlineDate,CFDTable[[#This Row],[FutureWork2]],0)</f>
        <v>0</v>
      </c>
    </row>
    <row r="97" spans="1:32">
      <c r="A97" s="8">
        <f>CFDTable[[#This Row],[Date]]</f>
        <v>42545</v>
      </c>
      <c r="B97" s="38">
        <f>Data!B97</f>
        <v>42545</v>
      </c>
      <c r="C97" s="10">
        <f ca="1">IF(ISNUMBER(CFDTable[[#This Row],[Ready]]),NA(),CFDTable[[#This Row],[Target]]-CFDTable[[#This Row],[To Do]])</f>
        <v>77</v>
      </c>
      <c r="D97" s="10" t="e">
        <f>IF(CFDTable[[#This Row],[Emergence]]&gt;0,CFDTable[[#This Row],[Future Work]]-CFDTable[[#This Row],[Emergence]],NA())</f>
        <v>#N/A</v>
      </c>
      <c r="E97" s="10">
        <f>Data!C97</f>
        <v>0</v>
      </c>
      <c r="F97" s="10" t="str">
        <f ca="1">Data!D97</f>
        <v/>
      </c>
      <c r="G97" s="10">
        <f ca="1">Data!E97</f>
        <v>47</v>
      </c>
      <c r="H97" s="10" t="e">
        <f ca="1">IF(TodaysDate&gt;=$B97,Data!F97,NA())</f>
        <v>#N/A</v>
      </c>
      <c r="I97" s="10" t="e">
        <f ca="1">IF(TodaysDate&gt;=$B97,Data!G97,NA())</f>
        <v>#N/A</v>
      </c>
      <c r="J97" s="10" t="e">
        <f ca="1">IF(TodaysDate&gt;=$B97,Data!H97,NA())</f>
        <v>#N/A</v>
      </c>
      <c r="K97" s="10" t="e">
        <f ca="1">IF(TodaysDate&gt;=$B97,Data!I97,NA())</f>
        <v>#N/A</v>
      </c>
      <c r="L97" s="10" t="e">
        <f ca="1">IF(TodaysDate&gt;=$B97,Data!J97,NA())</f>
        <v>#N/A</v>
      </c>
      <c r="M97" s="10" t="e">
        <f ca="1">IF(CFDTable[[#This Row],[Done]]&gt;0,(CFDTable[[#This Row],[Done]])-(L96),0)</f>
        <v>#N/A</v>
      </c>
      <c r="N97" s="10">
        <f ca="1">IF(ISNUMBER($M97),SUM(CFDTable[[#This Row],[Done]]),IF(CFDTable[[#This Row],[lookupLow]]&gt;=CFDTable[[#This Row],[FutureWork2]]+CFDTable[[#This Row],[lowDaily]],NA(),CFDTable[[#This Row],[lookupLow]]))</f>
        <v>83.761904761904773</v>
      </c>
      <c r="O97" s="10">
        <f ca="1">IF(ISNUMBER($M97),SUM(CFDTable[[#This Row],[Done]]),IF(CFDTable[[#This Row],[lookupMedian]]&gt;=CFDTable[[#This Row],[FutureWork2]],NA(),CFDTable[[#This Row],[lookupMedian]]))</f>
        <v>86.190476190476133</v>
      </c>
      <c r="P97" s="10">
        <f ca="1">IF(ISNUMBER(CFDTable[[#This Row],[Done Today]]),SUM(CFDTable[[#This Row],[Done]]),IF(CFDTable[[#This Row],[lookupHigh]]&gt;=CFDTable[[#This Row],[FutureWork2]]+CFDTable[[#This Row],[highDaily]],NA(),CFDTable[[#This Row],[lookupHigh]]))</f>
        <v>88.619047619047734</v>
      </c>
      <c r="Q97" s="10">
        <f ca="1">CFDTable[[#This Row],[AvgDaily]]-CFDTable[[#This Row],[Deviation]]</f>
        <v>0.80952380952380931</v>
      </c>
      <c r="R97" s="10">
        <f ca="1">AVERAGE(IF(ISNUMBER(M97),IF(ISNUMBER(OFFSET(M97,-Historic,0)),OFFSET(M97,-Historic,0),M$2):M97,R96))</f>
        <v>0.95238095238095233</v>
      </c>
      <c r="S97" s="10">
        <f ca="1">AVERAGE(IF(ISNUMBER(M97),IF(ISNUMBER(OFFSET(M97,-Historic,0)),OFFSET(M97,-Historic,0),M$2):M97,S96))</f>
        <v>0.95238095238095233</v>
      </c>
      <c r="T97" s="10">
        <f ca="1">AVERAGE(IF(ISNUMBER(M97),OFFSET(M$2,DaysToIgnoreOnAvg,0):M97,T96))</f>
        <v>0.88311688311688308</v>
      </c>
      <c r="U97" s="10">
        <f ca="1">CFDTable[[#This Row],[AvgDaily]]+CFDTable[[#This Row],[Deviation]]</f>
        <v>1.0952380952380953</v>
      </c>
      <c r="V97" s="10">
        <f ca="1">IF(ISNUMBER(M97),((_xlfn.PERCENTILE.INC(IF(ISNUMBER(OFFSET(R97,-Historic,0)),OFFSET(R97,-Historic,0),R$2):R97,PercentileHigh/100))-(MEDIAN(IF(ISNUMBER(OFFSET(R97,-Historic,0)),OFFSET(R97,-Historic,0),R$2):R97))),V96)</f>
        <v>0.14285714285714302</v>
      </c>
      <c r="W97" s="10">
        <f ca="1">IF(ISNUMBER(M97),((_xlfn.PERCENTILE.INC(R$2:R97,PercentileHigh/100))-(MEDIAN(R$2:R97))),V96)</f>
        <v>0.14285714285714302</v>
      </c>
      <c r="X97" s="10" t="e">
        <f ca="1">(SUM(CFDTable[[#This Row],[To Do]:[Done]])-SUM(G96:L96))</f>
        <v>#N/A</v>
      </c>
      <c r="Y97" s="10">
        <f ca="1">AVERAGE(IF(ISNUMBER(X97),IF(ISNUMBER(OFFSET(X97,-Historic,0)),OFFSET(X97,-Historic,0),X$2):X97,Y96))</f>
        <v>1.1428571428571428</v>
      </c>
      <c r="Z97" s="10">
        <f ca="1">IF(ISNUMBER(CFDTable[[#This Row],[Done Today]]),SUM($G97:$L97),Z96+CFDTable[[#This Row],[avg added]])</f>
        <v>143.42857142857136</v>
      </c>
      <c r="AA97" s="10">
        <f ca="1">IF(ISNUMBER(CFDTable[[#This Row],[Done Today]]),SUM($G97:$L97),$AA96)</f>
        <v>124</v>
      </c>
      <c r="AB97" s="10">
        <f ca="1">IF(ISNUMBER(CFDTable[[#This Row],[Done Today]]),SUM($G97:$L97),$AB96)</f>
        <v>124</v>
      </c>
      <c r="AC97" s="10">
        <f ca="1">SUM(LOOKUP(2,1/(N$1:N96&lt;&gt;""),N$1:N96)+CFDTable[[#This Row],[lowDaily]])</f>
        <v>83.761904761904773</v>
      </c>
      <c r="AD97" s="10">
        <f ca="1">SUM(LOOKUP(2,1/(O$1:O96&lt;&gt;""),O$1:O96)+R97)</f>
        <v>86.190476190476133</v>
      </c>
      <c r="AE97" s="10">
        <f ca="1">SUM(LOOKUP(2,1/(P$1:P96&lt;&gt;""),P$1:P96)+CFDTable[[#This Row],[highDaily]])</f>
        <v>88.619047619047734</v>
      </c>
      <c r="AF97" s="12">
        <f>IF(CFDTable[[#This Row],[Date]]=DeadlineDate,CFDTable[[#This Row],[FutureWork2]],0)</f>
        <v>0</v>
      </c>
    </row>
    <row r="98" spans="1:32">
      <c r="A98" s="8">
        <f>CFDTable[[#This Row],[Date]]</f>
        <v>42548</v>
      </c>
      <c r="B98" s="38">
        <f>Data!B98</f>
        <v>42548</v>
      </c>
      <c r="C98" s="10">
        <f ca="1">IF(ISNUMBER(CFDTable[[#This Row],[Ready]]),NA(),CFDTable[[#This Row],[Target]]-CFDTable[[#This Row],[To Do]])</f>
        <v>77</v>
      </c>
      <c r="D98" s="10" t="e">
        <f>IF(CFDTable[[#This Row],[Emergence]]&gt;0,CFDTable[[#This Row],[Future Work]]-CFDTable[[#This Row],[Emergence]],NA())</f>
        <v>#N/A</v>
      </c>
      <c r="E98" s="10">
        <f>Data!C98</f>
        <v>0</v>
      </c>
      <c r="F98" s="10" t="str">
        <f ca="1">Data!D98</f>
        <v/>
      </c>
      <c r="G98" s="10">
        <f ca="1">Data!E98</f>
        <v>47</v>
      </c>
      <c r="H98" s="10" t="e">
        <f ca="1">IF(TodaysDate&gt;=$B98,Data!F98,NA())</f>
        <v>#N/A</v>
      </c>
      <c r="I98" s="10" t="e">
        <f ca="1">IF(TodaysDate&gt;=$B98,Data!G98,NA())</f>
        <v>#N/A</v>
      </c>
      <c r="J98" s="10" t="e">
        <f ca="1">IF(TodaysDate&gt;=$B98,Data!H98,NA())</f>
        <v>#N/A</v>
      </c>
      <c r="K98" s="10" t="e">
        <f ca="1">IF(TodaysDate&gt;=$B98,Data!I98,NA())</f>
        <v>#N/A</v>
      </c>
      <c r="L98" s="10" t="e">
        <f ca="1">IF(TodaysDate&gt;=$B98,Data!J98,NA())</f>
        <v>#N/A</v>
      </c>
      <c r="M98" s="10" t="e">
        <f ca="1">IF(CFDTable[[#This Row],[Done]]&gt;0,(CFDTable[[#This Row],[Done]])-(L97),0)</f>
        <v>#N/A</v>
      </c>
      <c r="N98" s="10">
        <f ca="1">IF(ISNUMBER($M98),SUM(CFDTable[[#This Row],[Done]]),IF(CFDTable[[#This Row],[lookupLow]]&gt;=CFDTable[[#This Row],[FutureWork2]]+CFDTable[[#This Row],[lowDaily]],NA(),CFDTable[[#This Row],[lookupLow]]))</f>
        <v>84.571428571428584</v>
      </c>
      <c r="O98" s="10">
        <f ca="1">IF(ISNUMBER($M98),SUM(CFDTable[[#This Row],[Done]]),IF(CFDTable[[#This Row],[lookupMedian]]&gt;=CFDTable[[#This Row],[FutureWork2]],NA(),CFDTable[[#This Row],[lookupMedian]]))</f>
        <v>87.142857142857082</v>
      </c>
      <c r="P98" s="10">
        <f ca="1">IF(ISNUMBER(CFDTable[[#This Row],[Done Today]]),SUM(CFDTable[[#This Row],[Done]]),IF(CFDTable[[#This Row],[lookupHigh]]&gt;=CFDTable[[#This Row],[FutureWork2]]+CFDTable[[#This Row],[highDaily]],NA(),CFDTable[[#This Row],[lookupHigh]]))</f>
        <v>89.714285714285836</v>
      </c>
      <c r="Q98" s="10">
        <f ca="1">CFDTable[[#This Row],[AvgDaily]]-CFDTable[[#This Row],[Deviation]]</f>
        <v>0.80952380952380931</v>
      </c>
      <c r="R98" s="10">
        <f ca="1">AVERAGE(IF(ISNUMBER(M98),IF(ISNUMBER(OFFSET(M98,-Historic,0)),OFFSET(M98,-Historic,0),M$2):M98,R97))</f>
        <v>0.95238095238095233</v>
      </c>
      <c r="S98" s="10">
        <f ca="1">AVERAGE(IF(ISNUMBER(M98),IF(ISNUMBER(OFFSET(M98,-Historic,0)),OFFSET(M98,-Historic,0),M$2):M98,S97))</f>
        <v>0.95238095238095233</v>
      </c>
      <c r="T98" s="10">
        <f ca="1">AVERAGE(IF(ISNUMBER(M98),OFFSET(M$2,DaysToIgnoreOnAvg,0):M98,T97))</f>
        <v>0.88311688311688308</v>
      </c>
      <c r="U98" s="10">
        <f ca="1">CFDTable[[#This Row],[AvgDaily]]+CFDTable[[#This Row],[Deviation]]</f>
        <v>1.0952380952380953</v>
      </c>
      <c r="V98" s="10">
        <f ca="1">IF(ISNUMBER(M98),((_xlfn.PERCENTILE.INC(IF(ISNUMBER(OFFSET(R98,-Historic,0)),OFFSET(R98,-Historic,0),R$2):R98,PercentileHigh/100))-(MEDIAN(IF(ISNUMBER(OFFSET(R98,-Historic,0)),OFFSET(R98,-Historic,0),R$2):R98))),V97)</f>
        <v>0.14285714285714302</v>
      </c>
      <c r="W98" s="10">
        <f ca="1">IF(ISNUMBER(M98),((_xlfn.PERCENTILE.INC(R$2:R98,PercentileHigh/100))-(MEDIAN(R$2:R98))),V97)</f>
        <v>0.14285714285714302</v>
      </c>
      <c r="X98" s="10" t="e">
        <f ca="1">(SUM(CFDTable[[#This Row],[To Do]:[Done]])-SUM(G97:L97))</f>
        <v>#N/A</v>
      </c>
      <c r="Y98" s="10">
        <f ca="1">AVERAGE(IF(ISNUMBER(X98),IF(ISNUMBER(OFFSET(X98,-Historic,0)),OFFSET(X98,-Historic,0),X$2):X98,Y97))</f>
        <v>1.1428571428571428</v>
      </c>
      <c r="Z98" s="10">
        <f ca="1">IF(ISNUMBER(CFDTable[[#This Row],[Done Today]]),SUM($G98:$L98),Z97+CFDTable[[#This Row],[avg added]])</f>
        <v>144.5714285714285</v>
      </c>
      <c r="AA98" s="10">
        <f ca="1">IF(ISNUMBER(CFDTable[[#This Row],[Done Today]]),SUM($G98:$L98),$AA97)</f>
        <v>124</v>
      </c>
      <c r="AB98" s="10">
        <f ca="1">IF(ISNUMBER(CFDTable[[#This Row],[Done Today]]),SUM($G98:$L98),$AB97)</f>
        <v>124</v>
      </c>
      <c r="AC98" s="10">
        <f ca="1">SUM(LOOKUP(2,1/(N$1:N97&lt;&gt;""),N$1:N97)+CFDTable[[#This Row],[lowDaily]])</f>
        <v>84.571428571428584</v>
      </c>
      <c r="AD98" s="10">
        <f ca="1">SUM(LOOKUP(2,1/(O$1:O97&lt;&gt;""),O$1:O97)+R98)</f>
        <v>87.142857142857082</v>
      </c>
      <c r="AE98" s="10">
        <f ca="1">SUM(LOOKUP(2,1/(P$1:P97&lt;&gt;""),P$1:P97)+CFDTable[[#This Row],[highDaily]])</f>
        <v>89.714285714285836</v>
      </c>
      <c r="AF98" s="12">
        <f>IF(CFDTable[[#This Row],[Date]]=DeadlineDate,CFDTable[[#This Row],[FutureWork2]],0)</f>
        <v>0</v>
      </c>
    </row>
    <row r="99" spans="1:32">
      <c r="A99" s="8">
        <f>CFDTable[[#This Row],[Date]]</f>
        <v>42549</v>
      </c>
      <c r="B99" s="38">
        <f>Data!B99</f>
        <v>42549</v>
      </c>
      <c r="C99" s="10">
        <f ca="1">IF(ISNUMBER(CFDTable[[#This Row],[Ready]]),NA(),CFDTable[[#This Row],[Target]]-CFDTable[[#This Row],[To Do]])</f>
        <v>77</v>
      </c>
      <c r="D99" s="10" t="e">
        <f>IF(CFDTable[[#This Row],[Emergence]]&gt;0,CFDTable[[#This Row],[Future Work]]-CFDTable[[#This Row],[Emergence]],NA())</f>
        <v>#N/A</v>
      </c>
      <c r="E99" s="10">
        <f>Data!C99</f>
        <v>0</v>
      </c>
      <c r="F99" s="10" t="str">
        <f ca="1">Data!D99</f>
        <v/>
      </c>
      <c r="G99" s="10">
        <f ca="1">Data!E99</f>
        <v>47</v>
      </c>
      <c r="H99" s="10" t="e">
        <f ca="1">IF(TodaysDate&gt;=$B99,Data!F99,NA())</f>
        <v>#N/A</v>
      </c>
      <c r="I99" s="10" t="e">
        <f ca="1">IF(TodaysDate&gt;=$B99,Data!G99,NA())</f>
        <v>#N/A</v>
      </c>
      <c r="J99" s="10" t="e">
        <f ca="1">IF(TodaysDate&gt;=$B99,Data!H99,NA())</f>
        <v>#N/A</v>
      </c>
      <c r="K99" s="10" t="e">
        <f ca="1">IF(TodaysDate&gt;=$B99,Data!I99,NA())</f>
        <v>#N/A</v>
      </c>
      <c r="L99" s="10" t="e">
        <f ca="1">IF(TodaysDate&gt;=$B99,Data!J99,NA())</f>
        <v>#N/A</v>
      </c>
      <c r="M99" s="10" t="e">
        <f ca="1">IF(CFDTable[[#This Row],[Done]]&gt;0,(CFDTable[[#This Row],[Done]])-(L98),0)</f>
        <v>#N/A</v>
      </c>
      <c r="N99" s="10">
        <f ca="1">IF(ISNUMBER($M99),SUM(CFDTable[[#This Row],[Done]]),IF(CFDTable[[#This Row],[lookupLow]]&gt;=CFDTable[[#This Row],[FutureWork2]]+CFDTable[[#This Row],[lowDaily]],NA(),CFDTable[[#This Row],[lookupLow]]))</f>
        <v>85.380952380952394</v>
      </c>
      <c r="O99" s="10">
        <f ca="1">IF(ISNUMBER($M99),SUM(CFDTable[[#This Row],[Done]]),IF(CFDTable[[#This Row],[lookupMedian]]&gt;=CFDTable[[#This Row],[FutureWork2]],NA(),CFDTable[[#This Row],[lookupMedian]]))</f>
        <v>88.095238095238031</v>
      </c>
      <c r="P99" s="10">
        <f ca="1">IF(ISNUMBER(CFDTable[[#This Row],[Done Today]]),SUM(CFDTable[[#This Row],[Done]]),IF(CFDTable[[#This Row],[lookupHigh]]&gt;=CFDTable[[#This Row],[FutureWork2]]+CFDTable[[#This Row],[highDaily]],NA(),CFDTable[[#This Row],[lookupHigh]]))</f>
        <v>90.809523809523938</v>
      </c>
      <c r="Q99" s="10">
        <f ca="1">CFDTable[[#This Row],[AvgDaily]]-CFDTable[[#This Row],[Deviation]]</f>
        <v>0.80952380952380931</v>
      </c>
      <c r="R99" s="10">
        <f ca="1">AVERAGE(IF(ISNUMBER(M99),IF(ISNUMBER(OFFSET(M99,-Historic,0)),OFFSET(M99,-Historic,0),M$2):M99,R98))</f>
        <v>0.95238095238095233</v>
      </c>
      <c r="S99" s="10">
        <f ca="1">AVERAGE(IF(ISNUMBER(M99),IF(ISNUMBER(OFFSET(M99,-Historic,0)),OFFSET(M99,-Historic,0),M$2):M99,S98))</f>
        <v>0.95238095238095233</v>
      </c>
      <c r="T99" s="10">
        <f ca="1">AVERAGE(IF(ISNUMBER(M99),OFFSET(M$2,DaysToIgnoreOnAvg,0):M99,T98))</f>
        <v>0.88311688311688308</v>
      </c>
      <c r="U99" s="10">
        <f ca="1">CFDTable[[#This Row],[AvgDaily]]+CFDTable[[#This Row],[Deviation]]</f>
        <v>1.0952380952380953</v>
      </c>
      <c r="V99" s="10">
        <f ca="1">IF(ISNUMBER(M99),((_xlfn.PERCENTILE.INC(IF(ISNUMBER(OFFSET(R99,-Historic,0)),OFFSET(R99,-Historic,0),R$2):R99,PercentileHigh/100))-(MEDIAN(IF(ISNUMBER(OFFSET(R99,-Historic,0)),OFFSET(R99,-Historic,0),R$2):R99))),V98)</f>
        <v>0.14285714285714302</v>
      </c>
      <c r="W99" s="10">
        <f ca="1">IF(ISNUMBER(M99),((_xlfn.PERCENTILE.INC(R$2:R99,PercentileHigh/100))-(MEDIAN(R$2:R99))),V98)</f>
        <v>0.14285714285714302</v>
      </c>
      <c r="X99" s="10" t="e">
        <f ca="1">(SUM(CFDTable[[#This Row],[To Do]:[Done]])-SUM(G98:L98))</f>
        <v>#N/A</v>
      </c>
      <c r="Y99" s="10">
        <f ca="1">AVERAGE(IF(ISNUMBER(X99),IF(ISNUMBER(OFFSET(X99,-Historic,0)),OFFSET(X99,-Historic,0),X$2):X99,Y98))</f>
        <v>1.1428571428571428</v>
      </c>
      <c r="Z99" s="10">
        <f ca="1">IF(ISNUMBER(CFDTable[[#This Row],[Done Today]]),SUM($G99:$L99),Z98+CFDTable[[#This Row],[avg added]])</f>
        <v>145.71428571428564</v>
      </c>
      <c r="AA99" s="10">
        <f ca="1">IF(ISNUMBER(CFDTable[[#This Row],[Done Today]]),SUM($G99:$L99),$AA98)</f>
        <v>124</v>
      </c>
      <c r="AB99" s="10">
        <f ca="1">IF(ISNUMBER(CFDTable[[#This Row],[Done Today]]),SUM($G99:$L99),$AB98)</f>
        <v>124</v>
      </c>
      <c r="AC99" s="10">
        <f ca="1">SUM(LOOKUP(2,1/(N$1:N98&lt;&gt;""),N$1:N98)+CFDTable[[#This Row],[lowDaily]])</f>
        <v>85.380952380952394</v>
      </c>
      <c r="AD99" s="10">
        <f ca="1">SUM(LOOKUP(2,1/(O$1:O98&lt;&gt;""),O$1:O98)+R99)</f>
        <v>88.095238095238031</v>
      </c>
      <c r="AE99" s="10">
        <f ca="1">SUM(LOOKUP(2,1/(P$1:P98&lt;&gt;""),P$1:P98)+CFDTable[[#This Row],[highDaily]])</f>
        <v>90.809523809523938</v>
      </c>
      <c r="AF99" s="12">
        <f>IF(CFDTable[[#This Row],[Date]]=DeadlineDate,CFDTable[[#This Row],[FutureWork2]],0)</f>
        <v>0</v>
      </c>
    </row>
    <row r="100" spans="1:32">
      <c r="A100" s="8">
        <f>CFDTable[[#This Row],[Date]]</f>
        <v>42550</v>
      </c>
      <c r="B100" s="38">
        <f>Data!B100</f>
        <v>42550</v>
      </c>
      <c r="C100" s="10">
        <f ca="1">IF(ISNUMBER(CFDTable[[#This Row],[Ready]]),NA(),CFDTable[[#This Row],[Target]]-CFDTable[[#This Row],[To Do]])</f>
        <v>77</v>
      </c>
      <c r="D100" s="10" t="e">
        <f>IF(CFDTable[[#This Row],[Emergence]]&gt;0,CFDTable[[#This Row],[Future Work]]-CFDTable[[#This Row],[Emergence]],NA())</f>
        <v>#N/A</v>
      </c>
      <c r="E100" s="10">
        <f>Data!C100</f>
        <v>0</v>
      </c>
      <c r="F100" s="10" t="str">
        <f ca="1">Data!D100</f>
        <v/>
      </c>
      <c r="G100" s="10">
        <f ca="1">Data!E100</f>
        <v>47</v>
      </c>
      <c r="H100" s="10" t="e">
        <f ca="1">IF(TodaysDate&gt;=$B100,Data!F100,NA())</f>
        <v>#N/A</v>
      </c>
      <c r="I100" s="10" t="e">
        <f ca="1">IF(TodaysDate&gt;=$B100,Data!G100,NA())</f>
        <v>#N/A</v>
      </c>
      <c r="J100" s="10" t="e">
        <f ca="1">IF(TodaysDate&gt;=$B100,Data!H100,NA())</f>
        <v>#N/A</v>
      </c>
      <c r="K100" s="10" t="e">
        <f ca="1">IF(TodaysDate&gt;=$B100,Data!I100,NA())</f>
        <v>#N/A</v>
      </c>
      <c r="L100" s="10" t="e">
        <f ca="1">IF(TodaysDate&gt;=$B100,Data!J100,NA())</f>
        <v>#N/A</v>
      </c>
      <c r="M100" s="10" t="e">
        <f ca="1">IF(CFDTable[[#This Row],[Done]]&gt;0,(CFDTable[[#This Row],[Done]])-(L99),0)</f>
        <v>#N/A</v>
      </c>
      <c r="N100" s="10">
        <f ca="1">IF(ISNUMBER($M100),SUM(CFDTable[[#This Row],[Done]]),IF(CFDTable[[#This Row],[lookupLow]]&gt;=CFDTable[[#This Row],[FutureWork2]]+CFDTable[[#This Row],[lowDaily]],NA(),CFDTable[[#This Row],[lookupLow]]))</f>
        <v>86.190476190476204</v>
      </c>
      <c r="O100" s="10">
        <f ca="1">IF(ISNUMBER($M100),SUM(CFDTable[[#This Row],[Done]]),IF(CFDTable[[#This Row],[lookupMedian]]&gt;=CFDTable[[#This Row],[FutureWork2]],NA(),CFDTable[[#This Row],[lookupMedian]]))</f>
        <v>89.04761904761898</v>
      </c>
      <c r="P100" s="10">
        <f ca="1">IF(ISNUMBER(CFDTable[[#This Row],[Done Today]]),SUM(CFDTable[[#This Row],[Done]]),IF(CFDTable[[#This Row],[lookupHigh]]&gt;=CFDTable[[#This Row],[FutureWork2]]+CFDTable[[#This Row],[highDaily]],NA(),CFDTable[[#This Row],[lookupHigh]]))</f>
        <v>91.90476190476204</v>
      </c>
      <c r="Q100" s="10">
        <f ca="1">CFDTable[[#This Row],[AvgDaily]]-CFDTable[[#This Row],[Deviation]]</f>
        <v>0.80952380952380931</v>
      </c>
      <c r="R100" s="10">
        <f ca="1">AVERAGE(IF(ISNUMBER(M100),IF(ISNUMBER(OFFSET(M100,-Historic,0)),OFFSET(M100,-Historic,0),M$2):M100,R99))</f>
        <v>0.95238095238095233</v>
      </c>
      <c r="S100" s="10">
        <f ca="1">AVERAGE(IF(ISNUMBER(M100),IF(ISNUMBER(OFFSET(M100,-Historic,0)),OFFSET(M100,-Historic,0),M$2):M100,S99))</f>
        <v>0.95238095238095233</v>
      </c>
      <c r="T100" s="10">
        <f ca="1">AVERAGE(IF(ISNUMBER(M100),OFFSET(M$2,DaysToIgnoreOnAvg,0):M100,T99))</f>
        <v>0.88311688311688308</v>
      </c>
      <c r="U100" s="10">
        <f ca="1">CFDTable[[#This Row],[AvgDaily]]+CFDTable[[#This Row],[Deviation]]</f>
        <v>1.0952380952380953</v>
      </c>
      <c r="V100" s="10">
        <f ca="1">IF(ISNUMBER(M100),((_xlfn.PERCENTILE.INC(IF(ISNUMBER(OFFSET(R100,-Historic,0)),OFFSET(R100,-Historic,0),R$2):R100,PercentileHigh/100))-(MEDIAN(IF(ISNUMBER(OFFSET(R100,-Historic,0)),OFFSET(R100,-Historic,0),R$2):R100))),V99)</f>
        <v>0.14285714285714302</v>
      </c>
      <c r="W100" s="10">
        <f ca="1">IF(ISNUMBER(M100),((_xlfn.PERCENTILE.INC(R$2:R100,PercentileHigh/100))-(MEDIAN(R$2:R100))),V99)</f>
        <v>0.14285714285714302</v>
      </c>
      <c r="X100" s="10" t="e">
        <f ca="1">(SUM(CFDTable[[#This Row],[To Do]:[Done]])-SUM(G99:L99))</f>
        <v>#N/A</v>
      </c>
      <c r="Y100" s="10">
        <f ca="1">AVERAGE(IF(ISNUMBER(X100),IF(ISNUMBER(OFFSET(X100,-Historic,0)),OFFSET(X100,-Historic,0),X$2):X100,Y99))</f>
        <v>1.1428571428571428</v>
      </c>
      <c r="Z100" s="10">
        <f ca="1">IF(ISNUMBER(CFDTable[[#This Row],[Done Today]]),SUM($G100:$L100),Z99+CFDTable[[#This Row],[avg added]])</f>
        <v>146.85714285714278</v>
      </c>
      <c r="AA100" s="10">
        <f ca="1">IF(ISNUMBER(CFDTable[[#This Row],[Done Today]]),SUM($G100:$L100),$AA99)</f>
        <v>124</v>
      </c>
      <c r="AB100" s="10">
        <f ca="1">IF(ISNUMBER(CFDTable[[#This Row],[Done Today]]),SUM($G100:$L100),$AB99)</f>
        <v>124</v>
      </c>
      <c r="AC100" s="10">
        <f ca="1">SUM(LOOKUP(2,1/(N$1:N99&lt;&gt;""),N$1:N99)+CFDTable[[#This Row],[lowDaily]])</f>
        <v>86.190476190476204</v>
      </c>
      <c r="AD100" s="10">
        <f ca="1">SUM(LOOKUP(2,1/(O$1:O99&lt;&gt;""),O$1:O99)+R100)</f>
        <v>89.04761904761898</v>
      </c>
      <c r="AE100" s="10">
        <f ca="1">SUM(LOOKUP(2,1/(P$1:P99&lt;&gt;""),P$1:P99)+CFDTable[[#This Row],[highDaily]])</f>
        <v>91.90476190476204</v>
      </c>
      <c r="AF100" s="12">
        <f>IF(CFDTable[[#This Row],[Date]]=DeadlineDate,CFDTable[[#This Row],[FutureWork2]],0)</f>
        <v>0</v>
      </c>
    </row>
    <row r="101" spans="1:32">
      <c r="A101" s="8">
        <f>CFDTable[[#This Row],[Date]]</f>
        <v>42551</v>
      </c>
      <c r="B101" s="38">
        <f>Data!B101</f>
        <v>42551</v>
      </c>
      <c r="C101" s="10">
        <f ca="1">IF(ISNUMBER(CFDTable[[#This Row],[Ready]]),NA(),CFDTable[[#This Row],[Target]]-CFDTable[[#This Row],[To Do]])</f>
        <v>77</v>
      </c>
      <c r="D101" s="10" t="e">
        <f>IF(CFDTable[[#This Row],[Emergence]]&gt;0,CFDTable[[#This Row],[Future Work]]-CFDTable[[#This Row],[Emergence]],NA())</f>
        <v>#N/A</v>
      </c>
      <c r="E101" s="10">
        <f>Data!C101</f>
        <v>0</v>
      </c>
      <c r="F101" s="10" t="str">
        <f ca="1">Data!D101</f>
        <v/>
      </c>
      <c r="G101" s="10">
        <f ca="1">Data!E101</f>
        <v>47</v>
      </c>
      <c r="H101" s="10" t="e">
        <f ca="1">IF(TodaysDate&gt;=$B101,Data!F101,NA())</f>
        <v>#N/A</v>
      </c>
      <c r="I101" s="10" t="e">
        <f ca="1">IF(TodaysDate&gt;=$B101,Data!G101,NA())</f>
        <v>#N/A</v>
      </c>
      <c r="J101" s="10" t="e">
        <f ca="1">IF(TodaysDate&gt;=$B101,Data!H101,NA())</f>
        <v>#N/A</v>
      </c>
      <c r="K101" s="10" t="e">
        <f ca="1">IF(TodaysDate&gt;=$B101,Data!I101,NA())</f>
        <v>#N/A</v>
      </c>
      <c r="L101" s="10" t="e">
        <f ca="1">IF(TodaysDate&gt;=$B101,Data!J101,NA())</f>
        <v>#N/A</v>
      </c>
      <c r="M101" s="10" t="e">
        <f ca="1">IF(CFDTable[[#This Row],[Done]]&gt;0,(CFDTable[[#This Row],[Done]])-(L100),0)</f>
        <v>#N/A</v>
      </c>
      <c r="N101" s="10">
        <f ca="1">IF(ISNUMBER($M101),SUM(CFDTable[[#This Row],[Done]]),IF(CFDTable[[#This Row],[lookupLow]]&gt;=CFDTable[[#This Row],[FutureWork2]]+CFDTable[[#This Row],[lowDaily]],NA(),CFDTable[[#This Row],[lookupLow]]))</f>
        <v>87.000000000000014</v>
      </c>
      <c r="O101" s="10">
        <f ca="1">IF(ISNUMBER($M101),SUM(CFDTable[[#This Row],[Done]]),IF(CFDTable[[#This Row],[lookupMedian]]&gt;=CFDTable[[#This Row],[FutureWork2]],NA(),CFDTable[[#This Row],[lookupMedian]]))</f>
        <v>89.999999999999929</v>
      </c>
      <c r="P101" s="10">
        <f ca="1">IF(ISNUMBER(CFDTable[[#This Row],[Done Today]]),SUM(CFDTable[[#This Row],[Done]]),IF(CFDTable[[#This Row],[lookupHigh]]&gt;=CFDTable[[#This Row],[FutureWork2]]+CFDTable[[#This Row],[highDaily]],NA(),CFDTable[[#This Row],[lookupHigh]]))</f>
        <v>93.000000000000142</v>
      </c>
      <c r="Q101" s="10">
        <f ca="1">CFDTable[[#This Row],[AvgDaily]]-CFDTable[[#This Row],[Deviation]]</f>
        <v>0.80952380952380931</v>
      </c>
      <c r="R101" s="10">
        <f ca="1">AVERAGE(IF(ISNUMBER(M101),IF(ISNUMBER(OFFSET(M101,-Historic,0)),OFFSET(M101,-Historic,0),M$2):M101,R100))</f>
        <v>0.95238095238095233</v>
      </c>
      <c r="S101" s="10">
        <f ca="1">AVERAGE(IF(ISNUMBER(M101),IF(ISNUMBER(OFFSET(M101,-Historic,0)),OFFSET(M101,-Historic,0),M$2):M101,S100))</f>
        <v>0.95238095238095233</v>
      </c>
      <c r="T101" s="10">
        <f ca="1">AVERAGE(IF(ISNUMBER(M101),OFFSET(M$2,DaysToIgnoreOnAvg,0):M101,T100))</f>
        <v>0.88311688311688308</v>
      </c>
      <c r="U101" s="10">
        <f ca="1">CFDTable[[#This Row],[AvgDaily]]+CFDTable[[#This Row],[Deviation]]</f>
        <v>1.0952380952380953</v>
      </c>
      <c r="V101" s="10">
        <f ca="1">IF(ISNUMBER(M101),((_xlfn.PERCENTILE.INC(IF(ISNUMBER(OFFSET(R101,-Historic,0)),OFFSET(R101,-Historic,0),R$2):R101,PercentileHigh/100))-(MEDIAN(IF(ISNUMBER(OFFSET(R101,-Historic,0)),OFFSET(R101,-Historic,0),R$2):R101))),V100)</f>
        <v>0.14285714285714302</v>
      </c>
      <c r="W101" s="10">
        <f ca="1">IF(ISNUMBER(M101),((_xlfn.PERCENTILE.INC(R$2:R101,PercentileHigh/100))-(MEDIAN(R$2:R101))),V100)</f>
        <v>0.14285714285714302</v>
      </c>
      <c r="X101" s="10" t="e">
        <f ca="1">(SUM(CFDTable[[#This Row],[To Do]:[Done]])-SUM(G100:L100))</f>
        <v>#N/A</v>
      </c>
      <c r="Y101" s="10">
        <f ca="1">AVERAGE(IF(ISNUMBER(X101),IF(ISNUMBER(OFFSET(X101,-Historic,0)),OFFSET(X101,-Historic,0),X$2):X101,Y100))</f>
        <v>1.1428571428571428</v>
      </c>
      <c r="Z101" s="10">
        <f ca="1">IF(ISNUMBER(CFDTable[[#This Row],[Done Today]]),SUM($G101:$L101),Z100+CFDTable[[#This Row],[avg added]])</f>
        <v>147.99999999999991</v>
      </c>
      <c r="AA101" s="10">
        <f ca="1">IF(ISNUMBER(CFDTable[[#This Row],[Done Today]]),SUM($G101:$L101),$AA100)</f>
        <v>124</v>
      </c>
      <c r="AB101" s="10">
        <f ca="1">IF(ISNUMBER(CFDTable[[#This Row],[Done Today]]),SUM($G101:$L101),$AB100)</f>
        <v>124</v>
      </c>
      <c r="AC101" s="10">
        <f ca="1">SUM(LOOKUP(2,1/(N$1:N100&lt;&gt;""),N$1:N100)+CFDTable[[#This Row],[lowDaily]])</f>
        <v>87.000000000000014</v>
      </c>
      <c r="AD101" s="10">
        <f ca="1">SUM(LOOKUP(2,1/(O$1:O100&lt;&gt;""),O$1:O100)+R101)</f>
        <v>89.999999999999929</v>
      </c>
      <c r="AE101" s="10">
        <f ca="1">SUM(LOOKUP(2,1/(P$1:P100&lt;&gt;""),P$1:P100)+CFDTable[[#This Row],[highDaily]])</f>
        <v>93.000000000000142</v>
      </c>
      <c r="AF101" s="12">
        <f>IF(CFDTable[[#This Row],[Date]]=DeadlineDate,CFDTable[[#This Row],[FutureWork2]],0)</f>
        <v>0</v>
      </c>
    </row>
    <row r="102" spans="1:32">
      <c r="A102" s="8">
        <f>CFDTable[[#This Row],[Date]]</f>
        <v>42552</v>
      </c>
      <c r="B102" s="38">
        <f>Data!B102</f>
        <v>42552</v>
      </c>
      <c r="C102" s="10">
        <f ca="1">IF(ISNUMBER(CFDTable[[#This Row],[Ready]]),NA(),CFDTable[[#This Row],[Target]]-CFDTable[[#This Row],[To Do]])</f>
        <v>77</v>
      </c>
      <c r="D102" s="10" t="e">
        <f>IF(CFDTable[[#This Row],[Emergence]]&gt;0,CFDTable[[#This Row],[Future Work]]-CFDTable[[#This Row],[Emergence]],NA())</f>
        <v>#N/A</v>
      </c>
      <c r="E102" s="10">
        <f>Data!C102</f>
        <v>0</v>
      </c>
      <c r="F102" s="10" t="str">
        <f ca="1">Data!D102</f>
        <v/>
      </c>
      <c r="G102" s="10">
        <f ca="1">Data!E102</f>
        <v>47</v>
      </c>
      <c r="H102" s="10" t="e">
        <f ca="1">IF(TodaysDate&gt;=$B102,Data!F102,NA())</f>
        <v>#N/A</v>
      </c>
      <c r="I102" s="10" t="e">
        <f ca="1">IF(TodaysDate&gt;=$B102,Data!G102,NA())</f>
        <v>#N/A</v>
      </c>
      <c r="J102" s="10" t="e">
        <f ca="1">IF(TodaysDate&gt;=$B102,Data!H102,NA())</f>
        <v>#N/A</v>
      </c>
      <c r="K102" s="10" t="e">
        <f ca="1">IF(TodaysDate&gt;=$B102,Data!I102,NA())</f>
        <v>#N/A</v>
      </c>
      <c r="L102" s="10" t="e">
        <f ca="1">IF(TodaysDate&gt;=$B102,Data!J102,NA())</f>
        <v>#N/A</v>
      </c>
      <c r="M102" s="10" t="e">
        <f ca="1">IF(CFDTable[[#This Row],[Done]]&gt;0,(CFDTable[[#This Row],[Done]])-(L101),0)</f>
        <v>#N/A</v>
      </c>
      <c r="N102" s="10">
        <f ca="1">IF(ISNUMBER($M102),SUM(CFDTable[[#This Row],[Done]]),IF(CFDTable[[#This Row],[lookupLow]]&gt;=CFDTable[[#This Row],[FutureWork2]]+CFDTable[[#This Row],[lowDaily]],NA(),CFDTable[[#This Row],[lookupLow]]))</f>
        <v>87.809523809523824</v>
      </c>
      <c r="O102" s="10">
        <f ca="1">IF(ISNUMBER($M102),SUM(CFDTable[[#This Row],[Done]]),IF(CFDTable[[#This Row],[lookupMedian]]&gt;=CFDTable[[#This Row],[FutureWork2]],NA(),CFDTable[[#This Row],[lookupMedian]]))</f>
        <v>90.952380952380878</v>
      </c>
      <c r="P102" s="10">
        <f ca="1">IF(ISNUMBER(CFDTable[[#This Row],[Done Today]]),SUM(CFDTable[[#This Row],[Done]]),IF(CFDTable[[#This Row],[lookupHigh]]&gt;=CFDTable[[#This Row],[FutureWork2]]+CFDTable[[#This Row],[highDaily]],NA(),CFDTable[[#This Row],[lookupHigh]]))</f>
        <v>94.095238095238244</v>
      </c>
      <c r="Q102" s="10">
        <f ca="1">CFDTable[[#This Row],[AvgDaily]]-CFDTable[[#This Row],[Deviation]]</f>
        <v>0.80952380952380931</v>
      </c>
      <c r="R102" s="10">
        <f ca="1">AVERAGE(IF(ISNUMBER(M102),IF(ISNUMBER(OFFSET(M102,-Historic,0)),OFFSET(M102,-Historic,0),M$2):M102,R101))</f>
        <v>0.95238095238095233</v>
      </c>
      <c r="S102" s="10">
        <f ca="1">AVERAGE(IF(ISNUMBER(M102),IF(ISNUMBER(OFFSET(M102,-Historic,0)),OFFSET(M102,-Historic,0),M$2):M102,S101))</f>
        <v>0.95238095238095233</v>
      </c>
      <c r="T102" s="10">
        <f ca="1">AVERAGE(IF(ISNUMBER(M102),OFFSET(M$2,DaysToIgnoreOnAvg,0):M102,T101))</f>
        <v>0.88311688311688308</v>
      </c>
      <c r="U102" s="10">
        <f ca="1">CFDTable[[#This Row],[AvgDaily]]+CFDTable[[#This Row],[Deviation]]</f>
        <v>1.0952380952380953</v>
      </c>
      <c r="V102" s="10">
        <f ca="1">IF(ISNUMBER(M102),((_xlfn.PERCENTILE.INC(IF(ISNUMBER(OFFSET(R102,-Historic,0)),OFFSET(R102,-Historic,0),R$2):R102,PercentileHigh/100))-(MEDIAN(IF(ISNUMBER(OFFSET(R102,-Historic,0)),OFFSET(R102,-Historic,0),R$2):R102))),V101)</f>
        <v>0.14285714285714302</v>
      </c>
      <c r="W102" s="10">
        <f ca="1">IF(ISNUMBER(M102),((_xlfn.PERCENTILE.INC(R$2:R102,PercentileHigh/100))-(MEDIAN(R$2:R102))),V101)</f>
        <v>0.14285714285714302</v>
      </c>
      <c r="X102" s="10" t="e">
        <f ca="1">(SUM(CFDTable[[#This Row],[To Do]:[Done]])-SUM(G101:L101))</f>
        <v>#N/A</v>
      </c>
      <c r="Y102" s="10">
        <f ca="1">AVERAGE(IF(ISNUMBER(X102),IF(ISNUMBER(OFFSET(X102,-Historic,0)),OFFSET(X102,-Historic,0),X$2):X102,Y101))</f>
        <v>1.1428571428571428</v>
      </c>
      <c r="Z102" s="10">
        <f ca="1">IF(ISNUMBER(CFDTable[[#This Row],[Done Today]]),SUM($G102:$L102),Z101+CFDTable[[#This Row],[avg added]])</f>
        <v>149.14285714285705</v>
      </c>
      <c r="AA102" s="10">
        <f ca="1">IF(ISNUMBER(CFDTable[[#This Row],[Done Today]]),SUM($G102:$L102),$AA101)</f>
        <v>124</v>
      </c>
      <c r="AB102" s="10">
        <f ca="1">IF(ISNUMBER(CFDTable[[#This Row],[Done Today]]),SUM($G102:$L102),$AB101)</f>
        <v>124</v>
      </c>
      <c r="AC102" s="10">
        <f ca="1">SUM(LOOKUP(2,1/(N$1:N101&lt;&gt;""),N$1:N101)+CFDTable[[#This Row],[lowDaily]])</f>
        <v>87.809523809523824</v>
      </c>
      <c r="AD102" s="10">
        <f ca="1">SUM(LOOKUP(2,1/(O$1:O101&lt;&gt;""),O$1:O101)+R102)</f>
        <v>90.952380952380878</v>
      </c>
      <c r="AE102" s="10">
        <f ca="1">SUM(LOOKUP(2,1/(P$1:P101&lt;&gt;""),P$1:P101)+CFDTable[[#This Row],[highDaily]])</f>
        <v>94.095238095238244</v>
      </c>
      <c r="AF102" s="12">
        <f>IF(CFDTable[[#This Row],[Date]]=DeadlineDate,CFDTable[[#This Row],[FutureWork2]],0)</f>
        <v>0</v>
      </c>
    </row>
    <row r="103" spans="1:32">
      <c r="A103" s="8">
        <f>CFDTable[[#This Row],[Date]]</f>
        <v>42555</v>
      </c>
      <c r="B103" s="38">
        <f>Data!B103</f>
        <v>42555</v>
      </c>
      <c r="C103" s="10">
        <f ca="1">IF(ISNUMBER(CFDTable[[#This Row],[Ready]]),NA(),CFDTable[[#This Row],[Target]]-CFDTable[[#This Row],[To Do]])</f>
        <v>77</v>
      </c>
      <c r="D103" s="10" t="e">
        <f>IF(CFDTable[[#This Row],[Emergence]]&gt;0,CFDTable[[#This Row],[Future Work]]-CFDTable[[#This Row],[Emergence]],NA())</f>
        <v>#N/A</v>
      </c>
      <c r="E103" s="10">
        <f>Data!C103</f>
        <v>0</v>
      </c>
      <c r="F103" s="10" t="str">
        <f ca="1">Data!D103</f>
        <v/>
      </c>
      <c r="G103" s="10">
        <f ca="1">Data!E103</f>
        <v>47</v>
      </c>
      <c r="H103" s="10" t="e">
        <f ca="1">IF(TodaysDate&gt;=$B103,Data!F103,NA())</f>
        <v>#N/A</v>
      </c>
      <c r="I103" s="10" t="e">
        <f ca="1">IF(TodaysDate&gt;=$B103,Data!G103,NA())</f>
        <v>#N/A</v>
      </c>
      <c r="J103" s="10" t="e">
        <f ca="1">IF(TodaysDate&gt;=$B103,Data!H103,NA())</f>
        <v>#N/A</v>
      </c>
      <c r="K103" s="10" t="e">
        <f ca="1">IF(TodaysDate&gt;=$B103,Data!I103,NA())</f>
        <v>#N/A</v>
      </c>
      <c r="L103" s="10" t="e">
        <f ca="1">IF(TodaysDate&gt;=$B103,Data!J103,NA())</f>
        <v>#N/A</v>
      </c>
      <c r="M103" s="10" t="e">
        <f ca="1">IF(CFDTable[[#This Row],[Done]]&gt;0,(CFDTable[[#This Row],[Done]])-(L102),0)</f>
        <v>#N/A</v>
      </c>
      <c r="N103" s="10">
        <f ca="1">IF(ISNUMBER($M103),SUM(CFDTable[[#This Row],[Done]]),IF(CFDTable[[#This Row],[lookupLow]]&gt;=CFDTable[[#This Row],[FutureWork2]]+CFDTable[[#This Row],[lowDaily]],NA(),CFDTable[[#This Row],[lookupLow]]))</f>
        <v>88.619047619047635</v>
      </c>
      <c r="O103" s="10">
        <f ca="1">IF(ISNUMBER($M103),SUM(CFDTable[[#This Row],[Done]]),IF(CFDTable[[#This Row],[lookupMedian]]&gt;=CFDTable[[#This Row],[FutureWork2]],NA(),CFDTable[[#This Row],[lookupMedian]]))</f>
        <v>91.904761904761827</v>
      </c>
      <c r="P103" s="10">
        <f ca="1">IF(ISNUMBER(CFDTable[[#This Row],[Done Today]]),SUM(CFDTable[[#This Row],[Done]]),IF(CFDTable[[#This Row],[lookupHigh]]&gt;=CFDTable[[#This Row],[FutureWork2]]+CFDTable[[#This Row],[highDaily]],NA(),CFDTable[[#This Row],[lookupHigh]]))</f>
        <v>95.190476190476346</v>
      </c>
      <c r="Q103" s="10">
        <f ca="1">CFDTable[[#This Row],[AvgDaily]]-CFDTable[[#This Row],[Deviation]]</f>
        <v>0.80952380952380931</v>
      </c>
      <c r="R103" s="10">
        <f ca="1">AVERAGE(IF(ISNUMBER(M103),IF(ISNUMBER(OFFSET(M103,-Historic,0)),OFFSET(M103,-Historic,0),M$2):M103,R102))</f>
        <v>0.95238095238095233</v>
      </c>
      <c r="S103" s="10">
        <f ca="1">AVERAGE(IF(ISNUMBER(M103),IF(ISNUMBER(OFFSET(M103,-Historic,0)),OFFSET(M103,-Historic,0),M$2):M103,S102))</f>
        <v>0.95238095238095233</v>
      </c>
      <c r="T103" s="10">
        <f ca="1">AVERAGE(IF(ISNUMBER(M103),OFFSET(M$2,DaysToIgnoreOnAvg,0):M103,T102))</f>
        <v>0.88311688311688308</v>
      </c>
      <c r="U103" s="10">
        <f ca="1">CFDTable[[#This Row],[AvgDaily]]+CFDTable[[#This Row],[Deviation]]</f>
        <v>1.0952380952380953</v>
      </c>
      <c r="V103" s="10">
        <f ca="1">IF(ISNUMBER(M103),((_xlfn.PERCENTILE.INC(IF(ISNUMBER(OFFSET(R103,-Historic,0)),OFFSET(R103,-Historic,0),R$2):R103,PercentileHigh/100))-(MEDIAN(IF(ISNUMBER(OFFSET(R103,-Historic,0)),OFFSET(R103,-Historic,0),R$2):R103))),V102)</f>
        <v>0.14285714285714302</v>
      </c>
      <c r="W103" s="10">
        <f ca="1">IF(ISNUMBER(M103),((_xlfn.PERCENTILE.INC(R$2:R103,PercentileHigh/100))-(MEDIAN(R$2:R103))),V102)</f>
        <v>0.14285714285714302</v>
      </c>
      <c r="X103" s="10" t="e">
        <f ca="1">(SUM(CFDTable[[#This Row],[To Do]:[Done]])-SUM(G102:L102))</f>
        <v>#N/A</v>
      </c>
      <c r="Y103" s="10">
        <f ca="1">AVERAGE(IF(ISNUMBER(X103),IF(ISNUMBER(OFFSET(X103,-Historic,0)),OFFSET(X103,-Historic,0),X$2):X103,Y102))</f>
        <v>1.1428571428571428</v>
      </c>
      <c r="Z103" s="10">
        <f ca="1">IF(ISNUMBER(CFDTable[[#This Row],[Done Today]]),SUM($G103:$L103),Z102+CFDTable[[#This Row],[avg added]])</f>
        <v>150.28571428571419</v>
      </c>
      <c r="AA103" s="10">
        <f ca="1">IF(ISNUMBER(CFDTable[[#This Row],[Done Today]]),SUM($G103:$L103),$AA102)</f>
        <v>124</v>
      </c>
      <c r="AB103" s="10">
        <f ca="1">IF(ISNUMBER(CFDTable[[#This Row],[Done Today]]),SUM($G103:$L103),$AB102)</f>
        <v>124</v>
      </c>
      <c r="AC103" s="10">
        <f ca="1">SUM(LOOKUP(2,1/(N$1:N102&lt;&gt;""),N$1:N102)+CFDTable[[#This Row],[lowDaily]])</f>
        <v>88.619047619047635</v>
      </c>
      <c r="AD103" s="10">
        <f ca="1">SUM(LOOKUP(2,1/(O$1:O102&lt;&gt;""),O$1:O102)+R103)</f>
        <v>91.904761904761827</v>
      </c>
      <c r="AE103" s="10">
        <f ca="1">SUM(LOOKUP(2,1/(P$1:P102&lt;&gt;""),P$1:P102)+CFDTable[[#This Row],[highDaily]])</f>
        <v>95.190476190476346</v>
      </c>
      <c r="AF103" s="12">
        <f>IF(CFDTable[[#This Row],[Date]]=DeadlineDate,CFDTable[[#This Row],[FutureWork2]],0)</f>
        <v>0</v>
      </c>
    </row>
    <row r="104" spans="1:32">
      <c r="A104" s="8">
        <f>CFDTable[[#This Row],[Date]]</f>
        <v>42556</v>
      </c>
      <c r="B104" s="38">
        <f>Data!B104</f>
        <v>42556</v>
      </c>
      <c r="C104" s="10">
        <f ca="1">IF(ISNUMBER(CFDTable[[#This Row],[Ready]]),NA(),CFDTable[[#This Row],[Target]]-CFDTable[[#This Row],[To Do]])</f>
        <v>77</v>
      </c>
      <c r="D104" s="10" t="e">
        <f>IF(CFDTable[[#This Row],[Emergence]]&gt;0,CFDTable[[#This Row],[Future Work]]-CFDTable[[#This Row],[Emergence]],NA())</f>
        <v>#N/A</v>
      </c>
      <c r="E104" s="10">
        <f>Data!C104</f>
        <v>0</v>
      </c>
      <c r="F104" s="10" t="str">
        <f ca="1">Data!D104</f>
        <v/>
      </c>
      <c r="G104" s="10">
        <f ca="1">Data!E104</f>
        <v>47</v>
      </c>
      <c r="H104" s="10" t="e">
        <f ca="1">IF(TodaysDate&gt;=$B104,Data!F104,NA())</f>
        <v>#N/A</v>
      </c>
      <c r="I104" s="10" t="e">
        <f ca="1">IF(TodaysDate&gt;=$B104,Data!G104,NA())</f>
        <v>#N/A</v>
      </c>
      <c r="J104" s="10" t="e">
        <f ca="1">IF(TodaysDate&gt;=$B104,Data!H104,NA())</f>
        <v>#N/A</v>
      </c>
      <c r="K104" s="10" t="e">
        <f ca="1">IF(TodaysDate&gt;=$B104,Data!I104,NA())</f>
        <v>#N/A</v>
      </c>
      <c r="L104" s="10" t="e">
        <f ca="1">IF(TodaysDate&gt;=$B104,Data!J104,NA())</f>
        <v>#N/A</v>
      </c>
      <c r="M104" s="10" t="e">
        <f ca="1">IF(CFDTable[[#This Row],[Done]]&gt;0,(CFDTable[[#This Row],[Done]])-(L103),0)</f>
        <v>#N/A</v>
      </c>
      <c r="N104" s="10">
        <f ca="1">IF(ISNUMBER($M104),SUM(CFDTable[[#This Row],[Done]]),IF(CFDTable[[#This Row],[lookupLow]]&gt;=CFDTable[[#This Row],[FutureWork2]]+CFDTable[[#This Row],[lowDaily]],NA(),CFDTable[[#This Row],[lookupLow]]))</f>
        <v>89.428571428571445</v>
      </c>
      <c r="O104" s="10">
        <f ca="1">IF(ISNUMBER($M104),SUM(CFDTable[[#This Row],[Done]]),IF(CFDTable[[#This Row],[lookupMedian]]&gt;=CFDTable[[#This Row],[FutureWork2]],NA(),CFDTable[[#This Row],[lookupMedian]]))</f>
        <v>92.857142857142776</v>
      </c>
      <c r="P104" s="10">
        <f ca="1">IF(ISNUMBER(CFDTable[[#This Row],[Done Today]]),SUM(CFDTable[[#This Row],[Done]]),IF(CFDTable[[#This Row],[lookupHigh]]&gt;=CFDTable[[#This Row],[FutureWork2]]+CFDTable[[#This Row],[highDaily]],NA(),CFDTable[[#This Row],[lookupHigh]]))</f>
        <v>96.285714285714448</v>
      </c>
      <c r="Q104" s="10">
        <f ca="1">CFDTable[[#This Row],[AvgDaily]]-CFDTable[[#This Row],[Deviation]]</f>
        <v>0.80952380952380931</v>
      </c>
      <c r="R104" s="10">
        <f ca="1">AVERAGE(IF(ISNUMBER(M104),IF(ISNUMBER(OFFSET(M104,-Historic,0)),OFFSET(M104,-Historic,0),M$2):M104,R103))</f>
        <v>0.95238095238095233</v>
      </c>
      <c r="S104" s="10">
        <f ca="1">AVERAGE(IF(ISNUMBER(M104),IF(ISNUMBER(OFFSET(M104,-Historic,0)),OFFSET(M104,-Historic,0),M$2):M104,S103))</f>
        <v>0.95238095238095233</v>
      </c>
      <c r="T104" s="10">
        <f ca="1">AVERAGE(IF(ISNUMBER(M104),OFFSET(M$2,DaysToIgnoreOnAvg,0):M104,T103))</f>
        <v>0.88311688311688308</v>
      </c>
      <c r="U104" s="10">
        <f ca="1">CFDTable[[#This Row],[AvgDaily]]+CFDTable[[#This Row],[Deviation]]</f>
        <v>1.0952380952380953</v>
      </c>
      <c r="V104" s="10">
        <f ca="1">IF(ISNUMBER(M104),((_xlfn.PERCENTILE.INC(IF(ISNUMBER(OFFSET(R104,-Historic,0)),OFFSET(R104,-Historic,0),R$2):R104,PercentileHigh/100))-(MEDIAN(IF(ISNUMBER(OFFSET(R104,-Historic,0)),OFFSET(R104,-Historic,0),R$2):R104))),V103)</f>
        <v>0.14285714285714302</v>
      </c>
      <c r="W104" s="10">
        <f ca="1">IF(ISNUMBER(M104),((_xlfn.PERCENTILE.INC(R$2:R104,PercentileHigh/100))-(MEDIAN(R$2:R104))),V103)</f>
        <v>0.14285714285714302</v>
      </c>
      <c r="X104" s="10" t="e">
        <f ca="1">(SUM(CFDTable[[#This Row],[To Do]:[Done]])-SUM(G103:L103))</f>
        <v>#N/A</v>
      </c>
      <c r="Y104" s="10">
        <f ca="1">AVERAGE(IF(ISNUMBER(X104),IF(ISNUMBER(OFFSET(X104,-Historic,0)),OFFSET(X104,-Historic,0),X$2):X104,Y103))</f>
        <v>1.1428571428571428</v>
      </c>
      <c r="Z104" s="10">
        <f ca="1">IF(ISNUMBER(CFDTable[[#This Row],[Done Today]]),SUM($G104:$L104),Z103+CFDTable[[#This Row],[avg added]])</f>
        <v>151.42857142857133</v>
      </c>
      <c r="AA104" s="10">
        <f ca="1">IF(ISNUMBER(CFDTable[[#This Row],[Done Today]]),SUM($G104:$L104),$AA103)</f>
        <v>124</v>
      </c>
      <c r="AB104" s="10">
        <f ca="1">IF(ISNUMBER(CFDTable[[#This Row],[Done Today]]),SUM($G104:$L104),$AB103)</f>
        <v>124</v>
      </c>
      <c r="AC104" s="10">
        <f ca="1">SUM(LOOKUP(2,1/(N$1:N103&lt;&gt;""),N$1:N103)+CFDTable[[#This Row],[lowDaily]])</f>
        <v>89.428571428571445</v>
      </c>
      <c r="AD104" s="10">
        <f ca="1">SUM(LOOKUP(2,1/(O$1:O103&lt;&gt;""),O$1:O103)+R104)</f>
        <v>92.857142857142776</v>
      </c>
      <c r="AE104" s="10">
        <f ca="1">SUM(LOOKUP(2,1/(P$1:P103&lt;&gt;""),P$1:P103)+CFDTable[[#This Row],[highDaily]])</f>
        <v>96.285714285714448</v>
      </c>
      <c r="AF104" s="12">
        <f>IF(CFDTable[[#This Row],[Date]]=DeadlineDate,CFDTable[[#This Row],[FutureWork2]],0)</f>
        <v>0</v>
      </c>
    </row>
    <row r="105" spans="1:32">
      <c r="A105" s="8">
        <f>CFDTable[[#This Row],[Date]]</f>
        <v>42557</v>
      </c>
      <c r="B105" s="38">
        <f>Data!B105</f>
        <v>42557</v>
      </c>
      <c r="C105" s="10">
        <f ca="1">IF(ISNUMBER(CFDTable[[#This Row],[Ready]]),NA(),CFDTable[[#This Row],[Target]]-CFDTable[[#This Row],[To Do]])</f>
        <v>77</v>
      </c>
      <c r="D105" s="10" t="e">
        <f>IF(CFDTable[[#This Row],[Emergence]]&gt;0,CFDTable[[#This Row],[Future Work]]-CFDTable[[#This Row],[Emergence]],NA())</f>
        <v>#N/A</v>
      </c>
      <c r="E105" s="10">
        <f>Data!C105</f>
        <v>0</v>
      </c>
      <c r="F105" s="10" t="str">
        <f ca="1">Data!D105</f>
        <v/>
      </c>
      <c r="G105" s="10">
        <f ca="1">Data!E105</f>
        <v>47</v>
      </c>
      <c r="H105" s="10" t="e">
        <f ca="1">IF(TodaysDate&gt;=$B105,Data!F105,NA())</f>
        <v>#N/A</v>
      </c>
      <c r="I105" s="10" t="e">
        <f ca="1">IF(TodaysDate&gt;=$B105,Data!G105,NA())</f>
        <v>#N/A</v>
      </c>
      <c r="J105" s="10" t="e">
        <f ca="1">IF(TodaysDate&gt;=$B105,Data!H105,NA())</f>
        <v>#N/A</v>
      </c>
      <c r="K105" s="10" t="e">
        <f ca="1">IF(TodaysDate&gt;=$B105,Data!I105,NA())</f>
        <v>#N/A</v>
      </c>
      <c r="L105" s="10" t="e">
        <f ca="1">IF(TodaysDate&gt;=$B105,Data!J105,NA())</f>
        <v>#N/A</v>
      </c>
      <c r="M105" s="10" t="e">
        <f ca="1">IF(CFDTable[[#This Row],[Done]]&gt;0,(CFDTable[[#This Row],[Done]])-(L104),0)</f>
        <v>#N/A</v>
      </c>
      <c r="N105" s="10">
        <f ca="1">IF(ISNUMBER($M105),SUM(CFDTable[[#This Row],[Done]]),IF(CFDTable[[#This Row],[lookupLow]]&gt;=CFDTable[[#This Row],[FutureWork2]]+CFDTable[[#This Row],[lowDaily]],NA(),CFDTable[[#This Row],[lookupLow]]))</f>
        <v>90.238095238095255</v>
      </c>
      <c r="O105" s="10">
        <f ca="1">IF(ISNUMBER($M105),SUM(CFDTable[[#This Row],[Done]]),IF(CFDTable[[#This Row],[lookupMedian]]&gt;=CFDTable[[#This Row],[FutureWork2]],NA(),CFDTable[[#This Row],[lookupMedian]]))</f>
        <v>93.809523809523725</v>
      </c>
      <c r="P105" s="10">
        <f ca="1">IF(ISNUMBER(CFDTable[[#This Row],[Done Today]]),SUM(CFDTable[[#This Row],[Done]]),IF(CFDTable[[#This Row],[lookupHigh]]&gt;=CFDTable[[#This Row],[FutureWork2]]+CFDTable[[#This Row],[highDaily]],NA(),CFDTable[[#This Row],[lookupHigh]]))</f>
        <v>97.38095238095255</v>
      </c>
      <c r="Q105" s="10">
        <f ca="1">CFDTable[[#This Row],[AvgDaily]]-CFDTable[[#This Row],[Deviation]]</f>
        <v>0.80952380952380931</v>
      </c>
      <c r="R105" s="10">
        <f ca="1">AVERAGE(IF(ISNUMBER(M105),IF(ISNUMBER(OFFSET(M105,-Historic,0)),OFFSET(M105,-Historic,0),M$2):M105,R104))</f>
        <v>0.95238095238095233</v>
      </c>
      <c r="S105" s="10">
        <f ca="1">AVERAGE(IF(ISNUMBER(M105),IF(ISNUMBER(OFFSET(M105,-Historic,0)),OFFSET(M105,-Historic,0),M$2):M105,S104))</f>
        <v>0.95238095238095233</v>
      </c>
      <c r="T105" s="10">
        <f ca="1">AVERAGE(IF(ISNUMBER(M105),OFFSET(M$2,DaysToIgnoreOnAvg,0):M105,T104))</f>
        <v>0.88311688311688308</v>
      </c>
      <c r="U105" s="10">
        <f ca="1">CFDTable[[#This Row],[AvgDaily]]+CFDTable[[#This Row],[Deviation]]</f>
        <v>1.0952380952380953</v>
      </c>
      <c r="V105" s="10">
        <f ca="1">IF(ISNUMBER(M105),((_xlfn.PERCENTILE.INC(IF(ISNUMBER(OFFSET(R105,-Historic,0)),OFFSET(R105,-Historic,0),R$2):R105,PercentileHigh/100))-(MEDIAN(IF(ISNUMBER(OFFSET(R105,-Historic,0)),OFFSET(R105,-Historic,0),R$2):R105))),V104)</f>
        <v>0.14285714285714302</v>
      </c>
      <c r="W105" s="10">
        <f ca="1">IF(ISNUMBER(M105),((_xlfn.PERCENTILE.INC(R$2:R105,PercentileHigh/100))-(MEDIAN(R$2:R105))),V104)</f>
        <v>0.14285714285714302</v>
      </c>
      <c r="X105" s="10" t="e">
        <f ca="1">(SUM(CFDTable[[#This Row],[To Do]:[Done]])-SUM(G104:L104))</f>
        <v>#N/A</v>
      </c>
      <c r="Y105" s="10">
        <f ca="1">AVERAGE(IF(ISNUMBER(X105),IF(ISNUMBER(OFFSET(X105,-Historic,0)),OFFSET(X105,-Historic,0),X$2):X105,Y104))</f>
        <v>1.1428571428571428</v>
      </c>
      <c r="Z105" s="10">
        <f ca="1">IF(ISNUMBER(CFDTable[[#This Row],[Done Today]]),SUM($G105:$L105),Z104+CFDTable[[#This Row],[avg added]])</f>
        <v>152.57142857142847</v>
      </c>
      <c r="AA105" s="10">
        <f ca="1">IF(ISNUMBER(CFDTable[[#This Row],[Done Today]]),SUM($G105:$L105),$AA104)</f>
        <v>124</v>
      </c>
      <c r="AB105" s="10">
        <f ca="1">IF(ISNUMBER(CFDTable[[#This Row],[Done Today]]),SUM($G105:$L105),$AB104)</f>
        <v>124</v>
      </c>
      <c r="AC105" s="10">
        <f ca="1">SUM(LOOKUP(2,1/(N$1:N104&lt;&gt;""),N$1:N104)+CFDTable[[#This Row],[lowDaily]])</f>
        <v>90.238095238095255</v>
      </c>
      <c r="AD105" s="10">
        <f ca="1">SUM(LOOKUP(2,1/(O$1:O104&lt;&gt;""),O$1:O104)+R105)</f>
        <v>93.809523809523725</v>
      </c>
      <c r="AE105" s="10">
        <f ca="1">SUM(LOOKUP(2,1/(P$1:P104&lt;&gt;""),P$1:P104)+CFDTable[[#This Row],[highDaily]])</f>
        <v>97.38095238095255</v>
      </c>
      <c r="AF105" s="12">
        <f>IF(CFDTable[[#This Row],[Date]]=DeadlineDate,CFDTable[[#This Row],[FutureWork2]],0)</f>
        <v>0</v>
      </c>
    </row>
    <row r="106" spans="1:32">
      <c r="A106" s="8">
        <f>CFDTable[[#This Row],[Date]]</f>
        <v>42558</v>
      </c>
      <c r="B106" s="38">
        <f>Data!B106</f>
        <v>42558</v>
      </c>
      <c r="C106" s="10">
        <f ca="1">IF(ISNUMBER(CFDTable[[#This Row],[Ready]]),NA(),CFDTable[[#This Row],[Target]]-CFDTable[[#This Row],[To Do]])</f>
        <v>77</v>
      </c>
      <c r="D106" s="10" t="e">
        <f>IF(CFDTable[[#This Row],[Emergence]]&gt;0,CFDTable[[#This Row],[Future Work]]-CFDTable[[#This Row],[Emergence]],NA())</f>
        <v>#N/A</v>
      </c>
      <c r="E106" s="10">
        <f>Data!C106</f>
        <v>0</v>
      </c>
      <c r="F106" s="10" t="str">
        <f ca="1">Data!D106</f>
        <v/>
      </c>
      <c r="G106" s="10">
        <f ca="1">Data!E106</f>
        <v>47</v>
      </c>
      <c r="H106" s="10" t="e">
        <f ca="1">IF(TodaysDate&gt;=$B106,Data!F106,NA())</f>
        <v>#N/A</v>
      </c>
      <c r="I106" s="10" t="e">
        <f ca="1">IF(TodaysDate&gt;=$B106,Data!G106,NA())</f>
        <v>#N/A</v>
      </c>
      <c r="J106" s="10" t="e">
        <f ca="1">IF(TodaysDate&gt;=$B106,Data!H106,NA())</f>
        <v>#N/A</v>
      </c>
      <c r="K106" s="10" t="e">
        <f ca="1">IF(TodaysDate&gt;=$B106,Data!I106,NA())</f>
        <v>#N/A</v>
      </c>
      <c r="L106" s="10" t="e">
        <f ca="1">IF(TodaysDate&gt;=$B106,Data!J106,NA())</f>
        <v>#N/A</v>
      </c>
      <c r="M106" s="10" t="e">
        <f ca="1">IF(CFDTable[[#This Row],[Done]]&gt;0,(CFDTable[[#This Row],[Done]])-(L105),0)</f>
        <v>#N/A</v>
      </c>
      <c r="N106" s="10">
        <f ca="1">IF(ISNUMBER($M106),SUM(CFDTable[[#This Row],[Done]]),IF(CFDTable[[#This Row],[lookupLow]]&gt;=CFDTable[[#This Row],[FutureWork2]]+CFDTable[[#This Row],[lowDaily]],NA(),CFDTable[[#This Row],[lookupLow]]))</f>
        <v>91.047619047619065</v>
      </c>
      <c r="O106" s="10">
        <f ca="1">IF(ISNUMBER($M106),SUM(CFDTable[[#This Row],[Done]]),IF(CFDTable[[#This Row],[lookupMedian]]&gt;=CFDTable[[#This Row],[FutureWork2]],NA(),CFDTable[[#This Row],[lookupMedian]]))</f>
        <v>94.761904761904674</v>
      </c>
      <c r="P106" s="10">
        <f ca="1">IF(ISNUMBER(CFDTable[[#This Row],[Done Today]]),SUM(CFDTable[[#This Row],[Done]]),IF(CFDTable[[#This Row],[lookupHigh]]&gt;=CFDTable[[#This Row],[FutureWork2]]+CFDTable[[#This Row],[highDaily]],NA(),CFDTable[[#This Row],[lookupHigh]]))</f>
        <v>98.476190476190652</v>
      </c>
      <c r="Q106" s="10">
        <f ca="1">CFDTable[[#This Row],[AvgDaily]]-CFDTable[[#This Row],[Deviation]]</f>
        <v>0.80952380952380931</v>
      </c>
      <c r="R106" s="10">
        <f ca="1">AVERAGE(IF(ISNUMBER(M106),IF(ISNUMBER(OFFSET(M106,-Historic,0)),OFFSET(M106,-Historic,0),M$2):M106,R105))</f>
        <v>0.95238095238095233</v>
      </c>
      <c r="S106" s="10">
        <f ca="1">AVERAGE(IF(ISNUMBER(M106),IF(ISNUMBER(OFFSET(M106,-Historic,0)),OFFSET(M106,-Historic,0),M$2):M106,S105))</f>
        <v>0.95238095238095233</v>
      </c>
      <c r="T106" s="10">
        <f ca="1">AVERAGE(IF(ISNUMBER(M106),OFFSET(M$2,DaysToIgnoreOnAvg,0):M106,T105))</f>
        <v>0.88311688311688308</v>
      </c>
      <c r="U106" s="10">
        <f ca="1">CFDTable[[#This Row],[AvgDaily]]+CFDTable[[#This Row],[Deviation]]</f>
        <v>1.0952380952380953</v>
      </c>
      <c r="V106" s="10">
        <f ca="1">IF(ISNUMBER(M106),((_xlfn.PERCENTILE.INC(IF(ISNUMBER(OFFSET(R106,-Historic,0)),OFFSET(R106,-Historic,0),R$2):R106,PercentileHigh/100))-(MEDIAN(IF(ISNUMBER(OFFSET(R106,-Historic,0)),OFFSET(R106,-Historic,0),R$2):R106))),V105)</f>
        <v>0.14285714285714302</v>
      </c>
      <c r="W106" s="10">
        <f ca="1">IF(ISNUMBER(M106),((_xlfn.PERCENTILE.INC(R$2:R106,PercentileHigh/100))-(MEDIAN(R$2:R106))),V105)</f>
        <v>0.14285714285714302</v>
      </c>
      <c r="X106" s="10" t="e">
        <f ca="1">(SUM(CFDTable[[#This Row],[To Do]:[Done]])-SUM(G105:L105))</f>
        <v>#N/A</v>
      </c>
      <c r="Y106" s="10">
        <f ca="1">AVERAGE(IF(ISNUMBER(X106),IF(ISNUMBER(OFFSET(X106,-Historic,0)),OFFSET(X106,-Historic,0),X$2):X106,Y105))</f>
        <v>1.1428571428571428</v>
      </c>
      <c r="Z106" s="10">
        <f ca="1">IF(ISNUMBER(CFDTable[[#This Row],[Done Today]]),SUM($G106:$L106),Z105+CFDTable[[#This Row],[avg added]])</f>
        <v>153.71428571428561</v>
      </c>
      <c r="AA106" s="10">
        <f ca="1">IF(ISNUMBER(CFDTable[[#This Row],[Done Today]]),SUM($G106:$L106),$AA105)</f>
        <v>124</v>
      </c>
      <c r="AB106" s="10">
        <f ca="1">IF(ISNUMBER(CFDTable[[#This Row],[Done Today]]),SUM($G106:$L106),$AB105)</f>
        <v>124</v>
      </c>
      <c r="AC106" s="10">
        <f ca="1">SUM(LOOKUP(2,1/(N$1:N105&lt;&gt;""),N$1:N105)+CFDTable[[#This Row],[lowDaily]])</f>
        <v>91.047619047619065</v>
      </c>
      <c r="AD106" s="10">
        <f ca="1">SUM(LOOKUP(2,1/(O$1:O105&lt;&gt;""),O$1:O105)+R106)</f>
        <v>94.761904761904674</v>
      </c>
      <c r="AE106" s="10">
        <f ca="1">SUM(LOOKUP(2,1/(P$1:P105&lt;&gt;""),P$1:P105)+CFDTable[[#This Row],[highDaily]])</f>
        <v>98.476190476190652</v>
      </c>
      <c r="AF106" s="12">
        <f>IF(CFDTable[[#This Row],[Date]]=DeadlineDate,CFDTable[[#This Row],[FutureWork2]],0)</f>
        <v>0</v>
      </c>
    </row>
    <row r="107" spans="1:32">
      <c r="A107" s="8">
        <f>CFDTable[[#This Row],[Date]]</f>
        <v>42559</v>
      </c>
      <c r="B107" s="38">
        <f>Data!B107</f>
        <v>42559</v>
      </c>
      <c r="C107" s="10">
        <f ca="1">IF(ISNUMBER(CFDTable[[#This Row],[Ready]]),NA(),CFDTable[[#This Row],[Target]]-CFDTable[[#This Row],[To Do]])</f>
        <v>77</v>
      </c>
      <c r="D107" s="10" t="e">
        <f>IF(CFDTable[[#This Row],[Emergence]]&gt;0,CFDTable[[#This Row],[Future Work]]-CFDTable[[#This Row],[Emergence]],NA())</f>
        <v>#N/A</v>
      </c>
      <c r="E107" s="10">
        <f>Data!C107</f>
        <v>0</v>
      </c>
      <c r="F107" s="10" t="str">
        <f ca="1">Data!D107</f>
        <v/>
      </c>
      <c r="G107" s="10">
        <f ca="1">Data!E107</f>
        <v>47</v>
      </c>
      <c r="H107" s="10" t="e">
        <f ca="1">IF(TodaysDate&gt;=$B107,Data!F107,NA())</f>
        <v>#N/A</v>
      </c>
      <c r="I107" s="10" t="e">
        <f ca="1">IF(TodaysDate&gt;=$B107,Data!G107,NA())</f>
        <v>#N/A</v>
      </c>
      <c r="J107" s="10" t="e">
        <f ca="1">IF(TodaysDate&gt;=$B107,Data!H107,NA())</f>
        <v>#N/A</v>
      </c>
      <c r="K107" s="10" t="e">
        <f ca="1">IF(TodaysDate&gt;=$B107,Data!I107,NA())</f>
        <v>#N/A</v>
      </c>
      <c r="L107" s="10" t="e">
        <f ca="1">IF(TodaysDate&gt;=$B107,Data!J107,NA())</f>
        <v>#N/A</v>
      </c>
      <c r="M107" s="10" t="e">
        <f ca="1">IF(CFDTable[[#This Row],[Done]]&gt;0,(CFDTable[[#This Row],[Done]])-(L106),0)</f>
        <v>#N/A</v>
      </c>
      <c r="N107" s="10">
        <f ca="1">IF(ISNUMBER($M107),SUM(CFDTable[[#This Row],[Done]]),IF(CFDTable[[#This Row],[lookupLow]]&gt;=CFDTable[[#This Row],[FutureWork2]]+CFDTable[[#This Row],[lowDaily]],NA(),CFDTable[[#This Row],[lookupLow]]))</f>
        <v>91.857142857142875</v>
      </c>
      <c r="O107" s="10">
        <f ca="1">IF(ISNUMBER($M107),SUM(CFDTable[[#This Row],[Done]]),IF(CFDTable[[#This Row],[lookupMedian]]&gt;=CFDTable[[#This Row],[FutureWork2]],NA(),CFDTable[[#This Row],[lookupMedian]]))</f>
        <v>95.714285714285623</v>
      </c>
      <c r="P107" s="10">
        <f ca="1">IF(ISNUMBER(CFDTable[[#This Row],[Done Today]]),SUM(CFDTable[[#This Row],[Done]]),IF(CFDTable[[#This Row],[lookupHigh]]&gt;=CFDTable[[#This Row],[FutureWork2]]+CFDTable[[#This Row],[highDaily]],NA(),CFDTable[[#This Row],[lookupHigh]]))</f>
        <v>99.571428571428754</v>
      </c>
      <c r="Q107" s="10">
        <f ca="1">CFDTable[[#This Row],[AvgDaily]]-CFDTable[[#This Row],[Deviation]]</f>
        <v>0.80952380952380931</v>
      </c>
      <c r="R107" s="10">
        <f ca="1">AVERAGE(IF(ISNUMBER(M107),IF(ISNUMBER(OFFSET(M107,-Historic,0)),OFFSET(M107,-Historic,0),M$2):M107,R106))</f>
        <v>0.95238095238095233</v>
      </c>
      <c r="S107" s="10">
        <f ca="1">AVERAGE(IF(ISNUMBER(M107),IF(ISNUMBER(OFFSET(M107,-Historic,0)),OFFSET(M107,-Historic,0),M$2):M107,S106))</f>
        <v>0.95238095238095233</v>
      </c>
      <c r="T107" s="10">
        <f ca="1">AVERAGE(IF(ISNUMBER(M107),OFFSET(M$2,DaysToIgnoreOnAvg,0):M107,T106))</f>
        <v>0.88311688311688308</v>
      </c>
      <c r="U107" s="10">
        <f ca="1">CFDTable[[#This Row],[AvgDaily]]+CFDTable[[#This Row],[Deviation]]</f>
        <v>1.0952380952380953</v>
      </c>
      <c r="V107" s="10">
        <f ca="1">IF(ISNUMBER(M107),((_xlfn.PERCENTILE.INC(IF(ISNUMBER(OFFSET(R107,-Historic,0)),OFFSET(R107,-Historic,0),R$2):R107,PercentileHigh/100))-(MEDIAN(IF(ISNUMBER(OFFSET(R107,-Historic,0)),OFFSET(R107,-Historic,0),R$2):R107))),V106)</f>
        <v>0.14285714285714302</v>
      </c>
      <c r="W107" s="10">
        <f ca="1">IF(ISNUMBER(M107),((_xlfn.PERCENTILE.INC(R$2:R107,PercentileHigh/100))-(MEDIAN(R$2:R107))),V106)</f>
        <v>0.14285714285714302</v>
      </c>
      <c r="X107" s="10" t="e">
        <f ca="1">(SUM(CFDTable[[#This Row],[To Do]:[Done]])-SUM(G106:L106))</f>
        <v>#N/A</v>
      </c>
      <c r="Y107" s="10">
        <f ca="1">AVERAGE(IF(ISNUMBER(X107),IF(ISNUMBER(OFFSET(X107,-Historic,0)),OFFSET(X107,-Historic,0),X$2):X107,Y106))</f>
        <v>1.1428571428571428</v>
      </c>
      <c r="Z107" s="10">
        <f ca="1">IF(ISNUMBER(CFDTable[[#This Row],[Done Today]]),SUM($G107:$L107),Z106+CFDTable[[#This Row],[avg added]])</f>
        <v>154.85714285714275</v>
      </c>
      <c r="AA107" s="10">
        <f ca="1">IF(ISNUMBER(CFDTable[[#This Row],[Done Today]]),SUM($G107:$L107),$AA106)</f>
        <v>124</v>
      </c>
      <c r="AB107" s="10">
        <f ca="1">IF(ISNUMBER(CFDTable[[#This Row],[Done Today]]),SUM($G107:$L107),$AB106)</f>
        <v>124</v>
      </c>
      <c r="AC107" s="10">
        <f ca="1">SUM(LOOKUP(2,1/(N$1:N106&lt;&gt;""),N$1:N106)+CFDTable[[#This Row],[lowDaily]])</f>
        <v>91.857142857142875</v>
      </c>
      <c r="AD107" s="10">
        <f ca="1">SUM(LOOKUP(2,1/(O$1:O106&lt;&gt;""),O$1:O106)+R107)</f>
        <v>95.714285714285623</v>
      </c>
      <c r="AE107" s="10">
        <f ca="1">SUM(LOOKUP(2,1/(P$1:P106&lt;&gt;""),P$1:P106)+CFDTable[[#This Row],[highDaily]])</f>
        <v>99.571428571428754</v>
      </c>
      <c r="AF107" s="12">
        <f>IF(CFDTable[[#This Row],[Date]]=DeadlineDate,CFDTable[[#This Row],[FutureWork2]],0)</f>
        <v>0</v>
      </c>
    </row>
    <row r="108" spans="1:32">
      <c r="A108" s="8">
        <f>CFDTable[[#This Row],[Date]]</f>
        <v>42562</v>
      </c>
      <c r="B108" s="38">
        <f>Data!B108</f>
        <v>42562</v>
      </c>
      <c r="C108" s="10">
        <f ca="1">IF(ISNUMBER(CFDTable[[#This Row],[Ready]]),NA(),CFDTable[[#This Row],[Target]]-CFDTable[[#This Row],[To Do]])</f>
        <v>77</v>
      </c>
      <c r="D108" s="10" t="e">
        <f>IF(CFDTable[[#This Row],[Emergence]]&gt;0,CFDTable[[#This Row],[Future Work]]-CFDTable[[#This Row],[Emergence]],NA())</f>
        <v>#N/A</v>
      </c>
      <c r="E108" s="10">
        <f>Data!C108</f>
        <v>0</v>
      </c>
      <c r="F108" s="10" t="str">
        <f ca="1">Data!D108</f>
        <v/>
      </c>
      <c r="G108" s="10">
        <f ca="1">Data!E108</f>
        <v>47</v>
      </c>
      <c r="H108" s="10" t="e">
        <f ca="1">IF(TodaysDate&gt;=$B108,Data!F108,NA())</f>
        <v>#N/A</v>
      </c>
      <c r="I108" s="10" t="e">
        <f ca="1">IF(TodaysDate&gt;=$B108,Data!G108,NA())</f>
        <v>#N/A</v>
      </c>
      <c r="J108" s="10" t="e">
        <f ca="1">IF(TodaysDate&gt;=$B108,Data!H108,NA())</f>
        <v>#N/A</v>
      </c>
      <c r="K108" s="10" t="e">
        <f ca="1">IF(TodaysDate&gt;=$B108,Data!I108,NA())</f>
        <v>#N/A</v>
      </c>
      <c r="L108" s="10" t="e">
        <f ca="1">IF(TodaysDate&gt;=$B108,Data!J108,NA())</f>
        <v>#N/A</v>
      </c>
      <c r="M108" s="10" t="e">
        <f ca="1">IF(CFDTable[[#This Row],[Done]]&gt;0,(CFDTable[[#This Row],[Done]])-(L107),0)</f>
        <v>#N/A</v>
      </c>
      <c r="N108" s="10">
        <f ca="1">IF(ISNUMBER($M108),SUM(CFDTable[[#This Row],[Done]]),IF(CFDTable[[#This Row],[lookupLow]]&gt;=CFDTable[[#This Row],[FutureWork2]]+CFDTable[[#This Row],[lowDaily]],NA(),CFDTable[[#This Row],[lookupLow]]))</f>
        <v>92.666666666666686</v>
      </c>
      <c r="O108" s="10">
        <f ca="1">IF(ISNUMBER($M108),SUM(CFDTable[[#This Row],[Done]]),IF(CFDTable[[#This Row],[lookupMedian]]&gt;=CFDTable[[#This Row],[FutureWork2]],NA(),CFDTable[[#This Row],[lookupMedian]]))</f>
        <v>96.666666666666572</v>
      </c>
      <c r="P108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100.66666666666686</v>
      </c>
      <c r="Q108" s="10">
        <f ca="1">CFDTable[[#This Row],[AvgDaily]]-CFDTable[[#This Row],[Deviation]]</f>
        <v>0.80952380952380931</v>
      </c>
      <c r="R108" s="10">
        <f ca="1">AVERAGE(IF(ISNUMBER(M108),IF(ISNUMBER(OFFSET(M108,-Historic,0)),OFFSET(M108,-Historic,0),M$2):M108,R107))</f>
        <v>0.95238095238095233</v>
      </c>
      <c r="S108" s="10">
        <f ca="1">AVERAGE(IF(ISNUMBER(M108),IF(ISNUMBER(OFFSET(M108,-Historic,0)),OFFSET(M108,-Historic,0),M$2):M108,S107))</f>
        <v>0.95238095238095233</v>
      </c>
      <c r="T108" s="10">
        <f ca="1">AVERAGE(IF(ISNUMBER(M108),OFFSET(M$2,DaysToIgnoreOnAvg,0):M108,T107))</f>
        <v>0.88311688311688308</v>
      </c>
      <c r="U108" s="10">
        <f ca="1">CFDTable[[#This Row],[AvgDaily]]+CFDTable[[#This Row],[Deviation]]</f>
        <v>1.0952380952380953</v>
      </c>
      <c r="V108" s="10">
        <f ca="1">IF(ISNUMBER(M108),((_xlfn.PERCENTILE.INC(IF(ISNUMBER(OFFSET(R108,-Historic,0)),OFFSET(R108,-Historic,0),R$2):R108,PercentileHigh/100))-(MEDIAN(IF(ISNUMBER(OFFSET(R108,-Historic,0)),OFFSET(R108,-Historic,0),R$2):R108))),V107)</f>
        <v>0.14285714285714302</v>
      </c>
      <c r="W108" s="10">
        <f ca="1">IF(ISNUMBER(M108),((_xlfn.PERCENTILE.INC(R$2:R108,PercentileHigh/100))-(MEDIAN(R$2:R108))),V107)</f>
        <v>0.14285714285714302</v>
      </c>
      <c r="X108" s="10" t="e">
        <f ca="1">(SUM(CFDTable[[#This Row],[To Do]:[Done]])-SUM(G107:L107))</f>
        <v>#N/A</v>
      </c>
      <c r="Y108" s="10">
        <f ca="1">AVERAGE(IF(ISNUMBER(X108),IF(ISNUMBER(OFFSET(X108,-Historic,0)),OFFSET(X108,-Historic,0),X$2):X108,Y107))</f>
        <v>1.1428571428571428</v>
      </c>
      <c r="Z108" s="10">
        <f ca="1">IF(ISNUMBER(CFDTable[[#This Row],[Done Today]]),SUM($G108:$L108),Z107+CFDTable[[#This Row],[avg added]])</f>
        <v>155.99999999999989</v>
      </c>
      <c r="AA108" s="10">
        <f ca="1">IF(ISNUMBER(CFDTable[[#This Row],[Done Today]]),SUM($G108:$L108),$AA107)</f>
        <v>124</v>
      </c>
      <c r="AB108" s="10">
        <f ca="1">IF(ISNUMBER(CFDTable[[#This Row],[Done Today]]),SUM($G108:$L108),$AB107)</f>
        <v>124</v>
      </c>
      <c r="AC108" s="10">
        <f ca="1">SUM(LOOKUP(2,1/(N$1:N107&lt;&gt;""),N$1:N107)+CFDTable[[#This Row],[lowDaily]])</f>
        <v>92.666666666666686</v>
      </c>
      <c r="AD108" s="10">
        <f ca="1">SUM(LOOKUP(2,1/(O$1:O107&lt;&gt;""),O$1:O107)+R108)</f>
        <v>96.666666666666572</v>
      </c>
      <c r="AE108" s="10">
        <f ca="1">SUM(LOOKUP(2,1/(P$1:P107&lt;&gt;""),P$1:P107)+CFDTable[[#This Row],[highDaily]])</f>
        <v>100.66666666666686</v>
      </c>
      <c r="AF108" s="12">
        <f>IF(CFDTable[[#This Row],[Date]]=DeadlineDate,CFDTable[[#This Row],[FutureWork2]],0)</f>
        <v>0</v>
      </c>
    </row>
    <row r="109" spans="1:32">
      <c r="A109" s="8">
        <f>CFDTable[[#This Row],[Date]]</f>
        <v>42563</v>
      </c>
      <c r="B109" s="38">
        <f>Data!B109</f>
        <v>42563</v>
      </c>
      <c r="C109" s="10">
        <f ca="1">IF(ISNUMBER(CFDTable[[#This Row],[Ready]]),NA(),CFDTable[[#This Row],[Target]]-CFDTable[[#This Row],[To Do]])</f>
        <v>77</v>
      </c>
      <c r="D109" s="10" t="e">
        <f>IF(CFDTable[[#This Row],[Emergence]]&gt;0,CFDTable[[#This Row],[Future Work]]-CFDTable[[#This Row],[Emergence]],NA())</f>
        <v>#N/A</v>
      </c>
      <c r="E109" s="10">
        <f>Data!C109</f>
        <v>0</v>
      </c>
      <c r="F109" s="10" t="str">
        <f ca="1">Data!D109</f>
        <v/>
      </c>
      <c r="G109" s="10">
        <f ca="1">Data!E109</f>
        <v>47</v>
      </c>
      <c r="H109" s="10" t="e">
        <f ca="1">IF(TodaysDate&gt;=$B109,Data!F109,NA())</f>
        <v>#N/A</v>
      </c>
      <c r="I109" s="10" t="e">
        <f ca="1">IF(TodaysDate&gt;=$B109,Data!G109,NA())</f>
        <v>#N/A</v>
      </c>
      <c r="J109" s="10" t="e">
        <f ca="1">IF(TodaysDate&gt;=$B109,Data!H109,NA())</f>
        <v>#N/A</v>
      </c>
      <c r="K109" s="10" t="e">
        <f ca="1">IF(TodaysDate&gt;=$B109,Data!I109,NA())</f>
        <v>#N/A</v>
      </c>
      <c r="L109" s="10" t="e">
        <f ca="1">IF(TodaysDate&gt;=$B109,Data!J109,NA())</f>
        <v>#N/A</v>
      </c>
      <c r="M109" s="10" t="e">
        <f ca="1">IF(CFDTable[[#This Row],[Done]]&gt;0,(CFDTable[[#This Row],[Done]])-(L108),0)</f>
        <v>#N/A</v>
      </c>
      <c r="N109" s="10">
        <f ca="1">IF(ISNUMBER($M109),SUM(CFDTable[[#This Row],[Done]]),IF(CFDTable[[#This Row],[lookupLow]]&gt;=CFDTable[[#This Row],[FutureWork2]]+CFDTable[[#This Row],[lowDaily]],NA(),CFDTable[[#This Row],[lookupLow]]))</f>
        <v>93.476190476190496</v>
      </c>
      <c r="O109" s="10">
        <f ca="1">IF(ISNUMBER($M109),SUM(CFDTable[[#This Row],[Done]]),IF(CFDTable[[#This Row],[lookupMedian]]&gt;=CFDTable[[#This Row],[FutureWork2]],NA(),CFDTable[[#This Row],[lookupMedian]]))</f>
        <v>97.619047619047521</v>
      </c>
      <c r="P109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101.76190476190496</v>
      </c>
      <c r="Q109" s="10">
        <f ca="1">CFDTable[[#This Row],[AvgDaily]]-CFDTable[[#This Row],[Deviation]]</f>
        <v>0.80952380952380931</v>
      </c>
      <c r="R109" s="10">
        <f ca="1">AVERAGE(IF(ISNUMBER(M109),IF(ISNUMBER(OFFSET(M109,-Historic,0)),OFFSET(M109,-Historic,0),M$2):M109,R108))</f>
        <v>0.95238095238095233</v>
      </c>
      <c r="S109" s="10">
        <f ca="1">AVERAGE(IF(ISNUMBER(M109),IF(ISNUMBER(OFFSET(M109,-Historic,0)),OFFSET(M109,-Historic,0),M$2):M109,S108))</f>
        <v>0.95238095238095233</v>
      </c>
      <c r="T109" s="10">
        <f ca="1">AVERAGE(IF(ISNUMBER(M109),OFFSET(M$2,DaysToIgnoreOnAvg,0):M109,T108))</f>
        <v>0.88311688311688308</v>
      </c>
      <c r="U109" s="10">
        <f ca="1">CFDTable[[#This Row],[AvgDaily]]+CFDTable[[#This Row],[Deviation]]</f>
        <v>1.0952380952380953</v>
      </c>
      <c r="V109" s="10">
        <f ca="1">IF(ISNUMBER(M109),((_xlfn.PERCENTILE.INC(IF(ISNUMBER(OFFSET(R109,-Historic,0)),OFFSET(R109,-Historic,0),R$2):R109,PercentileHigh/100))-(MEDIAN(IF(ISNUMBER(OFFSET(R109,-Historic,0)),OFFSET(R109,-Historic,0),R$2):R109))),V108)</f>
        <v>0.14285714285714302</v>
      </c>
      <c r="W109" s="10">
        <f ca="1">IF(ISNUMBER(M109),((_xlfn.PERCENTILE.INC(R$2:R109,PercentileHigh/100))-(MEDIAN(R$2:R109))),V108)</f>
        <v>0.14285714285714302</v>
      </c>
      <c r="X109" s="10" t="e">
        <f ca="1">(SUM(CFDTable[[#This Row],[To Do]:[Done]])-SUM(G108:L108))</f>
        <v>#N/A</v>
      </c>
      <c r="Y109" s="10">
        <f ca="1">AVERAGE(IF(ISNUMBER(X109),IF(ISNUMBER(OFFSET(X109,-Historic,0)),OFFSET(X109,-Historic,0),X$2):X109,Y108))</f>
        <v>1.1428571428571428</v>
      </c>
      <c r="Z109" s="10">
        <f ca="1">IF(ISNUMBER(CFDTable[[#This Row],[Done Today]]),SUM($G109:$L109),Z108+CFDTable[[#This Row],[avg added]])</f>
        <v>157.14285714285703</v>
      </c>
      <c r="AA109" s="10">
        <f ca="1">IF(ISNUMBER(CFDTable[[#This Row],[Done Today]]),SUM($G109:$L109),$AA108)</f>
        <v>124</v>
      </c>
      <c r="AB109" s="10">
        <f ca="1">IF(ISNUMBER(CFDTable[[#This Row],[Done Today]]),SUM($G109:$L109),$AB108)</f>
        <v>124</v>
      </c>
      <c r="AC109" s="10">
        <f ca="1">SUM(LOOKUP(2,1/(N$1:N108&lt;&gt;""),N$1:N108)+CFDTable[[#This Row],[lowDaily]])</f>
        <v>93.476190476190496</v>
      </c>
      <c r="AD109" s="10">
        <f ca="1">SUM(LOOKUP(2,1/(O$1:O108&lt;&gt;""),O$1:O108)+R109)</f>
        <v>97.619047619047521</v>
      </c>
      <c r="AE109" s="10">
        <f ca="1">SUM(LOOKUP(2,1/(P$1:P108&lt;&gt;""),P$1:P108)+CFDTable[[#This Row],[highDaily]])</f>
        <v>101.76190476190496</v>
      </c>
      <c r="AF109" s="12">
        <f>IF(CFDTable[[#This Row],[Date]]=DeadlineDate,CFDTable[[#This Row],[FutureWork2]],0)</f>
        <v>0</v>
      </c>
    </row>
    <row r="110" spans="1:32">
      <c r="A110" s="8">
        <f>CFDTable[[#This Row],[Date]]</f>
        <v>42564</v>
      </c>
      <c r="B110" s="38">
        <f>Data!B110</f>
        <v>42564</v>
      </c>
      <c r="C110" s="10">
        <f ca="1">IF(ISNUMBER(CFDTable[[#This Row],[Ready]]),NA(),CFDTable[[#This Row],[Target]]-CFDTable[[#This Row],[To Do]])</f>
        <v>77</v>
      </c>
      <c r="D110" s="10" t="e">
        <f>IF(CFDTable[[#This Row],[Emergence]]&gt;0,CFDTable[[#This Row],[Future Work]]-CFDTable[[#This Row],[Emergence]],NA())</f>
        <v>#N/A</v>
      </c>
      <c r="E110" s="10">
        <f>Data!C110</f>
        <v>0</v>
      </c>
      <c r="F110" s="10" t="str">
        <f ca="1">Data!D110</f>
        <v/>
      </c>
      <c r="G110" s="10">
        <f ca="1">Data!E110</f>
        <v>47</v>
      </c>
      <c r="H110" s="10" t="e">
        <f ca="1">IF(TodaysDate&gt;=$B110,Data!F110,NA())</f>
        <v>#N/A</v>
      </c>
      <c r="I110" s="10" t="e">
        <f ca="1">IF(TodaysDate&gt;=$B110,Data!G110,NA())</f>
        <v>#N/A</v>
      </c>
      <c r="J110" s="10" t="e">
        <f ca="1">IF(TodaysDate&gt;=$B110,Data!H110,NA())</f>
        <v>#N/A</v>
      </c>
      <c r="K110" s="10" t="e">
        <f ca="1">IF(TodaysDate&gt;=$B110,Data!I110,NA())</f>
        <v>#N/A</v>
      </c>
      <c r="L110" s="10" t="e">
        <f ca="1">IF(TodaysDate&gt;=$B110,Data!J110,NA())</f>
        <v>#N/A</v>
      </c>
      <c r="M110" s="10" t="e">
        <f ca="1">IF(CFDTable[[#This Row],[Done]]&gt;0,(CFDTable[[#This Row],[Done]])-(L109),0)</f>
        <v>#N/A</v>
      </c>
      <c r="N110" s="10">
        <f ca="1">IF(ISNUMBER($M110),SUM(CFDTable[[#This Row],[Done]]),IF(CFDTable[[#This Row],[lookupLow]]&gt;=CFDTable[[#This Row],[FutureWork2]]+CFDTable[[#This Row],[lowDaily]],NA(),CFDTable[[#This Row],[lookupLow]]))</f>
        <v>94.285714285714306</v>
      </c>
      <c r="O110" s="10">
        <f ca="1">IF(ISNUMBER($M110),SUM(CFDTable[[#This Row],[Done]]),IF(CFDTable[[#This Row],[lookupMedian]]&gt;=CFDTable[[#This Row],[FutureWork2]],NA(),CFDTable[[#This Row],[lookupMedian]]))</f>
        <v>98.57142857142847</v>
      </c>
      <c r="P110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102.85714285714306</v>
      </c>
      <c r="Q110" s="10">
        <f ca="1">CFDTable[[#This Row],[AvgDaily]]-CFDTable[[#This Row],[Deviation]]</f>
        <v>0.80952380952380931</v>
      </c>
      <c r="R110" s="10">
        <f ca="1">AVERAGE(IF(ISNUMBER(M110),IF(ISNUMBER(OFFSET(M110,-Historic,0)),OFFSET(M110,-Historic,0),M$2):M110,R109))</f>
        <v>0.95238095238095233</v>
      </c>
      <c r="S110" s="10">
        <f ca="1">AVERAGE(IF(ISNUMBER(M110),IF(ISNUMBER(OFFSET(M110,-Historic,0)),OFFSET(M110,-Historic,0),M$2):M110,S109))</f>
        <v>0.95238095238095233</v>
      </c>
      <c r="T110" s="10">
        <f ca="1">AVERAGE(IF(ISNUMBER(M110),OFFSET(M$2,DaysToIgnoreOnAvg,0):M110,T109))</f>
        <v>0.88311688311688308</v>
      </c>
      <c r="U110" s="10">
        <f ca="1">CFDTable[[#This Row],[AvgDaily]]+CFDTable[[#This Row],[Deviation]]</f>
        <v>1.0952380952380953</v>
      </c>
      <c r="V110" s="10">
        <f ca="1">IF(ISNUMBER(M110),((_xlfn.PERCENTILE.INC(IF(ISNUMBER(OFFSET(R110,-Historic,0)),OFFSET(R110,-Historic,0),R$2):R110,PercentileHigh/100))-(MEDIAN(IF(ISNUMBER(OFFSET(R110,-Historic,0)),OFFSET(R110,-Historic,0),R$2):R110))),V109)</f>
        <v>0.14285714285714302</v>
      </c>
      <c r="W110" s="10">
        <f ca="1">IF(ISNUMBER(M110),((_xlfn.PERCENTILE.INC(R$2:R110,PercentileHigh/100))-(MEDIAN(R$2:R110))),V109)</f>
        <v>0.14285714285714302</v>
      </c>
      <c r="X110" s="10" t="e">
        <f ca="1">(SUM(CFDTable[[#This Row],[To Do]:[Done]])-SUM(G109:L109))</f>
        <v>#N/A</v>
      </c>
      <c r="Y110" s="10">
        <f ca="1">AVERAGE(IF(ISNUMBER(X110),IF(ISNUMBER(OFFSET(X110,-Historic,0)),OFFSET(X110,-Historic,0),X$2):X110,Y109))</f>
        <v>1.1428571428571428</v>
      </c>
      <c r="Z110" s="10">
        <f ca="1">IF(ISNUMBER(CFDTable[[#This Row],[Done Today]]),SUM($G110:$L110),Z109+CFDTable[[#This Row],[avg added]])</f>
        <v>158.28571428571416</v>
      </c>
      <c r="AA110" s="10">
        <f ca="1">IF(ISNUMBER(CFDTable[[#This Row],[Done Today]]),SUM($G110:$L110),$AA109)</f>
        <v>124</v>
      </c>
      <c r="AB110" s="10">
        <f ca="1">IF(ISNUMBER(CFDTable[[#This Row],[Done Today]]),SUM($G110:$L110),$AB109)</f>
        <v>124</v>
      </c>
      <c r="AC110" s="10">
        <f ca="1">SUM(LOOKUP(2,1/(N$1:N109&lt;&gt;""),N$1:N109)+CFDTable[[#This Row],[lowDaily]])</f>
        <v>94.285714285714306</v>
      </c>
      <c r="AD110" s="10">
        <f ca="1">SUM(LOOKUP(2,1/(O$1:O109&lt;&gt;""),O$1:O109)+R110)</f>
        <v>98.57142857142847</v>
      </c>
      <c r="AE110" s="10">
        <f ca="1">SUM(LOOKUP(2,1/(P$1:P109&lt;&gt;""),P$1:P109)+CFDTable[[#This Row],[highDaily]])</f>
        <v>102.85714285714306</v>
      </c>
      <c r="AF110" s="12">
        <f>IF(CFDTable[[#This Row],[Date]]=DeadlineDate,CFDTable[[#This Row],[FutureWork2]],0)</f>
        <v>0</v>
      </c>
    </row>
    <row r="111" spans="1:32">
      <c r="A111" s="8">
        <f>CFDTable[[#This Row],[Date]]</f>
        <v>42565</v>
      </c>
      <c r="B111" s="38">
        <f>Data!B111</f>
        <v>42565</v>
      </c>
      <c r="C111" s="10">
        <f ca="1">IF(ISNUMBER(CFDTable[[#This Row],[Ready]]),NA(),CFDTable[[#This Row],[Target]]-CFDTable[[#This Row],[To Do]])</f>
        <v>77</v>
      </c>
      <c r="D111" s="10" t="e">
        <f>IF(CFDTable[[#This Row],[Emergence]]&gt;0,CFDTable[[#This Row],[Future Work]]-CFDTable[[#This Row],[Emergence]],NA())</f>
        <v>#N/A</v>
      </c>
      <c r="E111" s="10">
        <f>Data!C111</f>
        <v>0</v>
      </c>
      <c r="F111" s="10" t="str">
        <f ca="1">Data!D111</f>
        <v/>
      </c>
      <c r="G111" s="10">
        <f ca="1">Data!E111</f>
        <v>47</v>
      </c>
      <c r="H111" s="10" t="e">
        <f ca="1">IF(TodaysDate&gt;=$B111,Data!F111,NA())</f>
        <v>#N/A</v>
      </c>
      <c r="I111" s="10" t="e">
        <f ca="1">IF(TodaysDate&gt;=$B111,Data!G111,NA())</f>
        <v>#N/A</v>
      </c>
      <c r="J111" s="10" t="e">
        <f ca="1">IF(TodaysDate&gt;=$B111,Data!H111,NA())</f>
        <v>#N/A</v>
      </c>
      <c r="K111" s="10" t="e">
        <f ca="1">IF(TodaysDate&gt;=$B111,Data!I111,NA())</f>
        <v>#N/A</v>
      </c>
      <c r="L111" s="10" t="e">
        <f ca="1">IF(TodaysDate&gt;=$B111,Data!J111,NA())</f>
        <v>#N/A</v>
      </c>
      <c r="M111" s="10" t="e">
        <f ca="1">IF(CFDTable[[#This Row],[Done]]&gt;0,(CFDTable[[#This Row],[Done]])-(L110),0)</f>
        <v>#N/A</v>
      </c>
      <c r="N111" s="10">
        <f ca="1">IF(ISNUMBER($M111),SUM(CFDTable[[#This Row],[Done]]),IF(CFDTable[[#This Row],[lookupLow]]&gt;=CFDTable[[#This Row],[FutureWork2]]+CFDTable[[#This Row],[lowDaily]],NA(),CFDTable[[#This Row],[lookupLow]]))</f>
        <v>95.095238095238116</v>
      </c>
      <c r="O111" s="10">
        <f ca="1">IF(ISNUMBER($M111),SUM(CFDTable[[#This Row],[Done]]),IF(CFDTable[[#This Row],[lookupMedian]]&gt;=CFDTable[[#This Row],[FutureWork2]],NA(),CFDTable[[#This Row],[lookupMedian]]))</f>
        <v>99.523809523809419</v>
      </c>
      <c r="P111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103.95238095238116</v>
      </c>
      <c r="Q111" s="10">
        <f ca="1">CFDTable[[#This Row],[AvgDaily]]-CFDTable[[#This Row],[Deviation]]</f>
        <v>0.80952380952380931</v>
      </c>
      <c r="R111" s="10">
        <f ca="1">AVERAGE(IF(ISNUMBER(M111),IF(ISNUMBER(OFFSET(M111,-Historic,0)),OFFSET(M111,-Historic,0),M$2):M111,R110))</f>
        <v>0.95238095238095233</v>
      </c>
      <c r="S111" s="10">
        <f ca="1">AVERAGE(IF(ISNUMBER(M111),IF(ISNUMBER(OFFSET(M111,-Historic,0)),OFFSET(M111,-Historic,0),M$2):M111,S110))</f>
        <v>0.95238095238095233</v>
      </c>
      <c r="T111" s="10">
        <f ca="1">AVERAGE(IF(ISNUMBER(M111),OFFSET(M$2,DaysToIgnoreOnAvg,0):M111,T110))</f>
        <v>0.88311688311688308</v>
      </c>
      <c r="U111" s="10">
        <f ca="1">CFDTable[[#This Row],[AvgDaily]]+CFDTable[[#This Row],[Deviation]]</f>
        <v>1.0952380952380953</v>
      </c>
      <c r="V111" s="10">
        <f ca="1">IF(ISNUMBER(M111),((_xlfn.PERCENTILE.INC(IF(ISNUMBER(OFFSET(R111,-Historic,0)),OFFSET(R111,-Historic,0),R$2):R111,PercentileHigh/100))-(MEDIAN(IF(ISNUMBER(OFFSET(R111,-Historic,0)),OFFSET(R111,-Historic,0),R$2):R111))),V110)</f>
        <v>0.14285714285714302</v>
      </c>
      <c r="W111" s="10">
        <f ca="1">IF(ISNUMBER(M111),((_xlfn.PERCENTILE.INC(R$2:R111,PercentileHigh/100))-(MEDIAN(R$2:R111))),V110)</f>
        <v>0.14285714285714302</v>
      </c>
      <c r="X111" s="10" t="e">
        <f ca="1">(SUM(CFDTable[[#This Row],[To Do]:[Done]])-SUM(G110:L110))</f>
        <v>#N/A</v>
      </c>
      <c r="Y111" s="10">
        <f ca="1">AVERAGE(IF(ISNUMBER(X111),IF(ISNUMBER(OFFSET(X111,-Historic,0)),OFFSET(X111,-Historic,0),X$2):X111,Y110))</f>
        <v>1.1428571428571428</v>
      </c>
      <c r="Z111" s="10">
        <f ca="1">IF(ISNUMBER(CFDTable[[#This Row],[Done Today]]),SUM($G111:$L111),Z110+CFDTable[[#This Row],[avg added]])</f>
        <v>159.4285714285713</v>
      </c>
      <c r="AA111" s="10">
        <f ca="1">IF(ISNUMBER(CFDTable[[#This Row],[Done Today]]),SUM($G111:$L111),$AA110)</f>
        <v>124</v>
      </c>
      <c r="AB111" s="10">
        <f ca="1">IF(ISNUMBER(CFDTable[[#This Row],[Done Today]]),SUM($G111:$L111),$AB110)</f>
        <v>124</v>
      </c>
      <c r="AC111" s="10">
        <f ca="1">SUM(LOOKUP(2,1/(N$1:N110&lt;&gt;""),N$1:N110)+CFDTable[[#This Row],[lowDaily]])</f>
        <v>95.095238095238116</v>
      </c>
      <c r="AD111" s="10">
        <f ca="1">SUM(LOOKUP(2,1/(O$1:O110&lt;&gt;""),O$1:O110)+R111)</f>
        <v>99.523809523809419</v>
      </c>
      <c r="AE111" s="10">
        <f ca="1">SUM(LOOKUP(2,1/(P$1:P110&lt;&gt;""),P$1:P110)+CFDTable[[#This Row],[highDaily]])</f>
        <v>103.95238095238116</v>
      </c>
      <c r="AF111" s="12">
        <f>IF(CFDTable[[#This Row],[Date]]=DeadlineDate,CFDTable[[#This Row],[FutureWork2]],0)</f>
        <v>0</v>
      </c>
    </row>
    <row r="112" spans="1:32">
      <c r="A112" s="8">
        <f>CFDTable[[#This Row],[Date]]</f>
        <v>42566</v>
      </c>
      <c r="B112" s="38">
        <f>Data!B112</f>
        <v>42566</v>
      </c>
      <c r="C112" s="10">
        <f ca="1">IF(ISNUMBER(CFDTable[[#This Row],[Ready]]),NA(),CFDTable[[#This Row],[Target]]-CFDTable[[#This Row],[To Do]])</f>
        <v>77</v>
      </c>
      <c r="D112" s="10" t="e">
        <f>IF(CFDTable[[#This Row],[Emergence]]&gt;0,CFDTable[[#This Row],[Future Work]]-CFDTable[[#This Row],[Emergence]],NA())</f>
        <v>#N/A</v>
      </c>
      <c r="E112" s="10">
        <f>Data!C112</f>
        <v>0</v>
      </c>
      <c r="F112" s="10" t="str">
        <f ca="1">Data!D112</f>
        <v/>
      </c>
      <c r="G112" s="10">
        <f ca="1">Data!E112</f>
        <v>47</v>
      </c>
      <c r="H112" s="10" t="e">
        <f ca="1">IF(TodaysDate&gt;=$B112,Data!F112,NA())</f>
        <v>#N/A</v>
      </c>
      <c r="I112" s="10" t="e">
        <f ca="1">IF(TodaysDate&gt;=$B112,Data!G112,NA())</f>
        <v>#N/A</v>
      </c>
      <c r="J112" s="10" t="e">
        <f ca="1">IF(TodaysDate&gt;=$B112,Data!H112,NA())</f>
        <v>#N/A</v>
      </c>
      <c r="K112" s="10" t="e">
        <f ca="1">IF(TodaysDate&gt;=$B112,Data!I112,NA())</f>
        <v>#N/A</v>
      </c>
      <c r="L112" s="10" t="e">
        <f ca="1">IF(TodaysDate&gt;=$B112,Data!J112,NA())</f>
        <v>#N/A</v>
      </c>
      <c r="M112" s="10" t="e">
        <f ca="1">IF(CFDTable[[#This Row],[Done]]&gt;0,(CFDTable[[#This Row],[Done]])-(L111),0)</f>
        <v>#N/A</v>
      </c>
      <c r="N112" s="10">
        <f ca="1">IF(ISNUMBER($M112),SUM(CFDTable[[#This Row],[Done]]),IF(CFDTable[[#This Row],[lookupLow]]&gt;=CFDTable[[#This Row],[FutureWork2]]+CFDTable[[#This Row],[lowDaily]],NA(),CFDTable[[#This Row],[lookupLow]]))</f>
        <v>95.904761904761926</v>
      </c>
      <c r="O112" s="10">
        <f ca="1">IF(ISNUMBER($M112),SUM(CFDTable[[#This Row],[Done]]),IF(CFDTable[[#This Row],[lookupMedian]]&gt;=CFDTable[[#This Row],[FutureWork2]],NA(),CFDTable[[#This Row],[lookupMedian]]))</f>
        <v>100.47619047619037</v>
      </c>
      <c r="P112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105.04761904761926</v>
      </c>
      <c r="Q112" s="10">
        <f ca="1">CFDTable[[#This Row],[AvgDaily]]-CFDTable[[#This Row],[Deviation]]</f>
        <v>0.80952380952380931</v>
      </c>
      <c r="R112" s="10">
        <f ca="1">AVERAGE(IF(ISNUMBER(M112),IF(ISNUMBER(OFFSET(M112,-Historic,0)),OFFSET(M112,-Historic,0),M$2):M112,R111))</f>
        <v>0.95238095238095233</v>
      </c>
      <c r="S112" s="10">
        <f ca="1">AVERAGE(IF(ISNUMBER(M112),IF(ISNUMBER(OFFSET(M112,-Historic,0)),OFFSET(M112,-Historic,0),M$2):M112,S111))</f>
        <v>0.95238095238095233</v>
      </c>
      <c r="T112" s="10">
        <f ca="1">AVERAGE(IF(ISNUMBER(M112),OFFSET(M$2,DaysToIgnoreOnAvg,0):M112,T111))</f>
        <v>0.88311688311688308</v>
      </c>
      <c r="U112" s="10">
        <f ca="1">CFDTable[[#This Row],[AvgDaily]]+CFDTable[[#This Row],[Deviation]]</f>
        <v>1.0952380952380953</v>
      </c>
      <c r="V112" s="10">
        <f ca="1">IF(ISNUMBER(M112),((_xlfn.PERCENTILE.INC(IF(ISNUMBER(OFFSET(R112,-Historic,0)),OFFSET(R112,-Historic,0),R$2):R112,PercentileHigh/100))-(MEDIAN(IF(ISNUMBER(OFFSET(R112,-Historic,0)),OFFSET(R112,-Historic,0),R$2):R112))),V111)</f>
        <v>0.14285714285714302</v>
      </c>
      <c r="W112" s="10">
        <f ca="1">IF(ISNUMBER(M112),((_xlfn.PERCENTILE.INC(R$2:R112,PercentileHigh/100))-(MEDIAN(R$2:R112))),V111)</f>
        <v>0.14285714285714302</v>
      </c>
      <c r="X112" s="10" t="e">
        <f ca="1">(SUM(CFDTable[[#This Row],[To Do]:[Done]])-SUM(G111:L111))</f>
        <v>#N/A</v>
      </c>
      <c r="Y112" s="10">
        <f ca="1">AVERAGE(IF(ISNUMBER(X112),IF(ISNUMBER(OFFSET(X112,-Historic,0)),OFFSET(X112,-Historic,0),X$2):X112,Y111))</f>
        <v>1.1428571428571428</v>
      </c>
      <c r="Z112" s="10">
        <f ca="1">IF(ISNUMBER(CFDTable[[#This Row],[Done Today]]),SUM($G112:$L112),Z111+CFDTable[[#This Row],[avg added]])</f>
        <v>160.57142857142844</v>
      </c>
      <c r="AA112" s="10">
        <f ca="1">IF(ISNUMBER(CFDTable[[#This Row],[Done Today]]),SUM($G112:$L112),$AA111)</f>
        <v>124</v>
      </c>
      <c r="AB112" s="10">
        <f ca="1">IF(ISNUMBER(CFDTable[[#This Row],[Done Today]]),SUM($G112:$L112),$AB111)</f>
        <v>124</v>
      </c>
      <c r="AC112" s="10">
        <f ca="1">SUM(LOOKUP(2,1/(N$1:N111&lt;&gt;""),N$1:N111)+CFDTable[[#This Row],[lowDaily]])</f>
        <v>95.904761904761926</v>
      </c>
      <c r="AD112" s="10">
        <f ca="1">SUM(LOOKUP(2,1/(O$1:O111&lt;&gt;""),O$1:O111)+R112)</f>
        <v>100.47619047619037</v>
      </c>
      <c r="AE112" s="10">
        <f ca="1">SUM(LOOKUP(2,1/(P$1:P111&lt;&gt;""),P$1:P111)+CFDTable[[#This Row],[highDaily]])</f>
        <v>105.04761904761926</v>
      </c>
      <c r="AF112" s="12">
        <f>IF(CFDTable[[#This Row],[Date]]=DeadlineDate,CFDTable[[#This Row],[FutureWork2]],0)</f>
        <v>0</v>
      </c>
    </row>
    <row r="113" spans="1:32">
      <c r="A113" s="8">
        <f>CFDTable[[#This Row],[Date]]</f>
        <v>42569</v>
      </c>
      <c r="B113" s="38">
        <f>Data!B113</f>
        <v>42569</v>
      </c>
      <c r="C113" s="10">
        <f ca="1">IF(ISNUMBER(CFDTable[[#This Row],[Ready]]),NA(),CFDTable[[#This Row],[Target]]-CFDTable[[#This Row],[To Do]])</f>
        <v>77</v>
      </c>
      <c r="D113" s="10" t="e">
        <f>IF(CFDTable[[#This Row],[Emergence]]&gt;0,CFDTable[[#This Row],[Future Work]]-CFDTable[[#This Row],[Emergence]],NA())</f>
        <v>#N/A</v>
      </c>
      <c r="E113" s="10">
        <f>Data!C113</f>
        <v>0</v>
      </c>
      <c r="F113" s="10" t="str">
        <f ca="1">Data!D113</f>
        <v/>
      </c>
      <c r="G113" s="10">
        <f ca="1">Data!E113</f>
        <v>47</v>
      </c>
      <c r="H113" s="10" t="e">
        <f ca="1">IF(TodaysDate&gt;=$B113,Data!F113,NA())</f>
        <v>#N/A</v>
      </c>
      <c r="I113" s="10" t="e">
        <f ca="1">IF(TodaysDate&gt;=$B113,Data!G113,NA())</f>
        <v>#N/A</v>
      </c>
      <c r="J113" s="10" t="e">
        <f ca="1">IF(TodaysDate&gt;=$B113,Data!H113,NA())</f>
        <v>#N/A</v>
      </c>
      <c r="K113" s="10" t="e">
        <f ca="1">IF(TodaysDate&gt;=$B113,Data!I113,NA())</f>
        <v>#N/A</v>
      </c>
      <c r="L113" s="10" t="e">
        <f ca="1">IF(TodaysDate&gt;=$B113,Data!J113,NA())</f>
        <v>#N/A</v>
      </c>
      <c r="M113" s="10" t="e">
        <f ca="1">IF(CFDTable[[#This Row],[Done]]&gt;0,(CFDTable[[#This Row],[Done]])-(L112),0)</f>
        <v>#N/A</v>
      </c>
      <c r="N113" s="10">
        <f ca="1">IF(ISNUMBER($M113),SUM(CFDTable[[#This Row],[Done]]),IF(CFDTable[[#This Row],[lookupLow]]&gt;=CFDTable[[#This Row],[FutureWork2]]+CFDTable[[#This Row],[lowDaily]],NA(),CFDTable[[#This Row],[lookupLow]]))</f>
        <v>96.714285714285737</v>
      </c>
      <c r="O113" s="10">
        <f ca="1">IF(ISNUMBER($M113),SUM(CFDTable[[#This Row],[Done]]),IF(CFDTable[[#This Row],[lookupMedian]]&gt;=CFDTable[[#This Row],[FutureWork2]],NA(),CFDTable[[#This Row],[lookupMedian]]))</f>
        <v>101.42857142857132</v>
      </c>
      <c r="P113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106.14285714285737</v>
      </c>
      <c r="Q113" s="10">
        <f ca="1">CFDTable[[#This Row],[AvgDaily]]-CFDTable[[#This Row],[Deviation]]</f>
        <v>0.80952380952380931</v>
      </c>
      <c r="R113" s="10">
        <f ca="1">AVERAGE(IF(ISNUMBER(M113),IF(ISNUMBER(OFFSET(M113,-Historic,0)),OFFSET(M113,-Historic,0),M$2):M113,R112))</f>
        <v>0.95238095238095233</v>
      </c>
      <c r="S113" s="10">
        <f ca="1">AVERAGE(IF(ISNUMBER(M113),IF(ISNUMBER(OFFSET(M113,-Historic,0)),OFFSET(M113,-Historic,0),M$2):M113,S112))</f>
        <v>0.95238095238095233</v>
      </c>
      <c r="T113" s="10">
        <f ca="1">AVERAGE(IF(ISNUMBER(M113),OFFSET(M$2,DaysToIgnoreOnAvg,0):M113,T112))</f>
        <v>0.88311688311688308</v>
      </c>
      <c r="U113" s="10">
        <f ca="1">CFDTable[[#This Row],[AvgDaily]]+CFDTable[[#This Row],[Deviation]]</f>
        <v>1.0952380952380953</v>
      </c>
      <c r="V113" s="10">
        <f ca="1">IF(ISNUMBER(M113),((_xlfn.PERCENTILE.INC(IF(ISNUMBER(OFFSET(R113,-Historic,0)),OFFSET(R113,-Historic,0),R$2):R113,PercentileHigh/100))-(MEDIAN(IF(ISNUMBER(OFFSET(R113,-Historic,0)),OFFSET(R113,-Historic,0),R$2):R113))),V112)</f>
        <v>0.14285714285714302</v>
      </c>
      <c r="W113" s="10">
        <f ca="1">IF(ISNUMBER(M113),((_xlfn.PERCENTILE.INC(R$2:R113,PercentileHigh/100))-(MEDIAN(R$2:R113))),V112)</f>
        <v>0.14285714285714302</v>
      </c>
      <c r="X113" s="10" t="e">
        <f ca="1">(SUM(CFDTable[[#This Row],[To Do]:[Done]])-SUM(G112:L112))</f>
        <v>#N/A</v>
      </c>
      <c r="Y113" s="10">
        <f ca="1">AVERAGE(IF(ISNUMBER(X113),IF(ISNUMBER(OFFSET(X113,-Historic,0)),OFFSET(X113,-Historic,0),X$2):X113,Y112))</f>
        <v>1.1428571428571428</v>
      </c>
      <c r="Z113" s="10">
        <f ca="1">IF(ISNUMBER(CFDTable[[#This Row],[Done Today]]),SUM($G113:$L113),Z112+CFDTable[[#This Row],[avg added]])</f>
        <v>161.71428571428558</v>
      </c>
      <c r="AA113" s="10">
        <f ca="1">IF(ISNUMBER(CFDTable[[#This Row],[Done Today]]),SUM($G113:$L113),$AA112)</f>
        <v>124</v>
      </c>
      <c r="AB113" s="10">
        <f ca="1">IF(ISNUMBER(CFDTable[[#This Row],[Done Today]]),SUM($G113:$L113),$AB112)</f>
        <v>124</v>
      </c>
      <c r="AC113" s="10">
        <f ca="1">SUM(LOOKUP(2,1/(N$1:N112&lt;&gt;""),N$1:N112)+CFDTable[[#This Row],[lowDaily]])</f>
        <v>96.714285714285737</v>
      </c>
      <c r="AD113" s="10">
        <f ca="1">SUM(LOOKUP(2,1/(O$1:O112&lt;&gt;""),O$1:O112)+R113)</f>
        <v>101.42857142857132</v>
      </c>
      <c r="AE113" s="10">
        <f ca="1">SUM(LOOKUP(2,1/(P$1:P112&lt;&gt;""),P$1:P112)+CFDTable[[#This Row],[highDaily]])</f>
        <v>106.14285714285737</v>
      </c>
      <c r="AF113" s="12">
        <f>IF(CFDTable[[#This Row],[Date]]=DeadlineDate,CFDTable[[#This Row],[FutureWork2]],0)</f>
        <v>0</v>
      </c>
    </row>
    <row r="114" spans="1:32">
      <c r="A114" s="8">
        <f>CFDTable[[#This Row],[Date]]</f>
        <v>42570</v>
      </c>
      <c r="B114" s="38">
        <f>Data!B114</f>
        <v>42570</v>
      </c>
      <c r="C114" s="10">
        <f ca="1">IF(ISNUMBER(CFDTable[[#This Row],[Ready]]),NA(),CFDTable[[#This Row],[Target]]-CFDTable[[#This Row],[To Do]])</f>
        <v>77</v>
      </c>
      <c r="D114" s="10" t="e">
        <f>IF(CFDTable[[#This Row],[Emergence]]&gt;0,CFDTable[[#This Row],[Future Work]]-CFDTable[[#This Row],[Emergence]],NA())</f>
        <v>#N/A</v>
      </c>
      <c r="E114" s="10">
        <f>Data!C114</f>
        <v>0</v>
      </c>
      <c r="F114" s="10" t="str">
        <f ca="1">Data!D114</f>
        <v/>
      </c>
      <c r="G114" s="10">
        <f ca="1">Data!E114</f>
        <v>47</v>
      </c>
      <c r="H114" s="10" t="e">
        <f ca="1">IF(TodaysDate&gt;=$B114,Data!F114,NA())</f>
        <v>#N/A</v>
      </c>
      <c r="I114" s="10" t="e">
        <f ca="1">IF(TodaysDate&gt;=$B114,Data!G114,NA())</f>
        <v>#N/A</v>
      </c>
      <c r="J114" s="10" t="e">
        <f ca="1">IF(TodaysDate&gt;=$B114,Data!H114,NA())</f>
        <v>#N/A</v>
      </c>
      <c r="K114" s="10" t="e">
        <f ca="1">IF(TodaysDate&gt;=$B114,Data!I114,NA())</f>
        <v>#N/A</v>
      </c>
      <c r="L114" s="10" t="e">
        <f ca="1">IF(TodaysDate&gt;=$B114,Data!J114,NA())</f>
        <v>#N/A</v>
      </c>
      <c r="M114" s="10" t="e">
        <f ca="1">IF(CFDTable[[#This Row],[Done]]&gt;0,(CFDTable[[#This Row],[Done]])-(L113),0)</f>
        <v>#N/A</v>
      </c>
      <c r="N114" s="10">
        <f ca="1">IF(ISNUMBER($M114),SUM(CFDTable[[#This Row],[Done]]),IF(CFDTable[[#This Row],[lookupLow]]&gt;=CFDTable[[#This Row],[FutureWork2]]+CFDTable[[#This Row],[lowDaily]],NA(),CFDTable[[#This Row],[lookupLow]]))</f>
        <v>97.523809523809547</v>
      </c>
      <c r="O114" s="10">
        <f ca="1">IF(ISNUMBER($M114),SUM(CFDTable[[#This Row],[Done]]),IF(CFDTable[[#This Row],[lookupMedian]]&gt;=CFDTable[[#This Row],[FutureWork2]],NA(),CFDTable[[#This Row],[lookupMedian]]))</f>
        <v>102.38095238095227</v>
      </c>
      <c r="P114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107.23809523809547</v>
      </c>
      <c r="Q114" s="10">
        <f ca="1">CFDTable[[#This Row],[AvgDaily]]-CFDTable[[#This Row],[Deviation]]</f>
        <v>0.80952380952380931</v>
      </c>
      <c r="R114" s="10">
        <f ca="1">AVERAGE(IF(ISNUMBER(M114),IF(ISNUMBER(OFFSET(M114,-Historic,0)),OFFSET(M114,-Historic,0),M$2):M114,R113))</f>
        <v>0.95238095238095233</v>
      </c>
      <c r="S114" s="10">
        <f ca="1">AVERAGE(IF(ISNUMBER(M114),IF(ISNUMBER(OFFSET(M114,-Historic,0)),OFFSET(M114,-Historic,0),M$2):M114,S113))</f>
        <v>0.95238095238095233</v>
      </c>
      <c r="T114" s="10">
        <f ca="1">AVERAGE(IF(ISNUMBER(M114),OFFSET(M$2,DaysToIgnoreOnAvg,0):M114,T113))</f>
        <v>0.88311688311688308</v>
      </c>
      <c r="U114" s="10">
        <f ca="1">CFDTable[[#This Row],[AvgDaily]]+CFDTable[[#This Row],[Deviation]]</f>
        <v>1.0952380952380953</v>
      </c>
      <c r="V114" s="10">
        <f ca="1">IF(ISNUMBER(M114),((_xlfn.PERCENTILE.INC(IF(ISNUMBER(OFFSET(R114,-Historic,0)),OFFSET(R114,-Historic,0),R$2):R114,PercentileHigh/100))-(MEDIAN(IF(ISNUMBER(OFFSET(R114,-Historic,0)),OFFSET(R114,-Historic,0),R$2):R114))),V113)</f>
        <v>0.14285714285714302</v>
      </c>
      <c r="W114" s="10">
        <f ca="1">IF(ISNUMBER(M114),((_xlfn.PERCENTILE.INC(R$2:R114,PercentileHigh/100))-(MEDIAN(R$2:R114))),V113)</f>
        <v>0.14285714285714302</v>
      </c>
      <c r="X114" s="10" t="e">
        <f ca="1">(SUM(CFDTable[[#This Row],[To Do]:[Done]])-SUM(G113:L113))</f>
        <v>#N/A</v>
      </c>
      <c r="Y114" s="10">
        <f ca="1">AVERAGE(IF(ISNUMBER(X114),IF(ISNUMBER(OFFSET(X114,-Historic,0)),OFFSET(X114,-Historic,0),X$2):X114,Y113))</f>
        <v>1.1428571428571428</v>
      </c>
      <c r="Z114" s="10">
        <f ca="1">IF(ISNUMBER(CFDTable[[#This Row],[Done Today]]),SUM($G114:$L114),Z113+CFDTable[[#This Row],[avg added]])</f>
        <v>162.85714285714272</v>
      </c>
      <c r="AA114" s="10">
        <f ca="1">IF(ISNUMBER(CFDTable[[#This Row],[Done Today]]),SUM($G114:$L114),$AA113)</f>
        <v>124</v>
      </c>
      <c r="AB114" s="10">
        <f ca="1">IF(ISNUMBER(CFDTable[[#This Row],[Done Today]]),SUM($G114:$L114),$AB113)</f>
        <v>124</v>
      </c>
      <c r="AC114" s="10">
        <f ca="1">SUM(LOOKUP(2,1/(N$1:N113&lt;&gt;""),N$1:N113)+CFDTable[[#This Row],[lowDaily]])</f>
        <v>97.523809523809547</v>
      </c>
      <c r="AD114" s="10">
        <f ca="1">SUM(LOOKUP(2,1/(O$1:O113&lt;&gt;""),O$1:O113)+R114)</f>
        <v>102.38095238095227</v>
      </c>
      <c r="AE114" s="10">
        <f ca="1">SUM(LOOKUP(2,1/(P$1:P113&lt;&gt;""),P$1:P113)+CFDTable[[#This Row],[highDaily]])</f>
        <v>107.23809523809547</v>
      </c>
      <c r="AF114" s="12">
        <f>IF(CFDTable[[#This Row],[Date]]=DeadlineDate,CFDTable[[#This Row],[FutureWork2]],0)</f>
        <v>0</v>
      </c>
    </row>
    <row r="115" spans="1:32">
      <c r="A115" s="8">
        <f>CFDTable[[#This Row],[Date]]</f>
        <v>42571</v>
      </c>
      <c r="B115" s="38">
        <f>Data!B115</f>
        <v>42571</v>
      </c>
      <c r="C115" s="10">
        <f ca="1">IF(ISNUMBER(CFDTable[[#This Row],[Ready]]),NA(),CFDTable[[#This Row],[Target]]-CFDTable[[#This Row],[To Do]])</f>
        <v>77</v>
      </c>
      <c r="D115" s="10" t="e">
        <f>IF(CFDTable[[#This Row],[Emergence]]&gt;0,CFDTable[[#This Row],[Future Work]]-CFDTable[[#This Row],[Emergence]],NA())</f>
        <v>#N/A</v>
      </c>
      <c r="E115" s="10">
        <f>Data!C115</f>
        <v>0</v>
      </c>
      <c r="F115" s="10" t="str">
        <f ca="1">Data!D115</f>
        <v/>
      </c>
      <c r="G115" s="10">
        <f ca="1">Data!E115</f>
        <v>47</v>
      </c>
      <c r="H115" s="10" t="e">
        <f ca="1">IF(TodaysDate&gt;=$B115,Data!F115,NA())</f>
        <v>#N/A</v>
      </c>
      <c r="I115" s="10" t="e">
        <f ca="1">IF(TodaysDate&gt;=$B115,Data!G115,NA())</f>
        <v>#N/A</v>
      </c>
      <c r="J115" s="10" t="e">
        <f ca="1">IF(TodaysDate&gt;=$B115,Data!H115,NA())</f>
        <v>#N/A</v>
      </c>
      <c r="K115" s="10" t="e">
        <f ca="1">IF(TodaysDate&gt;=$B115,Data!I115,NA())</f>
        <v>#N/A</v>
      </c>
      <c r="L115" s="10" t="e">
        <f ca="1">IF(TodaysDate&gt;=$B115,Data!J115,NA())</f>
        <v>#N/A</v>
      </c>
      <c r="M115" s="10" t="e">
        <f ca="1">IF(CFDTable[[#This Row],[Done]]&gt;0,(CFDTable[[#This Row],[Done]])-(L114),0)</f>
        <v>#N/A</v>
      </c>
      <c r="N115" s="10">
        <f ca="1">IF(ISNUMBER($M115),SUM(CFDTable[[#This Row],[Done]]),IF(CFDTable[[#This Row],[lookupLow]]&gt;=CFDTable[[#This Row],[FutureWork2]]+CFDTable[[#This Row],[lowDaily]],NA(),CFDTable[[#This Row],[lookupLow]]))</f>
        <v>98.333333333333357</v>
      </c>
      <c r="O115" s="10">
        <f ca="1">IF(ISNUMBER($M115),SUM(CFDTable[[#This Row],[Done]]),IF(CFDTable[[#This Row],[lookupMedian]]&gt;=CFDTable[[#This Row],[FutureWork2]],NA(),CFDTable[[#This Row],[lookupMedian]]))</f>
        <v>103.33333333333321</v>
      </c>
      <c r="P115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108.33333333333357</v>
      </c>
      <c r="Q115" s="10">
        <f ca="1">CFDTable[[#This Row],[AvgDaily]]-CFDTable[[#This Row],[Deviation]]</f>
        <v>0.80952380952380931</v>
      </c>
      <c r="R115" s="10">
        <f ca="1">AVERAGE(IF(ISNUMBER(M115),IF(ISNUMBER(OFFSET(M115,-Historic,0)),OFFSET(M115,-Historic,0),M$2):M115,R114))</f>
        <v>0.95238095238095233</v>
      </c>
      <c r="S115" s="10">
        <f ca="1">AVERAGE(IF(ISNUMBER(M115),IF(ISNUMBER(OFFSET(M115,-Historic,0)),OFFSET(M115,-Historic,0),M$2):M115,S114))</f>
        <v>0.95238095238095233</v>
      </c>
      <c r="T115" s="10">
        <f ca="1">AVERAGE(IF(ISNUMBER(M115),OFFSET(M$2,DaysToIgnoreOnAvg,0):M115,T114))</f>
        <v>0.88311688311688308</v>
      </c>
      <c r="U115" s="10">
        <f ca="1">CFDTable[[#This Row],[AvgDaily]]+CFDTable[[#This Row],[Deviation]]</f>
        <v>1.0952380952380953</v>
      </c>
      <c r="V115" s="10">
        <f ca="1">IF(ISNUMBER(M115),((_xlfn.PERCENTILE.INC(IF(ISNUMBER(OFFSET(R115,-Historic,0)),OFFSET(R115,-Historic,0),R$2):R115,PercentileHigh/100))-(MEDIAN(IF(ISNUMBER(OFFSET(R115,-Historic,0)),OFFSET(R115,-Historic,0),R$2):R115))),V114)</f>
        <v>0.14285714285714302</v>
      </c>
      <c r="W115" s="10">
        <f ca="1">IF(ISNUMBER(M115),((_xlfn.PERCENTILE.INC(R$2:R115,PercentileHigh/100))-(MEDIAN(R$2:R115))),V114)</f>
        <v>0.14285714285714302</v>
      </c>
      <c r="X115" s="10" t="e">
        <f ca="1">(SUM(CFDTable[[#This Row],[To Do]:[Done]])-SUM(G114:L114))</f>
        <v>#N/A</v>
      </c>
      <c r="Y115" s="10">
        <f ca="1">AVERAGE(IF(ISNUMBER(X115),IF(ISNUMBER(OFFSET(X115,-Historic,0)),OFFSET(X115,-Historic,0),X$2):X115,Y114))</f>
        <v>1.1428571428571428</v>
      </c>
      <c r="Z115" s="10">
        <f ca="1">IF(ISNUMBER(CFDTable[[#This Row],[Done Today]]),SUM($G115:$L115),Z114+CFDTable[[#This Row],[avg added]])</f>
        <v>163.99999999999986</v>
      </c>
      <c r="AA115" s="10">
        <f ca="1">IF(ISNUMBER(CFDTable[[#This Row],[Done Today]]),SUM($G115:$L115),$AA114)</f>
        <v>124</v>
      </c>
      <c r="AB115" s="10">
        <f ca="1">IF(ISNUMBER(CFDTable[[#This Row],[Done Today]]),SUM($G115:$L115),$AB114)</f>
        <v>124</v>
      </c>
      <c r="AC115" s="10">
        <f ca="1">SUM(LOOKUP(2,1/(N$1:N114&lt;&gt;""),N$1:N114)+CFDTable[[#This Row],[lowDaily]])</f>
        <v>98.333333333333357</v>
      </c>
      <c r="AD115" s="10">
        <f ca="1">SUM(LOOKUP(2,1/(O$1:O114&lt;&gt;""),O$1:O114)+R115)</f>
        <v>103.33333333333321</v>
      </c>
      <c r="AE115" s="10">
        <f ca="1">SUM(LOOKUP(2,1/(P$1:P114&lt;&gt;""),P$1:P114)+CFDTable[[#This Row],[highDaily]])</f>
        <v>108.33333333333357</v>
      </c>
      <c r="AF115" s="12">
        <f>IF(CFDTable[[#This Row],[Date]]=DeadlineDate,CFDTable[[#This Row],[FutureWork2]],0)</f>
        <v>0</v>
      </c>
    </row>
    <row r="116" spans="1:32">
      <c r="A116" s="8">
        <f>CFDTable[[#This Row],[Date]]</f>
        <v>42572</v>
      </c>
      <c r="B116" s="38">
        <f>Data!B116</f>
        <v>42572</v>
      </c>
      <c r="C116" s="10">
        <f ca="1">IF(ISNUMBER(CFDTable[[#This Row],[Ready]]),NA(),CFDTable[[#This Row],[Target]]-CFDTable[[#This Row],[To Do]])</f>
        <v>77</v>
      </c>
      <c r="D116" s="10" t="e">
        <f>IF(CFDTable[[#This Row],[Emergence]]&gt;0,CFDTable[[#This Row],[Future Work]]-CFDTable[[#This Row],[Emergence]],NA())</f>
        <v>#N/A</v>
      </c>
      <c r="E116" s="10">
        <f>Data!C116</f>
        <v>0</v>
      </c>
      <c r="F116" s="10" t="str">
        <f ca="1">Data!D116</f>
        <v/>
      </c>
      <c r="G116" s="10">
        <f ca="1">Data!E116</f>
        <v>47</v>
      </c>
      <c r="H116" s="10" t="e">
        <f ca="1">IF(TodaysDate&gt;=$B116,Data!F116,NA())</f>
        <v>#N/A</v>
      </c>
      <c r="I116" s="10" t="e">
        <f ca="1">IF(TodaysDate&gt;=$B116,Data!G116,NA())</f>
        <v>#N/A</v>
      </c>
      <c r="J116" s="10" t="e">
        <f ca="1">IF(TodaysDate&gt;=$B116,Data!H116,NA())</f>
        <v>#N/A</v>
      </c>
      <c r="K116" s="10" t="e">
        <f ca="1">IF(TodaysDate&gt;=$B116,Data!I116,NA())</f>
        <v>#N/A</v>
      </c>
      <c r="L116" s="10" t="e">
        <f ca="1">IF(TodaysDate&gt;=$B116,Data!J116,NA())</f>
        <v>#N/A</v>
      </c>
      <c r="M116" s="10" t="e">
        <f ca="1">IF(CFDTable[[#This Row],[Done]]&gt;0,(CFDTable[[#This Row],[Done]])-(L115),0)</f>
        <v>#N/A</v>
      </c>
      <c r="N116" s="10">
        <f ca="1">IF(ISNUMBER($M116),SUM(CFDTable[[#This Row],[Done]]),IF(CFDTable[[#This Row],[lookupLow]]&gt;=CFDTable[[#This Row],[FutureWork2]]+CFDTable[[#This Row],[lowDaily]],NA(),CFDTable[[#This Row],[lookupLow]]))</f>
        <v>99.142857142857167</v>
      </c>
      <c r="O116" s="10">
        <f ca="1">IF(ISNUMBER($M116),SUM(CFDTable[[#This Row],[Done]]),IF(CFDTable[[#This Row],[lookupMedian]]&gt;=CFDTable[[#This Row],[FutureWork2]],NA(),CFDTable[[#This Row],[lookupMedian]]))</f>
        <v>104.28571428571416</v>
      </c>
      <c r="P116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109.42857142857167</v>
      </c>
      <c r="Q116" s="10">
        <f ca="1">CFDTable[[#This Row],[AvgDaily]]-CFDTable[[#This Row],[Deviation]]</f>
        <v>0.80952380952380931</v>
      </c>
      <c r="R116" s="10">
        <f ca="1">AVERAGE(IF(ISNUMBER(M116),IF(ISNUMBER(OFFSET(M116,-Historic,0)),OFFSET(M116,-Historic,0),M$2):M116,R115))</f>
        <v>0.95238095238095233</v>
      </c>
      <c r="S116" s="10">
        <f ca="1">AVERAGE(IF(ISNUMBER(M116),IF(ISNUMBER(OFFSET(M116,-Historic,0)),OFFSET(M116,-Historic,0),M$2):M116,S115))</f>
        <v>0.95238095238095233</v>
      </c>
      <c r="T116" s="10">
        <f ca="1">AVERAGE(IF(ISNUMBER(M116),OFFSET(M$2,DaysToIgnoreOnAvg,0):M116,T115))</f>
        <v>0.88311688311688308</v>
      </c>
      <c r="U116" s="10">
        <f ca="1">CFDTable[[#This Row],[AvgDaily]]+CFDTable[[#This Row],[Deviation]]</f>
        <v>1.0952380952380953</v>
      </c>
      <c r="V116" s="10">
        <f ca="1">IF(ISNUMBER(M116),((_xlfn.PERCENTILE.INC(IF(ISNUMBER(OFFSET(R116,-Historic,0)),OFFSET(R116,-Historic,0),R$2):R116,PercentileHigh/100))-(MEDIAN(IF(ISNUMBER(OFFSET(R116,-Historic,0)),OFFSET(R116,-Historic,0),R$2):R116))),V115)</f>
        <v>0.14285714285714302</v>
      </c>
      <c r="W116" s="10">
        <f ca="1">IF(ISNUMBER(M116),((_xlfn.PERCENTILE.INC(R$2:R116,PercentileHigh/100))-(MEDIAN(R$2:R116))),V115)</f>
        <v>0.14285714285714302</v>
      </c>
      <c r="X116" s="10" t="e">
        <f ca="1">(SUM(CFDTable[[#This Row],[To Do]:[Done]])-SUM(G115:L115))</f>
        <v>#N/A</v>
      </c>
      <c r="Y116" s="10">
        <f ca="1">AVERAGE(IF(ISNUMBER(X116),IF(ISNUMBER(OFFSET(X116,-Historic,0)),OFFSET(X116,-Historic,0),X$2):X116,Y115))</f>
        <v>1.1428571428571428</v>
      </c>
      <c r="Z116" s="10">
        <f ca="1">IF(ISNUMBER(CFDTable[[#This Row],[Done Today]]),SUM($G116:$L116),Z115+CFDTable[[#This Row],[avg added]])</f>
        <v>165.142857142857</v>
      </c>
      <c r="AA116" s="10">
        <f ca="1">IF(ISNUMBER(CFDTable[[#This Row],[Done Today]]),SUM($G116:$L116),$AA115)</f>
        <v>124</v>
      </c>
      <c r="AB116" s="10">
        <f ca="1">IF(ISNUMBER(CFDTable[[#This Row],[Done Today]]),SUM($G116:$L116),$AB115)</f>
        <v>124</v>
      </c>
      <c r="AC116" s="10">
        <f ca="1">SUM(LOOKUP(2,1/(N$1:N115&lt;&gt;""),N$1:N115)+CFDTable[[#This Row],[lowDaily]])</f>
        <v>99.142857142857167</v>
      </c>
      <c r="AD116" s="10">
        <f ca="1">SUM(LOOKUP(2,1/(O$1:O115&lt;&gt;""),O$1:O115)+R116)</f>
        <v>104.28571428571416</v>
      </c>
      <c r="AE116" s="10">
        <f ca="1">SUM(LOOKUP(2,1/(P$1:P115&lt;&gt;""),P$1:P115)+CFDTable[[#This Row],[highDaily]])</f>
        <v>109.42857142857167</v>
      </c>
      <c r="AF116" s="12">
        <f>IF(CFDTable[[#This Row],[Date]]=DeadlineDate,CFDTable[[#This Row],[FutureWork2]],0)</f>
        <v>0</v>
      </c>
    </row>
    <row r="117" spans="1:32">
      <c r="A117" s="8">
        <f>CFDTable[[#This Row],[Date]]</f>
        <v>42573</v>
      </c>
      <c r="B117" s="38">
        <f>Data!B117</f>
        <v>42573</v>
      </c>
      <c r="C117" s="10">
        <f ca="1">IF(ISNUMBER(CFDTable[[#This Row],[Ready]]),NA(),CFDTable[[#This Row],[Target]]-CFDTable[[#This Row],[To Do]])</f>
        <v>77</v>
      </c>
      <c r="D117" s="10" t="e">
        <f>IF(CFDTable[[#This Row],[Emergence]]&gt;0,CFDTable[[#This Row],[Future Work]]-CFDTable[[#This Row],[Emergence]],NA())</f>
        <v>#N/A</v>
      </c>
      <c r="E117" s="10">
        <f>Data!C117</f>
        <v>0</v>
      </c>
      <c r="F117" s="10" t="str">
        <f ca="1">Data!D117</f>
        <v/>
      </c>
      <c r="G117" s="10">
        <f ca="1">Data!E117</f>
        <v>47</v>
      </c>
      <c r="H117" s="10" t="e">
        <f ca="1">IF(TodaysDate&gt;=$B117,Data!F117,NA())</f>
        <v>#N/A</v>
      </c>
      <c r="I117" s="10" t="e">
        <f ca="1">IF(TodaysDate&gt;=$B117,Data!G117,NA())</f>
        <v>#N/A</v>
      </c>
      <c r="J117" s="10" t="e">
        <f ca="1">IF(TodaysDate&gt;=$B117,Data!H117,NA())</f>
        <v>#N/A</v>
      </c>
      <c r="K117" s="10" t="e">
        <f ca="1">IF(TodaysDate&gt;=$B117,Data!I117,NA())</f>
        <v>#N/A</v>
      </c>
      <c r="L117" s="10" t="e">
        <f ca="1">IF(TodaysDate&gt;=$B117,Data!J117,NA())</f>
        <v>#N/A</v>
      </c>
      <c r="M117" s="10" t="e">
        <f ca="1">IF(CFDTable[[#This Row],[Done]]&gt;0,(CFDTable[[#This Row],[Done]])-(L116),0)</f>
        <v>#N/A</v>
      </c>
      <c r="N117" s="10">
        <f ca="1">IF(ISNUMBER($M117),SUM(CFDTable[[#This Row],[Done]]),IF(CFDTable[[#This Row],[lookupLow]]&gt;=CFDTable[[#This Row],[FutureWork2]]+CFDTable[[#This Row],[lowDaily]],NA(),CFDTable[[#This Row],[lookupLow]]))</f>
        <v>99.952380952380977</v>
      </c>
      <c r="O117" s="10">
        <f ca="1">IF(ISNUMBER($M117),SUM(CFDTable[[#This Row],[Done]]),IF(CFDTable[[#This Row],[lookupMedian]]&gt;=CFDTable[[#This Row],[FutureWork2]],NA(),CFDTable[[#This Row],[lookupMedian]]))</f>
        <v>105.23809523809511</v>
      </c>
      <c r="P117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110.52380952380977</v>
      </c>
      <c r="Q117" s="10">
        <f ca="1">CFDTable[[#This Row],[AvgDaily]]-CFDTable[[#This Row],[Deviation]]</f>
        <v>0.80952380952380931</v>
      </c>
      <c r="R117" s="10">
        <f ca="1">AVERAGE(IF(ISNUMBER(M117),IF(ISNUMBER(OFFSET(M117,-Historic,0)),OFFSET(M117,-Historic,0),M$2):M117,R116))</f>
        <v>0.95238095238095233</v>
      </c>
      <c r="S117" s="10">
        <f ca="1">AVERAGE(IF(ISNUMBER(M117),IF(ISNUMBER(OFFSET(M117,-Historic,0)),OFFSET(M117,-Historic,0),M$2):M117,S116))</f>
        <v>0.95238095238095233</v>
      </c>
      <c r="T117" s="10">
        <f ca="1">AVERAGE(IF(ISNUMBER(M117),OFFSET(M$2,DaysToIgnoreOnAvg,0):M117,T116))</f>
        <v>0.88311688311688308</v>
      </c>
      <c r="U117" s="10">
        <f ca="1">CFDTable[[#This Row],[AvgDaily]]+CFDTable[[#This Row],[Deviation]]</f>
        <v>1.0952380952380953</v>
      </c>
      <c r="V117" s="10">
        <f ca="1">IF(ISNUMBER(M117),((_xlfn.PERCENTILE.INC(IF(ISNUMBER(OFFSET(R117,-Historic,0)),OFFSET(R117,-Historic,0),R$2):R117,PercentileHigh/100))-(MEDIAN(IF(ISNUMBER(OFFSET(R117,-Historic,0)),OFFSET(R117,-Historic,0),R$2):R117))),V116)</f>
        <v>0.14285714285714302</v>
      </c>
      <c r="W117" s="10">
        <f ca="1">IF(ISNUMBER(M117),((_xlfn.PERCENTILE.INC(R$2:R117,PercentileHigh/100))-(MEDIAN(R$2:R117))),V116)</f>
        <v>0.14285714285714302</v>
      </c>
      <c r="X117" s="10" t="e">
        <f ca="1">(SUM(CFDTable[[#This Row],[To Do]:[Done]])-SUM(G116:L116))</f>
        <v>#N/A</v>
      </c>
      <c r="Y117" s="10">
        <f ca="1">AVERAGE(IF(ISNUMBER(X117),IF(ISNUMBER(OFFSET(X117,-Historic,0)),OFFSET(X117,-Historic,0),X$2):X117,Y116))</f>
        <v>1.1428571428571428</v>
      </c>
      <c r="Z117" s="10">
        <f ca="1">IF(ISNUMBER(CFDTable[[#This Row],[Done Today]]),SUM($G117:$L117),Z116+CFDTable[[#This Row],[avg added]])</f>
        <v>166.28571428571414</v>
      </c>
      <c r="AA117" s="10">
        <f ca="1">IF(ISNUMBER(CFDTable[[#This Row],[Done Today]]),SUM($G117:$L117),$AA116)</f>
        <v>124</v>
      </c>
      <c r="AB117" s="10">
        <f ca="1">IF(ISNUMBER(CFDTable[[#This Row],[Done Today]]),SUM($G117:$L117),$AB116)</f>
        <v>124</v>
      </c>
      <c r="AC117" s="10">
        <f ca="1">SUM(LOOKUP(2,1/(N$1:N116&lt;&gt;""),N$1:N116)+CFDTable[[#This Row],[lowDaily]])</f>
        <v>99.952380952380977</v>
      </c>
      <c r="AD117" s="10">
        <f ca="1">SUM(LOOKUP(2,1/(O$1:O116&lt;&gt;""),O$1:O116)+R117)</f>
        <v>105.23809523809511</v>
      </c>
      <c r="AE117" s="10">
        <f ca="1">SUM(LOOKUP(2,1/(P$1:P116&lt;&gt;""),P$1:P116)+CFDTable[[#This Row],[highDaily]])</f>
        <v>110.52380952380977</v>
      </c>
      <c r="AF117" s="12">
        <f>IF(CFDTable[[#This Row],[Date]]=DeadlineDate,CFDTable[[#This Row],[FutureWork2]],0)</f>
        <v>0</v>
      </c>
    </row>
    <row r="118" spans="1:32">
      <c r="A118" s="8">
        <f>CFDTable[[#This Row],[Date]]</f>
        <v>42576</v>
      </c>
      <c r="B118" s="38">
        <f>Data!B118</f>
        <v>42576</v>
      </c>
      <c r="C118" s="10">
        <f ca="1">IF(ISNUMBER(CFDTable[[#This Row],[Ready]]),NA(),CFDTable[[#This Row],[Target]]-CFDTable[[#This Row],[To Do]])</f>
        <v>77</v>
      </c>
      <c r="D118" s="10" t="e">
        <f>IF(CFDTable[[#This Row],[Emergence]]&gt;0,CFDTable[[#This Row],[Future Work]]-CFDTable[[#This Row],[Emergence]],NA())</f>
        <v>#N/A</v>
      </c>
      <c r="E118" s="10">
        <f>Data!C118</f>
        <v>0</v>
      </c>
      <c r="F118" s="10" t="str">
        <f ca="1">Data!D118</f>
        <v/>
      </c>
      <c r="G118" s="10">
        <f ca="1">Data!E118</f>
        <v>47</v>
      </c>
      <c r="H118" s="10" t="e">
        <f ca="1">IF(TodaysDate&gt;=$B118,Data!F118,NA())</f>
        <v>#N/A</v>
      </c>
      <c r="I118" s="10" t="e">
        <f ca="1">IF(TodaysDate&gt;=$B118,Data!G118,NA())</f>
        <v>#N/A</v>
      </c>
      <c r="J118" s="10" t="e">
        <f ca="1">IF(TodaysDate&gt;=$B118,Data!H118,NA())</f>
        <v>#N/A</v>
      </c>
      <c r="K118" s="10" t="e">
        <f ca="1">IF(TodaysDate&gt;=$B118,Data!I118,NA())</f>
        <v>#N/A</v>
      </c>
      <c r="L118" s="10" t="e">
        <f ca="1">IF(TodaysDate&gt;=$B118,Data!J118,NA())</f>
        <v>#N/A</v>
      </c>
      <c r="M118" s="10" t="e">
        <f ca="1">IF(CFDTable[[#This Row],[Done]]&gt;0,(CFDTable[[#This Row],[Done]])-(L117),0)</f>
        <v>#N/A</v>
      </c>
      <c r="N118" s="10">
        <f ca="1">IF(ISNUMBER($M118),SUM(CFDTable[[#This Row],[Done]]),IF(CFDTable[[#This Row],[lookupLow]]&gt;=CFDTable[[#This Row],[FutureWork2]]+CFDTable[[#This Row],[lowDaily]],NA(),CFDTable[[#This Row],[lookupLow]]))</f>
        <v>100.76190476190479</v>
      </c>
      <c r="O118" s="10">
        <f ca="1">IF(ISNUMBER($M118),SUM(CFDTable[[#This Row],[Done]]),IF(CFDTable[[#This Row],[lookupMedian]]&gt;=CFDTable[[#This Row],[FutureWork2]],NA(),CFDTable[[#This Row],[lookupMedian]]))</f>
        <v>106.19047619047606</v>
      </c>
      <c r="P118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111.61904761904788</v>
      </c>
      <c r="Q118" s="10">
        <f ca="1">CFDTable[[#This Row],[AvgDaily]]-CFDTable[[#This Row],[Deviation]]</f>
        <v>0.80952380952380931</v>
      </c>
      <c r="R118" s="10">
        <f ca="1">AVERAGE(IF(ISNUMBER(M118),IF(ISNUMBER(OFFSET(M118,-Historic,0)),OFFSET(M118,-Historic,0),M$2):M118,R117))</f>
        <v>0.95238095238095233</v>
      </c>
      <c r="S118" s="10">
        <f ca="1">AVERAGE(IF(ISNUMBER(M118),IF(ISNUMBER(OFFSET(M118,-Historic,0)),OFFSET(M118,-Historic,0),M$2):M118,S117))</f>
        <v>0.95238095238095233</v>
      </c>
      <c r="T118" s="10">
        <f ca="1">AVERAGE(IF(ISNUMBER(M118),OFFSET(M$2,DaysToIgnoreOnAvg,0):M118,T117))</f>
        <v>0.88311688311688308</v>
      </c>
      <c r="U118" s="10">
        <f ca="1">CFDTable[[#This Row],[AvgDaily]]+CFDTable[[#This Row],[Deviation]]</f>
        <v>1.0952380952380953</v>
      </c>
      <c r="V118" s="10">
        <f ca="1">IF(ISNUMBER(M118),((_xlfn.PERCENTILE.INC(IF(ISNUMBER(OFFSET(R118,-Historic,0)),OFFSET(R118,-Historic,0),R$2):R118,PercentileHigh/100))-(MEDIAN(IF(ISNUMBER(OFFSET(R118,-Historic,0)),OFFSET(R118,-Historic,0),R$2):R118))),V117)</f>
        <v>0.14285714285714302</v>
      </c>
      <c r="W118" s="10">
        <f ca="1">IF(ISNUMBER(M118),((_xlfn.PERCENTILE.INC(R$2:R118,PercentileHigh/100))-(MEDIAN(R$2:R118))),V117)</f>
        <v>0.14285714285714302</v>
      </c>
      <c r="X118" s="10" t="e">
        <f ca="1">(SUM(CFDTable[[#This Row],[To Do]:[Done]])-SUM(G117:L117))</f>
        <v>#N/A</v>
      </c>
      <c r="Y118" s="10">
        <f ca="1">AVERAGE(IF(ISNUMBER(X118),IF(ISNUMBER(OFFSET(X118,-Historic,0)),OFFSET(X118,-Historic,0),X$2):X118,Y117))</f>
        <v>1.1428571428571428</v>
      </c>
      <c r="Z118" s="10">
        <f ca="1">IF(ISNUMBER(CFDTable[[#This Row],[Done Today]]),SUM($G118:$L118),Z117+CFDTable[[#This Row],[avg added]])</f>
        <v>167.42857142857127</v>
      </c>
      <c r="AA118" s="10">
        <f ca="1">IF(ISNUMBER(CFDTable[[#This Row],[Done Today]]),SUM($G118:$L118),$AA117)</f>
        <v>124</v>
      </c>
      <c r="AB118" s="10">
        <f ca="1">IF(ISNUMBER(CFDTable[[#This Row],[Done Today]]),SUM($G118:$L118),$AB117)</f>
        <v>124</v>
      </c>
      <c r="AC118" s="10">
        <f ca="1">SUM(LOOKUP(2,1/(N$1:N117&lt;&gt;""),N$1:N117)+CFDTable[[#This Row],[lowDaily]])</f>
        <v>100.76190476190479</v>
      </c>
      <c r="AD118" s="10">
        <f ca="1">SUM(LOOKUP(2,1/(O$1:O117&lt;&gt;""),O$1:O117)+R118)</f>
        <v>106.19047619047606</v>
      </c>
      <c r="AE118" s="10">
        <f ca="1">SUM(LOOKUP(2,1/(P$1:P117&lt;&gt;""),P$1:P117)+CFDTable[[#This Row],[highDaily]])</f>
        <v>111.61904761904788</v>
      </c>
      <c r="AF118" s="12">
        <f>IF(CFDTable[[#This Row],[Date]]=DeadlineDate,CFDTable[[#This Row],[FutureWork2]],0)</f>
        <v>0</v>
      </c>
    </row>
    <row r="119" spans="1:32">
      <c r="A119" s="8">
        <f>CFDTable[[#This Row],[Date]]</f>
        <v>42577</v>
      </c>
      <c r="B119" s="38">
        <f>Data!B119</f>
        <v>42577</v>
      </c>
      <c r="C119" s="10">
        <f ca="1">IF(ISNUMBER(CFDTable[[#This Row],[Ready]]),NA(),CFDTable[[#This Row],[Target]]-CFDTable[[#This Row],[To Do]])</f>
        <v>77</v>
      </c>
      <c r="D119" s="10" t="e">
        <f>IF(CFDTable[[#This Row],[Emergence]]&gt;0,CFDTable[[#This Row],[Future Work]]-CFDTable[[#This Row],[Emergence]],NA())</f>
        <v>#N/A</v>
      </c>
      <c r="E119" s="10">
        <f>Data!C119</f>
        <v>0</v>
      </c>
      <c r="F119" s="10" t="str">
        <f ca="1">Data!D119</f>
        <v/>
      </c>
      <c r="G119" s="10">
        <f ca="1">Data!E119</f>
        <v>47</v>
      </c>
      <c r="H119" s="10" t="e">
        <f ca="1">IF(TodaysDate&gt;=$B119,Data!F119,NA())</f>
        <v>#N/A</v>
      </c>
      <c r="I119" s="10" t="e">
        <f ca="1">IF(TodaysDate&gt;=$B119,Data!G119,NA())</f>
        <v>#N/A</v>
      </c>
      <c r="J119" s="10" t="e">
        <f ca="1">IF(TodaysDate&gt;=$B119,Data!H119,NA())</f>
        <v>#N/A</v>
      </c>
      <c r="K119" s="10" t="e">
        <f ca="1">IF(TodaysDate&gt;=$B119,Data!I119,NA())</f>
        <v>#N/A</v>
      </c>
      <c r="L119" s="10" t="e">
        <f ca="1">IF(TodaysDate&gt;=$B119,Data!J119,NA())</f>
        <v>#N/A</v>
      </c>
      <c r="M119" s="10" t="e">
        <f ca="1">IF(CFDTable[[#This Row],[Done]]&gt;0,(CFDTable[[#This Row],[Done]])-(L118),0)</f>
        <v>#N/A</v>
      </c>
      <c r="N119" s="10">
        <f ca="1">IF(ISNUMBER($M119),SUM(CFDTable[[#This Row],[Done]]),IF(CFDTable[[#This Row],[lookupLow]]&gt;=CFDTable[[#This Row],[FutureWork2]]+CFDTable[[#This Row],[lowDaily]],NA(),CFDTable[[#This Row],[lookupLow]]))</f>
        <v>101.5714285714286</v>
      </c>
      <c r="O119" s="10">
        <f ca="1">IF(ISNUMBER($M119),SUM(CFDTable[[#This Row],[Done]]),IF(CFDTable[[#This Row],[lookupMedian]]&gt;=CFDTable[[#This Row],[FutureWork2]],NA(),CFDTable[[#This Row],[lookupMedian]]))</f>
        <v>107.14285714285701</v>
      </c>
      <c r="P119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112.71428571428598</v>
      </c>
      <c r="Q119" s="10">
        <f ca="1">CFDTable[[#This Row],[AvgDaily]]-CFDTable[[#This Row],[Deviation]]</f>
        <v>0.80952380952380931</v>
      </c>
      <c r="R119" s="10">
        <f ca="1">AVERAGE(IF(ISNUMBER(M119),IF(ISNUMBER(OFFSET(M119,-Historic,0)),OFFSET(M119,-Historic,0),M$2):M119,R118))</f>
        <v>0.95238095238095233</v>
      </c>
      <c r="S119" s="10">
        <f ca="1">AVERAGE(IF(ISNUMBER(M119),IF(ISNUMBER(OFFSET(M119,-Historic,0)),OFFSET(M119,-Historic,0),M$2):M119,S118))</f>
        <v>0.95238095238095233</v>
      </c>
      <c r="T119" s="10">
        <f ca="1">AVERAGE(IF(ISNUMBER(M119),OFFSET(M$2,DaysToIgnoreOnAvg,0):M119,T118))</f>
        <v>0.88311688311688308</v>
      </c>
      <c r="U119" s="10">
        <f ca="1">CFDTable[[#This Row],[AvgDaily]]+CFDTable[[#This Row],[Deviation]]</f>
        <v>1.0952380952380953</v>
      </c>
      <c r="V119" s="10">
        <f ca="1">IF(ISNUMBER(M119),((_xlfn.PERCENTILE.INC(IF(ISNUMBER(OFFSET(R119,-Historic,0)),OFFSET(R119,-Historic,0),R$2):R119,PercentileHigh/100))-(MEDIAN(IF(ISNUMBER(OFFSET(R119,-Historic,0)),OFFSET(R119,-Historic,0),R$2):R119))),V118)</f>
        <v>0.14285714285714302</v>
      </c>
      <c r="W119" s="10">
        <f ca="1">IF(ISNUMBER(M119),((_xlfn.PERCENTILE.INC(R$2:R119,PercentileHigh/100))-(MEDIAN(R$2:R119))),V118)</f>
        <v>0.14285714285714302</v>
      </c>
      <c r="X119" s="10" t="e">
        <f ca="1">(SUM(CFDTable[[#This Row],[To Do]:[Done]])-SUM(G118:L118))</f>
        <v>#N/A</v>
      </c>
      <c r="Y119" s="10">
        <f ca="1">AVERAGE(IF(ISNUMBER(X119),IF(ISNUMBER(OFFSET(X119,-Historic,0)),OFFSET(X119,-Historic,0),X$2):X119,Y118))</f>
        <v>1.1428571428571428</v>
      </c>
      <c r="Z119" s="10">
        <f ca="1">IF(ISNUMBER(CFDTable[[#This Row],[Done Today]]),SUM($G119:$L119),Z118+CFDTable[[#This Row],[avg added]])</f>
        <v>168.57142857142841</v>
      </c>
      <c r="AA119" s="10">
        <f ca="1">IF(ISNUMBER(CFDTable[[#This Row],[Done Today]]),SUM($G119:$L119),$AA118)</f>
        <v>124</v>
      </c>
      <c r="AB119" s="10">
        <f ca="1">IF(ISNUMBER(CFDTable[[#This Row],[Done Today]]),SUM($G119:$L119),$AB118)</f>
        <v>124</v>
      </c>
      <c r="AC119" s="10">
        <f ca="1">SUM(LOOKUP(2,1/(N$1:N118&lt;&gt;""),N$1:N118)+CFDTable[[#This Row],[lowDaily]])</f>
        <v>101.5714285714286</v>
      </c>
      <c r="AD119" s="10">
        <f ca="1">SUM(LOOKUP(2,1/(O$1:O118&lt;&gt;""),O$1:O118)+R119)</f>
        <v>107.14285714285701</v>
      </c>
      <c r="AE119" s="10">
        <f ca="1">SUM(LOOKUP(2,1/(P$1:P118&lt;&gt;""),P$1:P118)+CFDTable[[#This Row],[highDaily]])</f>
        <v>112.71428571428598</v>
      </c>
      <c r="AF119" s="12">
        <f>IF(CFDTable[[#This Row],[Date]]=DeadlineDate,CFDTable[[#This Row],[FutureWork2]],0)</f>
        <v>0</v>
      </c>
    </row>
    <row r="120" spans="1:32">
      <c r="A120" s="8">
        <f>CFDTable[[#This Row],[Date]]</f>
        <v>42578</v>
      </c>
      <c r="B120" s="38">
        <f>Data!B120</f>
        <v>42578</v>
      </c>
      <c r="C120" s="10">
        <f ca="1">IF(ISNUMBER(CFDTable[[#This Row],[Ready]]),NA(),CFDTable[[#This Row],[Target]]-CFDTable[[#This Row],[To Do]])</f>
        <v>77</v>
      </c>
      <c r="D120" s="10" t="e">
        <f>IF(CFDTable[[#This Row],[Emergence]]&gt;0,CFDTable[[#This Row],[Future Work]]-CFDTable[[#This Row],[Emergence]],NA())</f>
        <v>#N/A</v>
      </c>
      <c r="E120" s="10">
        <f>Data!C120</f>
        <v>0</v>
      </c>
      <c r="F120" s="10" t="str">
        <f ca="1">Data!D120</f>
        <v/>
      </c>
      <c r="G120" s="10">
        <f ca="1">Data!E120</f>
        <v>47</v>
      </c>
      <c r="H120" s="10" t="e">
        <f ca="1">IF(TodaysDate&gt;=$B120,Data!F120,NA())</f>
        <v>#N/A</v>
      </c>
      <c r="I120" s="10" t="e">
        <f ca="1">IF(TodaysDate&gt;=$B120,Data!G120,NA())</f>
        <v>#N/A</v>
      </c>
      <c r="J120" s="10" t="e">
        <f ca="1">IF(TodaysDate&gt;=$B120,Data!H120,NA())</f>
        <v>#N/A</v>
      </c>
      <c r="K120" s="10" t="e">
        <f ca="1">IF(TodaysDate&gt;=$B120,Data!I120,NA())</f>
        <v>#N/A</v>
      </c>
      <c r="L120" s="10" t="e">
        <f ca="1">IF(TodaysDate&gt;=$B120,Data!J120,NA())</f>
        <v>#N/A</v>
      </c>
      <c r="M120" s="10" t="e">
        <f ca="1">IF(CFDTable[[#This Row],[Done]]&gt;0,(CFDTable[[#This Row],[Done]])-(L119),0)</f>
        <v>#N/A</v>
      </c>
      <c r="N120" s="10">
        <f ca="1">IF(ISNUMBER($M120),SUM(CFDTable[[#This Row],[Done]]),IF(CFDTable[[#This Row],[lookupLow]]&gt;=CFDTable[[#This Row],[FutureWork2]]+CFDTable[[#This Row],[lowDaily]],NA(),CFDTable[[#This Row],[lookupLow]]))</f>
        <v>102.38095238095241</v>
      </c>
      <c r="O120" s="10">
        <f ca="1">IF(ISNUMBER($M120),SUM(CFDTable[[#This Row],[Done]]),IF(CFDTable[[#This Row],[lookupMedian]]&gt;=CFDTable[[#This Row],[FutureWork2]],NA(),CFDTable[[#This Row],[lookupMedian]]))</f>
        <v>108.09523809523796</v>
      </c>
      <c r="P120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113.80952380952408</v>
      </c>
      <c r="Q120" s="10">
        <f ca="1">CFDTable[[#This Row],[AvgDaily]]-CFDTable[[#This Row],[Deviation]]</f>
        <v>0.80952380952380931</v>
      </c>
      <c r="R120" s="10">
        <f ca="1">AVERAGE(IF(ISNUMBER(M120),IF(ISNUMBER(OFFSET(M120,-Historic,0)),OFFSET(M120,-Historic,0),M$2):M120,R119))</f>
        <v>0.95238095238095233</v>
      </c>
      <c r="S120" s="10">
        <f ca="1">AVERAGE(IF(ISNUMBER(M120),IF(ISNUMBER(OFFSET(M120,-Historic,0)),OFFSET(M120,-Historic,0),M$2):M120,S119))</f>
        <v>0.95238095238095233</v>
      </c>
      <c r="T120" s="10">
        <f ca="1">AVERAGE(IF(ISNUMBER(M120),OFFSET(M$2,DaysToIgnoreOnAvg,0):M120,T119))</f>
        <v>0.88311688311688308</v>
      </c>
      <c r="U120" s="10">
        <f ca="1">CFDTable[[#This Row],[AvgDaily]]+CFDTable[[#This Row],[Deviation]]</f>
        <v>1.0952380952380953</v>
      </c>
      <c r="V120" s="10">
        <f ca="1">IF(ISNUMBER(M120),((_xlfn.PERCENTILE.INC(IF(ISNUMBER(OFFSET(R120,-Historic,0)),OFFSET(R120,-Historic,0),R$2):R120,PercentileHigh/100))-(MEDIAN(IF(ISNUMBER(OFFSET(R120,-Historic,0)),OFFSET(R120,-Historic,0),R$2):R120))),V119)</f>
        <v>0.14285714285714302</v>
      </c>
      <c r="W120" s="10">
        <f ca="1">IF(ISNUMBER(M120),((_xlfn.PERCENTILE.INC(R$2:R120,PercentileHigh/100))-(MEDIAN(R$2:R120))),V119)</f>
        <v>0.14285714285714302</v>
      </c>
      <c r="X120" s="10" t="e">
        <f ca="1">(SUM(CFDTable[[#This Row],[To Do]:[Done]])-SUM(G119:L119))</f>
        <v>#N/A</v>
      </c>
      <c r="Y120" s="10">
        <f ca="1">AVERAGE(IF(ISNUMBER(X120),IF(ISNUMBER(OFFSET(X120,-Historic,0)),OFFSET(X120,-Historic,0),X$2):X120,Y119))</f>
        <v>1.1428571428571428</v>
      </c>
      <c r="Z120" s="10">
        <f ca="1">IF(ISNUMBER(CFDTable[[#This Row],[Done Today]]),SUM($G120:$L120),Z119+CFDTable[[#This Row],[avg added]])</f>
        <v>169.71428571428555</v>
      </c>
      <c r="AA120" s="10">
        <f ca="1">IF(ISNUMBER(CFDTable[[#This Row],[Done Today]]),SUM($G120:$L120),$AA119)</f>
        <v>124</v>
      </c>
      <c r="AB120" s="10">
        <f ca="1">IF(ISNUMBER(CFDTable[[#This Row],[Done Today]]),SUM($G120:$L120),$AB119)</f>
        <v>124</v>
      </c>
      <c r="AC120" s="10">
        <f ca="1">SUM(LOOKUP(2,1/(N$1:N119&lt;&gt;""),N$1:N119)+CFDTable[[#This Row],[lowDaily]])</f>
        <v>102.38095238095241</v>
      </c>
      <c r="AD120" s="10">
        <f ca="1">SUM(LOOKUP(2,1/(O$1:O119&lt;&gt;""),O$1:O119)+R120)</f>
        <v>108.09523809523796</v>
      </c>
      <c r="AE120" s="10">
        <f ca="1">SUM(LOOKUP(2,1/(P$1:P119&lt;&gt;""),P$1:P119)+CFDTable[[#This Row],[highDaily]])</f>
        <v>113.80952380952408</v>
      </c>
      <c r="AF120" s="12">
        <f>IF(CFDTable[[#This Row],[Date]]=DeadlineDate,CFDTable[[#This Row],[FutureWork2]],0)</f>
        <v>0</v>
      </c>
    </row>
    <row r="121" spans="1:32">
      <c r="A121" s="8">
        <f>CFDTable[[#This Row],[Date]]</f>
        <v>42579</v>
      </c>
      <c r="B121" s="38">
        <f>Data!B121</f>
        <v>42579</v>
      </c>
      <c r="C121" s="10">
        <f ca="1">IF(ISNUMBER(CFDTable[[#This Row],[Ready]]),NA(),CFDTable[[#This Row],[Target]]-CFDTable[[#This Row],[To Do]])</f>
        <v>77</v>
      </c>
      <c r="D121" s="10" t="e">
        <f>IF(CFDTable[[#This Row],[Emergence]]&gt;0,CFDTable[[#This Row],[Future Work]]-CFDTable[[#This Row],[Emergence]],NA())</f>
        <v>#N/A</v>
      </c>
      <c r="E121" s="10">
        <f>Data!C121</f>
        <v>0</v>
      </c>
      <c r="F121" s="10" t="str">
        <f ca="1">Data!D121</f>
        <v/>
      </c>
      <c r="G121" s="10">
        <f ca="1">Data!E121</f>
        <v>47</v>
      </c>
      <c r="H121" s="10" t="e">
        <f ca="1">IF(TodaysDate&gt;=$B121,Data!F121,NA())</f>
        <v>#N/A</v>
      </c>
      <c r="I121" s="10" t="e">
        <f ca="1">IF(TodaysDate&gt;=$B121,Data!G121,NA())</f>
        <v>#N/A</v>
      </c>
      <c r="J121" s="10" t="e">
        <f ca="1">IF(TodaysDate&gt;=$B121,Data!H121,NA())</f>
        <v>#N/A</v>
      </c>
      <c r="K121" s="10" t="e">
        <f ca="1">IF(TodaysDate&gt;=$B121,Data!I121,NA())</f>
        <v>#N/A</v>
      </c>
      <c r="L121" s="10" t="e">
        <f ca="1">IF(TodaysDate&gt;=$B121,Data!J121,NA())</f>
        <v>#N/A</v>
      </c>
      <c r="M121" s="10" t="e">
        <f ca="1">IF(CFDTable[[#This Row],[Done]]&gt;0,(CFDTable[[#This Row],[Done]])-(L120),0)</f>
        <v>#N/A</v>
      </c>
      <c r="N121" s="10">
        <f ca="1">IF(ISNUMBER($M121),SUM(CFDTable[[#This Row],[Done]]),IF(CFDTable[[#This Row],[lookupLow]]&gt;=CFDTable[[#This Row],[FutureWork2]]+CFDTable[[#This Row],[lowDaily]],NA(),CFDTable[[#This Row],[lookupLow]]))</f>
        <v>103.19047619047622</v>
      </c>
      <c r="O121" s="10">
        <f ca="1">IF(ISNUMBER($M121),SUM(CFDTable[[#This Row],[Done]]),IF(CFDTable[[#This Row],[lookupMedian]]&gt;=CFDTable[[#This Row],[FutureWork2]],NA(),CFDTable[[#This Row],[lookupMedian]]))</f>
        <v>109.04761904761891</v>
      </c>
      <c r="P121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114.90476190476218</v>
      </c>
      <c r="Q121" s="10">
        <f ca="1">CFDTable[[#This Row],[AvgDaily]]-CFDTable[[#This Row],[Deviation]]</f>
        <v>0.80952380952380931</v>
      </c>
      <c r="R121" s="10">
        <f ca="1">AVERAGE(IF(ISNUMBER(M121),IF(ISNUMBER(OFFSET(M121,-Historic,0)),OFFSET(M121,-Historic,0),M$2):M121,R120))</f>
        <v>0.95238095238095233</v>
      </c>
      <c r="S121" s="10">
        <f ca="1">AVERAGE(IF(ISNUMBER(M121),IF(ISNUMBER(OFFSET(M121,-Historic,0)),OFFSET(M121,-Historic,0),M$2):M121,S120))</f>
        <v>0.95238095238095233</v>
      </c>
      <c r="T121" s="10">
        <f ca="1">AVERAGE(IF(ISNUMBER(M121),OFFSET(M$2,DaysToIgnoreOnAvg,0):M121,T120))</f>
        <v>0.88311688311688308</v>
      </c>
      <c r="U121" s="10">
        <f ca="1">CFDTable[[#This Row],[AvgDaily]]+CFDTable[[#This Row],[Deviation]]</f>
        <v>1.0952380952380953</v>
      </c>
      <c r="V121" s="10">
        <f ca="1">IF(ISNUMBER(M121),((_xlfn.PERCENTILE.INC(IF(ISNUMBER(OFFSET(R121,-Historic,0)),OFFSET(R121,-Historic,0),R$2):R121,PercentileHigh/100))-(MEDIAN(IF(ISNUMBER(OFFSET(R121,-Historic,0)),OFFSET(R121,-Historic,0),R$2):R121))),V120)</f>
        <v>0.14285714285714302</v>
      </c>
      <c r="W121" s="10">
        <f ca="1">IF(ISNUMBER(M121),((_xlfn.PERCENTILE.INC(R$2:R121,PercentileHigh/100))-(MEDIAN(R$2:R121))),V120)</f>
        <v>0.14285714285714302</v>
      </c>
      <c r="X121" s="10" t="e">
        <f ca="1">(SUM(CFDTable[[#This Row],[To Do]:[Done]])-SUM(G120:L120))</f>
        <v>#N/A</v>
      </c>
      <c r="Y121" s="10">
        <f ca="1">AVERAGE(IF(ISNUMBER(X121),IF(ISNUMBER(OFFSET(X121,-Historic,0)),OFFSET(X121,-Historic,0),X$2):X121,Y120))</f>
        <v>1.1428571428571428</v>
      </c>
      <c r="Z121" s="10">
        <f ca="1">IF(ISNUMBER(CFDTable[[#This Row],[Done Today]]),SUM($G121:$L121),Z120+CFDTable[[#This Row],[avg added]])</f>
        <v>170.85714285714269</v>
      </c>
      <c r="AA121" s="10">
        <f ca="1">IF(ISNUMBER(CFDTable[[#This Row],[Done Today]]),SUM($G121:$L121),$AA120)</f>
        <v>124</v>
      </c>
      <c r="AB121" s="10">
        <f ca="1">IF(ISNUMBER(CFDTable[[#This Row],[Done Today]]),SUM($G121:$L121),$AB120)</f>
        <v>124</v>
      </c>
      <c r="AC121" s="10">
        <f ca="1">SUM(LOOKUP(2,1/(N$1:N120&lt;&gt;""),N$1:N120)+CFDTable[[#This Row],[lowDaily]])</f>
        <v>103.19047619047622</v>
      </c>
      <c r="AD121" s="10">
        <f ca="1">SUM(LOOKUP(2,1/(O$1:O120&lt;&gt;""),O$1:O120)+R121)</f>
        <v>109.04761904761891</v>
      </c>
      <c r="AE121" s="10">
        <f ca="1">SUM(LOOKUP(2,1/(P$1:P120&lt;&gt;""),P$1:P120)+CFDTable[[#This Row],[highDaily]])</f>
        <v>114.90476190476218</v>
      </c>
      <c r="AF121" s="12">
        <f>IF(CFDTable[[#This Row],[Date]]=DeadlineDate,CFDTable[[#This Row],[FutureWork2]],0)</f>
        <v>0</v>
      </c>
    </row>
    <row r="122" spans="1:32">
      <c r="A122" s="8">
        <f>CFDTable[[#This Row],[Date]]</f>
        <v>42580</v>
      </c>
      <c r="B122" s="38">
        <f>Data!B122</f>
        <v>42580</v>
      </c>
      <c r="C122" s="10">
        <f ca="1">IF(ISNUMBER(CFDTable[[#This Row],[Ready]]),NA(),CFDTable[[#This Row],[Target]]-CFDTable[[#This Row],[To Do]])</f>
        <v>77</v>
      </c>
      <c r="D122" s="10" t="e">
        <f>IF(CFDTable[[#This Row],[Emergence]]&gt;0,CFDTable[[#This Row],[Future Work]]-CFDTable[[#This Row],[Emergence]],NA())</f>
        <v>#N/A</v>
      </c>
      <c r="E122" s="10">
        <f>Data!C122</f>
        <v>0</v>
      </c>
      <c r="F122" s="10" t="str">
        <f ca="1">Data!D122</f>
        <v/>
      </c>
      <c r="G122" s="10">
        <f ca="1">Data!E122</f>
        <v>47</v>
      </c>
      <c r="H122" s="10" t="e">
        <f ca="1">IF(TodaysDate&gt;=$B122,Data!F122,NA())</f>
        <v>#N/A</v>
      </c>
      <c r="I122" s="10" t="e">
        <f ca="1">IF(TodaysDate&gt;=$B122,Data!G122,NA())</f>
        <v>#N/A</v>
      </c>
      <c r="J122" s="10" t="e">
        <f ca="1">IF(TodaysDate&gt;=$B122,Data!H122,NA())</f>
        <v>#N/A</v>
      </c>
      <c r="K122" s="10" t="e">
        <f ca="1">IF(TodaysDate&gt;=$B122,Data!I122,NA())</f>
        <v>#N/A</v>
      </c>
      <c r="L122" s="10" t="e">
        <f ca="1">IF(TodaysDate&gt;=$B122,Data!J122,NA())</f>
        <v>#N/A</v>
      </c>
      <c r="M122" s="10" t="e">
        <f ca="1">IF(CFDTable[[#This Row],[Done]]&gt;0,(CFDTable[[#This Row],[Done]])-(L121),0)</f>
        <v>#N/A</v>
      </c>
      <c r="N122" s="10">
        <f ca="1">IF(ISNUMBER($M122),SUM(CFDTable[[#This Row],[Done]]),IF(CFDTable[[#This Row],[lookupLow]]&gt;=CFDTable[[#This Row],[FutureWork2]]+CFDTable[[#This Row],[lowDaily]],NA(),CFDTable[[#This Row],[lookupLow]]))</f>
        <v>104.00000000000003</v>
      </c>
      <c r="O122" s="10">
        <f ca="1">IF(ISNUMBER($M122),SUM(CFDTable[[#This Row],[Done]]),IF(CFDTable[[#This Row],[lookupMedian]]&gt;=CFDTable[[#This Row],[FutureWork2]],NA(),CFDTable[[#This Row],[lookupMedian]]))</f>
        <v>109.99999999999986</v>
      </c>
      <c r="P122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116.00000000000028</v>
      </c>
      <c r="Q122" s="10">
        <f ca="1">CFDTable[[#This Row],[AvgDaily]]-CFDTable[[#This Row],[Deviation]]</f>
        <v>0.80952380952380931</v>
      </c>
      <c r="R122" s="10">
        <f ca="1">AVERAGE(IF(ISNUMBER(M122),IF(ISNUMBER(OFFSET(M122,-Historic,0)),OFFSET(M122,-Historic,0),M$2):M122,R121))</f>
        <v>0.95238095238095233</v>
      </c>
      <c r="S122" s="10">
        <f ca="1">AVERAGE(IF(ISNUMBER(M122),IF(ISNUMBER(OFFSET(M122,-Historic,0)),OFFSET(M122,-Historic,0),M$2):M122,S121))</f>
        <v>0.95238095238095233</v>
      </c>
      <c r="T122" s="10">
        <f ca="1">AVERAGE(IF(ISNUMBER(M122),OFFSET(M$2,DaysToIgnoreOnAvg,0):M122,T121))</f>
        <v>0.88311688311688308</v>
      </c>
      <c r="U122" s="10">
        <f ca="1">CFDTable[[#This Row],[AvgDaily]]+CFDTable[[#This Row],[Deviation]]</f>
        <v>1.0952380952380953</v>
      </c>
      <c r="V122" s="10">
        <f ca="1">IF(ISNUMBER(M122),((_xlfn.PERCENTILE.INC(IF(ISNUMBER(OFFSET(R122,-Historic,0)),OFFSET(R122,-Historic,0),R$2):R122,PercentileHigh/100))-(MEDIAN(IF(ISNUMBER(OFFSET(R122,-Historic,0)),OFFSET(R122,-Historic,0),R$2):R122))),V121)</f>
        <v>0.14285714285714302</v>
      </c>
      <c r="W122" s="10">
        <f ca="1">IF(ISNUMBER(M122),((_xlfn.PERCENTILE.INC(R$2:R122,PercentileHigh/100))-(MEDIAN(R$2:R122))),V121)</f>
        <v>0.14285714285714302</v>
      </c>
      <c r="X122" s="10" t="e">
        <f ca="1">(SUM(CFDTable[[#This Row],[To Do]:[Done]])-SUM(G121:L121))</f>
        <v>#N/A</v>
      </c>
      <c r="Y122" s="10">
        <f ca="1">AVERAGE(IF(ISNUMBER(X122),IF(ISNUMBER(OFFSET(X122,-Historic,0)),OFFSET(X122,-Historic,0),X$2):X122,Y121))</f>
        <v>1.1428571428571428</v>
      </c>
      <c r="Z122" s="10">
        <f ca="1">IF(ISNUMBER(CFDTable[[#This Row],[Done Today]]),SUM($G122:$L122),Z121+CFDTable[[#This Row],[avg added]])</f>
        <v>171.99999999999983</v>
      </c>
      <c r="AA122" s="10">
        <f ca="1">IF(ISNUMBER(CFDTable[[#This Row],[Done Today]]),SUM($G122:$L122),$AA121)</f>
        <v>124</v>
      </c>
      <c r="AB122" s="10">
        <f ca="1">IF(ISNUMBER(CFDTable[[#This Row],[Done Today]]),SUM($G122:$L122),$AB121)</f>
        <v>124</v>
      </c>
      <c r="AC122" s="10">
        <f ca="1">SUM(LOOKUP(2,1/(N$1:N121&lt;&gt;""),N$1:N121)+CFDTable[[#This Row],[lowDaily]])</f>
        <v>104.00000000000003</v>
      </c>
      <c r="AD122" s="10">
        <f ca="1">SUM(LOOKUP(2,1/(O$1:O121&lt;&gt;""),O$1:O121)+R122)</f>
        <v>109.99999999999986</v>
      </c>
      <c r="AE122" s="10">
        <f ca="1">SUM(LOOKUP(2,1/(P$1:P121&lt;&gt;""),P$1:P121)+CFDTable[[#This Row],[highDaily]])</f>
        <v>116.00000000000028</v>
      </c>
      <c r="AF122" s="12">
        <f>IF(CFDTable[[#This Row],[Date]]=DeadlineDate,CFDTable[[#This Row],[FutureWork2]],0)</f>
        <v>0</v>
      </c>
    </row>
    <row r="123" spans="1:32">
      <c r="A123" s="8">
        <f>CFDTable[[#This Row],[Date]]</f>
        <v>42583</v>
      </c>
      <c r="B123" s="38">
        <f>Data!B123</f>
        <v>42583</v>
      </c>
      <c r="C123" s="10">
        <f ca="1">IF(ISNUMBER(CFDTable[[#This Row],[Ready]]),NA(),CFDTable[[#This Row],[Target]]-CFDTable[[#This Row],[To Do]])</f>
        <v>77</v>
      </c>
      <c r="D123" s="10" t="e">
        <f>IF(CFDTable[[#This Row],[Emergence]]&gt;0,CFDTable[[#This Row],[Future Work]]-CFDTable[[#This Row],[Emergence]],NA())</f>
        <v>#N/A</v>
      </c>
      <c r="E123" s="10">
        <f>Data!C123</f>
        <v>0</v>
      </c>
      <c r="F123" s="10" t="str">
        <f ca="1">Data!D123</f>
        <v/>
      </c>
      <c r="G123" s="10">
        <f ca="1">Data!E123</f>
        <v>47</v>
      </c>
      <c r="H123" s="10" t="e">
        <f ca="1">IF(TodaysDate&gt;=$B123,Data!F123,NA())</f>
        <v>#N/A</v>
      </c>
      <c r="I123" s="10" t="e">
        <f ca="1">IF(TodaysDate&gt;=$B123,Data!G123,NA())</f>
        <v>#N/A</v>
      </c>
      <c r="J123" s="10" t="e">
        <f ca="1">IF(TodaysDate&gt;=$B123,Data!H123,NA())</f>
        <v>#N/A</v>
      </c>
      <c r="K123" s="10" t="e">
        <f ca="1">IF(TodaysDate&gt;=$B123,Data!I123,NA())</f>
        <v>#N/A</v>
      </c>
      <c r="L123" s="10" t="e">
        <f ca="1">IF(TodaysDate&gt;=$B123,Data!J123,NA())</f>
        <v>#N/A</v>
      </c>
      <c r="M123" s="10" t="e">
        <f ca="1">IF(CFDTable[[#This Row],[Done]]&gt;0,(CFDTable[[#This Row],[Done]])-(L122),0)</f>
        <v>#N/A</v>
      </c>
      <c r="N123" s="10">
        <f ca="1">IF(ISNUMBER($M123),SUM(CFDTable[[#This Row],[Done]]),IF(CFDTable[[#This Row],[lookupLow]]&gt;=CFDTable[[#This Row],[FutureWork2]]+CFDTable[[#This Row],[lowDaily]],NA(),CFDTable[[#This Row],[lookupLow]]))</f>
        <v>104.80952380952384</v>
      </c>
      <c r="O123" s="10">
        <f ca="1">IF(ISNUMBER($M123),SUM(CFDTable[[#This Row],[Done]]),IF(CFDTable[[#This Row],[lookupMedian]]&gt;=CFDTable[[#This Row],[FutureWork2]],NA(),CFDTable[[#This Row],[lookupMedian]]))</f>
        <v>110.95238095238081</v>
      </c>
      <c r="P123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117.09523809523839</v>
      </c>
      <c r="Q123" s="10">
        <f ca="1">CFDTable[[#This Row],[AvgDaily]]-CFDTable[[#This Row],[Deviation]]</f>
        <v>0.80952380952380931</v>
      </c>
      <c r="R123" s="10">
        <f ca="1">AVERAGE(IF(ISNUMBER(M123),IF(ISNUMBER(OFFSET(M123,-Historic,0)),OFFSET(M123,-Historic,0),M$2):M123,R122))</f>
        <v>0.95238095238095233</v>
      </c>
      <c r="S123" s="10">
        <f ca="1">AVERAGE(IF(ISNUMBER(M123),IF(ISNUMBER(OFFSET(M123,-Historic,0)),OFFSET(M123,-Historic,0),M$2):M123,S122))</f>
        <v>0.95238095238095233</v>
      </c>
      <c r="T123" s="10">
        <f ca="1">AVERAGE(IF(ISNUMBER(M123),OFFSET(M$2,DaysToIgnoreOnAvg,0):M123,T122))</f>
        <v>0.88311688311688308</v>
      </c>
      <c r="U123" s="10">
        <f ca="1">CFDTable[[#This Row],[AvgDaily]]+CFDTable[[#This Row],[Deviation]]</f>
        <v>1.0952380952380953</v>
      </c>
      <c r="V123" s="10">
        <f ca="1">IF(ISNUMBER(M123),((_xlfn.PERCENTILE.INC(IF(ISNUMBER(OFFSET(R123,-Historic,0)),OFFSET(R123,-Historic,0),R$2):R123,PercentileHigh/100))-(MEDIAN(IF(ISNUMBER(OFFSET(R123,-Historic,0)),OFFSET(R123,-Historic,0),R$2):R123))),V122)</f>
        <v>0.14285714285714302</v>
      </c>
      <c r="W123" s="10">
        <f ca="1">IF(ISNUMBER(M123),((_xlfn.PERCENTILE.INC(R$2:R123,PercentileHigh/100))-(MEDIAN(R$2:R123))),V122)</f>
        <v>0.14285714285714302</v>
      </c>
      <c r="X123" s="10" t="e">
        <f ca="1">(SUM(CFDTable[[#This Row],[To Do]:[Done]])-SUM(G122:L122))</f>
        <v>#N/A</v>
      </c>
      <c r="Y123" s="10">
        <f ca="1">AVERAGE(IF(ISNUMBER(X123),IF(ISNUMBER(OFFSET(X123,-Historic,0)),OFFSET(X123,-Historic,0),X$2):X123,Y122))</f>
        <v>1.1428571428571428</v>
      </c>
      <c r="Z123" s="10">
        <f ca="1">IF(ISNUMBER(CFDTable[[#This Row],[Done Today]]),SUM($G123:$L123),Z122+CFDTable[[#This Row],[avg added]])</f>
        <v>173.14285714285697</v>
      </c>
      <c r="AA123" s="10">
        <f ca="1">IF(ISNUMBER(CFDTable[[#This Row],[Done Today]]),SUM($G123:$L123),$AA122)</f>
        <v>124</v>
      </c>
      <c r="AB123" s="10">
        <f ca="1">IF(ISNUMBER(CFDTable[[#This Row],[Done Today]]),SUM($G123:$L123),$AB122)</f>
        <v>124</v>
      </c>
      <c r="AC123" s="10">
        <f ca="1">SUM(LOOKUP(2,1/(N$1:N122&lt;&gt;""),N$1:N122)+CFDTable[[#This Row],[lowDaily]])</f>
        <v>104.80952380952384</v>
      </c>
      <c r="AD123" s="10">
        <f ca="1">SUM(LOOKUP(2,1/(O$1:O122&lt;&gt;""),O$1:O122)+R123)</f>
        <v>110.95238095238081</v>
      </c>
      <c r="AE123" s="10">
        <f ca="1">SUM(LOOKUP(2,1/(P$1:P122&lt;&gt;""),P$1:P122)+CFDTable[[#This Row],[highDaily]])</f>
        <v>117.09523809523839</v>
      </c>
      <c r="AF123" s="12">
        <f ca="1">IF(CFDTable[[#This Row],[Date]]=DeadlineDate,CFDTable[[#This Row],[FutureWork2]],0)</f>
        <v>173.14285714285697</v>
      </c>
    </row>
    <row r="124" spans="1:32">
      <c r="A124" s="8">
        <f>CFDTable[[#This Row],[Date]]</f>
        <v>42584</v>
      </c>
      <c r="B124" s="38">
        <f>Data!B124</f>
        <v>42584</v>
      </c>
      <c r="C124" s="10">
        <f ca="1">IF(ISNUMBER(CFDTable[[#This Row],[Ready]]),NA(),CFDTable[[#This Row],[Target]]-CFDTable[[#This Row],[To Do]])</f>
        <v>77</v>
      </c>
      <c r="D124" s="10" t="e">
        <f>IF(CFDTable[[#This Row],[Emergence]]&gt;0,CFDTable[[#This Row],[Future Work]]-CFDTable[[#This Row],[Emergence]],NA())</f>
        <v>#N/A</v>
      </c>
      <c r="E124" s="10">
        <f>Data!C124</f>
        <v>0</v>
      </c>
      <c r="F124" s="10" t="str">
        <f ca="1">Data!D124</f>
        <v/>
      </c>
      <c r="G124" s="10">
        <f ca="1">Data!E124</f>
        <v>47</v>
      </c>
      <c r="H124" s="10" t="e">
        <f ca="1">IF(TodaysDate&gt;=$B124,Data!F124,NA())</f>
        <v>#N/A</v>
      </c>
      <c r="I124" s="10" t="e">
        <f ca="1">IF(TodaysDate&gt;=$B124,Data!G124,NA())</f>
        <v>#N/A</v>
      </c>
      <c r="J124" s="10" t="e">
        <f ca="1">IF(TodaysDate&gt;=$B124,Data!H124,NA())</f>
        <v>#N/A</v>
      </c>
      <c r="K124" s="10" t="e">
        <f ca="1">IF(TodaysDate&gt;=$B124,Data!I124,NA())</f>
        <v>#N/A</v>
      </c>
      <c r="L124" s="10" t="e">
        <f ca="1">IF(TodaysDate&gt;=$B124,Data!J124,NA())</f>
        <v>#N/A</v>
      </c>
      <c r="M124" s="10" t="e">
        <f ca="1">IF(CFDTable[[#This Row],[Done]]&gt;0,(CFDTable[[#This Row],[Done]])-(L123),0)</f>
        <v>#N/A</v>
      </c>
      <c r="N124" s="10">
        <f ca="1">IF(ISNUMBER($M124),SUM(CFDTable[[#This Row],[Done]]),IF(CFDTable[[#This Row],[lookupLow]]&gt;=CFDTable[[#This Row],[FutureWork2]]+CFDTable[[#This Row],[lowDaily]],NA(),CFDTable[[#This Row],[lookupLow]]))</f>
        <v>105.61904761904765</v>
      </c>
      <c r="O124" s="10">
        <f ca="1">IF(ISNUMBER($M124),SUM(CFDTable[[#This Row],[Done]]),IF(CFDTable[[#This Row],[lookupMedian]]&gt;=CFDTable[[#This Row],[FutureWork2]],NA(),CFDTable[[#This Row],[lookupMedian]]))</f>
        <v>111.90476190476176</v>
      </c>
      <c r="P124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118.19047619047649</v>
      </c>
      <c r="Q124" s="10">
        <f ca="1">CFDTable[[#This Row],[AvgDaily]]-CFDTable[[#This Row],[Deviation]]</f>
        <v>0.80952380952380931</v>
      </c>
      <c r="R124" s="10">
        <f ca="1">AVERAGE(IF(ISNUMBER(M124),IF(ISNUMBER(OFFSET(M124,-Historic,0)),OFFSET(M124,-Historic,0),M$2):M124,R123))</f>
        <v>0.95238095238095233</v>
      </c>
      <c r="S124" s="10">
        <f ca="1">AVERAGE(IF(ISNUMBER(M124),IF(ISNUMBER(OFFSET(M124,-Historic,0)),OFFSET(M124,-Historic,0),M$2):M124,S123))</f>
        <v>0.95238095238095233</v>
      </c>
      <c r="T124" s="10">
        <f ca="1">AVERAGE(IF(ISNUMBER(M124),OFFSET(M$2,DaysToIgnoreOnAvg,0):M124,T123))</f>
        <v>0.88311688311688308</v>
      </c>
      <c r="U124" s="10">
        <f ca="1">CFDTable[[#This Row],[AvgDaily]]+CFDTable[[#This Row],[Deviation]]</f>
        <v>1.0952380952380953</v>
      </c>
      <c r="V124" s="10">
        <f ca="1">IF(ISNUMBER(M124),((_xlfn.PERCENTILE.INC(IF(ISNUMBER(OFFSET(R124,-Historic,0)),OFFSET(R124,-Historic,0),R$2):R124,PercentileHigh/100))-(MEDIAN(IF(ISNUMBER(OFFSET(R124,-Historic,0)),OFFSET(R124,-Historic,0),R$2):R124))),V123)</f>
        <v>0.14285714285714302</v>
      </c>
      <c r="W124" s="10">
        <f ca="1">IF(ISNUMBER(M124),((_xlfn.PERCENTILE.INC(R$2:R124,PercentileHigh/100))-(MEDIAN(R$2:R124))),V123)</f>
        <v>0.14285714285714302</v>
      </c>
      <c r="X124" s="10" t="e">
        <f ca="1">(SUM(CFDTable[[#This Row],[To Do]:[Done]])-SUM(G123:L123))</f>
        <v>#N/A</v>
      </c>
      <c r="Y124" s="10">
        <f ca="1">AVERAGE(IF(ISNUMBER(X124),IF(ISNUMBER(OFFSET(X124,-Historic,0)),OFFSET(X124,-Historic,0),X$2):X124,Y123))</f>
        <v>1.1428571428571428</v>
      </c>
      <c r="Z124" s="10">
        <f ca="1">IF(ISNUMBER(CFDTable[[#This Row],[Done Today]]),SUM($G124:$L124),Z123+CFDTable[[#This Row],[avg added]])</f>
        <v>174.28571428571411</v>
      </c>
      <c r="AA124" s="10">
        <f ca="1">IF(ISNUMBER(CFDTable[[#This Row],[Done Today]]),SUM($G124:$L124),$AA123)</f>
        <v>124</v>
      </c>
      <c r="AB124" s="10">
        <f ca="1">IF(ISNUMBER(CFDTable[[#This Row],[Done Today]]),SUM($G124:$L124),$AB123)</f>
        <v>124</v>
      </c>
      <c r="AC124" s="10">
        <f ca="1">SUM(LOOKUP(2,1/(N$1:N123&lt;&gt;""),N$1:N123)+CFDTable[[#This Row],[lowDaily]])</f>
        <v>105.61904761904765</v>
      </c>
      <c r="AD124" s="10">
        <f ca="1">SUM(LOOKUP(2,1/(O$1:O123&lt;&gt;""),O$1:O123)+R124)</f>
        <v>111.90476190476176</v>
      </c>
      <c r="AE124" s="10">
        <f ca="1">SUM(LOOKUP(2,1/(P$1:P123&lt;&gt;""),P$1:P123)+CFDTable[[#This Row],[highDaily]])</f>
        <v>118.19047619047649</v>
      </c>
      <c r="AF124" s="12">
        <f>IF(CFDTable[[#This Row],[Date]]=DeadlineDate,CFDTable[[#This Row],[FutureWork2]],0)</f>
        <v>0</v>
      </c>
    </row>
    <row r="125" spans="1:32">
      <c r="A125" s="8">
        <f>CFDTable[[#This Row],[Date]]</f>
        <v>42585</v>
      </c>
      <c r="B125" s="38">
        <f>Data!B125</f>
        <v>42585</v>
      </c>
      <c r="C125" s="10">
        <f ca="1">IF(ISNUMBER(CFDTable[[#This Row],[Ready]]),NA(),CFDTable[[#This Row],[Target]]-CFDTable[[#This Row],[To Do]])</f>
        <v>77</v>
      </c>
      <c r="D125" s="10" t="e">
        <f>IF(CFDTable[[#This Row],[Emergence]]&gt;0,CFDTable[[#This Row],[Future Work]]-CFDTable[[#This Row],[Emergence]],NA())</f>
        <v>#N/A</v>
      </c>
      <c r="E125" s="10">
        <f>Data!C125</f>
        <v>0</v>
      </c>
      <c r="F125" s="10" t="str">
        <f ca="1">Data!D125</f>
        <v/>
      </c>
      <c r="G125" s="10">
        <f ca="1">Data!E125</f>
        <v>47</v>
      </c>
      <c r="H125" s="10" t="e">
        <f ca="1">IF(TodaysDate&gt;=$B125,Data!F125,NA())</f>
        <v>#N/A</v>
      </c>
      <c r="I125" s="10" t="e">
        <f ca="1">IF(TodaysDate&gt;=$B125,Data!G125,NA())</f>
        <v>#N/A</v>
      </c>
      <c r="J125" s="10" t="e">
        <f ca="1">IF(TodaysDate&gt;=$B125,Data!H125,NA())</f>
        <v>#N/A</v>
      </c>
      <c r="K125" s="10" t="e">
        <f ca="1">IF(TodaysDate&gt;=$B125,Data!I125,NA())</f>
        <v>#N/A</v>
      </c>
      <c r="L125" s="10" t="e">
        <f ca="1">IF(TodaysDate&gt;=$B125,Data!J125,NA())</f>
        <v>#N/A</v>
      </c>
      <c r="M125" s="10" t="e">
        <f ca="1">IF(CFDTable[[#This Row],[Done]]&gt;0,(CFDTable[[#This Row],[Done]])-(L124),0)</f>
        <v>#N/A</v>
      </c>
      <c r="N125" s="10">
        <f ca="1">IF(ISNUMBER($M125),SUM(CFDTable[[#This Row],[Done]]),IF(CFDTable[[#This Row],[lookupLow]]&gt;=CFDTable[[#This Row],[FutureWork2]]+CFDTable[[#This Row],[lowDaily]],NA(),CFDTable[[#This Row],[lookupLow]]))</f>
        <v>106.42857142857146</v>
      </c>
      <c r="O125" s="10">
        <f ca="1">IF(ISNUMBER($M125),SUM(CFDTable[[#This Row],[Done]]),IF(CFDTable[[#This Row],[lookupMedian]]&gt;=CFDTable[[#This Row],[FutureWork2]],NA(),CFDTable[[#This Row],[lookupMedian]]))</f>
        <v>112.8571428571427</v>
      </c>
      <c r="P125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119.28571428571459</v>
      </c>
      <c r="Q125" s="10">
        <f ca="1">CFDTable[[#This Row],[AvgDaily]]-CFDTable[[#This Row],[Deviation]]</f>
        <v>0.80952380952380931</v>
      </c>
      <c r="R125" s="10">
        <f ca="1">AVERAGE(IF(ISNUMBER(M125),IF(ISNUMBER(OFFSET(M125,-Historic,0)),OFFSET(M125,-Historic,0),M$2):M125,R124))</f>
        <v>0.95238095238095233</v>
      </c>
      <c r="S125" s="10">
        <f ca="1">AVERAGE(IF(ISNUMBER(M125),IF(ISNUMBER(OFFSET(M125,-Historic,0)),OFFSET(M125,-Historic,0),M$2):M125,S124))</f>
        <v>0.95238095238095233</v>
      </c>
      <c r="T125" s="10">
        <f ca="1">AVERAGE(IF(ISNUMBER(M125),OFFSET(M$2,DaysToIgnoreOnAvg,0):M125,T124))</f>
        <v>0.88311688311688308</v>
      </c>
      <c r="U125" s="10">
        <f ca="1">CFDTable[[#This Row],[AvgDaily]]+CFDTable[[#This Row],[Deviation]]</f>
        <v>1.0952380952380953</v>
      </c>
      <c r="V125" s="10">
        <f ca="1">IF(ISNUMBER(M125),((_xlfn.PERCENTILE.INC(IF(ISNUMBER(OFFSET(R125,-Historic,0)),OFFSET(R125,-Historic,0),R$2):R125,PercentileHigh/100))-(MEDIAN(IF(ISNUMBER(OFFSET(R125,-Historic,0)),OFFSET(R125,-Historic,0),R$2):R125))),V124)</f>
        <v>0.14285714285714302</v>
      </c>
      <c r="W125" s="10">
        <f ca="1">IF(ISNUMBER(M125),((_xlfn.PERCENTILE.INC(R$2:R125,PercentileHigh/100))-(MEDIAN(R$2:R125))),V124)</f>
        <v>0.14285714285714302</v>
      </c>
      <c r="X125" s="10" t="e">
        <f ca="1">(SUM(CFDTable[[#This Row],[To Do]:[Done]])-SUM(G124:L124))</f>
        <v>#N/A</v>
      </c>
      <c r="Y125" s="10">
        <f ca="1">AVERAGE(IF(ISNUMBER(X125),IF(ISNUMBER(OFFSET(X125,-Historic,0)),OFFSET(X125,-Historic,0),X$2):X125,Y124))</f>
        <v>1.1428571428571428</v>
      </c>
      <c r="Z125" s="10">
        <f ca="1">IF(ISNUMBER(CFDTable[[#This Row],[Done Today]]),SUM($G125:$L125),Z124+CFDTable[[#This Row],[avg added]])</f>
        <v>175.42857142857125</v>
      </c>
      <c r="AA125" s="10">
        <f ca="1">IF(ISNUMBER(CFDTable[[#This Row],[Done Today]]),SUM($G125:$L125),$AA124)</f>
        <v>124</v>
      </c>
      <c r="AB125" s="10">
        <f ca="1">IF(ISNUMBER(CFDTable[[#This Row],[Done Today]]),SUM($G125:$L125),$AB124)</f>
        <v>124</v>
      </c>
      <c r="AC125" s="10">
        <f ca="1">SUM(LOOKUP(2,1/(N$1:N124&lt;&gt;""),N$1:N124)+CFDTable[[#This Row],[lowDaily]])</f>
        <v>106.42857142857146</v>
      </c>
      <c r="AD125" s="10">
        <f ca="1">SUM(LOOKUP(2,1/(O$1:O124&lt;&gt;""),O$1:O124)+R125)</f>
        <v>112.8571428571427</v>
      </c>
      <c r="AE125" s="10">
        <f ca="1">SUM(LOOKUP(2,1/(P$1:P124&lt;&gt;""),P$1:P124)+CFDTable[[#This Row],[highDaily]])</f>
        <v>119.28571428571459</v>
      </c>
      <c r="AF125" s="12">
        <f>IF(CFDTable[[#This Row],[Date]]=DeadlineDate,CFDTable[[#This Row],[FutureWork2]],0)</f>
        <v>0</v>
      </c>
    </row>
    <row r="126" spans="1:32">
      <c r="A126" s="8">
        <f>CFDTable[[#This Row],[Date]]</f>
        <v>42586</v>
      </c>
      <c r="B126" s="38">
        <f>Data!B126</f>
        <v>42586</v>
      </c>
      <c r="C126" s="10">
        <f ca="1">IF(ISNUMBER(CFDTable[[#This Row],[Ready]]),NA(),CFDTable[[#This Row],[Target]]-CFDTable[[#This Row],[To Do]])</f>
        <v>77</v>
      </c>
      <c r="D126" s="10" t="e">
        <f>IF(CFDTable[[#This Row],[Emergence]]&gt;0,CFDTable[[#This Row],[Future Work]]-CFDTable[[#This Row],[Emergence]],NA())</f>
        <v>#N/A</v>
      </c>
      <c r="E126" s="10">
        <f>Data!C126</f>
        <v>0</v>
      </c>
      <c r="F126" s="10" t="str">
        <f ca="1">Data!D126</f>
        <v/>
      </c>
      <c r="G126" s="10">
        <f ca="1">Data!E126</f>
        <v>47</v>
      </c>
      <c r="H126" s="10" t="e">
        <f ca="1">IF(TodaysDate&gt;=$B126,Data!F126,NA())</f>
        <v>#N/A</v>
      </c>
      <c r="I126" s="10" t="e">
        <f ca="1">IF(TodaysDate&gt;=$B126,Data!G126,NA())</f>
        <v>#N/A</v>
      </c>
      <c r="J126" s="10" t="e">
        <f ca="1">IF(TodaysDate&gt;=$B126,Data!H126,NA())</f>
        <v>#N/A</v>
      </c>
      <c r="K126" s="10" t="e">
        <f ca="1">IF(TodaysDate&gt;=$B126,Data!I126,NA())</f>
        <v>#N/A</v>
      </c>
      <c r="L126" s="10" t="e">
        <f ca="1">IF(TodaysDate&gt;=$B126,Data!J126,NA())</f>
        <v>#N/A</v>
      </c>
      <c r="M126" s="10" t="e">
        <f ca="1">IF(CFDTable[[#This Row],[Done]]&gt;0,(CFDTable[[#This Row],[Done]])-(L125),0)</f>
        <v>#N/A</v>
      </c>
      <c r="N126" s="10">
        <f ca="1">IF(ISNUMBER($M126),SUM(CFDTable[[#This Row],[Done]]),IF(CFDTable[[#This Row],[lookupLow]]&gt;=CFDTable[[#This Row],[FutureWork2]]+CFDTable[[#This Row],[lowDaily]],NA(),CFDTable[[#This Row],[lookupLow]]))</f>
        <v>107.23809523809527</v>
      </c>
      <c r="O126" s="10">
        <f ca="1">IF(ISNUMBER($M126),SUM(CFDTable[[#This Row],[Done]]),IF(CFDTable[[#This Row],[lookupMedian]]&gt;=CFDTable[[#This Row],[FutureWork2]],NA(),CFDTable[[#This Row],[lookupMedian]]))</f>
        <v>113.80952380952365</v>
      </c>
      <c r="P126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120.38095238095269</v>
      </c>
      <c r="Q126" s="10">
        <f ca="1">CFDTable[[#This Row],[AvgDaily]]-CFDTable[[#This Row],[Deviation]]</f>
        <v>0.80952380952380931</v>
      </c>
      <c r="R126" s="10">
        <f ca="1">AVERAGE(IF(ISNUMBER(M126),IF(ISNUMBER(OFFSET(M126,-Historic,0)),OFFSET(M126,-Historic,0),M$2):M126,R125))</f>
        <v>0.95238095238095233</v>
      </c>
      <c r="S126" s="10">
        <f ca="1">AVERAGE(IF(ISNUMBER(M126),IF(ISNUMBER(OFFSET(M126,-Historic,0)),OFFSET(M126,-Historic,0),M$2):M126,S125))</f>
        <v>0.95238095238095233</v>
      </c>
      <c r="T126" s="10">
        <f ca="1">AVERAGE(IF(ISNUMBER(M126),OFFSET(M$2,DaysToIgnoreOnAvg,0):M126,T125))</f>
        <v>0.88311688311688308</v>
      </c>
      <c r="U126" s="10">
        <f ca="1">CFDTable[[#This Row],[AvgDaily]]+CFDTable[[#This Row],[Deviation]]</f>
        <v>1.0952380952380953</v>
      </c>
      <c r="V126" s="10">
        <f ca="1">IF(ISNUMBER(M126),((_xlfn.PERCENTILE.INC(IF(ISNUMBER(OFFSET(R126,-Historic,0)),OFFSET(R126,-Historic,0),R$2):R126,PercentileHigh/100))-(MEDIAN(IF(ISNUMBER(OFFSET(R126,-Historic,0)),OFFSET(R126,-Historic,0),R$2):R126))),V125)</f>
        <v>0.14285714285714302</v>
      </c>
      <c r="W126" s="10">
        <f ca="1">IF(ISNUMBER(M126),((_xlfn.PERCENTILE.INC(R$2:R126,PercentileHigh/100))-(MEDIAN(R$2:R126))),V125)</f>
        <v>0.14285714285714302</v>
      </c>
      <c r="X126" s="10" t="e">
        <f ca="1">(SUM(CFDTable[[#This Row],[To Do]:[Done]])-SUM(G125:L125))</f>
        <v>#N/A</v>
      </c>
      <c r="Y126" s="10">
        <f ca="1">AVERAGE(IF(ISNUMBER(X126),IF(ISNUMBER(OFFSET(X126,-Historic,0)),OFFSET(X126,-Historic,0),X$2):X126,Y125))</f>
        <v>1.1428571428571428</v>
      </c>
      <c r="Z126" s="10">
        <f ca="1">IF(ISNUMBER(CFDTable[[#This Row],[Done Today]]),SUM($G126:$L126),Z125+CFDTable[[#This Row],[avg added]])</f>
        <v>176.57142857142838</v>
      </c>
      <c r="AA126" s="10">
        <f ca="1">IF(ISNUMBER(CFDTable[[#This Row],[Done Today]]),SUM($G126:$L126),$AA125)</f>
        <v>124</v>
      </c>
      <c r="AB126" s="10">
        <f ca="1">IF(ISNUMBER(CFDTable[[#This Row],[Done Today]]),SUM($G126:$L126),$AB125)</f>
        <v>124</v>
      </c>
      <c r="AC126" s="10">
        <f ca="1">SUM(LOOKUP(2,1/(N$1:N125&lt;&gt;""),N$1:N125)+CFDTable[[#This Row],[lowDaily]])</f>
        <v>107.23809523809527</v>
      </c>
      <c r="AD126" s="10">
        <f ca="1">SUM(LOOKUP(2,1/(O$1:O125&lt;&gt;""),O$1:O125)+R126)</f>
        <v>113.80952380952365</v>
      </c>
      <c r="AE126" s="10">
        <f ca="1">SUM(LOOKUP(2,1/(P$1:P125&lt;&gt;""),P$1:P125)+CFDTable[[#This Row],[highDaily]])</f>
        <v>120.38095238095269</v>
      </c>
      <c r="AF126" s="12">
        <f>IF(CFDTable[[#This Row],[Date]]=DeadlineDate,CFDTable[[#This Row],[FutureWork2]],0)</f>
        <v>0</v>
      </c>
    </row>
    <row r="127" spans="1:32">
      <c r="A127" s="8">
        <f>CFDTable[[#This Row],[Date]]</f>
        <v>42587</v>
      </c>
      <c r="B127" s="38">
        <f>Data!B127</f>
        <v>42587</v>
      </c>
      <c r="C127" s="10">
        <f ca="1">IF(ISNUMBER(CFDTable[[#This Row],[Ready]]),NA(),CFDTable[[#This Row],[Target]]-CFDTable[[#This Row],[To Do]])</f>
        <v>77</v>
      </c>
      <c r="D127" s="10" t="e">
        <f>IF(CFDTable[[#This Row],[Emergence]]&gt;0,CFDTable[[#This Row],[Future Work]]-CFDTable[[#This Row],[Emergence]],NA())</f>
        <v>#N/A</v>
      </c>
      <c r="E127" s="10">
        <f>Data!C127</f>
        <v>0</v>
      </c>
      <c r="F127" s="10" t="str">
        <f ca="1">Data!D127</f>
        <v/>
      </c>
      <c r="G127" s="10">
        <f ca="1">Data!E127</f>
        <v>47</v>
      </c>
      <c r="H127" s="10" t="e">
        <f ca="1">IF(TodaysDate&gt;=$B127,Data!F127,NA())</f>
        <v>#N/A</v>
      </c>
      <c r="I127" s="10" t="e">
        <f ca="1">IF(TodaysDate&gt;=$B127,Data!G127,NA())</f>
        <v>#N/A</v>
      </c>
      <c r="J127" s="10" t="e">
        <f ca="1">IF(TodaysDate&gt;=$B127,Data!H127,NA())</f>
        <v>#N/A</v>
      </c>
      <c r="K127" s="10" t="e">
        <f ca="1">IF(TodaysDate&gt;=$B127,Data!I127,NA())</f>
        <v>#N/A</v>
      </c>
      <c r="L127" s="10" t="e">
        <f ca="1">IF(TodaysDate&gt;=$B127,Data!J127,NA())</f>
        <v>#N/A</v>
      </c>
      <c r="M127" s="10" t="e">
        <f ca="1">IF(CFDTable[[#This Row],[Done]]&gt;0,(CFDTable[[#This Row],[Done]])-(L126),0)</f>
        <v>#N/A</v>
      </c>
      <c r="N127" s="10">
        <f ca="1">IF(ISNUMBER($M127),SUM(CFDTable[[#This Row],[Done]]),IF(CFDTable[[#This Row],[lookupLow]]&gt;=CFDTable[[#This Row],[FutureWork2]]+CFDTable[[#This Row],[lowDaily]],NA(),CFDTable[[#This Row],[lookupLow]]))</f>
        <v>108.04761904761908</v>
      </c>
      <c r="O127" s="10">
        <f ca="1">IF(ISNUMBER($M127),SUM(CFDTable[[#This Row],[Done]]),IF(CFDTable[[#This Row],[lookupMedian]]&gt;=CFDTable[[#This Row],[FutureWork2]],NA(),CFDTable[[#This Row],[lookupMedian]]))</f>
        <v>114.7619047619046</v>
      </c>
      <c r="P127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121.47619047619079</v>
      </c>
      <c r="Q127" s="10">
        <f ca="1">CFDTable[[#This Row],[AvgDaily]]-CFDTable[[#This Row],[Deviation]]</f>
        <v>0.80952380952380931</v>
      </c>
      <c r="R127" s="10">
        <f ca="1">AVERAGE(IF(ISNUMBER(M127),IF(ISNUMBER(OFFSET(M127,-Historic,0)),OFFSET(M127,-Historic,0),M$2):M127,R126))</f>
        <v>0.95238095238095233</v>
      </c>
      <c r="S127" s="10">
        <f ca="1">AVERAGE(IF(ISNUMBER(M127),IF(ISNUMBER(OFFSET(M127,-Historic,0)),OFFSET(M127,-Historic,0),M$2):M127,S126))</f>
        <v>0.95238095238095233</v>
      </c>
      <c r="T127" s="10">
        <f ca="1">AVERAGE(IF(ISNUMBER(M127),OFFSET(M$2,DaysToIgnoreOnAvg,0):M127,T126))</f>
        <v>0.88311688311688308</v>
      </c>
      <c r="U127" s="10">
        <f ca="1">CFDTable[[#This Row],[AvgDaily]]+CFDTable[[#This Row],[Deviation]]</f>
        <v>1.0952380952380953</v>
      </c>
      <c r="V127" s="10">
        <f ca="1">IF(ISNUMBER(M127),((_xlfn.PERCENTILE.INC(IF(ISNUMBER(OFFSET(R127,-Historic,0)),OFFSET(R127,-Historic,0),R$2):R127,PercentileHigh/100))-(MEDIAN(IF(ISNUMBER(OFFSET(R127,-Historic,0)),OFFSET(R127,-Historic,0),R$2):R127))),V126)</f>
        <v>0.14285714285714302</v>
      </c>
      <c r="W127" s="10">
        <f ca="1">IF(ISNUMBER(M127),((_xlfn.PERCENTILE.INC(R$2:R127,PercentileHigh/100))-(MEDIAN(R$2:R127))),V126)</f>
        <v>0.14285714285714302</v>
      </c>
      <c r="X127" s="10" t="e">
        <f ca="1">(SUM(CFDTable[[#This Row],[To Do]:[Done]])-SUM(G126:L126))</f>
        <v>#N/A</v>
      </c>
      <c r="Y127" s="10">
        <f ca="1">AVERAGE(IF(ISNUMBER(X127),IF(ISNUMBER(OFFSET(X127,-Historic,0)),OFFSET(X127,-Historic,0),X$2):X127,Y126))</f>
        <v>1.1428571428571428</v>
      </c>
      <c r="Z127" s="10">
        <f ca="1">IF(ISNUMBER(CFDTable[[#This Row],[Done Today]]),SUM($G127:$L127),Z126+CFDTable[[#This Row],[avg added]])</f>
        <v>177.71428571428552</v>
      </c>
      <c r="AA127" s="10">
        <f ca="1">IF(ISNUMBER(CFDTable[[#This Row],[Done Today]]),SUM($G127:$L127),$AA126)</f>
        <v>124</v>
      </c>
      <c r="AB127" s="10">
        <f ca="1">IF(ISNUMBER(CFDTable[[#This Row],[Done Today]]),SUM($G127:$L127),$AB126)</f>
        <v>124</v>
      </c>
      <c r="AC127" s="10">
        <f ca="1">SUM(LOOKUP(2,1/(N$1:N126&lt;&gt;""),N$1:N126)+CFDTable[[#This Row],[lowDaily]])</f>
        <v>108.04761904761908</v>
      </c>
      <c r="AD127" s="10">
        <f ca="1">SUM(LOOKUP(2,1/(O$1:O126&lt;&gt;""),O$1:O126)+R127)</f>
        <v>114.7619047619046</v>
      </c>
      <c r="AE127" s="10">
        <f ca="1">SUM(LOOKUP(2,1/(P$1:P126&lt;&gt;""),P$1:P126)+CFDTable[[#This Row],[highDaily]])</f>
        <v>121.47619047619079</v>
      </c>
      <c r="AF127" s="12">
        <f>IF(CFDTable[[#This Row],[Date]]=DeadlineDate,CFDTable[[#This Row],[FutureWork2]],0)</f>
        <v>0</v>
      </c>
    </row>
    <row r="128" spans="1:32">
      <c r="A128" s="8">
        <f>CFDTable[[#This Row],[Date]]</f>
        <v>42590</v>
      </c>
      <c r="B128" s="38">
        <f>Data!B128</f>
        <v>42590</v>
      </c>
      <c r="C128" s="10">
        <f ca="1">IF(ISNUMBER(CFDTable[[#This Row],[Ready]]),NA(),CFDTable[[#This Row],[Target]]-CFDTable[[#This Row],[To Do]])</f>
        <v>77</v>
      </c>
      <c r="D128" s="10" t="e">
        <f>IF(CFDTable[[#This Row],[Emergence]]&gt;0,CFDTable[[#This Row],[Future Work]]-CFDTable[[#This Row],[Emergence]],NA())</f>
        <v>#N/A</v>
      </c>
      <c r="E128" s="10">
        <f>Data!C128</f>
        <v>0</v>
      </c>
      <c r="F128" s="10" t="str">
        <f ca="1">Data!D128</f>
        <v/>
      </c>
      <c r="G128" s="10">
        <f ca="1">Data!E128</f>
        <v>47</v>
      </c>
      <c r="H128" s="10" t="e">
        <f ca="1">IF(TodaysDate&gt;=$B128,Data!F128,NA())</f>
        <v>#N/A</v>
      </c>
      <c r="I128" s="10" t="e">
        <f ca="1">IF(TodaysDate&gt;=$B128,Data!G128,NA())</f>
        <v>#N/A</v>
      </c>
      <c r="J128" s="10" t="e">
        <f ca="1">IF(TodaysDate&gt;=$B128,Data!H128,NA())</f>
        <v>#N/A</v>
      </c>
      <c r="K128" s="10" t="e">
        <f ca="1">IF(TodaysDate&gt;=$B128,Data!I128,NA())</f>
        <v>#N/A</v>
      </c>
      <c r="L128" s="10" t="e">
        <f ca="1">IF(TodaysDate&gt;=$B128,Data!J128,NA())</f>
        <v>#N/A</v>
      </c>
      <c r="M128" s="10" t="e">
        <f ca="1">IF(CFDTable[[#This Row],[Done]]&gt;0,(CFDTable[[#This Row],[Done]])-(L127),0)</f>
        <v>#N/A</v>
      </c>
      <c r="N128" s="10">
        <f ca="1">IF(ISNUMBER($M128),SUM(CFDTable[[#This Row],[Done]]),IF(CFDTable[[#This Row],[lookupLow]]&gt;=CFDTable[[#This Row],[FutureWork2]]+CFDTable[[#This Row],[lowDaily]],NA(),CFDTable[[#This Row],[lookupLow]]))</f>
        <v>108.85714285714289</v>
      </c>
      <c r="O128" s="10">
        <f ca="1">IF(ISNUMBER($M128),SUM(CFDTable[[#This Row],[Done]]),IF(CFDTable[[#This Row],[lookupMedian]]&gt;=CFDTable[[#This Row],[FutureWork2]],NA(),CFDTable[[#This Row],[lookupMedian]]))</f>
        <v>115.71428571428555</v>
      </c>
      <c r="P128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122.5714285714289</v>
      </c>
      <c r="Q128" s="10">
        <f ca="1">CFDTable[[#This Row],[AvgDaily]]-CFDTable[[#This Row],[Deviation]]</f>
        <v>0.80952380952380931</v>
      </c>
      <c r="R128" s="10">
        <f ca="1">AVERAGE(IF(ISNUMBER(M128),IF(ISNUMBER(OFFSET(M128,-Historic,0)),OFFSET(M128,-Historic,0),M$2):M128,R127))</f>
        <v>0.95238095238095233</v>
      </c>
      <c r="S128" s="10">
        <f ca="1">AVERAGE(IF(ISNUMBER(M128),IF(ISNUMBER(OFFSET(M128,-Historic,0)),OFFSET(M128,-Historic,0),M$2):M128,S127))</f>
        <v>0.95238095238095233</v>
      </c>
      <c r="T128" s="10">
        <f ca="1">AVERAGE(IF(ISNUMBER(M128),OFFSET(M$2,DaysToIgnoreOnAvg,0):M128,T127))</f>
        <v>0.88311688311688308</v>
      </c>
      <c r="U128" s="10">
        <f ca="1">CFDTable[[#This Row],[AvgDaily]]+CFDTable[[#This Row],[Deviation]]</f>
        <v>1.0952380952380953</v>
      </c>
      <c r="V128" s="10">
        <f ca="1">IF(ISNUMBER(M128),((_xlfn.PERCENTILE.INC(IF(ISNUMBER(OFFSET(R128,-Historic,0)),OFFSET(R128,-Historic,0),R$2):R128,PercentileHigh/100))-(MEDIAN(IF(ISNUMBER(OFFSET(R128,-Historic,0)),OFFSET(R128,-Historic,0),R$2):R128))),V127)</f>
        <v>0.14285714285714302</v>
      </c>
      <c r="W128" s="10">
        <f ca="1">IF(ISNUMBER(M128),((_xlfn.PERCENTILE.INC(R$2:R128,PercentileHigh/100))-(MEDIAN(R$2:R128))),V127)</f>
        <v>0.14285714285714302</v>
      </c>
      <c r="X128" s="10" t="e">
        <f ca="1">(SUM(CFDTable[[#This Row],[To Do]:[Done]])-SUM(G127:L127))</f>
        <v>#N/A</v>
      </c>
      <c r="Y128" s="10">
        <f ca="1">AVERAGE(IF(ISNUMBER(X128),IF(ISNUMBER(OFFSET(X128,-Historic,0)),OFFSET(X128,-Historic,0),X$2):X128,Y127))</f>
        <v>1.1428571428571428</v>
      </c>
      <c r="Z128" s="10">
        <f ca="1">IF(ISNUMBER(CFDTable[[#This Row],[Done Today]]),SUM($G128:$L128),Z127+CFDTable[[#This Row],[avg added]])</f>
        <v>178.85714285714266</v>
      </c>
      <c r="AA128" s="10">
        <f ca="1">IF(ISNUMBER(CFDTable[[#This Row],[Done Today]]),SUM($G128:$L128),$AA127)</f>
        <v>124</v>
      </c>
      <c r="AB128" s="10">
        <f ca="1">IF(ISNUMBER(CFDTable[[#This Row],[Done Today]]),SUM($G128:$L128),$AB127)</f>
        <v>124</v>
      </c>
      <c r="AC128" s="10">
        <f ca="1">SUM(LOOKUP(2,1/(N$1:N127&lt;&gt;""),N$1:N127)+CFDTable[[#This Row],[lowDaily]])</f>
        <v>108.85714285714289</v>
      </c>
      <c r="AD128" s="10">
        <f ca="1">SUM(LOOKUP(2,1/(O$1:O127&lt;&gt;""),O$1:O127)+R128)</f>
        <v>115.71428571428555</v>
      </c>
      <c r="AE128" s="10">
        <f ca="1">SUM(LOOKUP(2,1/(P$1:P127&lt;&gt;""),P$1:P127)+CFDTable[[#This Row],[highDaily]])</f>
        <v>122.5714285714289</v>
      </c>
      <c r="AF128" s="12">
        <f>IF(CFDTable[[#This Row],[Date]]=DeadlineDate,CFDTable[[#This Row],[FutureWork2]],0)</f>
        <v>0</v>
      </c>
    </row>
    <row r="129" spans="1:32">
      <c r="A129" s="8">
        <f>CFDTable[[#This Row],[Date]]</f>
        <v>42591</v>
      </c>
      <c r="B129" s="38">
        <f>Data!B129</f>
        <v>42591</v>
      </c>
      <c r="C129" s="10">
        <f ca="1">IF(ISNUMBER(CFDTable[[#This Row],[Ready]]),NA(),CFDTable[[#This Row],[Target]]-CFDTable[[#This Row],[To Do]])</f>
        <v>77</v>
      </c>
      <c r="D129" s="10" t="e">
        <f>IF(CFDTable[[#This Row],[Emergence]]&gt;0,CFDTable[[#This Row],[Future Work]]-CFDTable[[#This Row],[Emergence]],NA())</f>
        <v>#N/A</v>
      </c>
      <c r="E129" s="10">
        <f>Data!C129</f>
        <v>0</v>
      </c>
      <c r="F129" s="10" t="str">
        <f ca="1">Data!D129</f>
        <v/>
      </c>
      <c r="G129" s="10">
        <f ca="1">Data!E129</f>
        <v>47</v>
      </c>
      <c r="H129" s="10" t="e">
        <f ca="1">IF(TodaysDate&gt;=$B129,Data!F129,NA())</f>
        <v>#N/A</v>
      </c>
      <c r="I129" s="10" t="e">
        <f ca="1">IF(TodaysDate&gt;=$B129,Data!G129,NA())</f>
        <v>#N/A</v>
      </c>
      <c r="J129" s="10" t="e">
        <f ca="1">IF(TodaysDate&gt;=$B129,Data!H129,NA())</f>
        <v>#N/A</v>
      </c>
      <c r="K129" s="10" t="e">
        <f ca="1">IF(TodaysDate&gt;=$B129,Data!I129,NA())</f>
        <v>#N/A</v>
      </c>
      <c r="L129" s="10" t="e">
        <f ca="1">IF(TodaysDate&gt;=$B129,Data!J129,NA())</f>
        <v>#N/A</v>
      </c>
      <c r="M129" s="10" t="e">
        <f ca="1">IF(CFDTable[[#This Row],[Done]]&gt;0,(CFDTable[[#This Row],[Done]])-(L128),0)</f>
        <v>#N/A</v>
      </c>
      <c r="N129" s="10">
        <f ca="1">IF(ISNUMBER($M129),SUM(CFDTable[[#This Row],[Done]]),IF(CFDTable[[#This Row],[lookupLow]]&gt;=CFDTable[[#This Row],[FutureWork2]]+CFDTable[[#This Row],[lowDaily]],NA(),CFDTable[[#This Row],[lookupLow]]))</f>
        <v>109.6666666666667</v>
      </c>
      <c r="O129" s="10">
        <f ca="1">IF(ISNUMBER($M129),SUM(CFDTable[[#This Row],[Done]]),IF(CFDTable[[#This Row],[lookupMedian]]&gt;=CFDTable[[#This Row],[FutureWork2]],NA(),CFDTable[[#This Row],[lookupMedian]]))</f>
        <v>116.6666666666665</v>
      </c>
      <c r="P129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123.666666666667</v>
      </c>
      <c r="Q129" s="10">
        <f ca="1">CFDTable[[#This Row],[AvgDaily]]-CFDTable[[#This Row],[Deviation]]</f>
        <v>0.80952380952380931</v>
      </c>
      <c r="R129" s="10">
        <f ca="1">AVERAGE(IF(ISNUMBER(M129),IF(ISNUMBER(OFFSET(M129,-Historic,0)),OFFSET(M129,-Historic,0),M$2):M129,R128))</f>
        <v>0.95238095238095233</v>
      </c>
      <c r="S129" s="10">
        <f ca="1">AVERAGE(IF(ISNUMBER(M129),IF(ISNUMBER(OFFSET(M129,-Historic,0)),OFFSET(M129,-Historic,0),M$2):M129,S128))</f>
        <v>0.95238095238095233</v>
      </c>
      <c r="T129" s="10">
        <f ca="1">AVERAGE(IF(ISNUMBER(M129),OFFSET(M$2,DaysToIgnoreOnAvg,0):M129,T128))</f>
        <v>0.88311688311688308</v>
      </c>
      <c r="U129" s="10">
        <f ca="1">CFDTable[[#This Row],[AvgDaily]]+CFDTable[[#This Row],[Deviation]]</f>
        <v>1.0952380952380953</v>
      </c>
      <c r="V129" s="10">
        <f ca="1">IF(ISNUMBER(M129),((_xlfn.PERCENTILE.INC(IF(ISNUMBER(OFFSET(R129,-Historic,0)),OFFSET(R129,-Historic,0),R$2):R129,PercentileHigh/100))-(MEDIAN(IF(ISNUMBER(OFFSET(R129,-Historic,0)),OFFSET(R129,-Historic,0),R$2):R129))),V128)</f>
        <v>0.14285714285714302</v>
      </c>
      <c r="W129" s="10">
        <f ca="1">IF(ISNUMBER(M129),((_xlfn.PERCENTILE.INC(R$2:R129,PercentileHigh/100))-(MEDIAN(R$2:R129))),V128)</f>
        <v>0.14285714285714302</v>
      </c>
      <c r="X129" s="10" t="e">
        <f ca="1">(SUM(CFDTable[[#This Row],[To Do]:[Done]])-SUM(G128:L128))</f>
        <v>#N/A</v>
      </c>
      <c r="Y129" s="10">
        <f ca="1">AVERAGE(IF(ISNUMBER(X129),IF(ISNUMBER(OFFSET(X129,-Historic,0)),OFFSET(X129,-Historic,0),X$2):X129,Y128))</f>
        <v>1.1428571428571428</v>
      </c>
      <c r="Z129" s="10">
        <f ca="1">IF(ISNUMBER(CFDTable[[#This Row],[Done Today]]),SUM($G129:$L129),Z128+CFDTable[[#This Row],[avg added]])</f>
        <v>179.9999999999998</v>
      </c>
      <c r="AA129" s="10">
        <f ca="1">IF(ISNUMBER(CFDTable[[#This Row],[Done Today]]),SUM($G129:$L129),$AA128)</f>
        <v>124</v>
      </c>
      <c r="AB129" s="10">
        <f ca="1">IF(ISNUMBER(CFDTable[[#This Row],[Done Today]]),SUM($G129:$L129),$AB128)</f>
        <v>124</v>
      </c>
      <c r="AC129" s="10">
        <f ca="1">SUM(LOOKUP(2,1/(N$1:N128&lt;&gt;""),N$1:N128)+CFDTable[[#This Row],[lowDaily]])</f>
        <v>109.6666666666667</v>
      </c>
      <c r="AD129" s="10">
        <f ca="1">SUM(LOOKUP(2,1/(O$1:O128&lt;&gt;""),O$1:O128)+R129)</f>
        <v>116.6666666666665</v>
      </c>
      <c r="AE129" s="10">
        <f ca="1">SUM(LOOKUP(2,1/(P$1:P128&lt;&gt;""),P$1:P128)+CFDTable[[#This Row],[highDaily]])</f>
        <v>123.666666666667</v>
      </c>
      <c r="AF129" s="12">
        <f>IF(CFDTable[[#This Row],[Date]]=DeadlineDate,CFDTable[[#This Row],[FutureWork2]],0)</f>
        <v>0</v>
      </c>
    </row>
    <row r="130" spans="1:32">
      <c r="A130" s="8">
        <f>CFDTable[[#This Row],[Date]]</f>
        <v>42592</v>
      </c>
      <c r="B130" s="38">
        <f>Data!B130</f>
        <v>42592</v>
      </c>
      <c r="C130" s="10">
        <f ca="1">IF(ISNUMBER(CFDTable[[#This Row],[Ready]]),NA(),CFDTable[[#This Row],[Target]]-CFDTable[[#This Row],[To Do]])</f>
        <v>77</v>
      </c>
      <c r="D130" s="10" t="e">
        <f>IF(CFDTable[[#This Row],[Emergence]]&gt;0,CFDTable[[#This Row],[Future Work]]-CFDTable[[#This Row],[Emergence]],NA())</f>
        <v>#N/A</v>
      </c>
      <c r="E130" s="10">
        <f>Data!C130</f>
        <v>0</v>
      </c>
      <c r="F130" s="10" t="str">
        <f ca="1">Data!D130</f>
        <v/>
      </c>
      <c r="G130" s="10">
        <f ca="1">Data!E130</f>
        <v>47</v>
      </c>
      <c r="H130" s="10" t="e">
        <f ca="1">IF(TodaysDate&gt;=$B130,Data!F130,NA())</f>
        <v>#N/A</v>
      </c>
      <c r="I130" s="10" t="e">
        <f ca="1">IF(TodaysDate&gt;=$B130,Data!G130,NA())</f>
        <v>#N/A</v>
      </c>
      <c r="J130" s="10" t="e">
        <f ca="1">IF(TodaysDate&gt;=$B130,Data!H130,NA())</f>
        <v>#N/A</v>
      </c>
      <c r="K130" s="10" t="e">
        <f ca="1">IF(TodaysDate&gt;=$B130,Data!I130,NA())</f>
        <v>#N/A</v>
      </c>
      <c r="L130" s="10" t="e">
        <f ca="1">IF(TodaysDate&gt;=$B130,Data!J130,NA())</f>
        <v>#N/A</v>
      </c>
      <c r="M130" s="10" t="e">
        <f ca="1">IF(CFDTable[[#This Row],[Done]]&gt;0,(CFDTable[[#This Row],[Done]])-(L129),0)</f>
        <v>#N/A</v>
      </c>
      <c r="N130" s="10">
        <f ca="1">IF(ISNUMBER($M130),SUM(CFDTable[[#This Row],[Done]]),IF(CFDTable[[#This Row],[lookupLow]]&gt;=CFDTable[[#This Row],[FutureWork2]]+CFDTable[[#This Row],[lowDaily]],NA(),CFDTable[[#This Row],[lookupLow]]))</f>
        <v>110.47619047619051</v>
      </c>
      <c r="O130" s="10">
        <f ca="1">IF(ISNUMBER($M130),SUM(CFDTable[[#This Row],[Done]]),IF(CFDTable[[#This Row],[lookupMedian]]&gt;=CFDTable[[#This Row],[FutureWork2]],NA(),CFDTable[[#This Row],[lookupMedian]]))</f>
        <v>117.61904761904745</v>
      </c>
      <c r="P130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124.7619047619051</v>
      </c>
      <c r="Q130" s="10">
        <f ca="1">CFDTable[[#This Row],[AvgDaily]]-CFDTable[[#This Row],[Deviation]]</f>
        <v>0.80952380952380931</v>
      </c>
      <c r="R130" s="10">
        <f ca="1">AVERAGE(IF(ISNUMBER(M130),IF(ISNUMBER(OFFSET(M130,-Historic,0)),OFFSET(M130,-Historic,0),M$2):M130,R129))</f>
        <v>0.95238095238095233</v>
      </c>
      <c r="S130" s="10">
        <f ca="1">AVERAGE(IF(ISNUMBER(M130),IF(ISNUMBER(OFFSET(M130,-Historic,0)),OFFSET(M130,-Historic,0),M$2):M130,S129))</f>
        <v>0.95238095238095233</v>
      </c>
      <c r="T130" s="10">
        <f ca="1">AVERAGE(IF(ISNUMBER(M130),OFFSET(M$2,DaysToIgnoreOnAvg,0):M130,T129))</f>
        <v>0.88311688311688308</v>
      </c>
      <c r="U130" s="10">
        <f ca="1">CFDTable[[#This Row],[AvgDaily]]+CFDTable[[#This Row],[Deviation]]</f>
        <v>1.0952380952380953</v>
      </c>
      <c r="V130" s="10">
        <f ca="1">IF(ISNUMBER(M130),((_xlfn.PERCENTILE.INC(IF(ISNUMBER(OFFSET(R130,-Historic,0)),OFFSET(R130,-Historic,0),R$2):R130,PercentileHigh/100))-(MEDIAN(IF(ISNUMBER(OFFSET(R130,-Historic,0)),OFFSET(R130,-Historic,0),R$2):R130))),V129)</f>
        <v>0.14285714285714302</v>
      </c>
      <c r="W130" s="10">
        <f ca="1">IF(ISNUMBER(M130),((_xlfn.PERCENTILE.INC(R$2:R130,PercentileHigh/100))-(MEDIAN(R$2:R130))),V129)</f>
        <v>0.14285714285714302</v>
      </c>
      <c r="X130" s="10" t="e">
        <f ca="1">(SUM(CFDTable[[#This Row],[To Do]:[Done]])-SUM(G129:L129))</f>
        <v>#N/A</v>
      </c>
      <c r="Y130" s="10">
        <f ca="1">AVERAGE(IF(ISNUMBER(X130),IF(ISNUMBER(OFFSET(X130,-Historic,0)),OFFSET(X130,-Historic,0),X$2):X130,Y129))</f>
        <v>1.1428571428571428</v>
      </c>
      <c r="Z130" s="10">
        <f ca="1">IF(ISNUMBER(CFDTable[[#This Row],[Done Today]]),SUM($G130:$L130),Z129+CFDTable[[#This Row],[avg added]])</f>
        <v>181.14285714285694</v>
      </c>
      <c r="AA130" s="10">
        <f ca="1">IF(ISNUMBER(CFDTable[[#This Row],[Done Today]]),SUM($G130:$L130),$AA129)</f>
        <v>124</v>
      </c>
      <c r="AB130" s="10">
        <f ca="1">IF(ISNUMBER(CFDTable[[#This Row],[Done Today]]),SUM($G130:$L130),$AB129)</f>
        <v>124</v>
      </c>
      <c r="AC130" s="10">
        <f ca="1">SUM(LOOKUP(2,1/(N$1:N129&lt;&gt;""),N$1:N129)+CFDTable[[#This Row],[lowDaily]])</f>
        <v>110.47619047619051</v>
      </c>
      <c r="AD130" s="10">
        <f ca="1">SUM(LOOKUP(2,1/(O$1:O129&lt;&gt;""),O$1:O129)+R130)</f>
        <v>117.61904761904745</v>
      </c>
      <c r="AE130" s="10">
        <f ca="1">SUM(LOOKUP(2,1/(P$1:P129&lt;&gt;""),P$1:P129)+CFDTable[[#This Row],[highDaily]])</f>
        <v>124.7619047619051</v>
      </c>
      <c r="AF130" s="12">
        <f>IF(CFDTable[[#This Row],[Date]]=DeadlineDate,CFDTable[[#This Row],[FutureWork2]],0)</f>
        <v>0</v>
      </c>
    </row>
    <row r="131" spans="1:32">
      <c r="A131" s="8">
        <f>CFDTable[[#This Row],[Date]]</f>
        <v>42593</v>
      </c>
      <c r="B131" s="38">
        <f>Data!B131</f>
        <v>42593</v>
      </c>
      <c r="C131" s="10">
        <f ca="1">IF(ISNUMBER(CFDTable[[#This Row],[Ready]]),NA(),CFDTable[[#This Row],[Target]]-CFDTable[[#This Row],[To Do]])</f>
        <v>77</v>
      </c>
      <c r="D131" s="10" t="e">
        <f>IF(CFDTable[[#This Row],[Emergence]]&gt;0,CFDTable[[#This Row],[Future Work]]-CFDTable[[#This Row],[Emergence]],NA())</f>
        <v>#N/A</v>
      </c>
      <c r="E131" s="10">
        <f>Data!C131</f>
        <v>0</v>
      </c>
      <c r="F131" s="10" t="str">
        <f ca="1">Data!D131</f>
        <v/>
      </c>
      <c r="G131" s="10">
        <f ca="1">Data!E131</f>
        <v>47</v>
      </c>
      <c r="H131" s="10" t="e">
        <f ca="1">IF(TodaysDate&gt;=$B131,Data!F131,NA())</f>
        <v>#N/A</v>
      </c>
      <c r="I131" s="10" t="e">
        <f ca="1">IF(TodaysDate&gt;=$B131,Data!G131,NA())</f>
        <v>#N/A</v>
      </c>
      <c r="J131" s="10" t="e">
        <f ca="1">IF(TodaysDate&gt;=$B131,Data!H131,NA())</f>
        <v>#N/A</v>
      </c>
      <c r="K131" s="10" t="e">
        <f ca="1">IF(TodaysDate&gt;=$B131,Data!I131,NA())</f>
        <v>#N/A</v>
      </c>
      <c r="L131" s="10" t="e">
        <f ca="1">IF(TodaysDate&gt;=$B131,Data!J131,NA())</f>
        <v>#N/A</v>
      </c>
      <c r="M131" s="10" t="e">
        <f ca="1">IF(CFDTable[[#This Row],[Done]]&gt;0,(CFDTable[[#This Row],[Done]])-(L130),0)</f>
        <v>#N/A</v>
      </c>
      <c r="N131" s="10">
        <f ca="1">IF(ISNUMBER($M131),SUM(CFDTable[[#This Row],[Done]]),IF(CFDTable[[#This Row],[lookupLow]]&gt;=CFDTable[[#This Row],[FutureWork2]]+CFDTable[[#This Row],[lowDaily]],NA(),CFDTable[[#This Row],[lookupLow]]))</f>
        <v>111.28571428571432</v>
      </c>
      <c r="O131" s="10">
        <f ca="1">IF(ISNUMBER($M131),SUM(CFDTable[[#This Row],[Done]]),IF(CFDTable[[#This Row],[lookupMedian]]&gt;=CFDTable[[#This Row],[FutureWork2]],NA(),CFDTable[[#This Row],[lookupMedian]]))</f>
        <v>118.5714285714284</v>
      </c>
      <c r="P131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125.8571428571432</v>
      </c>
      <c r="Q131" s="10">
        <f ca="1">CFDTable[[#This Row],[AvgDaily]]-CFDTable[[#This Row],[Deviation]]</f>
        <v>0.80952380952380931</v>
      </c>
      <c r="R131" s="10">
        <f ca="1">AVERAGE(IF(ISNUMBER(M131),IF(ISNUMBER(OFFSET(M131,-Historic,0)),OFFSET(M131,-Historic,0),M$2):M131,R130))</f>
        <v>0.95238095238095233</v>
      </c>
      <c r="S131" s="10">
        <f ca="1">AVERAGE(IF(ISNUMBER(M131),IF(ISNUMBER(OFFSET(M131,-Historic,0)),OFFSET(M131,-Historic,0),M$2):M131,S130))</f>
        <v>0.95238095238095233</v>
      </c>
      <c r="T131" s="10">
        <f ca="1">AVERAGE(IF(ISNUMBER(M131),OFFSET(M$2,DaysToIgnoreOnAvg,0):M131,T130))</f>
        <v>0.88311688311688308</v>
      </c>
      <c r="U131" s="10">
        <f ca="1">CFDTable[[#This Row],[AvgDaily]]+CFDTable[[#This Row],[Deviation]]</f>
        <v>1.0952380952380953</v>
      </c>
      <c r="V131" s="10">
        <f ca="1">IF(ISNUMBER(M131),((_xlfn.PERCENTILE.INC(IF(ISNUMBER(OFFSET(R131,-Historic,0)),OFFSET(R131,-Historic,0),R$2):R131,PercentileHigh/100))-(MEDIAN(IF(ISNUMBER(OFFSET(R131,-Historic,0)),OFFSET(R131,-Historic,0),R$2):R131))),V130)</f>
        <v>0.14285714285714302</v>
      </c>
      <c r="W131" s="10">
        <f ca="1">IF(ISNUMBER(M131),((_xlfn.PERCENTILE.INC(R$2:R131,PercentileHigh/100))-(MEDIAN(R$2:R131))),V130)</f>
        <v>0.14285714285714302</v>
      </c>
      <c r="X131" s="10" t="e">
        <f ca="1">(SUM(CFDTable[[#This Row],[To Do]:[Done]])-SUM(G130:L130))</f>
        <v>#N/A</v>
      </c>
      <c r="Y131" s="10">
        <f ca="1">AVERAGE(IF(ISNUMBER(X131),IF(ISNUMBER(OFFSET(X131,-Historic,0)),OFFSET(X131,-Historic,0),X$2):X131,Y130))</f>
        <v>1.1428571428571428</v>
      </c>
      <c r="Z131" s="10">
        <f ca="1">IF(ISNUMBER(CFDTable[[#This Row],[Done Today]]),SUM($G131:$L131),Z130+CFDTable[[#This Row],[avg added]])</f>
        <v>182.28571428571408</v>
      </c>
      <c r="AA131" s="10">
        <f ca="1">IF(ISNUMBER(CFDTable[[#This Row],[Done Today]]),SUM($G131:$L131),$AA130)</f>
        <v>124</v>
      </c>
      <c r="AB131" s="10">
        <f ca="1">IF(ISNUMBER(CFDTable[[#This Row],[Done Today]]),SUM($G131:$L131),$AB130)</f>
        <v>124</v>
      </c>
      <c r="AC131" s="10">
        <f ca="1">SUM(LOOKUP(2,1/(N$1:N130&lt;&gt;""),N$1:N130)+CFDTable[[#This Row],[lowDaily]])</f>
        <v>111.28571428571432</v>
      </c>
      <c r="AD131" s="10">
        <f ca="1">SUM(LOOKUP(2,1/(O$1:O130&lt;&gt;""),O$1:O130)+R131)</f>
        <v>118.5714285714284</v>
      </c>
      <c r="AE131" s="10">
        <f ca="1">SUM(LOOKUP(2,1/(P$1:P130&lt;&gt;""),P$1:P130)+CFDTable[[#This Row],[highDaily]])</f>
        <v>125.8571428571432</v>
      </c>
      <c r="AF131" s="12">
        <f>IF(CFDTable[[#This Row],[Date]]=DeadlineDate,CFDTable[[#This Row],[FutureWork2]],0)</f>
        <v>0</v>
      </c>
    </row>
    <row r="132" spans="1:32">
      <c r="A132" s="8">
        <f>CFDTable[[#This Row],[Date]]</f>
        <v>42594</v>
      </c>
      <c r="B132" s="38">
        <f>Data!B132</f>
        <v>42594</v>
      </c>
      <c r="C132" s="10">
        <f ca="1">IF(ISNUMBER(CFDTable[[#This Row],[Ready]]),NA(),CFDTable[[#This Row],[Target]]-CFDTable[[#This Row],[To Do]])</f>
        <v>77</v>
      </c>
      <c r="D132" s="10" t="e">
        <f>IF(CFDTable[[#This Row],[Emergence]]&gt;0,CFDTable[[#This Row],[Future Work]]-CFDTable[[#This Row],[Emergence]],NA())</f>
        <v>#N/A</v>
      </c>
      <c r="E132" s="10">
        <f>Data!C132</f>
        <v>0</v>
      </c>
      <c r="F132" s="10" t="str">
        <f ca="1">Data!D132</f>
        <v/>
      </c>
      <c r="G132" s="10">
        <f ca="1">Data!E132</f>
        <v>47</v>
      </c>
      <c r="H132" s="10" t="e">
        <f ca="1">IF(TodaysDate&gt;=$B132,Data!F132,NA())</f>
        <v>#N/A</v>
      </c>
      <c r="I132" s="10" t="e">
        <f ca="1">IF(TodaysDate&gt;=$B132,Data!G132,NA())</f>
        <v>#N/A</v>
      </c>
      <c r="J132" s="10" t="e">
        <f ca="1">IF(TodaysDate&gt;=$B132,Data!H132,NA())</f>
        <v>#N/A</v>
      </c>
      <c r="K132" s="10" t="e">
        <f ca="1">IF(TodaysDate&gt;=$B132,Data!I132,NA())</f>
        <v>#N/A</v>
      </c>
      <c r="L132" s="10" t="e">
        <f ca="1">IF(TodaysDate&gt;=$B132,Data!J132,NA())</f>
        <v>#N/A</v>
      </c>
      <c r="M132" s="10" t="e">
        <f ca="1">IF(CFDTable[[#This Row],[Done]]&gt;0,(CFDTable[[#This Row],[Done]])-(L131),0)</f>
        <v>#N/A</v>
      </c>
      <c r="N132" s="10">
        <f ca="1">IF(ISNUMBER($M132),SUM(CFDTable[[#This Row],[Done]]),IF(CFDTable[[#This Row],[lookupLow]]&gt;=CFDTable[[#This Row],[FutureWork2]]+CFDTable[[#This Row],[lowDaily]],NA(),CFDTable[[#This Row],[lookupLow]]))</f>
        <v>112.09523809523813</v>
      </c>
      <c r="O132" s="10">
        <f ca="1">IF(ISNUMBER($M132),SUM(CFDTable[[#This Row],[Done]]),IF(CFDTable[[#This Row],[lookupMedian]]&gt;=CFDTable[[#This Row],[FutureWork2]],NA(),CFDTable[[#This Row],[lookupMedian]]))</f>
        <v>119.52380952380935</v>
      </c>
      <c r="P132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126.9523809523813</v>
      </c>
      <c r="Q132" s="10">
        <f ca="1">CFDTable[[#This Row],[AvgDaily]]-CFDTable[[#This Row],[Deviation]]</f>
        <v>0.80952380952380931</v>
      </c>
      <c r="R132" s="10">
        <f ca="1">AVERAGE(IF(ISNUMBER(M132),IF(ISNUMBER(OFFSET(M132,-Historic,0)),OFFSET(M132,-Historic,0),M$2):M132,R131))</f>
        <v>0.95238095238095233</v>
      </c>
      <c r="S132" s="10">
        <f ca="1">AVERAGE(IF(ISNUMBER(M132),IF(ISNUMBER(OFFSET(M132,-Historic,0)),OFFSET(M132,-Historic,0),M$2):M132,S131))</f>
        <v>0.95238095238095233</v>
      </c>
      <c r="T132" s="10">
        <f ca="1">AVERAGE(IF(ISNUMBER(M132),OFFSET(M$2,DaysToIgnoreOnAvg,0):M132,T131))</f>
        <v>0.88311688311688308</v>
      </c>
      <c r="U132" s="10">
        <f ca="1">CFDTable[[#This Row],[AvgDaily]]+CFDTable[[#This Row],[Deviation]]</f>
        <v>1.0952380952380953</v>
      </c>
      <c r="V132" s="10">
        <f ca="1">IF(ISNUMBER(M132),((_xlfn.PERCENTILE.INC(IF(ISNUMBER(OFFSET(R132,-Historic,0)),OFFSET(R132,-Historic,0),R$2):R132,PercentileHigh/100))-(MEDIAN(IF(ISNUMBER(OFFSET(R132,-Historic,0)),OFFSET(R132,-Historic,0),R$2):R132))),V131)</f>
        <v>0.14285714285714302</v>
      </c>
      <c r="W132" s="10">
        <f ca="1">IF(ISNUMBER(M132),((_xlfn.PERCENTILE.INC(R$2:R132,PercentileHigh/100))-(MEDIAN(R$2:R132))),V131)</f>
        <v>0.14285714285714302</v>
      </c>
      <c r="X132" s="10" t="e">
        <f ca="1">(SUM(CFDTable[[#This Row],[To Do]:[Done]])-SUM(G131:L131))</f>
        <v>#N/A</v>
      </c>
      <c r="Y132" s="10">
        <f ca="1">AVERAGE(IF(ISNUMBER(X132),IF(ISNUMBER(OFFSET(X132,-Historic,0)),OFFSET(X132,-Historic,0),X$2):X132,Y131))</f>
        <v>1.1428571428571428</v>
      </c>
      <c r="Z132" s="10">
        <f ca="1">IF(ISNUMBER(CFDTable[[#This Row],[Done Today]]),SUM($G132:$L132),Z131+CFDTable[[#This Row],[avg added]])</f>
        <v>183.42857142857122</v>
      </c>
      <c r="AA132" s="10">
        <f ca="1">IF(ISNUMBER(CFDTable[[#This Row],[Done Today]]),SUM($G132:$L132),$AA131)</f>
        <v>124</v>
      </c>
      <c r="AB132" s="10">
        <f ca="1">IF(ISNUMBER(CFDTable[[#This Row],[Done Today]]),SUM($G132:$L132),$AB131)</f>
        <v>124</v>
      </c>
      <c r="AC132" s="10">
        <f ca="1">SUM(LOOKUP(2,1/(N$1:N131&lt;&gt;""),N$1:N131)+CFDTable[[#This Row],[lowDaily]])</f>
        <v>112.09523809523813</v>
      </c>
      <c r="AD132" s="10">
        <f ca="1">SUM(LOOKUP(2,1/(O$1:O131&lt;&gt;""),O$1:O131)+R132)</f>
        <v>119.52380952380935</v>
      </c>
      <c r="AE132" s="10">
        <f ca="1">SUM(LOOKUP(2,1/(P$1:P131&lt;&gt;""),P$1:P131)+CFDTable[[#This Row],[highDaily]])</f>
        <v>126.9523809523813</v>
      </c>
      <c r="AF132" s="12">
        <f>IF(CFDTable[[#This Row],[Date]]=DeadlineDate,CFDTable[[#This Row],[FutureWork2]],0)</f>
        <v>0</v>
      </c>
    </row>
    <row r="133" spans="1:32">
      <c r="A133" s="8">
        <f>CFDTable[[#This Row],[Date]]</f>
        <v>42597</v>
      </c>
      <c r="B133" s="38">
        <f>Data!B133</f>
        <v>42597</v>
      </c>
      <c r="C133" s="10">
        <f ca="1">IF(ISNUMBER(CFDTable[[#This Row],[Ready]]),NA(),CFDTable[[#This Row],[Target]]-CFDTable[[#This Row],[To Do]])</f>
        <v>77</v>
      </c>
      <c r="D133" s="10" t="e">
        <f>IF(CFDTable[[#This Row],[Emergence]]&gt;0,CFDTable[[#This Row],[Future Work]]-CFDTable[[#This Row],[Emergence]],NA())</f>
        <v>#N/A</v>
      </c>
      <c r="E133" s="10">
        <f>Data!C133</f>
        <v>0</v>
      </c>
      <c r="F133" s="10" t="str">
        <f ca="1">Data!D133</f>
        <v/>
      </c>
      <c r="G133" s="10">
        <f ca="1">Data!E133</f>
        <v>47</v>
      </c>
      <c r="H133" s="10" t="e">
        <f ca="1">IF(TodaysDate&gt;=$B133,Data!F133,NA())</f>
        <v>#N/A</v>
      </c>
      <c r="I133" s="10" t="e">
        <f ca="1">IF(TodaysDate&gt;=$B133,Data!G133,NA())</f>
        <v>#N/A</v>
      </c>
      <c r="J133" s="10" t="e">
        <f ca="1">IF(TodaysDate&gt;=$B133,Data!H133,NA())</f>
        <v>#N/A</v>
      </c>
      <c r="K133" s="10" t="e">
        <f ca="1">IF(TodaysDate&gt;=$B133,Data!I133,NA())</f>
        <v>#N/A</v>
      </c>
      <c r="L133" s="10" t="e">
        <f ca="1">IF(TodaysDate&gt;=$B133,Data!J133,NA())</f>
        <v>#N/A</v>
      </c>
      <c r="M133" s="10" t="e">
        <f ca="1">IF(CFDTable[[#This Row],[Done]]&gt;0,(CFDTable[[#This Row],[Done]])-(L132),0)</f>
        <v>#N/A</v>
      </c>
      <c r="N133" s="10">
        <f ca="1">IF(ISNUMBER($M133),SUM(CFDTable[[#This Row],[Done]]),IF(CFDTable[[#This Row],[lookupLow]]&gt;=CFDTable[[#This Row],[FutureWork2]]+CFDTable[[#This Row],[lowDaily]],NA(),CFDTable[[#This Row],[lookupLow]]))</f>
        <v>112.90476190476194</v>
      </c>
      <c r="O133" s="10">
        <f ca="1">IF(ISNUMBER($M133),SUM(CFDTable[[#This Row],[Done]]),IF(CFDTable[[#This Row],[lookupMedian]]&gt;=CFDTable[[#This Row],[FutureWork2]],NA(),CFDTable[[#This Row],[lookupMedian]]))</f>
        <v>120.4761904761903</v>
      </c>
      <c r="P133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128.04761904761941</v>
      </c>
      <c r="Q133" s="10">
        <f ca="1">CFDTable[[#This Row],[AvgDaily]]-CFDTable[[#This Row],[Deviation]]</f>
        <v>0.80952380952380931</v>
      </c>
      <c r="R133" s="10">
        <f ca="1">AVERAGE(IF(ISNUMBER(M133),IF(ISNUMBER(OFFSET(M133,-Historic,0)),OFFSET(M133,-Historic,0),M$2):M133,R132))</f>
        <v>0.95238095238095233</v>
      </c>
      <c r="S133" s="10">
        <f ca="1">AVERAGE(IF(ISNUMBER(M133),IF(ISNUMBER(OFFSET(M133,-Historic,0)),OFFSET(M133,-Historic,0),M$2):M133,S132))</f>
        <v>0.95238095238095233</v>
      </c>
      <c r="T133" s="10">
        <f ca="1">AVERAGE(IF(ISNUMBER(M133),OFFSET(M$2,DaysToIgnoreOnAvg,0):M133,T132))</f>
        <v>0.88311688311688308</v>
      </c>
      <c r="U133" s="10">
        <f ca="1">CFDTable[[#This Row],[AvgDaily]]+CFDTable[[#This Row],[Deviation]]</f>
        <v>1.0952380952380953</v>
      </c>
      <c r="V133" s="10">
        <f ca="1">IF(ISNUMBER(M133),((_xlfn.PERCENTILE.INC(IF(ISNUMBER(OFFSET(R133,-Historic,0)),OFFSET(R133,-Historic,0),R$2):R133,PercentileHigh/100))-(MEDIAN(IF(ISNUMBER(OFFSET(R133,-Historic,0)),OFFSET(R133,-Historic,0),R$2):R133))),V132)</f>
        <v>0.14285714285714302</v>
      </c>
      <c r="W133" s="10">
        <f ca="1">IF(ISNUMBER(M133),((_xlfn.PERCENTILE.INC(R$2:R133,PercentileHigh/100))-(MEDIAN(R$2:R133))),V132)</f>
        <v>0.14285714285714302</v>
      </c>
      <c r="X133" s="10" t="e">
        <f ca="1">(SUM(CFDTable[[#This Row],[To Do]:[Done]])-SUM(G132:L132))</f>
        <v>#N/A</v>
      </c>
      <c r="Y133" s="10">
        <f ca="1">AVERAGE(IF(ISNUMBER(X133),IF(ISNUMBER(OFFSET(X133,-Historic,0)),OFFSET(X133,-Historic,0),X$2):X133,Y132))</f>
        <v>1.1428571428571428</v>
      </c>
      <c r="Z133" s="10">
        <f ca="1">IF(ISNUMBER(CFDTable[[#This Row],[Done Today]]),SUM($G133:$L133),Z132+CFDTable[[#This Row],[avg added]])</f>
        <v>184.57142857142836</v>
      </c>
      <c r="AA133" s="10">
        <f ca="1">IF(ISNUMBER(CFDTable[[#This Row],[Done Today]]),SUM($G133:$L133),$AA132)</f>
        <v>124</v>
      </c>
      <c r="AB133" s="10">
        <f ca="1">IF(ISNUMBER(CFDTable[[#This Row],[Done Today]]),SUM($G133:$L133),$AB132)</f>
        <v>124</v>
      </c>
      <c r="AC133" s="10">
        <f ca="1">SUM(LOOKUP(2,1/(N$1:N132&lt;&gt;""),N$1:N132)+CFDTable[[#This Row],[lowDaily]])</f>
        <v>112.90476190476194</v>
      </c>
      <c r="AD133" s="10">
        <f ca="1">SUM(LOOKUP(2,1/(O$1:O132&lt;&gt;""),O$1:O132)+R133)</f>
        <v>120.4761904761903</v>
      </c>
      <c r="AE133" s="10">
        <f ca="1">SUM(LOOKUP(2,1/(P$1:P132&lt;&gt;""),P$1:P132)+CFDTable[[#This Row],[highDaily]])</f>
        <v>128.04761904761941</v>
      </c>
      <c r="AF133" s="12">
        <f>IF(CFDTable[[#This Row],[Date]]=DeadlineDate,CFDTable[[#This Row],[FutureWork2]],0)</f>
        <v>0</v>
      </c>
    </row>
    <row r="134" spans="1:32">
      <c r="A134" s="8">
        <f>CFDTable[[#This Row],[Date]]</f>
        <v>42598</v>
      </c>
      <c r="B134" s="38">
        <f>Data!B134</f>
        <v>42598</v>
      </c>
      <c r="C134" s="10">
        <f ca="1">IF(ISNUMBER(CFDTable[[#This Row],[Ready]]),NA(),CFDTable[[#This Row],[Target]]-CFDTable[[#This Row],[To Do]])</f>
        <v>77</v>
      </c>
      <c r="D134" s="10" t="e">
        <f>IF(CFDTable[[#This Row],[Emergence]]&gt;0,CFDTable[[#This Row],[Future Work]]-CFDTable[[#This Row],[Emergence]],NA())</f>
        <v>#N/A</v>
      </c>
      <c r="E134" s="10">
        <f>Data!C134</f>
        <v>0</v>
      </c>
      <c r="F134" s="10" t="str">
        <f ca="1">Data!D134</f>
        <v/>
      </c>
      <c r="G134" s="10">
        <f ca="1">Data!E134</f>
        <v>47</v>
      </c>
      <c r="H134" s="10" t="e">
        <f ca="1">IF(TodaysDate&gt;=$B134,Data!F134,NA())</f>
        <v>#N/A</v>
      </c>
      <c r="I134" s="10" t="e">
        <f ca="1">IF(TodaysDate&gt;=$B134,Data!G134,NA())</f>
        <v>#N/A</v>
      </c>
      <c r="J134" s="10" t="e">
        <f ca="1">IF(TodaysDate&gt;=$B134,Data!H134,NA())</f>
        <v>#N/A</v>
      </c>
      <c r="K134" s="10" t="e">
        <f ca="1">IF(TodaysDate&gt;=$B134,Data!I134,NA())</f>
        <v>#N/A</v>
      </c>
      <c r="L134" s="10" t="e">
        <f ca="1">IF(TodaysDate&gt;=$B134,Data!J134,NA())</f>
        <v>#N/A</v>
      </c>
      <c r="M134" s="10" t="e">
        <f ca="1">IF(CFDTable[[#This Row],[Done]]&gt;0,(CFDTable[[#This Row],[Done]])-(L133),0)</f>
        <v>#N/A</v>
      </c>
      <c r="N134" s="10">
        <f ca="1">IF(ISNUMBER($M134),SUM(CFDTable[[#This Row],[Done]]),IF(CFDTable[[#This Row],[lookupLow]]&gt;=CFDTable[[#This Row],[FutureWork2]]+CFDTable[[#This Row],[lowDaily]],NA(),CFDTable[[#This Row],[lookupLow]]))</f>
        <v>113.71428571428575</v>
      </c>
      <c r="O134" s="10">
        <f ca="1">IF(ISNUMBER($M134),SUM(CFDTable[[#This Row],[Done]]),IF(CFDTable[[#This Row],[lookupMedian]]&gt;=CFDTable[[#This Row],[FutureWork2]],NA(),CFDTable[[#This Row],[lookupMedian]]))</f>
        <v>121.42857142857125</v>
      </c>
      <c r="P134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129.14285714285751</v>
      </c>
      <c r="Q134" s="10">
        <f ca="1">CFDTable[[#This Row],[AvgDaily]]-CFDTable[[#This Row],[Deviation]]</f>
        <v>0.80952380952380931</v>
      </c>
      <c r="R134" s="10">
        <f ca="1">AVERAGE(IF(ISNUMBER(M134),IF(ISNUMBER(OFFSET(M134,-Historic,0)),OFFSET(M134,-Historic,0),M$2):M134,R133))</f>
        <v>0.95238095238095233</v>
      </c>
      <c r="S134" s="10">
        <f ca="1">AVERAGE(IF(ISNUMBER(M134),IF(ISNUMBER(OFFSET(M134,-Historic,0)),OFFSET(M134,-Historic,0),M$2):M134,S133))</f>
        <v>0.95238095238095233</v>
      </c>
      <c r="T134" s="10">
        <f ca="1">AVERAGE(IF(ISNUMBER(M134),OFFSET(M$2,DaysToIgnoreOnAvg,0):M134,T133))</f>
        <v>0.88311688311688308</v>
      </c>
      <c r="U134" s="10">
        <f ca="1">CFDTable[[#This Row],[AvgDaily]]+CFDTable[[#This Row],[Deviation]]</f>
        <v>1.0952380952380953</v>
      </c>
      <c r="V134" s="10">
        <f ca="1">IF(ISNUMBER(M134),((_xlfn.PERCENTILE.INC(IF(ISNUMBER(OFFSET(R134,-Historic,0)),OFFSET(R134,-Historic,0),R$2):R134,PercentileHigh/100))-(MEDIAN(IF(ISNUMBER(OFFSET(R134,-Historic,0)),OFFSET(R134,-Historic,0),R$2):R134))),V133)</f>
        <v>0.14285714285714302</v>
      </c>
      <c r="W134" s="10">
        <f ca="1">IF(ISNUMBER(M134),((_xlfn.PERCENTILE.INC(R$2:R134,PercentileHigh/100))-(MEDIAN(R$2:R134))),V133)</f>
        <v>0.14285714285714302</v>
      </c>
      <c r="X134" s="10" t="e">
        <f ca="1">(SUM(CFDTable[[#This Row],[To Do]:[Done]])-SUM(G133:L133))</f>
        <v>#N/A</v>
      </c>
      <c r="Y134" s="10">
        <f ca="1">AVERAGE(IF(ISNUMBER(X134),IF(ISNUMBER(OFFSET(X134,-Historic,0)),OFFSET(X134,-Historic,0),X$2):X134,Y133))</f>
        <v>1.1428571428571428</v>
      </c>
      <c r="Z134" s="10">
        <f ca="1">IF(ISNUMBER(CFDTable[[#This Row],[Done Today]]),SUM($G134:$L134),Z133+CFDTable[[#This Row],[avg added]])</f>
        <v>185.7142857142855</v>
      </c>
      <c r="AA134" s="10">
        <f ca="1">IF(ISNUMBER(CFDTable[[#This Row],[Done Today]]),SUM($G134:$L134),$AA133)</f>
        <v>124</v>
      </c>
      <c r="AB134" s="10">
        <f ca="1">IF(ISNUMBER(CFDTable[[#This Row],[Done Today]]),SUM($G134:$L134),$AB133)</f>
        <v>124</v>
      </c>
      <c r="AC134" s="10">
        <f ca="1">SUM(LOOKUP(2,1/(N$1:N133&lt;&gt;""),N$1:N133)+CFDTable[[#This Row],[lowDaily]])</f>
        <v>113.71428571428575</v>
      </c>
      <c r="AD134" s="10">
        <f ca="1">SUM(LOOKUP(2,1/(O$1:O133&lt;&gt;""),O$1:O133)+R134)</f>
        <v>121.42857142857125</v>
      </c>
      <c r="AE134" s="10">
        <f ca="1">SUM(LOOKUP(2,1/(P$1:P133&lt;&gt;""),P$1:P133)+CFDTable[[#This Row],[highDaily]])</f>
        <v>129.14285714285751</v>
      </c>
      <c r="AF134" s="12">
        <f>IF(CFDTable[[#This Row],[Date]]=DeadlineDate,CFDTable[[#This Row],[FutureWork2]],0)</f>
        <v>0</v>
      </c>
    </row>
    <row r="135" spans="1:32">
      <c r="A135" s="8">
        <f>CFDTable[[#This Row],[Date]]</f>
        <v>42599</v>
      </c>
      <c r="B135" s="38">
        <f>Data!B135</f>
        <v>42599</v>
      </c>
      <c r="C135" s="10">
        <f ca="1">IF(ISNUMBER(CFDTable[[#This Row],[Ready]]),NA(),CFDTable[[#This Row],[Target]]-CFDTable[[#This Row],[To Do]])</f>
        <v>77</v>
      </c>
      <c r="D135" s="10" t="e">
        <f>IF(CFDTable[[#This Row],[Emergence]]&gt;0,CFDTable[[#This Row],[Future Work]]-CFDTable[[#This Row],[Emergence]],NA())</f>
        <v>#N/A</v>
      </c>
      <c r="E135" s="10">
        <f>Data!C135</f>
        <v>0</v>
      </c>
      <c r="F135" s="10" t="str">
        <f ca="1">Data!D135</f>
        <v/>
      </c>
      <c r="G135" s="10">
        <f ca="1">Data!E135</f>
        <v>47</v>
      </c>
      <c r="H135" s="10" t="e">
        <f ca="1">IF(TodaysDate&gt;=$B135,Data!F135,NA())</f>
        <v>#N/A</v>
      </c>
      <c r="I135" s="10" t="e">
        <f ca="1">IF(TodaysDate&gt;=$B135,Data!G135,NA())</f>
        <v>#N/A</v>
      </c>
      <c r="J135" s="10" t="e">
        <f ca="1">IF(TodaysDate&gt;=$B135,Data!H135,NA())</f>
        <v>#N/A</v>
      </c>
      <c r="K135" s="10" t="e">
        <f ca="1">IF(TodaysDate&gt;=$B135,Data!I135,NA())</f>
        <v>#N/A</v>
      </c>
      <c r="L135" s="10" t="e">
        <f ca="1">IF(TodaysDate&gt;=$B135,Data!J135,NA())</f>
        <v>#N/A</v>
      </c>
      <c r="M135" s="10" t="e">
        <f ca="1">IF(CFDTable[[#This Row],[Done]]&gt;0,(CFDTable[[#This Row],[Done]])-(L134),0)</f>
        <v>#N/A</v>
      </c>
      <c r="N135" s="10">
        <f ca="1">IF(ISNUMBER($M135),SUM(CFDTable[[#This Row],[Done]]),IF(CFDTable[[#This Row],[lookupLow]]&gt;=CFDTable[[#This Row],[FutureWork2]]+CFDTable[[#This Row],[lowDaily]],NA(),CFDTable[[#This Row],[lookupLow]]))</f>
        <v>114.52380952380956</v>
      </c>
      <c r="O135" s="10">
        <f ca="1">IF(ISNUMBER($M135),SUM(CFDTable[[#This Row],[Done]]),IF(CFDTable[[#This Row],[lookupMedian]]&gt;=CFDTable[[#This Row],[FutureWork2]],NA(),CFDTable[[#This Row],[lookupMedian]]))</f>
        <v>122.38095238095219</v>
      </c>
      <c r="P135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130.23809523809561</v>
      </c>
      <c r="Q135" s="10">
        <f ca="1">CFDTable[[#This Row],[AvgDaily]]-CFDTable[[#This Row],[Deviation]]</f>
        <v>0.80952380952380931</v>
      </c>
      <c r="R135" s="10">
        <f ca="1">AVERAGE(IF(ISNUMBER(M135),IF(ISNUMBER(OFFSET(M135,-Historic,0)),OFFSET(M135,-Historic,0),M$2):M135,R134))</f>
        <v>0.95238095238095233</v>
      </c>
      <c r="S135" s="10">
        <f ca="1">AVERAGE(IF(ISNUMBER(M135),IF(ISNUMBER(OFFSET(M135,-Historic,0)),OFFSET(M135,-Historic,0),M$2):M135,S134))</f>
        <v>0.95238095238095233</v>
      </c>
      <c r="T135" s="10">
        <f ca="1">AVERAGE(IF(ISNUMBER(M135),OFFSET(M$2,DaysToIgnoreOnAvg,0):M135,T134))</f>
        <v>0.88311688311688308</v>
      </c>
      <c r="U135" s="10">
        <f ca="1">CFDTable[[#This Row],[AvgDaily]]+CFDTable[[#This Row],[Deviation]]</f>
        <v>1.0952380952380953</v>
      </c>
      <c r="V135" s="10">
        <f ca="1">IF(ISNUMBER(M135),((_xlfn.PERCENTILE.INC(IF(ISNUMBER(OFFSET(R135,-Historic,0)),OFFSET(R135,-Historic,0),R$2):R135,PercentileHigh/100))-(MEDIAN(IF(ISNUMBER(OFFSET(R135,-Historic,0)),OFFSET(R135,-Historic,0),R$2):R135))),V134)</f>
        <v>0.14285714285714302</v>
      </c>
      <c r="W135" s="10">
        <f ca="1">IF(ISNUMBER(M135),((_xlfn.PERCENTILE.INC(R$2:R135,PercentileHigh/100))-(MEDIAN(R$2:R135))),V134)</f>
        <v>0.14285714285714302</v>
      </c>
      <c r="X135" s="10" t="e">
        <f ca="1">(SUM(CFDTable[[#This Row],[To Do]:[Done]])-SUM(G134:L134))</f>
        <v>#N/A</v>
      </c>
      <c r="Y135" s="10">
        <f ca="1">AVERAGE(IF(ISNUMBER(X135),IF(ISNUMBER(OFFSET(X135,-Historic,0)),OFFSET(X135,-Historic,0),X$2):X135,Y134))</f>
        <v>1.1428571428571428</v>
      </c>
      <c r="Z135" s="10">
        <f ca="1">IF(ISNUMBER(CFDTable[[#This Row],[Done Today]]),SUM($G135:$L135),Z134+CFDTable[[#This Row],[avg added]])</f>
        <v>186.85714285714263</v>
      </c>
      <c r="AA135" s="10">
        <f ca="1">IF(ISNUMBER(CFDTable[[#This Row],[Done Today]]),SUM($G135:$L135),$AA134)</f>
        <v>124</v>
      </c>
      <c r="AB135" s="10">
        <f ca="1">IF(ISNUMBER(CFDTable[[#This Row],[Done Today]]),SUM($G135:$L135),$AB134)</f>
        <v>124</v>
      </c>
      <c r="AC135" s="10">
        <f ca="1">SUM(LOOKUP(2,1/(N$1:N134&lt;&gt;""),N$1:N134)+CFDTable[[#This Row],[lowDaily]])</f>
        <v>114.52380952380956</v>
      </c>
      <c r="AD135" s="10">
        <f ca="1">SUM(LOOKUP(2,1/(O$1:O134&lt;&gt;""),O$1:O134)+R135)</f>
        <v>122.38095238095219</v>
      </c>
      <c r="AE135" s="10">
        <f ca="1">SUM(LOOKUP(2,1/(P$1:P134&lt;&gt;""),P$1:P134)+CFDTable[[#This Row],[highDaily]])</f>
        <v>130.23809523809561</v>
      </c>
      <c r="AF135" s="12">
        <f>IF(CFDTable[[#This Row],[Date]]=DeadlineDate,CFDTable[[#This Row],[FutureWork2]],0)</f>
        <v>0</v>
      </c>
    </row>
    <row r="136" spans="1:32">
      <c r="A136" s="8">
        <f>CFDTable[[#This Row],[Date]]</f>
        <v>42600</v>
      </c>
      <c r="B136" s="38">
        <f>Data!B136</f>
        <v>42600</v>
      </c>
      <c r="C136" s="10">
        <f ca="1">IF(ISNUMBER(CFDTable[[#This Row],[Ready]]),NA(),CFDTable[[#This Row],[Target]]-CFDTable[[#This Row],[To Do]])</f>
        <v>77</v>
      </c>
      <c r="D136" s="10" t="e">
        <f>IF(CFDTable[[#This Row],[Emergence]]&gt;0,CFDTable[[#This Row],[Future Work]]-CFDTable[[#This Row],[Emergence]],NA())</f>
        <v>#N/A</v>
      </c>
      <c r="E136" s="10">
        <f>Data!C136</f>
        <v>0</v>
      </c>
      <c r="F136" s="10" t="str">
        <f ca="1">Data!D136</f>
        <v/>
      </c>
      <c r="G136" s="10">
        <f ca="1">Data!E136</f>
        <v>47</v>
      </c>
      <c r="H136" s="10" t="e">
        <f ca="1">IF(TodaysDate&gt;=$B136,Data!F136,NA())</f>
        <v>#N/A</v>
      </c>
      <c r="I136" s="10" t="e">
        <f ca="1">IF(TodaysDate&gt;=$B136,Data!G136,NA())</f>
        <v>#N/A</v>
      </c>
      <c r="J136" s="10" t="e">
        <f ca="1">IF(TodaysDate&gt;=$B136,Data!H136,NA())</f>
        <v>#N/A</v>
      </c>
      <c r="K136" s="10" t="e">
        <f ca="1">IF(TodaysDate&gt;=$B136,Data!I136,NA())</f>
        <v>#N/A</v>
      </c>
      <c r="L136" s="10" t="e">
        <f ca="1">IF(TodaysDate&gt;=$B136,Data!J136,NA())</f>
        <v>#N/A</v>
      </c>
      <c r="M136" s="10" t="e">
        <f ca="1">IF(CFDTable[[#This Row],[Done]]&gt;0,(CFDTable[[#This Row],[Done]])-(L135),0)</f>
        <v>#N/A</v>
      </c>
      <c r="N136" s="10">
        <f ca="1">IF(ISNUMBER($M136),SUM(CFDTable[[#This Row],[Done]]),IF(CFDTable[[#This Row],[lookupLow]]&gt;=CFDTable[[#This Row],[FutureWork2]]+CFDTable[[#This Row],[lowDaily]],NA(),CFDTable[[#This Row],[lookupLow]]))</f>
        <v>115.33333333333337</v>
      </c>
      <c r="O136" s="10">
        <f ca="1">IF(ISNUMBER($M136),SUM(CFDTable[[#This Row],[Done]]),IF(CFDTable[[#This Row],[lookupMedian]]&gt;=CFDTable[[#This Row],[FutureWork2]],NA(),CFDTable[[#This Row],[lookupMedian]]))</f>
        <v>123.33333333333314</v>
      </c>
      <c r="P136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131.33333333333371</v>
      </c>
      <c r="Q136" s="10">
        <f ca="1">CFDTable[[#This Row],[AvgDaily]]-CFDTable[[#This Row],[Deviation]]</f>
        <v>0.80952380952380931</v>
      </c>
      <c r="R136" s="10">
        <f ca="1">AVERAGE(IF(ISNUMBER(M136),IF(ISNUMBER(OFFSET(M136,-Historic,0)),OFFSET(M136,-Historic,0),M$2):M136,R135))</f>
        <v>0.95238095238095233</v>
      </c>
      <c r="S136" s="10">
        <f ca="1">AVERAGE(IF(ISNUMBER(M136),IF(ISNUMBER(OFFSET(M136,-Historic,0)),OFFSET(M136,-Historic,0),M$2):M136,S135))</f>
        <v>0.95238095238095233</v>
      </c>
      <c r="T136" s="10">
        <f ca="1">AVERAGE(IF(ISNUMBER(M136),OFFSET(M$2,DaysToIgnoreOnAvg,0):M136,T135))</f>
        <v>0.88311688311688308</v>
      </c>
      <c r="U136" s="10">
        <f ca="1">CFDTable[[#This Row],[AvgDaily]]+CFDTable[[#This Row],[Deviation]]</f>
        <v>1.0952380952380953</v>
      </c>
      <c r="V136" s="10">
        <f ca="1">IF(ISNUMBER(M136),((_xlfn.PERCENTILE.INC(IF(ISNUMBER(OFFSET(R136,-Historic,0)),OFFSET(R136,-Historic,0),R$2):R136,PercentileHigh/100))-(MEDIAN(IF(ISNUMBER(OFFSET(R136,-Historic,0)),OFFSET(R136,-Historic,0),R$2):R136))),V135)</f>
        <v>0.14285714285714302</v>
      </c>
      <c r="W136" s="10">
        <f ca="1">IF(ISNUMBER(M136),((_xlfn.PERCENTILE.INC(R$2:R136,PercentileHigh/100))-(MEDIAN(R$2:R136))),V135)</f>
        <v>0.14285714285714302</v>
      </c>
      <c r="X136" s="10" t="e">
        <f ca="1">(SUM(CFDTable[[#This Row],[To Do]:[Done]])-SUM(G135:L135))</f>
        <v>#N/A</v>
      </c>
      <c r="Y136" s="10">
        <f ca="1">AVERAGE(IF(ISNUMBER(X136),IF(ISNUMBER(OFFSET(X136,-Historic,0)),OFFSET(X136,-Historic,0),X$2):X136,Y135))</f>
        <v>1.1428571428571428</v>
      </c>
      <c r="Z136" s="10">
        <f ca="1">IF(ISNUMBER(CFDTable[[#This Row],[Done Today]]),SUM($G136:$L136),Z135+CFDTable[[#This Row],[avg added]])</f>
        <v>187.99999999999977</v>
      </c>
      <c r="AA136" s="10">
        <f ca="1">IF(ISNUMBER(CFDTable[[#This Row],[Done Today]]),SUM($G136:$L136),$AA135)</f>
        <v>124</v>
      </c>
      <c r="AB136" s="10">
        <f ca="1">IF(ISNUMBER(CFDTable[[#This Row],[Done Today]]),SUM($G136:$L136),$AB135)</f>
        <v>124</v>
      </c>
      <c r="AC136" s="10">
        <f ca="1">SUM(LOOKUP(2,1/(N$1:N135&lt;&gt;""),N$1:N135)+CFDTable[[#This Row],[lowDaily]])</f>
        <v>115.33333333333337</v>
      </c>
      <c r="AD136" s="10">
        <f ca="1">SUM(LOOKUP(2,1/(O$1:O135&lt;&gt;""),O$1:O135)+R136)</f>
        <v>123.33333333333314</v>
      </c>
      <c r="AE136" s="10">
        <f ca="1">SUM(LOOKUP(2,1/(P$1:P135&lt;&gt;""),P$1:P135)+CFDTable[[#This Row],[highDaily]])</f>
        <v>131.33333333333371</v>
      </c>
      <c r="AF136" s="12">
        <f>IF(CFDTable[[#This Row],[Date]]=DeadlineDate,CFDTable[[#This Row],[FutureWork2]],0)</f>
        <v>0</v>
      </c>
    </row>
    <row r="137" spans="1:32">
      <c r="A137" s="8">
        <f>CFDTable[[#This Row],[Date]]</f>
        <v>42601</v>
      </c>
      <c r="B137" s="38">
        <f>Data!B137</f>
        <v>42601</v>
      </c>
      <c r="C137" s="10">
        <f ca="1">IF(ISNUMBER(CFDTable[[#This Row],[Ready]]),NA(),CFDTable[[#This Row],[Target]]-CFDTable[[#This Row],[To Do]])</f>
        <v>77</v>
      </c>
      <c r="D137" s="10" t="e">
        <f>IF(CFDTable[[#This Row],[Emergence]]&gt;0,CFDTable[[#This Row],[Future Work]]-CFDTable[[#This Row],[Emergence]],NA())</f>
        <v>#N/A</v>
      </c>
      <c r="E137" s="10">
        <f>Data!C137</f>
        <v>0</v>
      </c>
      <c r="F137" s="10" t="str">
        <f ca="1">Data!D137</f>
        <v/>
      </c>
      <c r="G137" s="10">
        <f ca="1">Data!E137</f>
        <v>47</v>
      </c>
      <c r="H137" s="10" t="e">
        <f ca="1">IF(TodaysDate&gt;=$B137,Data!F137,NA())</f>
        <v>#N/A</v>
      </c>
      <c r="I137" s="10" t="e">
        <f ca="1">IF(TodaysDate&gt;=$B137,Data!G137,NA())</f>
        <v>#N/A</v>
      </c>
      <c r="J137" s="10" t="e">
        <f ca="1">IF(TodaysDate&gt;=$B137,Data!H137,NA())</f>
        <v>#N/A</v>
      </c>
      <c r="K137" s="10" t="e">
        <f ca="1">IF(TodaysDate&gt;=$B137,Data!I137,NA())</f>
        <v>#N/A</v>
      </c>
      <c r="L137" s="10" t="e">
        <f ca="1">IF(TodaysDate&gt;=$B137,Data!J137,NA())</f>
        <v>#N/A</v>
      </c>
      <c r="M137" s="10" t="e">
        <f ca="1">IF(CFDTable[[#This Row],[Done]]&gt;0,(CFDTable[[#This Row],[Done]])-(L136),0)</f>
        <v>#N/A</v>
      </c>
      <c r="N137" s="10">
        <f ca="1">IF(ISNUMBER($M137),SUM(CFDTable[[#This Row],[Done]]),IF(CFDTable[[#This Row],[lookupLow]]&gt;=CFDTable[[#This Row],[FutureWork2]]+CFDTable[[#This Row],[lowDaily]],NA(),CFDTable[[#This Row],[lookupLow]]))</f>
        <v>116.14285714285718</v>
      </c>
      <c r="O137" s="10">
        <f ca="1">IF(ISNUMBER($M137),SUM(CFDTable[[#This Row],[Done]]),IF(CFDTable[[#This Row],[lookupMedian]]&gt;=CFDTable[[#This Row],[FutureWork2]],NA(),CFDTable[[#This Row],[lookupMedian]]))</f>
        <v>124.28571428571409</v>
      </c>
      <c r="P137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132.42857142857181</v>
      </c>
      <c r="Q137" s="10">
        <f ca="1">CFDTable[[#This Row],[AvgDaily]]-CFDTable[[#This Row],[Deviation]]</f>
        <v>0.80952380952380931</v>
      </c>
      <c r="R137" s="10">
        <f ca="1">AVERAGE(IF(ISNUMBER(M137),IF(ISNUMBER(OFFSET(M137,-Historic,0)),OFFSET(M137,-Historic,0),M$2):M137,R136))</f>
        <v>0.95238095238095233</v>
      </c>
      <c r="S137" s="10">
        <f ca="1">AVERAGE(IF(ISNUMBER(M137),IF(ISNUMBER(OFFSET(M137,-Historic,0)),OFFSET(M137,-Historic,0),M$2):M137,S136))</f>
        <v>0.95238095238095233</v>
      </c>
      <c r="T137" s="10">
        <f ca="1">AVERAGE(IF(ISNUMBER(M137),OFFSET(M$2,DaysToIgnoreOnAvg,0):M137,T136))</f>
        <v>0.88311688311688308</v>
      </c>
      <c r="U137" s="10">
        <f ca="1">CFDTable[[#This Row],[AvgDaily]]+CFDTable[[#This Row],[Deviation]]</f>
        <v>1.0952380952380953</v>
      </c>
      <c r="V137" s="10">
        <f ca="1">IF(ISNUMBER(M137),((_xlfn.PERCENTILE.INC(IF(ISNUMBER(OFFSET(R137,-Historic,0)),OFFSET(R137,-Historic,0),R$2):R137,PercentileHigh/100))-(MEDIAN(IF(ISNUMBER(OFFSET(R137,-Historic,0)),OFFSET(R137,-Historic,0),R$2):R137))),V136)</f>
        <v>0.14285714285714302</v>
      </c>
      <c r="W137" s="10">
        <f ca="1">IF(ISNUMBER(M137),((_xlfn.PERCENTILE.INC(R$2:R137,PercentileHigh/100))-(MEDIAN(R$2:R137))),V136)</f>
        <v>0.14285714285714302</v>
      </c>
      <c r="X137" s="10" t="e">
        <f ca="1">(SUM(CFDTable[[#This Row],[To Do]:[Done]])-SUM(G136:L136))</f>
        <v>#N/A</v>
      </c>
      <c r="Y137" s="10">
        <f ca="1">AVERAGE(IF(ISNUMBER(X137),IF(ISNUMBER(OFFSET(X137,-Historic,0)),OFFSET(X137,-Historic,0),X$2):X137,Y136))</f>
        <v>1.1428571428571428</v>
      </c>
      <c r="Z137" s="10">
        <f ca="1">IF(ISNUMBER(CFDTable[[#This Row],[Done Today]]),SUM($G137:$L137),Z136+CFDTable[[#This Row],[avg added]])</f>
        <v>189.14285714285691</v>
      </c>
      <c r="AA137" s="10">
        <f ca="1">IF(ISNUMBER(CFDTable[[#This Row],[Done Today]]),SUM($G137:$L137),$AA136)</f>
        <v>124</v>
      </c>
      <c r="AB137" s="10">
        <f ca="1">IF(ISNUMBER(CFDTable[[#This Row],[Done Today]]),SUM($G137:$L137),$AB136)</f>
        <v>124</v>
      </c>
      <c r="AC137" s="10">
        <f ca="1">SUM(LOOKUP(2,1/(N$1:N136&lt;&gt;""),N$1:N136)+CFDTable[[#This Row],[lowDaily]])</f>
        <v>116.14285714285718</v>
      </c>
      <c r="AD137" s="10">
        <f ca="1">SUM(LOOKUP(2,1/(O$1:O136&lt;&gt;""),O$1:O136)+R137)</f>
        <v>124.28571428571409</v>
      </c>
      <c r="AE137" s="10">
        <f ca="1">SUM(LOOKUP(2,1/(P$1:P136&lt;&gt;""),P$1:P136)+CFDTable[[#This Row],[highDaily]])</f>
        <v>132.42857142857181</v>
      </c>
      <c r="AF137" s="12">
        <f>IF(CFDTable[[#This Row],[Date]]=DeadlineDate,CFDTable[[#This Row],[FutureWork2]],0)</f>
        <v>0</v>
      </c>
    </row>
    <row r="138" spans="1:32">
      <c r="A138" s="8">
        <f>CFDTable[[#This Row],[Date]]</f>
        <v>42604</v>
      </c>
      <c r="B138" s="38">
        <f>Data!B138</f>
        <v>42604</v>
      </c>
      <c r="C138" s="10">
        <f ca="1">IF(ISNUMBER(CFDTable[[#This Row],[Ready]]),NA(),CFDTable[[#This Row],[Target]]-CFDTable[[#This Row],[To Do]])</f>
        <v>77</v>
      </c>
      <c r="D138" s="10" t="e">
        <f>IF(CFDTable[[#This Row],[Emergence]]&gt;0,CFDTable[[#This Row],[Future Work]]-CFDTable[[#This Row],[Emergence]],NA())</f>
        <v>#N/A</v>
      </c>
      <c r="E138" s="10">
        <f>Data!C138</f>
        <v>0</v>
      </c>
      <c r="F138" s="10" t="str">
        <f ca="1">Data!D138</f>
        <v/>
      </c>
      <c r="G138" s="10">
        <f ca="1">Data!E138</f>
        <v>47</v>
      </c>
      <c r="H138" s="10" t="e">
        <f ca="1">IF(TodaysDate&gt;=$B138,Data!F138,NA())</f>
        <v>#N/A</v>
      </c>
      <c r="I138" s="10" t="e">
        <f ca="1">IF(TodaysDate&gt;=$B138,Data!G138,NA())</f>
        <v>#N/A</v>
      </c>
      <c r="J138" s="10" t="e">
        <f ca="1">IF(TodaysDate&gt;=$B138,Data!H138,NA())</f>
        <v>#N/A</v>
      </c>
      <c r="K138" s="10" t="e">
        <f ca="1">IF(TodaysDate&gt;=$B138,Data!I138,NA())</f>
        <v>#N/A</v>
      </c>
      <c r="L138" s="10" t="e">
        <f ca="1">IF(TodaysDate&gt;=$B138,Data!J138,NA())</f>
        <v>#N/A</v>
      </c>
      <c r="M138" s="10" t="e">
        <f ca="1">IF(CFDTable[[#This Row],[Done]]&gt;0,(CFDTable[[#This Row],[Done]])-(L137),0)</f>
        <v>#N/A</v>
      </c>
      <c r="N138" s="10">
        <f ca="1">IF(ISNUMBER($M138),SUM(CFDTable[[#This Row],[Done]]),IF(CFDTable[[#This Row],[lookupLow]]&gt;=CFDTable[[#This Row],[FutureWork2]]+CFDTable[[#This Row],[lowDaily]],NA(),CFDTable[[#This Row],[lookupLow]]))</f>
        <v>116.95238095238099</v>
      </c>
      <c r="O138" s="10">
        <f ca="1">IF(ISNUMBER($M138),SUM(CFDTable[[#This Row],[Done]]),IF(CFDTable[[#This Row],[lookupMedian]]&gt;=CFDTable[[#This Row],[FutureWork2]],NA(),CFDTable[[#This Row],[lookupMedian]]))</f>
        <v>125.23809523809504</v>
      </c>
      <c r="P138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133.52380952380992</v>
      </c>
      <c r="Q138" s="10">
        <f ca="1">CFDTable[[#This Row],[AvgDaily]]-CFDTable[[#This Row],[Deviation]]</f>
        <v>0.80952380952380931</v>
      </c>
      <c r="R138" s="10">
        <f ca="1">AVERAGE(IF(ISNUMBER(M138),IF(ISNUMBER(OFFSET(M138,-Historic,0)),OFFSET(M138,-Historic,0),M$2):M138,R137))</f>
        <v>0.95238095238095233</v>
      </c>
      <c r="S138" s="10">
        <f ca="1">AVERAGE(IF(ISNUMBER(M138),IF(ISNUMBER(OFFSET(M138,-Historic,0)),OFFSET(M138,-Historic,0),M$2):M138,S137))</f>
        <v>0.95238095238095233</v>
      </c>
      <c r="T138" s="10">
        <f ca="1">AVERAGE(IF(ISNUMBER(M138),OFFSET(M$2,DaysToIgnoreOnAvg,0):M138,T137))</f>
        <v>0.88311688311688308</v>
      </c>
      <c r="U138" s="10">
        <f ca="1">CFDTable[[#This Row],[AvgDaily]]+CFDTable[[#This Row],[Deviation]]</f>
        <v>1.0952380952380953</v>
      </c>
      <c r="V138" s="10">
        <f ca="1">IF(ISNUMBER(M138),((_xlfn.PERCENTILE.INC(IF(ISNUMBER(OFFSET(R138,-Historic,0)),OFFSET(R138,-Historic,0),R$2):R138,PercentileHigh/100))-(MEDIAN(IF(ISNUMBER(OFFSET(R138,-Historic,0)),OFFSET(R138,-Historic,0),R$2):R138))),V137)</f>
        <v>0.14285714285714302</v>
      </c>
      <c r="W138" s="10">
        <f ca="1">IF(ISNUMBER(M138),((_xlfn.PERCENTILE.INC(R$2:R138,PercentileHigh/100))-(MEDIAN(R$2:R138))),V137)</f>
        <v>0.14285714285714302</v>
      </c>
      <c r="X138" s="10" t="e">
        <f ca="1">(SUM(CFDTable[[#This Row],[To Do]:[Done]])-SUM(G137:L137))</f>
        <v>#N/A</v>
      </c>
      <c r="Y138" s="10">
        <f ca="1">AVERAGE(IF(ISNUMBER(X138),IF(ISNUMBER(OFFSET(X138,-Historic,0)),OFFSET(X138,-Historic,0),X$2):X138,Y137))</f>
        <v>1.1428571428571428</v>
      </c>
      <c r="Z138" s="10">
        <f ca="1">IF(ISNUMBER(CFDTable[[#This Row],[Done Today]]),SUM($G138:$L138),Z137+CFDTable[[#This Row],[avg added]])</f>
        <v>190.28571428571405</v>
      </c>
      <c r="AA138" s="10">
        <f ca="1">IF(ISNUMBER(CFDTable[[#This Row],[Done Today]]),SUM($G138:$L138),$AA137)</f>
        <v>124</v>
      </c>
      <c r="AB138" s="10">
        <f ca="1">IF(ISNUMBER(CFDTable[[#This Row],[Done Today]]),SUM($G138:$L138),$AB137)</f>
        <v>124</v>
      </c>
      <c r="AC138" s="10">
        <f ca="1">SUM(LOOKUP(2,1/(N$1:N137&lt;&gt;""),N$1:N137)+CFDTable[[#This Row],[lowDaily]])</f>
        <v>116.95238095238099</v>
      </c>
      <c r="AD138" s="10">
        <f ca="1">SUM(LOOKUP(2,1/(O$1:O137&lt;&gt;""),O$1:O137)+R138)</f>
        <v>125.23809523809504</v>
      </c>
      <c r="AE138" s="10">
        <f ca="1">SUM(LOOKUP(2,1/(P$1:P137&lt;&gt;""),P$1:P137)+CFDTable[[#This Row],[highDaily]])</f>
        <v>133.52380952380992</v>
      </c>
      <c r="AF138" s="12">
        <f>IF(CFDTable[[#This Row],[Date]]=DeadlineDate,CFDTable[[#This Row],[FutureWork2]],0)</f>
        <v>0</v>
      </c>
    </row>
    <row r="139" spans="1:32">
      <c r="A139" s="8">
        <f>CFDTable[[#This Row],[Date]]</f>
        <v>42605</v>
      </c>
      <c r="B139" s="38">
        <f>Data!B139</f>
        <v>42605</v>
      </c>
      <c r="C139" s="10">
        <f ca="1">IF(ISNUMBER(CFDTable[[#This Row],[Ready]]),NA(),CFDTable[[#This Row],[Target]]-CFDTable[[#This Row],[To Do]])</f>
        <v>77</v>
      </c>
      <c r="D139" s="10" t="e">
        <f>IF(CFDTable[[#This Row],[Emergence]]&gt;0,CFDTable[[#This Row],[Future Work]]-CFDTable[[#This Row],[Emergence]],NA())</f>
        <v>#N/A</v>
      </c>
      <c r="E139" s="10">
        <f>Data!C139</f>
        <v>0</v>
      </c>
      <c r="F139" s="10" t="str">
        <f ca="1">Data!D139</f>
        <v/>
      </c>
      <c r="G139" s="10">
        <f ca="1">Data!E139</f>
        <v>47</v>
      </c>
      <c r="H139" s="10" t="e">
        <f ca="1">IF(TodaysDate&gt;=$B139,Data!F139,NA())</f>
        <v>#N/A</v>
      </c>
      <c r="I139" s="10" t="e">
        <f ca="1">IF(TodaysDate&gt;=$B139,Data!G139,NA())</f>
        <v>#N/A</v>
      </c>
      <c r="J139" s="10" t="e">
        <f ca="1">IF(TodaysDate&gt;=$B139,Data!H139,NA())</f>
        <v>#N/A</v>
      </c>
      <c r="K139" s="10" t="e">
        <f ca="1">IF(TodaysDate&gt;=$B139,Data!I139,NA())</f>
        <v>#N/A</v>
      </c>
      <c r="L139" s="10" t="e">
        <f ca="1">IF(TodaysDate&gt;=$B139,Data!J139,NA())</f>
        <v>#N/A</v>
      </c>
      <c r="M139" s="10" t="e">
        <f ca="1">IF(CFDTable[[#This Row],[Done]]&gt;0,(CFDTable[[#This Row],[Done]])-(L138),0)</f>
        <v>#N/A</v>
      </c>
      <c r="N139" s="10">
        <f ca="1">IF(ISNUMBER($M139),SUM(CFDTable[[#This Row],[Done]]),IF(CFDTable[[#This Row],[lookupLow]]&gt;=CFDTable[[#This Row],[FutureWork2]]+CFDTable[[#This Row],[lowDaily]],NA(),CFDTable[[#This Row],[lookupLow]]))</f>
        <v>117.7619047619048</v>
      </c>
      <c r="O139" s="10">
        <f ca="1">IF(ISNUMBER($M139),SUM(CFDTable[[#This Row],[Done]]),IF(CFDTable[[#This Row],[lookupMedian]]&gt;=CFDTable[[#This Row],[FutureWork2]],NA(),CFDTable[[#This Row],[lookupMedian]]))</f>
        <v>126.19047619047599</v>
      </c>
      <c r="P139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134.61904761904802</v>
      </c>
      <c r="Q139" s="10">
        <f ca="1">CFDTable[[#This Row],[AvgDaily]]-CFDTable[[#This Row],[Deviation]]</f>
        <v>0.80952380952380931</v>
      </c>
      <c r="R139" s="10">
        <f ca="1">AVERAGE(IF(ISNUMBER(M139),IF(ISNUMBER(OFFSET(M139,-Historic,0)),OFFSET(M139,-Historic,0),M$2):M139,R138))</f>
        <v>0.95238095238095233</v>
      </c>
      <c r="S139" s="10">
        <f ca="1">AVERAGE(IF(ISNUMBER(M139),IF(ISNUMBER(OFFSET(M139,-Historic,0)),OFFSET(M139,-Historic,0),M$2):M139,S138))</f>
        <v>0.95238095238095233</v>
      </c>
      <c r="T139" s="10">
        <f ca="1">AVERAGE(IF(ISNUMBER(M139),OFFSET(M$2,DaysToIgnoreOnAvg,0):M139,T138))</f>
        <v>0.88311688311688308</v>
      </c>
      <c r="U139" s="10">
        <f ca="1">CFDTable[[#This Row],[AvgDaily]]+CFDTable[[#This Row],[Deviation]]</f>
        <v>1.0952380952380953</v>
      </c>
      <c r="V139" s="10">
        <f ca="1">IF(ISNUMBER(M139),((_xlfn.PERCENTILE.INC(IF(ISNUMBER(OFFSET(R139,-Historic,0)),OFFSET(R139,-Historic,0),R$2):R139,PercentileHigh/100))-(MEDIAN(IF(ISNUMBER(OFFSET(R139,-Historic,0)),OFFSET(R139,-Historic,0),R$2):R139))),V138)</f>
        <v>0.14285714285714302</v>
      </c>
      <c r="W139" s="10">
        <f ca="1">IF(ISNUMBER(M139),((_xlfn.PERCENTILE.INC(R$2:R139,PercentileHigh/100))-(MEDIAN(R$2:R139))),V138)</f>
        <v>0.14285714285714302</v>
      </c>
      <c r="X139" s="10" t="e">
        <f ca="1">(SUM(CFDTable[[#This Row],[To Do]:[Done]])-SUM(G138:L138))</f>
        <v>#N/A</v>
      </c>
      <c r="Y139" s="10">
        <f ca="1">AVERAGE(IF(ISNUMBER(X139),IF(ISNUMBER(OFFSET(X139,-Historic,0)),OFFSET(X139,-Historic,0),X$2):X139,Y138))</f>
        <v>1.1428571428571428</v>
      </c>
      <c r="Z139" s="10">
        <f ca="1">IF(ISNUMBER(CFDTable[[#This Row],[Done Today]]),SUM($G139:$L139),Z138+CFDTable[[#This Row],[avg added]])</f>
        <v>191.42857142857119</v>
      </c>
      <c r="AA139" s="10">
        <f ca="1">IF(ISNUMBER(CFDTable[[#This Row],[Done Today]]),SUM($G139:$L139),$AA138)</f>
        <v>124</v>
      </c>
      <c r="AB139" s="10">
        <f ca="1">IF(ISNUMBER(CFDTable[[#This Row],[Done Today]]),SUM($G139:$L139),$AB138)</f>
        <v>124</v>
      </c>
      <c r="AC139" s="10">
        <f ca="1">SUM(LOOKUP(2,1/(N$1:N138&lt;&gt;""),N$1:N138)+CFDTable[[#This Row],[lowDaily]])</f>
        <v>117.7619047619048</v>
      </c>
      <c r="AD139" s="10">
        <f ca="1">SUM(LOOKUP(2,1/(O$1:O138&lt;&gt;""),O$1:O138)+R139)</f>
        <v>126.19047619047599</v>
      </c>
      <c r="AE139" s="10">
        <f ca="1">SUM(LOOKUP(2,1/(P$1:P138&lt;&gt;""),P$1:P138)+CFDTable[[#This Row],[highDaily]])</f>
        <v>134.61904761904802</v>
      </c>
      <c r="AF139" s="12">
        <f>IF(CFDTable[[#This Row],[Date]]=DeadlineDate,CFDTable[[#This Row],[FutureWork2]],0)</f>
        <v>0</v>
      </c>
    </row>
    <row r="140" spans="1:32">
      <c r="A140" s="8">
        <f>CFDTable[[#This Row],[Date]]</f>
        <v>42606</v>
      </c>
      <c r="B140" s="38">
        <f>Data!B140</f>
        <v>42606</v>
      </c>
      <c r="C140" s="10">
        <f ca="1">IF(ISNUMBER(CFDTable[[#This Row],[Ready]]),NA(),CFDTable[[#This Row],[Target]]-CFDTable[[#This Row],[To Do]])</f>
        <v>77</v>
      </c>
      <c r="D140" s="10" t="e">
        <f>IF(CFDTable[[#This Row],[Emergence]]&gt;0,CFDTable[[#This Row],[Future Work]]-CFDTable[[#This Row],[Emergence]],NA())</f>
        <v>#N/A</v>
      </c>
      <c r="E140" s="10">
        <f>Data!C140</f>
        <v>0</v>
      </c>
      <c r="F140" s="10" t="str">
        <f ca="1">Data!D140</f>
        <v/>
      </c>
      <c r="G140" s="10">
        <f ca="1">Data!E140</f>
        <v>47</v>
      </c>
      <c r="H140" s="10" t="e">
        <f ca="1">IF(TodaysDate&gt;=$B140,Data!F140,NA())</f>
        <v>#N/A</v>
      </c>
      <c r="I140" s="10" t="e">
        <f ca="1">IF(TodaysDate&gt;=$B140,Data!G140,NA())</f>
        <v>#N/A</v>
      </c>
      <c r="J140" s="10" t="e">
        <f ca="1">IF(TodaysDate&gt;=$B140,Data!H140,NA())</f>
        <v>#N/A</v>
      </c>
      <c r="K140" s="10" t="e">
        <f ca="1">IF(TodaysDate&gt;=$B140,Data!I140,NA())</f>
        <v>#N/A</v>
      </c>
      <c r="L140" s="10" t="e">
        <f ca="1">IF(TodaysDate&gt;=$B140,Data!J140,NA())</f>
        <v>#N/A</v>
      </c>
      <c r="M140" s="10" t="e">
        <f ca="1">IF(CFDTable[[#This Row],[Done]]&gt;0,(CFDTable[[#This Row],[Done]])-(L139),0)</f>
        <v>#N/A</v>
      </c>
      <c r="N140" s="10">
        <f ca="1">IF(ISNUMBER($M140),SUM(CFDTable[[#This Row],[Done]]),IF(CFDTable[[#This Row],[lookupLow]]&gt;=CFDTable[[#This Row],[FutureWork2]]+CFDTable[[#This Row],[lowDaily]],NA(),CFDTable[[#This Row],[lookupLow]]))</f>
        <v>118.57142857142861</v>
      </c>
      <c r="O140" s="10">
        <f ca="1">IF(ISNUMBER($M140),SUM(CFDTable[[#This Row],[Done]]),IF(CFDTable[[#This Row],[lookupMedian]]&gt;=CFDTable[[#This Row],[FutureWork2]],NA(),CFDTable[[#This Row],[lookupMedian]]))</f>
        <v>127.14285714285694</v>
      </c>
      <c r="P140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135.71428571428612</v>
      </c>
      <c r="Q140" s="10">
        <f ca="1">CFDTable[[#This Row],[AvgDaily]]-CFDTable[[#This Row],[Deviation]]</f>
        <v>0.80952380952380931</v>
      </c>
      <c r="R140" s="10">
        <f ca="1">AVERAGE(IF(ISNUMBER(M140),IF(ISNUMBER(OFFSET(M140,-Historic,0)),OFFSET(M140,-Historic,0),M$2):M140,R139))</f>
        <v>0.95238095238095233</v>
      </c>
      <c r="S140" s="10">
        <f ca="1">AVERAGE(IF(ISNUMBER(M140),IF(ISNUMBER(OFFSET(M140,-Historic,0)),OFFSET(M140,-Historic,0),M$2):M140,S139))</f>
        <v>0.95238095238095233</v>
      </c>
      <c r="T140" s="10">
        <f ca="1">AVERAGE(IF(ISNUMBER(M140),OFFSET(M$2,DaysToIgnoreOnAvg,0):M140,T139))</f>
        <v>0.88311688311688308</v>
      </c>
      <c r="U140" s="10">
        <f ca="1">CFDTable[[#This Row],[AvgDaily]]+CFDTable[[#This Row],[Deviation]]</f>
        <v>1.0952380952380953</v>
      </c>
      <c r="V140" s="10">
        <f ca="1">IF(ISNUMBER(M140),((_xlfn.PERCENTILE.INC(IF(ISNUMBER(OFFSET(R140,-Historic,0)),OFFSET(R140,-Historic,0),R$2):R140,PercentileHigh/100))-(MEDIAN(IF(ISNUMBER(OFFSET(R140,-Historic,0)),OFFSET(R140,-Historic,0),R$2):R140))),V139)</f>
        <v>0.14285714285714302</v>
      </c>
      <c r="W140" s="10">
        <f ca="1">IF(ISNUMBER(M140),((_xlfn.PERCENTILE.INC(R$2:R140,PercentileHigh/100))-(MEDIAN(R$2:R140))),V139)</f>
        <v>0.14285714285714302</v>
      </c>
      <c r="X140" s="10" t="e">
        <f ca="1">(SUM(CFDTable[[#This Row],[To Do]:[Done]])-SUM(G139:L139))</f>
        <v>#N/A</v>
      </c>
      <c r="Y140" s="10">
        <f ca="1">AVERAGE(IF(ISNUMBER(X140),IF(ISNUMBER(OFFSET(X140,-Historic,0)),OFFSET(X140,-Historic,0),X$2):X140,Y139))</f>
        <v>1.1428571428571428</v>
      </c>
      <c r="Z140" s="10">
        <f ca="1">IF(ISNUMBER(CFDTable[[#This Row],[Done Today]]),SUM($G140:$L140),Z139+CFDTable[[#This Row],[avg added]])</f>
        <v>192.57142857142833</v>
      </c>
      <c r="AA140" s="10">
        <f ca="1">IF(ISNUMBER(CFDTable[[#This Row],[Done Today]]),SUM($G140:$L140),$AA139)</f>
        <v>124</v>
      </c>
      <c r="AB140" s="10">
        <f ca="1">IF(ISNUMBER(CFDTable[[#This Row],[Done Today]]),SUM($G140:$L140),$AB139)</f>
        <v>124</v>
      </c>
      <c r="AC140" s="10">
        <f ca="1">SUM(LOOKUP(2,1/(N$1:N139&lt;&gt;""),N$1:N139)+CFDTable[[#This Row],[lowDaily]])</f>
        <v>118.57142857142861</v>
      </c>
      <c r="AD140" s="10">
        <f ca="1">SUM(LOOKUP(2,1/(O$1:O139&lt;&gt;""),O$1:O139)+R140)</f>
        <v>127.14285714285694</v>
      </c>
      <c r="AE140" s="10">
        <f ca="1">SUM(LOOKUP(2,1/(P$1:P139&lt;&gt;""),P$1:P139)+CFDTable[[#This Row],[highDaily]])</f>
        <v>135.71428571428612</v>
      </c>
      <c r="AF140" s="12">
        <f>IF(CFDTable[[#This Row],[Date]]=DeadlineDate,CFDTable[[#This Row],[FutureWork2]],0)</f>
        <v>0</v>
      </c>
    </row>
    <row r="141" spans="1:32">
      <c r="A141" s="8">
        <f>CFDTable[[#This Row],[Date]]</f>
        <v>42607</v>
      </c>
      <c r="B141" s="38">
        <f>Data!B141</f>
        <v>42607</v>
      </c>
      <c r="C141" s="10">
        <f ca="1">IF(ISNUMBER(CFDTable[[#This Row],[Ready]]),NA(),CFDTable[[#This Row],[Target]]-CFDTable[[#This Row],[To Do]])</f>
        <v>77</v>
      </c>
      <c r="D141" s="10" t="e">
        <f>IF(CFDTable[[#This Row],[Emergence]]&gt;0,CFDTable[[#This Row],[Future Work]]-CFDTable[[#This Row],[Emergence]],NA())</f>
        <v>#N/A</v>
      </c>
      <c r="E141" s="10">
        <f>Data!C141</f>
        <v>0</v>
      </c>
      <c r="F141" s="10" t="str">
        <f ca="1">Data!D141</f>
        <v/>
      </c>
      <c r="G141" s="10">
        <f ca="1">Data!E141</f>
        <v>47</v>
      </c>
      <c r="H141" s="10" t="e">
        <f ca="1">IF(TodaysDate&gt;=$B141,Data!F141,NA())</f>
        <v>#N/A</v>
      </c>
      <c r="I141" s="10" t="e">
        <f ca="1">IF(TodaysDate&gt;=$B141,Data!G141,NA())</f>
        <v>#N/A</v>
      </c>
      <c r="J141" s="10" t="e">
        <f ca="1">IF(TodaysDate&gt;=$B141,Data!H141,NA())</f>
        <v>#N/A</v>
      </c>
      <c r="K141" s="10" t="e">
        <f ca="1">IF(TodaysDate&gt;=$B141,Data!I141,NA())</f>
        <v>#N/A</v>
      </c>
      <c r="L141" s="10" t="e">
        <f ca="1">IF(TodaysDate&gt;=$B141,Data!J141,NA())</f>
        <v>#N/A</v>
      </c>
      <c r="M141" s="10" t="e">
        <f ca="1">IF(CFDTable[[#This Row],[Done]]&gt;0,(CFDTable[[#This Row],[Done]])-(L140),0)</f>
        <v>#N/A</v>
      </c>
      <c r="N141" s="10">
        <f ca="1">IF(ISNUMBER($M141),SUM(CFDTable[[#This Row],[Done]]),IF(CFDTable[[#This Row],[lookupLow]]&gt;=CFDTable[[#This Row],[FutureWork2]]+CFDTable[[#This Row],[lowDaily]],NA(),CFDTable[[#This Row],[lookupLow]]))</f>
        <v>119.38095238095242</v>
      </c>
      <c r="O141" s="10">
        <f ca="1">IF(ISNUMBER($M141),SUM(CFDTable[[#This Row],[Done]]),IF(CFDTable[[#This Row],[lookupMedian]]&gt;=CFDTable[[#This Row],[FutureWork2]],NA(),CFDTable[[#This Row],[lookupMedian]]))</f>
        <v>128.0952380952379</v>
      </c>
      <c r="P141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136.80952380952422</v>
      </c>
      <c r="Q141" s="10">
        <f ca="1">CFDTable[[#This Row],[AvgDaily]]-CFDTable[[#This Row],[Deviation]]</f>
        <v>0.80952380952380931</v>
      </c>
      <c r="R141" s="10">
        <f ca="1">AVERAGE(IF(ISNUMBER(M141),IF(ISNUMBER(OFFSET(M141,-Historic,0)),OFFSET(M141,-Historic,0),M$2):M141,R140))</f>
        <v>0.95238095238095233</v>
      </c>
      <c r="S141" s="10">
        <f ca="1">AVERAGE(IF(ISNUMBER(M141),IF(ISNUMBER(OFFSET(M141,-Historic,0)),OFFSET(M141,-Historic,0),M$2):M141,S140))</f>
        <v>0.95238095238095233</v>
      </c>
      <c r="T141" s="10">
        <f ca="1">AVERAGE(IF(ISNUMBER(M141),OFFSET(M$2,DaysToIgnoreOnAvg,0):M141,T140))</f>
        <v>0.88311688311688308</v>
      </c>
      <c r="U141" s="10">
        <f ca="1">CFDTable[[#This Row],[AvgDaily]]+CFDTable[[#This Row],[Deviation]]</f>
        <v>1.0952380952380953</v>
      </c>
      <c r="V141" s="10">
        <f ca="1">IF(ISNUMBER(M141),((_xlfn.PERCENTILE.INC(IF(ISNUMBER(OFFSET(R141,-Historic,0)),OFFSET(R141,-Historic,0),R$2):R141,PercentileHigh/100))-(MEDIAN(IF(ISNUMBER(OFFSET(R141,-Historic,0)),OFFSET(R141,-Historic,0),R$2):R141))),V140)</f>
        <v>0.14285714285714302</v>
      </c>
      <c r="W141" s="10">
        <f ca="1">IF(ISNUMBER(M141),((_xlfn.PERCENTILE.INC(R$2:R141,PercentileHigh/100))-(MEDIAN(R$2:R141))),V140)</f>
        <v>0.14285714285714302</v>
      </c>
      <c r="X141" s="10" t="e">
        <f ca="1">(SUM(CFDTable[[#This Row],[To Do]:[Done]])-SUM(G140:L140))</f>
        <v>#N/A</v>
      </c>
      <c r="Y141" s="10">
        <f ca="1">AVERAGE(IF(ISNUMBER(X141),IF(ISNUMBER(OFFSET(X141,-Historic,0)),OFFSET(X141,-Historic,0),X$2):X141,Y140))</f>
        <v>1.1428571428571428</v>
      </c>
      <c r="Z141" s="10">
        <f ca="1">IF(ISNUMBER(CFDTable[[#This Row],[Done Today]]),SUM($G141:$L141),Z140+CFDTable[[#This Row],[avg added]])</f>
        <v>193.71428571428547</v>
      </c>
      <c r="AA141" s="10">
        <f ca="1">IF(ISNUMBER(CFDTable[[#This Row],[Done Today]]),SUM($G141:$L141),$AA140)</f>
        <v>124</v>
      </c>
      <c r="AB141" s="10">
        <f ca="1">IF(ISNUMBER(CFDTable[[#This Row],[Done Today]]),SUM($G141:$L141),$AB140)</f>
        <v>124</v>
      </c>
      <c r="AC141" s="10">
        <f ca="1">SUM(LOOKUP(2,1/(N$1:N140&lt;&gt;""),N$1:N140)+CFDTable[[#This Row],[lowDaily]])</f>
        <v>119.38095238095242</v>
      </c>
      <c r="AD141" s="10">
        <f ca="1">SUM(LOOKUP(2,1/(O$1:O140&lt;&gt;""),O$1:O140)+R141)</f>
        <v>128.0952380952379</v>
      </c>
      <c r="AE141" s="10">
        <f ca="1">SUM(LOOKUP(2,1/(P$1:P140&lt;&gt;""),P$1:P140)+CFDTable[[#This Row],[highDaily]])</f>
        <v>136.80952380952422</v>
      </c>
      <c r="AF141" s="12">
        <f>IF(CFDTable[[#This Row],[Date]]=DeadlineDate,CFDTable[[#This Row],[FutureWork2]],0)</f>
        <v>0</v>
      </c>
    </row>
    <row r="142" spans="1:32">
      <c r="A142" s="8">
        <f>CFDTable[[#This Row],[Date]]</f>
        <v>42608</v>
      </c>
      <c r="B142" s="38">
        <f>Data!B142</f>
        <v>42608</v>
      </c>
      <c r="C142" s="10">
        <f ca="1">IF(ISNUMBER(CFDTable[[#This Row],[Ready]]),NA(),CFDTable[[#This Row],[Target]]-CFDTable[[#This Row],[To Do]])</f>
        <v>77</v>
      </c>
      <c r="D142" s="10" t="e">
        <f>IF(CFDTable[[#This Row],[Emergence]]&gt;0,CFDTable[[#This Row],[Future Work]]-CFDTable[[#This Row],[Emergence]],NA())</f>
        <v>#N/A</v>
      </c>
      <c r="E142" s="10">
        <f>Data!C142</f>
        <v>0</v>
      </c>
      <c r="F142" s="10" t="str">
        <f ca="1">Data!D142</f>
        <v/>
      </c>
      <c r="G142" s="10">
        <f ca="1">Data!E142</f>
        <v>47</v>
      </c>
      <c r="H142" s="10" t="e">
        <f ca="1">IF(TodaysDate&gt;=$B142,Data!F142,NA())</f>
        <v>#N/A</v>
      </c>
      <c r="I142" s="10" t="e">
        <f ca="1">IF(TodaysDate&gt;=$B142,Data!G142,NA())</f>
        <v>#N/A</v>
      </c>
      <c r="J142" s="10" t="e">
        <f ca="1">IF(TodaysDate&gt;=$B142,Data!H142,NA())</f>
        <v>#N/A</v>
      </c>
      <c r="K142" s="10" t="e">
        <f ca="1">IF(TodaysDate&gt;=$B142,Data!I142,NA())</f>
        <v>#N/A</v>
      </c>
      <c r="L142" s="10" t="e">
        <f ca="1">IF(TodaysDate&gt;=$B142,Data!J142,NA())</f>
        <v>#N/A</v>
      </c>
      <c r="M142" s="10" t="e">
        <f ca="1">IF(CFDTable[[#This Row],[Done]]&gt;0,(CFDTable[[#This Row],[Done]])-(L141),0)</f>
        <v>#N/A</v>
      </c>
      <c r="N142" s="10">
        <f ca="1">IF(ISNUMBER($M142),SUM(CFDTable[[#This Row],[Done]]),IF(CFDTable[[#This Row],[lookupLow]]&gt;=CFDTable[[#This Row],[FutureWork2]]+CFDTable[[#This Row],[lowDaily]],NA(),CFDTable[[#This Row],[lookupLow]]))</f>
        <v>120.19047619047623</v>
      </c>
      <c r="O142" s="10">
        <f ca="1">IF(ISNUMBER($M142),SUM(CFDTable[[#This Row],[Done]]),IF(CFDTable[[#This Row],[lookupMedian]]&gt;=CFDTable[[#This Row],[FutureWork2]],NA(),CFDTable[[#This Row],[lookupMedian]]))</f>
        <v>129.04761904761887</v>
      </c>
      <c r="P142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137.90476190476232</v>
      </c>
      <c r="Q142" s="10">
        <f ca="1">CFDTable[[#This Row],[AvgDaily]]-CFDTable[[#This Row],[Deviation]]</f>
        <v>0.80952380952380931</v>
      </c>
      <c r="R142" s="10">
        <f ca="1">AVERAGE(IF(ISNUMBER(M142),IF(ISNUMBER(OFFSET(M142,-Historic,0)),OFFSET(M142,-Historic,0),M$2):M142,R141))</f>
        <v>0.95238095238095233</v>
      </c>
      <c r="S142" s="10">
        <f ca="1">AVERAGE(IF(ISNUMBER(M142),IF(ISNUMBER(OFFSET(M142,-Historic,0)),OFFSET(M142,-Historic,0),M$2):M142,S141))</f>
        <v>0.95238095238095233</v>
      </c>
      <c r="T142" s="10">
        <f ca="1">AVERAGE(IF(ISNUMBER(M142),OFFSET(M$2,DaysToIgnoreOnAvg,0):M142,T141))</f>
        <v>0.88311688311688308</v>
      </c>
      <c r="U142" s="10">
        <f ca="1">CFDTable[[#This Row],[AvgDaily]]+CFDTable[[#This Row],[Deviation]]</f>
        <v>1.0952380952380953</v>
      </c>
      <c r="V142" s="10">
        <f ca="1">IF(ISNUMBER(M142),((_xlfn.PERCENTILE.INC(IF(ISNUMBER(OFFSET(R142,-Historic,0)),OFFSET(R142,-Historic,0),R$2):R142,PercentileHigh/100))-(MEDIAN(IF(ISNUMBER(OFFSET(R142,-Historic,0)),OFFSET(R142,-Historic,0),R$2):R142))),V141)</f>
        <v>0.14285714285714302</v>
      </c>
      <c r="W142" s="10">
        <f ca="1">IF(ISNUMBER(M142),((_xlfn.PERCENTILE.INC(R$2:R142,PercentileHigh/100))-(MEDIAN(R$2:R142))),V141)</f>
        <v>0.14285714285714302</v>
      </c>
      <c r="X142" s="10" t="e">
        <f ca="1">(SUM(CFDTable[[#This Row],[To Do]:[Done]])-SUM(G141:L141))</f>
        <v>#N/A</v>
      </c>
      <c r="Y142" s="10">
        <f ca="1">AVERAGE(IF(ISNUMBER(X142),IF(ISNUMBER(OFFSET(X142,-Historic,0)),OFFSET(X142,-Historic,0),X$2):X142,Y141))</f>
        <v>1.1428571428571428</v>
      </c>
      <c r="Z142" s="10">
        <f ca="1">IF(ISNUMBER(CFDTable[[#This Row],[Done Today]]),SUM($G142:$L142),Z141+CFDTable[[#This Row],[avg added]])</f>
        <v>194.85714285714261</v>
      </c>
      <c r="AA142" s="10">
        <f ca="1">IF(ISNUMBER(CFDTable[[#This Row],[Done Today]]),SUM($G142:$L142),$AA141)</f>
        <v>124</v>
      </c>
      <c r="AB142" s="10">
        <f ca="1">IF(ISNUMBER(CFDTable[[#This Row],[Done Today]]),SUM($G142:$L142),$AB141)</f>
        <v>124</v>
      </c>
      <c r="AC142" s="10">
        <f ca="1">SUM(LOOKUP(2,1/(N$1:N141&lt;&gt;""),N$1:N141)+CFDTable[[#This Row],[lowDaily]])</f>
        <v>120.19047619047623</v>
      </c>
      <c r="AD142" s="10">
        <f ca="1">SUM(LOOKUP(2,1/(O$1:O141&lt;&gt;""),O$1:O141)+R142)</f>
        <v>129.04761904761887</v>
      </c>
      <c r="AE142" s="10">
        <f ca="1">SUM(LOOKUP(2,1/(P$1:P141&lt;&gt;""),P$1:P141)+CFDTable[[#This Row],[highDaily]])</f>
        <v>137.90476190476232</v>
      </c>
      <c r="AF142" s="12">
        <f>IF(CFDTable[[#This Row],[Date]]=DeadlineDate,CFDTable[[#This Row],[FutureWork2]],0)</f>
        <v>0</v>
      </c>
    </row>
    <row r="143" spans="1:32">
      <c r="A143" s="8">
        <f>CFDTable[[#This Row],[Date]]</f>
        <v>42612</v>
      </c>
      <c r="B143" s="38">
        <f>Data!B143</f>
        <v>42612</v>
      </c>
      <c r="C143" s="10">
        <f ca="1">IF(ISNUMBER(CFDTable[[#This Row],[Ready]]),NA(),CFDTable[[#This Row],[Target]]-CFDTable[[#This Row],[To Do]])</f>
        <v>77</v>
      </c>
      <c r="D143" s="10" t="e">
        <f>IF(CFDTable[[#This Row],[Emergence]]&gt;0,CFDTable[[#This Row],[Future Work]]-CFDTable[[#This Row],[Emergence]],NA())</f>
        <v>#N/A</v>
      </c>
      <c r="E143" s="10">
        <f>Data!C143</f>
        <v>0</v>
      </c>
      <c r="F143" s="10" t="str">
        <f ca="1">Data!D143</f>
        <v/>
      </c>
      <c r="G143" s="10">
        <f ca="1">Data!E143</f>
        <v>47</v>
      </c>
      <c r="H143" s="10" t="e">
        <f ca="1">IF(TodaysDate&gt;=$B143,Data!F143,NA())</f>
        <v>#N/A</v>
      </c>
      <c r="I143" s="10" t="e">
        <f ca="1">IF(TodaysDate&gt;=$B143,Data!G143,NA())</f>
        <v>#N/A</v>
      </c>
      <c r="J143" s="10" t="e">
        <f ca="1">IF(TodaysDate&gt;=$B143,Data!H143,NA())</f>
        <v>#N/A</v>
      </c>
      <c r="K143" s="10" t="e">
        <f ca="1">IF(TodaysDate&gt;=$B143,Data!I143,NA())</f>
        <v>#N/A</v>
      </c>
      <c r="L143" s="10" t="e">
        <f ca="1">IF(TodaysDate&gt;=$B143,Data!J143,NA())</f>
        <v>#N/A</v>
      </c>
      <c r="M143" s="10" t="e">
        <f ca="1">IF(CFDTable[[#This Row],[Done]]&gt;0,(CFDTable[[#This Row],[Done]])-(L142),0)</f>
        <v>#N/A</v>
      </c>
      <c r="N143" s="10">
        <f ca="1">IF(ISNUMBER($M143),SUM(CFDTable[[#This Row],[Done]]),IF(CFDTable[[#This Row],[lookupLow]]&gt;=CFDTable[[#This Row],[FutureWork2]]+CFDTable[[#This Row],[lowDaily]],NA(),CFDTable[[#This Row],[lookupLow]]))</f>
        <v>121.00000000000004</v>
      </c>
      <c r="O143" s="10">
        <f ca="1">IF(ISNUMBER($M143),SUM(CFDTable[[#This Row],[Done]]),IF(CFDTable[[#This Row],[lookupMedian]]&gt;=CFDTable[[#This Row],[FutureWork2]],NA(),CFDTable[[#This Row],[lookupMedian]]))</f>
        <v>129.99999999999983</v>
      </c>
      <c r="P143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139.00000000000043</v>
      </c>
      <c r="Q143" s="10">
        <f ca="1">CFDTable[[#This Row],[AvgDaily]]-CFDTable[[#This Row],[Deviation]]</f>
        <v>0.80952380952380931</v>
      </c>
      <c r="R143" s="10">
        <f ca="1">AVERAGE(IF(ISNUMBER(M143),IF(ISNUMBER(OFFSET(M143,-Historic,0)),OFFSET(M143,-Historic,0),M$2):M143,R142))</f>
        <v>0.95238095238095233</v>
      </c>
      <c r="S143" s="10">
        <f ca="1">AVERAGE(IF(ISNUMBER(M143),IF(ISNUMBER(OFFSET(M143,-Historic,0)),OFFSET(M143,-Historic,0),M$2):M143,S142))</f>
        <v>0.95238095238095233</v>
      </c>
      <c r="T143" s="10">
        <f ca="1">AVERAGE(IF(ISNUMBER(M143),OFFSET(M$2,DaysToIgnoreOnAvg,0):M143,T142))</f>
        <v>0.88311688311688308</v>
      </c>
      <c r="U143" s="10">
        <f ca="1">CFDTable[[#This Row],[AvgDaily]]+CFDTable[[#This Row],[Deviation]]</f>
        <v>1.0952380952380953</v>
      </c>
      <c r="V143" s="10">
        <f ca="1">IF(ISNUMBER(M143),((_xlfn.PERCENTILE.INC(IF(ISNUMBER(OFFSET(R143,-Historic,0)),OFFSET(R143,-Historic,0),R$2):R143,PercentileHigh/100))-(MEDIAN(IF(ISNUMBER(OFFSET(R143,-Historic,0)),OFFSET(R143,-Historic,0),R$2):R143))),V142)</f>
        <v>0.14285714285714302</v>
      </c>
      <c r="W143" s="10">
        <f ca="1">IF(ISNUMBER(M143),((_xlfn.PERCENTILE.INC(R$2:R143,PercentileHigh/100))-(MEDIAN(R$2:R143))),V142)</f>
        <v>0.14285714285714302</v>
      </c>
      <c r="X143" s="10" t="e">
        <f ca="1">(SUM(CFDTable[[#This Row],[To Do]:[Done]])-SUM(G142:L142))</f>
        <v>#N/A</v>
      </c>
      <c r="Y143" s="10">
        <f ca="1">AVERAGE(IF(ISNUMBER(X143),IF(ISNUMBER(OFFSET(X143,-Historic,0)),OFFSET(X143,-Historic,0),X$2):X143,Y142))</f>
        <v>1.1428571428571428</v>
      </c>
      <c r="Z143" s="10">
        <f ca="1">IF(ISNUMBER(CFDTable[[#This Row],[Done Today]]),SUM($G143:$L143),Z142+CFDTable[[#This Row],[avg added]])</f>
        <v>195.99999999999974</v>
      </c>
      <c r="AA143" s="10">
        <f ca="1">IF(ISNUMBER(CFDTable[[#This Row],[Done Today]]),SUM($G143:$L143),$AA142)</f>
        <v>124</v>
      </c>
      <c r="AB143" s="10">
        <f ca="1">IF(ISNUMBER(CFDTable[[#This Row],[Done Today]]),SUM($G143:$L143),$AB142)</f>
        <v>124</v>
      </c>
      <c r="AC143" s="10">
        <f ca="1">SUM(LOOKUP(2,1/(N$1:N142&lt;&gt;""),N$1:N142)+CFDTable[[#This Row],[lowDaily]])</f>
        <v>121.00000000000004</v>
      </c>
      <c r="AD143" s="10">
        <f ca="1">SUM(LOOKUP(2,1/(O$1:O142&lt;&gt;""),O$1:O142)+R143)</f>
        <v>129.99999999999983</v>
      </c>
      <c r="AE143" s="10">
        <f ca="1">SUM(LOOKUP(2,1/(P$1:P142&lt;&gt;""),P$1:P142)+CFDTable[[#This Row],[highDaily]])</f>
        <v>139.00000000000043</v>
      </c>
      <c r="AF143" s="12">
        <f>IF(CFDTable[[#This Row],[Date]]=DeadlineDate,CFDTable[[#This Row],[FutureWork2]],0)</f>
        <v>0</v>
      </c>
    </row>
    <row r="144" spans="1:32">
      <c r="A144" s="8">
        <f>CFDTable[[#This Row],[Date]]</f>
        <v>42613</v>
      </c>
      <c r="B144" s="38">
        <f>Data!B144</f>
        <v>42613</v>
      </c>
      <c r="C144" s="10">
        <f ca="1">IF(ISNUMBER(CFDTable[[#This Row],[Ready]]),NA(),CFDTable[[#This Row],[Target]]-CFDTable[[#This Row],[To Do]])</f>
        <v>77</v>
      </c>
      <c r="D144" s="10" t="e">
        <f>IF(CFDTable[[#This Row],[Emergence]]&gt;0,CFDTable[[#This Row],[Future Work]]-CFDTable[[#This Row],[Emergence]],NA())</f>
        <v>#N/A</v>
      </c>
      <c r="E144" s="10">
        <f>Data!C144</f>
        <v>0</v>
      </c>
      <c r="F144" s="10" t="str">
        <f ca="1">Data!D144</f>
        <v/>
      </c>
      <c r="G144" s="10">
        <f ca="1">Data!E144</f>
        <v>47</v>
      </c>
      <c r="H144" s="10" t="e">
        <f ca="1">IF(TodaysDate&gt;=$B144,Data!F144,NA())</f>
        <v>#N/A</v>
      </c>
      <c r="I144" s="10" t="e">
        <f ca="1">IF(TodaysDate&gt;=$B144,Data!G144,NA())</f>
        <v>#N/A</v>
      </c>
      <c r="J144" s="10" t="e">
        <f ca="1">IF(TodaysDate&gt;=$B144,Data!H144,NA())</f>
        <v>#N/A</v>
      </c>
      <c r="K144" s="10" t="e">
        <f ca="1">IF(TodaysDate&gt;=$B144,Data!I144,NA())</f>
        <v>#N/A</v>
      </c>
      <c r="L144" s="10" t="e">
        <f ca="1">IF(TodaysDate&gt;=$B144,Data!J144,NA())</f>
        <v>#N/A</v>
      </c>
      <c r="M144" s="10" t="e">
        <f ca="1">IF(CFDTable[[#This Row],[Done]]&gt;0,(CFDTable[[#This Row],[Done]])-(L143),0)</f>
        <v>#N/A</v>
      </c>
      <c r="N144" s="10">
        <f ca="1">IF(ISNUMBER($M144),SUM(CFDTable[[#This Row],[Done]]),IF(CFDTable[[#This Row],[lookupLow]]&gt;=CFDTable[[#This Row],[FutureWork2]]+CFDTable[[#This Row],[lowDaily]],NA(),CFDTable[[#This Row],[lookupLow]]))</f>
        <v>121.80952380952385</v>
      </c>
      <c r="O144" s="10">
        <f ca="1">IF(ISNUMBER($M144),SUM(CFDTable[[#This Row],[Done]]),IF(CFDTable[[#This Row],[lookupMedian]]&gt;=CFDTable[[#This Row],[FutureWork2]],NA(),CFDTable[[#This Row],[lookupMedian]]))</f>
        <v>130.95238095238079</v>
      </c>
      <c r="P144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140.09523809523853</v>
      </c>
      <c r="Q144" s="10">
        <f ca="1">CFDTable[[#This Row],[AvgDaily]]-CFDTable[[#This Row],[Deviation]]</f>
        <v>0.80952380952380931</v>
      </c>
      <c r="R144" s="10">
        <f ca="1">AVERAGE(IF(ISNUMBER(M144),IF(ISNUMBER(OFFSET(M144,-Historic,0)),OFFSET(M144,-Historic,0),M$2):M144,R143))</f>
        <v>0.95238095238095233</v>
      </c>
      <c r="S144" s="10">
        <f ca="1">AVERAGE(IF(ISNUMBER(M144),IF(ISNUMBER(OFFSET(M144,-Historic,0)),OFFSET(M144,-Historic,0),M$2):M144,S143))</f>
        <v>0.95238095238095233</v>
      </c>
      <c r="T144" s="10">
        <f ca="1">AVERAGE(IF(ISNUMBER(M144),OFFSET(M$2,DaysToIgnoreOnAvg,0):M144,T143))</f>
        <v>0.88311688311688308</v>
      </c>
      <c r="U144" s="10">
        <f ca="1">CFDTable[[#This Row],[AvgDaily]]+CFDTable[[#This Row],[Deviation]]</f>
        <v>1.0952380952380953</v>
      </c>
      <c r="V144" s="10">
        <f ca="1">IF(ISNUMBER(M144),((_xlfn.PERCENTILE.INC(IF(ISNUMBER(OFFSET(R144,-Historic,0)),OFFSET(R144,-Historic,0),R$2):R144,PercentileHigh/100))-(MEDIAN(IF(ISNUMBER(OFFSET(R144,-Historic,0)),OFFSET(R144,-Historic,0),R$2):R144))),V143)</f>
        <v>0.14285714285714302</v>
      </c>
      <c r="W144" s="10">
        <f ca="1">IF(ISNUMBER(M144),((_xlfn.PERCENTILE.INC(R$2:R144,PercentileHigh/100))-(MEDIAN(R$2:R144))),V143)</f>
        <v>0.14285714285714302</v>
      </c>
      <c r="X144" s="10" t="e">
        <f ca="1">(SUM(CFDTable[[#This Row],[To Do]:[Done]])-SUM(G143:L143))</f>
        <v>#N/A</v>
      </c>
      <c r="Y144" s="10">
        <f ca="1">AVERAGE(IF(ISNUMBER(X144),IF(ISNUMBER(OFFSET(X144,-Historic,0)),OFFSET(X144,-Historic,0),X$2):X144,Y143))</f>
        <v>1.1428571428571428</v>
      </c>
      <c r="Z144" s="10">
        <f ca="1">IF(ISNUMBER(CFDTable[[#This Row],[Done Today]]),SUM($G144:$L144),Z143+CFDTable[[#This Row],[avg added]])</f>
        <v>197.14285714285688</v>
      </c>
      <c r="AA144" s="10">
        <f ca="1">IF(ISNUMBER(CFDTable[[#This Row],[Done Today]]),SUM($G144:$L144),$AA143)</f>
        <v>124</v>
      </c>
      <c r="AB144" s="10">
        <f ca="1">IF(ISNUMBER(CFDTable[[#This Row],[Done Today]]),SUM($G144:$L144),$AB143)</f>
        <v>124</v>
      </c>
      <c r="AC144" s="10">
        <f ca="1">SUM(LOOKUP(2,1/(N$1:N143&lt;&gt;""),N$1:N143)+CFDTable[[#This Row],[lowDaily]])</f>
        <v>121.80952380952385</v>
      </c>
      <c r="AD144" s="10">
        <f ca="1">SUM(LOOKUP(2,1/(O$1:O143&lt;&gt;""),O$1:O143)+R144)</f>
        <v>130.95238095238079</v>
      </c>
      <c r="AE144" s="10">
        <f ca="1">SUM(LOOKUP(2,1/(P$1:P143&lt;&gt;""),P$1:P143)+CFDTable[[#This Row],[highDaily]])</f>
        <v>140.09523809523853</v>
      </c>
      <c r="AF144" s="12">
        <f>IF(CFDTable[[#This Row],[Date]]=DeadlineDate,CFDTable[[#This Row],[FutureWork2]],0)</f>
        <v>0</v>
      </c>
    </row>
    <row r="145" spans="1:32">
      <c r="A145" s="8">
        <f>CFDTable[[#This Row],[Date]]</f>
        <v>42614</v>
      </c>
      <c r="B145" s="38">
        <f>Data!B145</f>
        <v>42614</v>
      </c>
      <c r="C145" s="10">
        <f ca="1">IF(ISNUMBER(CFDTable[[#This Row],[Ready]]),NA(),CFDTable[[#This Row],[Target]]-CFDTable[[#This Row],[To Do]])</f>
        <v>77</v>
      </c>
      <c r="D145" s="10" t="e">
        <f>IF(CFDTable[[#This Row],[Emergence]]&gt;0,CFDTable[[#This Row],[Future Work]]-CFDTable[[#This Row],[Emergence]],NA())</f>
        <v>#N/A</v>
      </c>
      <c r="E145" s="10">
        <f>Data!C145</f>
        <v>0</v>
      </c>
      <c r="F145" s="10" t="str">
        <f ca="1">Data!D145</f>
        <v/>
      </c>
      <c r="G145" s="10">
        <f ca="1">Data!E145</f>
        <v>47</v>
      </c>
      <c r="H145" s="10" t="e">
        <f ca="1">IF(TodaysDate&gt;=$B145,Data!F145,NA())</f>
        <v>#N/A</v>
      </c>
      <c r="I145" s="10" t="e">
        <f ca="1">IF(TodaysDate&gt;=$B145,Data!G145,NA())</f>
        <v>#N/A</v>
      </c>
      <c r="J145" s="10" t="e">
        <f ca="1">IF(TodaysDate&gt;=$B145,Data!H145,NA())</f>
        <v>#N/A</v>
      </c>
      <c r="K145" s="10" t="e">
        <f ca="1">IF(TodaysDate&gt;=$B145,Data!I145,NA())</f>
        <v>#N/A</v>
      </c>
      <c r="L145" s="10" t="e">
        <f ca="1">IF(TodaysDate&gt;=$B145,Data!J145,NA())</f>
        <v>#N/A</v>
      </c>
      <c r="M145" s="10" t="e">
        <f ca="1">IF(CFDTable[[#This Row],[Done]]&gt;0,(CFDTable[[#This Row],[Done]])-(L144),0)</f>
        <v>#N/A</v>
      </c>
      <c r="N145" s="10">
        <f ca="1">IF(ISNUMBER($M145),SUM(CFDTable[[#This Row],[Done]]),IF(CFDTable[[#This Row],[lookupLow]]&gt;=CFDTable[[#This Row],[FutureWork2]]+CFDTable[[#This Row],[lowDaily]],NA(),CFDTable[[#This Row],[lookupLow]]))</f>
        <v>122.61904761904766</v>
      </c>
      <c r="O145" s="10">
        <f ca="1">IF(ISNUMBER($M145),SUM(CFDTable[[#This Row],[Done]]),IF(CFDTable[[#This Row],[lookupMedian]]&gt;=CFDTable[[#This Row],[FutureWork2]],NA(),CFDTable[[#This Row],[lookupMedian]]))</f>
        <v>131.90476190476176</v>
      </c>
      <c r="P145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141.19047619047663</v>
      </c>
      <c r="Q145" s="10">
        <f ca="1">CFDTable[[#This Row],[AvgDaily]]-CFDTable[[#This Row],[Deviation]]</f>
        <v>0.80952380952380931</v>
      </c>
      <c r="R145" s="10">
        <f ca="1">AVERAGE(IF(ISNUMBER(M145),IF(ISNUMBER(OFFSET(M145,-Historic,0)),OFFSET(M145,-Historic,0),M$2):M145,R144))</f>
        <v>0.95238095238095233</v>
      </c>
      <c r="S145" s="10">
        <f ca="1">AVERAGE(IF(ISNUMBER(M145),IF(ISNUMBER(OFFSET(M145,-Historic,0)),OFFSET(M145,-Historic,0),M$2):M145,S144))</f>
        <v>0.95238095238095233</v>
      </c>
      <c r="T145" s="10">
        <f ca="1">AVERAGE(IF(ISNUMBER(M145),OFFSET(M$2,DaysToIgnoreOnAvg,0):M145,T144))</f>
        <v>0.88311688311688308</v>
      </c>
      <c r="U145" s="10">
        <f ca="1">CFDTable[[#This Row],[AvgDaily]]+CFDTable[[#This Row],[Deviation]]</f>
        <v>1.0952380952380953</v>
      </c>
      <c r="V145" s="10">
        <f ca="1">IF(ISNUMBER(M145),((_xlfn.PERCENTILE.INC(IF(ISNUMBER(OFFSET(R145,-Historic,0)),OFFSET(R145,-Historic,0),R$2):R145,PercentileHigh/100))-(MEDIAN(IF(ISNUMBER(OFFSET(R145,-Historic,0)),OFFSET(R145,-Historic,0),R$2):R145))),V144)</f>
        <v>0.14285714285714302</v>
      </c>
      <c r="W145" s="10">
        <f ca="1">IF(ISNUMBER(M145),((_xlfn.PERCENTILE.INC(R$2:R145,PercentileHigh/100))-(MEDIAN(R$2:R145))),V144)</f>
        <v>0.14285714285714302</v>
      </c>
      <c r="X145" s="10" t="e">
        <f ca="1">(SUM(CFDTable[[#This Row],[To Do]:[Done]])-SUM(G144:L144))</f>
        <v>#N/A</v>
      </c>
      <c r="Y145" s="10">
        <f ca="1">AVERAGE(IF(ISNUMBER(X145),IF(ISNUMBER(OFFSET(X145,-Historic,0)),OFFSET(X145,-Historic,0),X$2):X145,Y144))</f>
        <v>1.1428571428571428</v>
      </c>
      <c r="Z145" s="10">
        <f ca="1">IF(ISNUMBER(CFDTable[[#This Row],[Done Today]]),SUM($G145:$L145),Z144+CFDTable[[#This Row],[avg added]])</f>
        <v>198.28571428571402</v>
      </c>
      <c r="AA145" s="10">
        <f ca="1">IF(ISNUMBER(CFDTable[[#This Row],[Done Today]]),SUM($G145:$L145),$AA144)</f>
        <v>124</v>
      </c>
      <c r="AB145" s="10">
        <f ca="1">IF(ISNUMBER(CFDTable[[#This Row],[Done Today]]),SUM($G145:$L145),$AB144)</f>
        <v>124</v>
      </c>
      <c r="AC145" s="10">
        <f ca="1">SUM(LOOKUP(2,1/(N$1:N144&lt;&gt;""),N$1:N144)+CFDTable[[#This Row],[lowDaily]])</f>
        <v>122.61904761904766</v>
      </c>
      <c r="AD145" s="10">
        <f ca="1">SUM(LOOKUP(2,1/(O$1:O144&lt;&gt;""),O$1:O144)+R145)</f>
        <v>131.90476190476176</v>
      </c>
      <c r="AE145" s="10">
        <f ca="1">SUM(LOOKUP(2,1/(P$1:P144&lt;&gt;""),P$1:P144)+CFDTable[[#This Row],[highDaily]])</f>
        <v>141.19047619047663</v>
      </c>
      <c r="AF145" s="12">
        <f>IF(CFDTable[[#This Row],[Date]]=DeadlineDate,CFDTable[[#This Row],[FutureWork2]],0)</f>
        <v>0</v>
      </c>
    </row>
    <row r="146" spans="1:32">
      <c r="A146" s="8">
        <f>CFDTable[[#This Row],[Date]]</f>
        <v>42615</v>
      </c>
      <c r="B146" s="38">
        <f>Data!B146</f>
        <v>42615</v>
      </c>
      <c r="C146" s="10">
        <f ca="1">IF(ISNUMBER(CFDTable[[#This Row],[Ready]]),NA(),CFDTable[[#This Row],[Target]]-CFDTable[[#This Row],[To Do]])</f>
        <v>77</v>
      </c>
      <c r="D146" s="10" t="e">
        <f>IF(CFDTable[[#This Row],[Emergence]]&gt;0,CFDTable[[#This Row],[Future Work]]-CFDTable[[#This Row],[Emergence]],NA())</f>
        <v>#N/A</v>
      </c>
      <c r="E146" s="10">
        <f>Data!C146</f>
        <v>0</v>
      </c>
      <c r="F146" s="10" t="str">
        <f ca="1">Data!D146</f>
        <v/>
      </c>
      <c r="G146" s="10">
        <f ca="1">Data!E146</f>
        <v>47</v>
      </c>
      <c r="H146" s="10" t="e">
        <f ca="1">IF(TodaysDate&gt;=$B146,Data!F146,NA())</f>
        <v>#N/A</v>
      </c>
      <c r="I146" s="10" t="e">
        <f ca="1">IF(TodaysDate&gt;=$B146,Data!G146,NA())</f>
        <v>#N/A</v>
      </c>
      <c r="J146" s="10" t="e">
        <f ca="1">IF(TodaysDate&gt;=$B146,Data!H146,NA())</f>
        <v>#N/A</v>
      </c>
      <c r="K146" s="10" t="e">
        <f ca="1">IF(TodaysDate&gt;=$B146,Data!I146,NA())</f>
        <v>#N/A</v>
      </c>
      <c r="L146" s="10" t="e">
        <f ca="1">IF(TodaysDate&gt;=$B146,Data!J146,NA())</f>
        <v>#N/A</v>
      </c>
      <c r="M146" s="10" t="e">
        <f ca="1">IF(CFDTable[[#This Row],[Done]]&gt;0,(CFDTable[[#This Row],[Done]])-(L145),0)</f>
        <v>#N/A</v>
      </c>
      <c r="N146" s="10">
        <f ca="1">IF(ISNUMBER($M146),SUM(CFDTable[[#This Row],[Done]]),IF(CFDTable[[#This Row],[lookupLow]]&gt;=CFDTable[[#This Row],[FutureWork2]]+CFDTable[[#This Row],[lowDaily]],NA(),CFDTable[[#This Row],[lookupLow]]))</f>
        <v>123.42857142857147</v>
      </c>
      <c r="O146" s="10">
        <f ca="1">IF(ISNUMBER($M146),SUM(CFDTable[[#This Row],[Done]]),IF(CFDTable[[#This Row],[lookupMedian]]&gt;=CFDTable[[#This Row],[FutureWork2]],NA(),CFDTable[[#This Row],[lookupMedian]]))</f>
        <v>132.85714285714272</v>
      </c>
      <c r="P146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142.28571428571473</v>
      </c>
      <c r="Q146" s="10">
        <f ca="1">CFDTable[[#This Row],[AvgDaily]]-CFDTable[[#This Row],[Deviation]]</f>
        <v>0.80952380952380931</v>
      </c>
      <c r="R146" s="10">
        <f ca="1">AVERAGE(IF(ISNUMBER(M146),IF(ISNUMBER(OFFSET(M146,-Historic,0)),OFFSET(M146,-Historic,0),M$2):M146,R145))</f>
        <v>0.95238095238095233</v>
      </c>
      <c r="S146" s="10">
        <f ca="1">AVERAGE(IF(ISNUMBER(M146),IF(ISNUMBER(OFFSET(M146,-Historic,0)),OFFSET(M146,-Historic,0),M$2):M146,S145))</f>
        <v>0.95238095238095233</v>
      </c>
      <c r="T146" s="10">
        <f ca="1">AVERAGE(IF(ISNUMBER(M146),OFFSET(M$2,DaysToIgnoreOnAvg,0):M146,T145))</f>
        <v>0.88311688311688308</v>
      </c>
      <c r="U146" s="10">
        <f ca="1">CFDTable[[#This Row],[AvgDaily]]+CFDTable[[#This Row],[Deviation]]</f>
        <v>1.0952380952380953</v>
      </c>
      <c r="V146" s="10">
        <f ca="1">IF(ISNUMBER(M146),((_xlfn.PERCENTILE.INC(IF(ISNUMBER(OFFSET(R146,-Historic,0)),OFFSET(R146,-Historic,0),R$2):R146,PercentileHigh/100))-(MEDIAN(IF(ISNUMBER(OFFSET(R146,-Historic,0)),OFFSET(R146,-Historic,0),R$2):R146))),V145)</f>
        <v>0.14285714285714302</v>
      </c>
      <c r="W146" s="10">
        <f ca="1">IF(ISNUMBER(M146),((_xlfn.PERCENTILE.INC(R$2:R146,PercentileHigh/100))-(MEDIAN(R$2:R146))),V145)</f>
        <v>0.14285714285714302</v>
      </c>
      <c r="X146" s="10" t="e">
        <f ca="1">(SUM(CFDTable[[#This Row],[To Do]:[Done]])-SUM(G145:L145))</f>
        <v>#N/A</v>
      </c>
      <c r="Y146" s="10">
        <f ca="1">AVERAGE(IF(ISNUMBER(X146),IF(ISNUMBER(OFFSET(X146,-Historic,0)),OFFSET(X146,-Historic,0),X$2):X146,Y145))</f>
        <v>1.1428571428571428</v>
      </c>
      <c r="Z146" s="10">
        <f ca="1">IF(ISNUMBER(CFDTable[[#This Row],[Done Today]]),SUM($G146:$L146),Z145+CFDTable[[#This Row],[avg added]])</f>
        <v>199.42857142857116</v>
      </c>
      <c r="AA146" s="10">
        <f ca="1">IF(ISNUMBER(CFDTable[[#This Row],[Done Today]]),SUM($G146:$L146),$AA145)</f>
        <v>124</v>
      </c>
      <c r="AB146" s="10">
        <f ca="1">IF(ISNUMBER(CFDTable[[#This Row],[Done Today]]),SUM($G146:$L146),$AB145)</f>
        <v>124</v>
      </c>
      <c r="AC146" s="10">
        <f ca="1">SUM(LOOKUP(2,1/(N$1:N145&lt;&gt;""),N$1:N145)+CFDTable[[#This Row],[lowDaily]])</f>
        <v>123.42857142857147</v>
      </c>
      <c r="AD146" s="10">
        <f ca="1">SUM(LOOKUP(2,1/(O$1:O145&lt;&gt;""),O$1:O145)+R146)</f>
        <v>132.85714285714272</v>
      </c>
      <c r="AE146" s="10">
        <f ca="1">SUM(LOOKUP(2,1/(P$1:P145&lt;&gt;""),P$1:P145)+CFDTable[[#This Row],[highDaily]])</f>
        <v>142.28571428571473</v>
      </c>
      <c r="AF146" s="12">
        <f>IF(CFDTable[[#This Row],[Date]]=DeadlineDate,CFDTable[[#This Row],[FutureWork2]],0)</f>
        <v>0</v>
      </c>
    </row>
    <row r="147" spans="1:32">
      <c r="A147" s="8">
        <f>CFDTable[[#This Row],[Date]]</f>
        <v>42618</v>
      </c>
      <c r="B147" s="38">
        <f>Data!B147</f>
        <v>42618</v>
      </c>
      <c r="C147" s="10">
        <f ca="1">IF(ISNUMBER(CFDTable[[#This Row],[Ready]]),NA(),CFDTable[[#This Row],[Target]]-CFDTable[[#This Row],[To Do]])</f>
        <v>77</v>
      </c>
      <c r="D147" s="10" t="e">
        <f>IF(CFDTable[[#This Row],[Emergence]]&gt;0,CFDTable[[#This Row],[Future Work]]-CFDTable[[#This Row],[Emergence]],NA())</f>
        <v>#N/A</v>
      </c>
      <c r="E147" s="10">
        <f>Data!C147</f>
        <v>0</v>
      </c>
      <c r="F147" s="10" t="str">
        <f ca="1">Data!D147</f>
        <v/>
      </c>
      <c r="G147" s="10">
        <f ca="1">Data!E147</f>
        <v>47</v>
      </c>
      <c r="H147" s="10" t="e">
        <f ca="1">IF(TodaysDate&gt;=$B147,Data!F147,NA())</f>
        <v>#N/A</v>
      </c>
      <c r="I147" s="10" t="e">
        <f ca="1">IF(TodaysDate&gt;=$B147,Data!G147,NA())</f>
        <v>#N/A</v>
      </c>
      <c r="J147" s="10" t="e">
        <f ca="1">IF(TodaysDate&gt;=$B147,Data!H147,NA())</f>
        <v>#N/A</v>
      </c>
      <c r="K147" s="10" t="e">
        <f ca="1">IF(TodaysDate&gt;=$B147,Data!I147,NA())</f>
        <v>#N/A</v>
      </c>
      <c r="L147" s="10" t="e">
        <f ca="1">IF(TodaysDate&gt;=$B147,Data!J147,NA())</f>
        <v>#N/A</v>
      </c>
      <c r="M147" s="10" t="e">
        <f ca="1">IF(CFDTable[[#This Row],[Done]]&gt;0,(CFDTable[[#This Row],[Done]])-(L146),0)</f>
        <v>#N/A</v>
      </c>
      <c r="N147" s="10">
        <f ca="1">IF(ISNUMBER($M147),SUM(CFDTable[[#This Row],[Done]]),IF(CFDTable[[#This Row],[lookupLow]]&gt;=CFDTable[[#This Row],[FutureWork2]]+CFDTable[[#This Row],[lowDaily]],NA(),CFDTable[[#This Row],[lookupLow]]))</f>
        <v>124.23809523809528</v>
      </c>
      <c r="O147" s="10">
        <f ca="1">IF(ISNUMBER($M147),SUM(CFDTable[[#This Row],[Done]]),IF(CFDTable[[#This Row],[lookupMedian]]&gt;=CFDTable[[#This Row],[FutureWork2]],NA(),CFDTable[[#This Row],[lookupMedian]]))</f>
        <v>133.80952380952368</v>
      </c>
      <c r="P147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143.38095238095283</v>
      </c>
      <c r="Q147" s="10">
        <f ca="1">CFDTable[[#This Row],[AvgDaily]]-CFDTable[[#This Row],[Deviation]]</f>
        <v>0.80952380952380931</v>
      </c>
      <c r="R147" s="10">
        <f ca="1">AVERAGE(IF(ISNUMBER(M147),IF(ISNUMBER(OFFSET(M147,-Historic,0)),OFFSET(M147,-Historic,0),M$2):M147,R146))</f>
        <v>0.95238095238095233</v>
      </c>
      <c r="S147" s="10">
        <f ca="1">AVERAGE(IF(ISNUMBER(M147),IF(ISNUMBER(OFFSET(M147,-Historic,0)),OFFSET(M147,-Historic,0),M$2):M147,S146))</f>
        <v>0.95238095238095233</v>
      </c>
      <c r="T147" s="10">
        <f ca="1">AVERAGE(IF(ISNUMBER(M147),OFFSET(M$2,DaysToIgnoreOnAvg,0):M147,T146))</f>
        <v>0.88311688311688308</v>
      </c>
      <c r="U147" s="10">
        <f ca="1">CFDTable[[#This Row],[AvgDaily]]+CFDTable[[#This Row],[Deviation]]</f>
        <v>1.0952380952380953</v>
      </c>
      <c r="V147" s="10">
        <f ca="1">IF(ISNUMBER(M147),((_xlfn.PERCENTILE.INC(IF(ISNUMBER(OFFSET(R147,-Historic,0)),OFFSET(R147,-Historic,0),R$2):R147,PercentileHigh/100))-(MEDIAN(IF(ISNUMBER(OFFSET(R147,-Historic,0)),OFFSET(R147,-Historic,0),R$2):R147))),V146)</f>
        <v>0.14285714285714302</v>
      </c>
      <c r="W147" s="10">
        <f ca="1">IF(ISNUMBER(M147),((_xlfn.PERCENTILE.INC(R$2:R147,PercentileHigh/100))-(MEDIAN(R$2:R147))),V146)</f>
        <v>0.14285714285714302</v>
      </c>
      <c r="X147" s="10" t="e">
        <f ca="1">(SUM(CFDTable[[#This Row],[To Do]:[Done]])-SUM(G146:L146))</f>
        <v>#N/A</v>
      </c>
      <c r="Y147" s="10">
        <f ca="1">AVERAGE(IF(ISNUMBER(X147),IF(ISNUMBER(OFFSET(X147,-Historic,0)),OFFSET(X147,-Historic,0),X$2):X147,Y146))</f>
        <v>1.1428571428571428</v>
      </c>
      <c r="Z147" s="10">
        <f ca="1">IF(ISNUMBER(CFDTable[[#This Row],[Done Today]]),SUM($G147:$L147),Z146+CFDTable[[#This Row],[avg added]])</f>
        <v>200.5714285714283</v>
      </c>
      <c r="AA147" s="10">
        <f ca="1">IF(ISNUMBER(CFDTable[[#This Row],[Done Today]]),SUM($G147:$L147),$AA146)</f>
        <v>124</v>
      </c>
      <c r="AB147" s="10">
        <f ca="1">IF(ISNUMBER(CFDTable[[#This Row],[Done Today]]),SUM($G147:$L147),$AB146)</f>
        <v>124</v>
      </c>
      <c r="AC147" s="10">
        <f ca="1">SUM(LOOKUP(2,1/(N$1:N146&lt;&gt;""),N$1:N146)+CFDTable[[#This Row],[lowDaily]])</f>
        <v>124.23809523809528</v>
      </c>
      <c r="AD147" s="10">
        <f ca="1">SUM(LOOKUP(2,1/(O$1:O146&lt;&gt;""),O$1:O146)+R147)</f>
        <v>133.80952380952368</v>
      </c>
      <c r="AE147" s="10">
        <f ca="1">SUM(LOOKUP(2,1/(P$1:P146&lt;&gt;""),P$1:P146)+CFDTable[[#This Row],[highDaily]])</f>
        <v>143.38095238095283</v>
      </c>
      <c r="AF147" s="12">
        <f>IF(CFDTable[[#This Row],[Date]]=DeadlineDate,CFDTable[[#This Row],[FutureWork2]],0)</f>
        <v>0</v>
      </c>
    </row>
    <row r="148" spans="1:32">
      <c r="A148" s="8">
        <f>CFDTable[[#This Row],[Date]]</f>
        <v>42619</v>
      </c>
      <c r="B148" s="38">
        <f>Data!B148</f>
        <v>42619</v>
      </c>
      <c r="C148" s="10">
        <f ca="1">IF(ISNUMBER(CFDTable[[#This Row],[Ready]]),NA(),CFDTable[[#This Row],[Target]]-CFDTable[[#This Row],[To Do]])</f>
        <v>77</v>
      </c>
      <c r="D148" s="10" t="e">
        <f>IF(CFDTable[[#This Row],[Emergence]]&gt;0,CFDTable[[#This Row],[Future Work]]-CFDTable[[#This Row],[Emergence]],NA())</f>
        <v>#N/A</v>
      </c>
      <c r="E148" s="10">
        <f>Data!C148</f>
        <v>0</v>
      </c>
      <c r="F148" s="10" t="str">
        <f ca="1">Data!D148</f>
        <v/>
      </c>
      <c r="G148" s="10">
        <f ca="1">Data!E148</f>
        <v>47</v>
      </c>
      <c r="H148" s="10" t="e">
        <f ca="1">IF(TodaysDate&gt;=$B148,Data!F148,NA())</f>
        <v>#N/A</v>
      </c>
      <c r="I148" s="10" t="e">
        <f ca="1">IF(TodaysDate&gt;=$B148,Data!G148,NA())</f>
        <v>#N/A</v>
      </c>
      <c r="J148" s="10" t="e">
        <f ca="1">IF(TodaysDate&gt;=$B148,Data!H148,NA())</f>
        <v>#N/A</v>
      </c>
      <c r="K148" s="10" t="e">
        <f ca="1">IF(TodaysDate&gt;=$B148,Data!I148,NA())</f>
        <v>#N/A</v>
      </c>
      <c r="L148" s="10" t="e">
        <f ca="1">IF(TodaysDate&gt;=$B148,Data!J148,NA())</f>
        <v>#N/A</v>
      </c>
      <c r="M148" s="10" t="e">
        <f ca="1">IF(CFDTable[[#This Row],[Done]]&gt;0,(CFDTable[[#This Row],[Done]])-(L147),0)</f>
        <v>#N/A</v>
      </c>
      <c r="N148" s="10">
        <f ca="1">IF(ISNUMBER($M148),SUM(CFDTable[[#This Row],[Done]]),IF(CFDTable[[#This Row],[lookupLow]]&gt;=CFDTable[[#This Row],[FutureWork2]]+CFDTable[[#This Row],[lowDaily]],NA(),CFDTable[[#This Row],[lookupLow]]))</f>
        <v>125.04761904761909</v>
      </c>
      <c r="O148" s="10">
        <f ca="1">IF(ISNUMBER($M148),SUM(CFDTable[[#This Row],[Done]]),IF(CFDTable[[#This Row],[lookupMedian]]&gt;=CFDTable[[#This Row],[FutureWork2]],NA(),CFDTable[[#This Row],[lookupMedian]]))</f>
        <v>134.76190476190465</v>
      </c>
      <c r="P148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144.47619047619094</v>
      </c>
      <c r="Q148" s="10">
        <f ca="1">CFDTable[[#This Row],[AvgDaily]]-CFDTable[[#This Row],[Deviation]]</f>
        <v>0.80952380952380931</v>
      </c>
      <c r="R148" s="10">
        <f ca="1">AVERAGE(IF(ISNUMBER(M148),IF(ISNUMBER(OFFSET(M148,-Historic,0)),OFFSET(M148,-Historic,0),M$2):M148,R147))</f>
        <v>0.95238095238095233</v>
      </c>
      <c r="S148" s="10">
        <f ca="1">AVERAGE(IF(ISNUMBER(M148),IF(ISNUMBER(OFFSET(M148,-Historic,0)),OFFSET(M148,-Historic,0),M$2):M148,S147))</f>
        <v>0.95238095238095233</v>
      </c>
      <c r="T148" s="10">
        <f ca="1">AVERAGE(IF(ISNUMBER(M148),OFFSET(M$2,DaysToIgnoreOnAvg,0):M148,T147))</f>
        <v>0.88311688311688308</v>
      </c>
      <c r="U148" s="10">
        <f ca="1">CFDTable[[#This Row],[AvgDaily]]+CFDTable[[#This Row],[Deviation]]</f>
        <v>1.0952380952380953</v>
      </c>
      <c r="V148" s="10">
        <f ca="1">IF(ISNUMBER(M148),((_xlfn.PERCENTILE.INC(IF(ISNUMBER(OFFSET(R148,-Historic,0)),OFFSET(R148,-Historic,0),R$2):R148,PercentileHigh/100))-(MEDIAN(IF(ISNUMBER(OFFSET(R148,-Historic,0)),OFFSET(R148,-Historic,0),R$2):R148))),V147)</f>
        <v>0.14285714285714302</v>
      </c>
      <c r="W148" s="10">
        <f ca="1">IF(ISNUMBER(M148),((_xlfn.PERCENTILE.INC(R$2:R148,PercentileHigh/100))-(MEDIAN(R$2:R148))),V147)</f>
        <v>0.14285714285714302</v>
      </c>
      <c r="X148" s="10" t="e">
        <f ca="1">(SUM(CFDTable[[#This Row],[To Do]:[Done]])-SUM(G147:L147))</f>
        <v>#N/A</v>
      </c>
      <c r="Y148" s="10">
        <f ca="1">AVERAGE(IF(ISNUMBER(X148),IF(ISNUMBER(OFFSET(X148,-Historic,0)),OFFSET(X148,-Historic,0),X$2):X148,Y147))</f>
        <v>1.1428571428571428</v>
      </c>
      <c r="Z148" s="10">
        <f ca="1">IF(ISNUMBER(CFDTable[[#This Row],[Done Today]]),SUM($G148:$L148),Z147+CFDTable[[#This Row],[avg added]])</f>
        <v>201.71428571428544</v>
      </c>
      <c r="AA148" s="10">
        <f ca="1">IF(ISNUMBER(CFDTable[[#This Row],[Done Today]]),SUM($G148:$L148),$AA147)</f>
        <v>124</v>
      </c>
      <c r="AB148" s="10">
        <f ca="1">IF(ISNUMBER(CFDTable[[#This Row],[Done Today]]),SUM($G148:$L148),$AB147)</f>
        <v>124</v>
      </c>
      <c r="AC148" s="10">
        <f ca="1">SUM(LOOKUP(2,1/(N$1:N147&lt;&gt;""),N$1:N147)+CFDTable[[#This Row],[lowDaily]])</f>
        <v>125.04761904761909</v>
      </c>
      <c r="AD148" s="10">
        <f ca="1">SUM(LOOKUP(2,1/(O$1:O147&lt;&gt;""),O$1:O147)+R148)</f>
        <v>134.76190476190465</v>
      </c>
      <c r="AE148" s="10">
        <f ca="1">SUM(LOOKUP(2,1/(P$1:P147&lt;&gt;""),P$1:P147)+CFDTable[[#This Row],[highDaily]])</f>
        <v>144.47619047619094</v>
      </c>
      <c r="AF148" s="12">
        <f>IF(CFDTable[[#This Row],[Date]]=DeadlineDate,CFDTable[[#This Row],[FutureWork2]],0)</f>
        <v>0</v>
      </c>
    </row>
    <row r="149" spans="1:32">
      <c r="A149" s="8">
        <f>CFDTable[[#This Row],[Date]]</f>
        <v>42620</v>
      </c>
      <c r="B149" s="38">
        <f>Data!B149</f>
        <v>42620</v>
      </c>
      <c r="C149" s="10">
        <f ca="1">IF(ISNUMBER(CFDTable[[#This Row],[Ready]]),NA(),CFDTable[[#This Row],[Target]]-CFDTable[[#This Row],[To Do]])</f>
        <v>77</v>
      </c>
      <c r="D149" s="10" t="e">
        <f>IF(CFDTable[[#This Row],[Emergence]]&gt;0,CFDTable[[#This Row],[Future Work]]-CFDTable[[#This Row],[Emergence]],NA())</f>
        <v>#N/A</v>
      </c>
      <c r="E149" s="10">
        <f>Data!C149</f>
        <v>0</v>
      </c>
      <c r="F149" s="10" t="str">
        <f ca="1">Data!D149</f>
        <v/>
      </c>
      <c r="G149" s="10">
        <f ca="1">Data!E149</f>
        <v>47</v>
      </c>
      <c r="H149" s="10" t="e">
        <f ca="1">IF(TodaysDate&gt;=$B149,Data!F149,NA())</f>
        <v>#N/A</v>
      </c>
      <c r="I149" s="10" t="e">
        <f ca="1">IF(TodaysDate&gt;=$B149,Data!G149,NA())</f>
        <v>#N/A</v>
      </c>
      <c r="J149" s="10" t="e">
        <f ca="1">IF(TodaysDate&gt;=$B149,Data!H149,NA())</f>
        <v>#N/A</v>
      </c>
      <c r="K149" s="10" t="e">
        <f ca="1">IF(TodaysDate&gt;=$B149,Data!I149,NA())</f>
        <v>#N/A</v>
      </c>
      <c r="L149" s="10" t="e">
        <f ca="1">IF(TodaysDate&gt;=$B149,Data!J149,NA())</f>
        <v>#N/A</v>
      </c>
      <c r="M149" s="10" t="e">
        <f ca="1">IF(CFDTable[[#This Row],[Done]]&gt;0,(CFDTable[[#This Row],[Done]])-(L148),0)</f>
        <v>#N/A</v>
      </c>
      <c r="N149" s="10">
        <f ca="1">IF(ISNUMBER($M149),SUM(CFDTable[[#This Row],[Done]]),IF(CFDTable[[#This Row],[lookupLow]]&gt;=CFDTable[[#This Row],[FutureWork2]]+CFDTable[[#This Row],[lowDaily]],NA(),CFDTable[[#This Row],[lookupLow]]))</f>
        <v>125.8571428571429</v>
      </c>
      <c r="O149" s="10">
        <f ca="1">IF(ISNUMBER($M149),SUM(CFDTable[[#This Row],[Done]]),IF(CFDTable[[#This Row],[lookupMedian]]&gt;=CFDTable[[#This Row],[FutureWork2]],NA(),CFDTable[[#This Row],[lookupMedian]]))</f>
        <v>135.71428571428561</v>
      </c>
      <c r="P149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145.57142857142904</v>
      </c>
      <c r="Q149" s="10">
        <f ca="1">CFDTable[[#This Row],[AvgDaily]]-CFDTable[[#This Row],[Deviation]]</f>
        <v>0.80952380952380931</v>
      </c>
      <c r="R149" s="10">
        <f ca="1">AVERAGE(IF(ISNUMBER(M149),IF(ISNUMBER(OFFSET(M149,-Historic,0)),OFFSET(M149,-Historic,0),M$2):M149,R148))</f>
        <v>0.95238095238095233</v>
      </c>
      <c r="S149" s="10">
        <f ca="1">AVERAGE(IF(ISNUMBER(M149),IF(ISNUMBER(OFFSET(M149,-Historic,0)),OFFSET(M149,-Historic,0),M$2):M149,S148))</f>
        <v>0.95238095238095233</v>
      </c>
      <c r="T149" s="10">
        <f ca="1">AVERAGE(IF(ISNUMBER(M149),OFFSET(M$2,DaysToIgnoreOnAvg,0):M149,T148))</f>
        <v>0.88311688311688308</v>
      </c>
      <c r="U149" s="10">
        <f ca="1">CFDTable[[#This Row],[AvgDaily]]+CFDTable[[#This Row],[Deviation]]</f>
        <v>1.0952380952380953</v>
      </c>
      <c r="V149" s="10">
        <f ca="1">IF(ISNUMBER(M149),((_xlfn.PERCENTILE.INC(IF(ISNUMBER(OFFSET(R149,-Historic,0)),OFFSET(R149,-Historic,0),R$2):R149,PercentileHigh/100))-(MEDIAN(IF(ISNUMBER(OFFSET(R149,-Historic,0)),OFFSET(R149,-Historic,0),R$2):R149))),V148)</f>
        <v>0.14285714285714302</v>
      </c>
      <c r="W149" s="10">
        <f ca="1">IF(ISNUMBER(M149),((_xlfn.PERCENTILE.INC(R$2:R149,PercentileHigh/100))-(MEDIAN(R$2:R149))),V148)</f>
        <v>0.14285714285714302</v>
      </c>
      <c r="X149" s="10" t="e">
        <f ca="1">(SUM(CFDTable[[#This Row],[To Do]:[Done]])-SUM(G148:L148))</f>
        <v>#N/A</v>
      </c>
      <c r="Y149" s="10">
        <f ca="1">AVERAGE(IF(ISNUMBER(X149),IF(ISNUMBER(OFFSET(X149,-Historic,0)),OFFSET(X149,-Historic,0),X$2):X149,Y148))</f>
        <v>1.1428571428571428</v>
      </c>
      <c r="Z149" s="10">
        <f ca="1">IF(ISNUMBER(CFDTable[[#This Row],[Done Today]]),SUM($G149:$L149),Z148+CFDTable[[#This Row],[avg added]])</f>
        <v>202.85714285714258</v>
      </c>
      <c r="AA149" s="10">
        <f ca="1">IF(ISNUMBER(CFDTable[[#This Row],[Done Today]]),SUM($G149:$L149),$AA148)</f>
        <v>124</v>
      </c>
      <c r="AB149" s="10">
        <f ca="1">IF(ISNUMBER(CFDTable[[#This Row],[Done Today]]),SUM($G149:$L149),$AB148)</f>
        <v>124</v>
      </c>
      <c r="AC149" s="10">
        <f ca="1">SUM(LOOKUP(2,1/(N$1:N148&lt;&gt;""),N$1:N148)+CFDTable[[#This Row],[lowDaily]])</f>
        <v>125.8571428571429</v>
      </c>
      <c r="AD149" s="10">
        <f ca="1">SUM(LOOKUP(2,1/(O$1:O148&lt;&gt;""),O$1:O148)+R149)</f>
        <v>135.71428571428561</v>
      </c>
      <c r="AE149" s="10">
        <f ca="1">SUM(LOOKUP(2,1/(P$1:P148&lt;&gt;""),P$1:P148)+CFDTable[[#This Row],[highDaily]])</f>
        <v>145.57142857142904</v>
      </c>
      <c r="AF149" s="12">
        <f>IF(CFDTable[[#This Row],[Date]]=DeadlineDate,CFDTable[[#This Row],[FutureWork2]],0)</f>
        <v>0</v>
      </c>
    </row>
    <row r="150" spans="1:32">
      <c r="A150" s="8">
        <f>CFDTable[[#This Row],[Date]]</f>
        <v>42621</v>
      </c>
      <c r="B150" s="38">
        <f>Data!B150</f>
        <v>42621</v>
      </c>
      <c r="C150" s="10">
        <f ca="1">IF(ISNUMBER(CFDTable[[#This Row],[Ready]]),NA(),CFDTable[[#This Row],[Target]]-CFDTable[[#This Row],[To Do]])</f>
        <v>77</v>
      </c>
      <c r="D150" s="10" t="e">
        <f>IF(CFDTable[[#This Row],[Emergence]]&gt;0,CFDTable[[#This Row],[Future Work]]-CFDTable[[#This Row],[Emergence]],NA())</f>
        <v>#N/A</v>
      </c>
      <c r="E150" s="10">
        <f>Data!C150</f>
        <v>0</v>
      </c>
      <c r="F150" s="10" t="str">
        <f ca="1">Data!D150</f>
        <v/>
      </c>
      <c r="G150" s="10">
        <f ca="1">Data!E150</f>
        <v>47</v>
      </c>
      <c r="H150" s="10" t="e">
        <f ca="1">IF(TodaysDate&gt;=$B150,Data!F150,NA())</f>
        <v>#N/A</v>
      </c>
      <c r="I150" s="10" t="e">
        <f ca="1">IF(TodaysDate&gt;=$B150,Data!G150,NA())</f>
        <v>#N/A</v>
      </c>
      <c r="J150" s="10" t="e">
        <f ca="1">IF(TodaysDate&gt;=$B150,Data!H150,NA())</f>
        <v>#N/A</v>
      </c>
      <c r="K150" s="10" t="e">
        <f ca="1">IF(TodaysDate&gt;=$B150,Data!I150,NA())</f>
        <v>#N/A</v>
      </c>
      <c r="L150" s="10" t="e">
        <f ca="1">IF(TodaysDate&gt;=$B150,Data!J150,NA())</f>
        <v>#N/A</v>
      </c>
      <c r="M150" s="10" t="e">
        <f ca="1">IF(CFDTable[[#This Row],[Done]]&gt;0,(CFDTable[[#This Row],[Done]])-(L149),0)</f>
        <v>#N/A</v>
      </c>
      <c r="N150" s="10">
        <f ca="1">IF(ISNUMBER($M150),SUM(CFDTable[[#This Row],[Done]]),IF(CFDTable[[#This Row],[lookupLow]]&gt;=CFDTable[[#This Row],[FutureWork2]]+CFDTable[[#This Row],[lowDaily]],NA(),CFDTable[[#This Row],[lookupLow]]))</f>
        <v>126.66666666666671</v>
      </c>
      <c r="O150" s="10">
        <f ca="1">IF(ISNUMBER($M150),SUM(CFDTable[[#This Row],[Done]]),IF(CFDTable[[#This Row],[lookupMedian]]&gt;=CFDTable[[#This Row],[FutureWork2]],NA(),CFDTable[[#This Row],[lookupMedian]]))</f>
        <v>136.66666666666657</v>
      </c>
      <c r="P150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146.66666666666714</v>
      </c>
      <c r="Q150" s="10">
        <f ca="1">CFDTable[[#This Row],[AvgDaily]]-CFDTable[[#This Row],[Deviation]]</f>
        <v>0.80952380952380931</v>
      </c>
      <c r="R150" s="10">
        <f ca="1">AVERAGE(IF(ISNUMBER(M150),IF(ISNUMBER(OFFSET(M150,-Historic,0)),OFFSET(M150,-Historic,0),M$2):M150,R149))</f>
        <v>0.95238095238095233</v>
      </c>
      <c r="S150" s="10">
        <f ca="1">AVERAGE(IF(ISNUMBER(M150),IF(ISNUMBER(OFFSET(M150,-Historic,0)),OFFSET(M150,-Historic,0),M$2):M150,S149))</f>
        <v>0.95238095238095233</v>
      </c>
      <c r="T150" s="10">
        <f ca="1">AVERAGE(IF(ISNUMBER(M150),OFFSET(M$2,DaysToIgnoreOnAvg,0):M150,T149))</f>
        <v>0.88311688311688308</v>
      </c>
      <c r="U150" s="10">
        <f ca="1">CFDTable[[#This Row],[AvgDaily]]+CFDTable[[#This Row],[Deviation]]</f>
        <v>1.0952380952380953</v>
      </c>
      <c r="V150" s="10">
        <f ca="1">IF(ISNUMBER(M150),((_xlfn.PERCENTILE.INC(IF(ISNUMBER(OFFSET(R150,-Historic,0)),OFFSET(R150,-Historic,0),R$2):R150,PercentileHigh/100))-(MEDIAN(IF(ISNUMBER(OFFSET(R150,-Historic,0)),OFFSET(R150,-Historic,0),R$2):R150))),V149)</f>
        <v>0.14285714285714302</v>
      </c>
      <c r="W150" s="10">
        <f ca="1">IF(ISNUMBER(M150),((_xlfn.PERCENTILE.INC(R$2:R150,PercentileHigh/100))-(MEDIAN(R$2:R150))),V149)</f>
        <v>0.14285714285714302</v>
      </c>
      <c r="X150" s="10" t="e">
        <f ca="1">(SUM(CFDTable[[#This Row],[To Do]:[Done]])-SUM(G149:L149))</f>
        <v>#N/A</v>
      </c>
      <c r="Y150" s="10">
        <f ca="1">AVERAGE(IF(ISNUMBER(X150),IF(ISNUMBER(OFFSET(X150,-Historic,0)),OFFSET(X150,-Historic,0),X$2):X150,Y149))</f>
        <v>1.1428571428571428</v>
      </c>
      <c r="Z150" s="10">
        <f ca="1">IF(ISNUMBER(CFDTable[[#This Row],[Done Today]]),SUM($G150:$L150),Z149+CFDTable[[#This Row],[avg added]])</f>
        <v>203.99999999999972</v>
      </c>
      <c r="AA150" s="10">
        <f ca="1">IF(ISNUMBER(CFDTable[[#This Row],[Done Today]]),SUM($G150:$L150),$AA149)</f>
        <v>124</v>
      </c>
      <c r="AB150" s="10">
        <f ca="1">IF(ISNUMBER(CFDTable[[#This Row],[Done Today]]),SUM($G150:$L150),$AB149)</f>
        <v>124</v>
      </c>
      <c r="AC150" s="10">
        <f ca="1">SUM(LOOKUP(2,1/(N$1:N149&lt;&gt;""),N$1:N149)+CFDTable[[#This Row],[lowDaily]])</f>
        <v>126.66666666666671</v>
      </c>
      <c r="AD150" s="10">
        <f ca="1">SUM(LOOKUP(2,1/(O$1:O149&lt;&gt;""),O$1:O149)+R150)</f>
        <v>136.66666666666657</v>
      </c>
      <c r="AE150" s="10">
        <f ca="1">SUM(LOOKUP(2,1/(P$1:P149&lt;&gt;""),P$1:P149)+CFDTable[[#This Row],[highDaily]])</f>
        <v>146.66666666666714</v>
      </c>
      <c r="AF150" s="12">
        <f>IF(CFDTable[[#This Row],[Date]]=DeadlineDate,CFDTable[[#This Row],[FutureWork2]],0)</f>
        <v>0</v>
      </c>
    </row>
    <row r="151" spans="1:32">
      <c r="A151" s="8">
        <f>CFDTable[[#This Row],[Date]]</f>
        <v>42622</v>
      </c>
      <c r="B151" s="38">
        <f>Data!B151</f>
        <v>42622</v>
      </c>
      <c r="C151" s="10">
        <f ca="1">IF(ISNUMBER(CFDTable[[#This Row],[Ready]]),NA(),CFDTable[[#This Row],[Target]]-CFDTable[[#This Row],[To Do]])</f>
        <v>77</v>
      </c>
      <c r="D151" s="10" t="e">
        <f>IF(CFDTable[[#This Row],[Emergence]]&gt;0,CFDTable[[#This Row],[Future Work]]-CFDTable[[#This Row],[Emergence]],NA())</f>
        <v>#N/A</v>
      </c>
      <c r="E151" s="10">
        <f>Data!C151</f>
        <v>0</v>
      </c>
      <c r="F151" s="10" t="str">
        <f ca="1">Data!D151</f>
        <v/>
      </c>
      <c r="G151" s="10">
        <f ca="1">Data!E151</f>
        <v>47</v>
      </c>
      <c r="H151" s="10" t="e">
        <f ca="1">IF(TodaysDate&gt;=$B151,Data!F151,NA())</f>
        <v>#N/A</v>
      </c>
      <c r="I151" s="10" t="e">
        <f ca="1">IF(TodaysDate&gt;=$B151,Data!G151,NA())</f>
        <v>#N/A</v>
      </c>
      <c r="J151" s="10" t="e">
        <f ca="1">IF(TodaysDate&gt;=$B151,Data!H151,NA())</f>
        <v>#N/A</v>
      </c>
      <c r="K151" s="10" t="e">
        <f ca="1">IF(TodaysDate&gt;=$B151,Data!I151,NA())</f>
        <v>#N/A</v>
      </c>
      <c r="L151" s="10" t="e">
        <f ca="1">IF(TodaysDate&gt;=$B151,Data!J151,NA())</f>
        <v>#N/A</v>
      </c>
      <c r="M151" s="10" t="e">
        <f ca="1">IF(CFDTable[[#This Row],[Done]]&gt;0,(CFDTable[[#This Row],[Done]])-(L150),0)</f>
        <v>#N/A</v>
      </c>
      <c r="N151" s="10">
        <f ca="1">IF(ISNUMBER($M151),SUM(CFDTable[[#This Row],[Done]]),IF(CFDTable[[#This Row],[lookupLow]]&gt;=CFDTable[[#This Row],[FutureWork2]]+CFDTable[[#This Row],[lowDaily]],NA(),CFDTable[[#This Row],[lookupLow]]))</f>
        <v>127.47619047619052</v>
      </c>
      <c r="O151" s="10">
        <f ca="1">IF(ISNUMBER($M151),SUM(CFDTable[[#This Row],[Done]]),IF(CFDTable[[#This Row],[lookupMedian]]&gt;=CFDTable[[#This Row],[FutureWork2]],NA(),CFDTable[[#This Row],[lookupMedian]]))</f>
        <v>137.61904761904754</v>
      </c>
      <c r="P151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147.76190476190524</v>
      </c>
      <c r="Q151" s="10">
        <f ca="1">CFDTable[[#This Row],[AvgDaily]]-CFDTable[[#This Row],[Deviation]]</f>
        <v>0.80952380952380931</v>
      </c>
      <c r="R151" s="10">
        <f ca="1">AVERAGE(IF(ISNUMBER(M151),IF(ISNUMBER(OFFSET(M151,-Historic,0)),OFFSET(M151,-Historic,0),M$2):M151,R150))</f>
        <v>0.95238095238095233</v>
      </c>
      <c r="S151" s="10">
        <f ca="1">AVERAGE(IF(ISNUMBER(M151),IF(ISNUMBER(OFFSET(M151,-Historic,0)),OFFSET(M151,-Historic,0),M$2):M151,S150))</f>
        <v>0.95238095238095233</v>
      </c>
      <c r="T151" s="10">
        <f ca="1">AVERAGE(IF(ISNUMBER(M151),OFFSET(M$2,DaysToIgnoreOnAvg,0):M151,T150))</f>
        <v>0.88311688311688308</v>
      </c>
      <c r="U151" s="10">
        <f ca="1">CFDTable[[#This Row],[AvgDaily]]+CFDTable[[#This Row],[Deviation]]</f>
        <v>1.0952380952380953</v>
      </c>
      <c r="V151" s="10">
        <f ca="1">IF(ISNUMBER(M151),((_xlfn.PERCENTILE.INC(IF(ISNUMBER(OFFSET(R151,-Historic,0)),OFFSET(R151,-Historic,0),R$2):R151,PercentileHigh/100))-(MEDIAN(IF(ISNUMBER(OFFSET(R151,-Historic,0)),OFFSET(R151,-Historic,0),R$2):R151))),V150)</f>
        <v>0.14285714285714302</v>
      </c>
      <c r="W151" s="10">
        <f ca="1">IF(ISNUMBER(M151),((_xlfn.PERCENTILE.INC(R$2:R151,PercentileHigh/100))-(MEDIAN(R$2:R151))),V150)</f>
        <v>0.14285714285714302</v>
      </c>
      <c r="X151" s="10" t="e">
        <f ca="1">(SUM(CFDTable[[#This Row],[To Do]:[Done]])-SUM(G150:L150))</f>
        <v>#N/A</v>
      </c>
      <c r="Y151" s="10">
        <f ca="1">AVERAGE(IF(ISNUMBER(X151),IF(ISNUMBER(OFFSET(X151,-Historic,0)),OFFSET(X151,-Historic,0),X$2):X151,Y150))</f>
        <v>1.1428571428571428</v>
      </c>
      <c r="Z151" s="10">
        <f ca="1">IF(ISNUMBER(CFDTable[[#This Row],[Done Today]]),SUM($G151:$L151),Z150+CFDTable[[#This Row],[avg added]])</f>
        <v>205.14285714285685</v>
      </c>
      <c r="AA151" s="10">
        <f ca="1">IF(ISNUMBER(CFDTable[[#This Row],[Done Today]]),SUM($G151:$L151),$AA150)</f>
        <v>124</v>
      </c>
      <c r="AB151" s="10">
        <f ca="1">IF(ISNUMBER(CFDTable[[#This Row],[Done Today]]),SUM($G151:$L151),$AB150)</f>
        <v>124</v>
      </c>
      <c r="AC151" s="10">
        <f ca="1">SUM(LOOKUP(2,1/(N$1:N150&lt;&gt;""),N$1:N150)+CFDTable[[#This Row],[lowDaily]])</f>
        <v>127.47619047619052</v>
      </c>
      <c r="AD151" s="10">
        <f ca="1">SUM(LOOKUP(2,1/(O$1:O150&lt;&gt;""),O$1:O150)+R151)</f>
        <v>137.61904761904754</v>
      </c>
      <c r="AE151" s="10">
        <f ca="1">SUM(LOOKUP(2,1/(P$1:P150&lt;&gt;""),P$1:P150)+CFDTable[[#This Row],[highDaily]])</f>
        <v>147.76190476190524</v>
      </c>
      <c r="AF151" s="12">
        <f>IF(CFDTable[[#This Row],[Date]]=DeadlineDate,CFDTable[[#This Row],[FutureWork2]],0)</f>
        <v>0</v>
      </c>
    </row>
    <row r="152" spans="1:32">
      <c r="A152" s="8">
        <f>CFDTable[[#This Row],[Date]]</f>
        <v>42625</v>
      </c>
      <c r="B152" s="38">
        <f>Data!B152</f>
        <v>42625</v>
      </c>
      <c r="C152" s="10">
        <f ca="1">IF(ISNUMBER(CFDTable[[#This Row],[Ready]]),NA(),CFDTable[[#This Row],[Target]]-CFDTable[[#This Row],[To Do]])</f>
        <v>77</v>
      </c>
      <c r="D152" s="10" t="e">
        <f>IF(CFDTable[[#This Row],[Emergence]]&gt;0,CFDTable[[#This Row],[Future Work]]-CFDTable[[#This Row],[Emergence]],NA())</f>
        <v>#N/A</v>
      </c>
      <c r="E152" s="10">
        <f>Data!C152</f>
        <v>0</v>
      </c>
      <c r="F152" s="10" t="str">
        <f ca="1">Data!D152</f>
        <v/>
      </c>
      <c r="G152" s="10">
        <f ca="1">Data!E152</f>
        <v>47</v>
      </c>
      <c r="H152" s="10" t="e">
        <f ca="1">IF(TodaysDate&gt;=$B152,Data!F152,NA())</f>
        <v>#N/A</v>
      </c>
      <c r="I152" s="10" t="e">
        <f ca="1">IF(TodaysDate&gt;=$B152,Data!G152,NA())</f>
        <v>#N/A</v>
      </c>
      <c r="J152" s="10" t="e">
        <f ca="1">IF(TodaysDate&gt;=$B152,Data!H152,NA())</f>
        <v>#N/A</v>
      </c>
      <c r="K152" s="10" t="e">
        <f ca="1">IF(TodaysDate&gt;=$B152,Data!I152,NA())</f>
        <v>#N/A</v>
      </c>
      <c r="L152" s="10" t="e">
        <f ca="1">IF(TodaysDate&gt;=$B152,Data!J152,NA())</f>
        <v>#N/A</v>
      </c>
      <c r="M152" s="10" t="e">
        <f ca="1">IF(CFDTable[[#This Row],[Done]]&gt;0,(CFDTable[[#This Row],[Done]])-(L151),0)</f>
        <v>#N/A</v>
      </c>
      <c r="N152" s="10">
        <f ca="1">IF(ISNUMBER($M152),SUM(CFDTable[[#This Row],[Done]]),IF(CFDTable[[#This Row],[lookupLow]]&gt;=CFDTable[[#This Row],[FutureWork2]]+CFDTable[[#This Row],[lowDaily]],NA(),CFDTable[[#This Row],[lookupLow]]))</f>
        <v>128.28571428571433</v>
      </c>
      <c r="O152" s="10">
        <f ca="1">IF(ISNUMBER($M152),SUM(CFDTable[[#This Row],[Done]]),IF(CFDTable[[#This Row],[lookupMedian]]&gt;=CFDTable[[#This Row],[FutureWork2]],NA(),CFDTable[[#This Row],[lookupMedian]]))</f>
        <v>138.5714285714285</v>
      </c>
      <c r="P152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148.85714285714334</v>
      </c>
      <c r="Q152" s="10">
        <f ca="1">CFDTable[[#This Row],[AvgDaily]]-CFDTable[[#This Row],[Deviation]]</f>
        <v>0.80952380952380931</v>
      </c>
      <c r="R152" s="10">
        <f ca="1">AVERAGE(IF(ISNUMBER(M152),IF(ISNUMBER(OFFSET(M152,-Historic,0)),OFFSET(M152,-Historic,0),M$2):M152,R151))</f>
        <v>0.95238095238095233</v>
      </c>
      <c r="S152" s="10">
        <f ca="1">AVERAGE(IF(ISNUMBER(M152),IF(ISNUMBER(OFFSET(M152,-Historic,0)),OFFSET(M152,-Historic,0),M$2):M152,S151))</f>
        <v>0.95238095238095233</v>
      </c>
      <c r="T152" s="10">
        <f ca="1">AVERAGE(IF(ISNUMBER(M152),OFFSET(M$2,DaysToIgnoreOnAvg,0):M152,T151))</f>
        <v>0.88311688311688308</v>
      </c>
      <c r="U152" s="10">
        <f ca="1">CFDTable[[#This Row],[AvgDaily]]+CFDTable[[#This Row],[Deviation]]</f>
        <v>1.0952380952380953</v>
      </c>
      <c r="V152" s="10">
        <f ca="1">IF(ISNUMBER(M152),((_xlfn.PERCENTILE.INC(IF(ISNUMBER(OFFSET(R152,-Historic,0)),OFFSET(R152,-Historic,0),R$2):R152,PercentileHigh/100))-(MEDIAN(IF(ISNUMBER(OFFSET(R152,-Historic,0)),OFFSET(R152,-Historic,0),R$2):R152))),V151)</f>
        <v>0.14285714285714302</v>
      </c>
      <c r="W152" s="10">
        <f ca="1">IF(ISNUMBER(M152),((_xlfn.PERCENTILE.INC(R$2:R152,PercentileHigh/100))-(MEDIAN(R$2:R152))),V151)</f>
        <v>0.14285714285714302</v>
      </c>
      <c r="X152" s="10" t="e">
        <f ca="1">(SUM(CFDTable[[#This Row],[To Do]:[Done]])-SUM(G151:L151))</f>
        <v>#N/A</v>
      </c>
      <c r="Y152" s="10">
        <f ca="1">AVERAGE(IF(ISNUMBER(X152),IF(ISNUMBER(OFFSET(X152,-Historic,0)),OFFSET(X152,-Historic,0),X$2):X152,Y151))</f>
        <v>1.1428571428571428</v>
      </c>
      <c r="Z152" s="10">
        <f ca="1">IF(ISNUMBER(CFDTable[[#This Row],[Done Today]]),SUM($G152:$L152),Z151+CFDTable[[#This Row],[avg added]])</f>
        <v>206.28571428571399</v>
      </c>
      <c r="AA152" s="10">
        <f ca="1">IF(ISNUMBER(CFDTable[[#This Row],[Done Today]]),SUM($G152:$L152),$AA151)</f>
        <v>124</v>
      </c>
      <c r="AB152" s="10">
        <f ca="1">IF(ISNUMBER(CFDTable[[#This Row],[Done Today]]),SUM($G152:$L152),$AB151)</f>
        <v>124</v>
      </c>
      <c r="AC152" s="10">
        <f ca="1">SUM(LOOKUP(2,1/(N$1:N151&lt;&gt;""),N$1:N151)+CFDTable[[#This Row],[lowDaily]])</f>
        <v>128.28571428571433</v>
      </c>
      <c r="AD152" s="10">
        <f ca="1">SUM(LOOKUP(2,1/(O$1:O151&lt;&gt;""),O$1:O151)+R152)</f>
        <v>138.5714285714285</v>
      </c>
      <c r="AE152" s="10">
        <f ca="1">SUM(LOOKUP(2,1/(P$1:P151&lt;&gt;""),P$1:P151)+CFDTable[[#This Row],[highDaily]])</f>
        <v>148.85714285714334</v>
      </c>
      <c r="AF152" s="12">
        <f>IF(CFDTable[[#This Row],[Date]]=DeadlineDate,CFDTable[[#This Row],[FutureWork2]],0)</f>
        <v>0</v>
      </c>
    </row>
    <row r="153" spans="1:32">
      <c r="A153" s="8">
        <f>CFDTable[[#This Row],[Date]]</f>
        <v>42626</v>
      </c>
      <c r="B153" s="38">
        <f>Data!B153</f>
        <v>42626</v>
      </c>
      <c r="C153" s="10">
        <f ca="1">IF(ISNUMBER(CFDTable[[#This Row],[Ready]]),NA(),CFDTable[[#This Row],[Target]]-CFDTable[[#This Row],[To Do]])</f>
        <v>77</v>
      </c>
      <c r="D153" s="10" t="e">
        <f>IF(CFDTable[[#This Row],[Emergence]]&gt;0,CFDTable[[#This Row],[Future Work]]-CFDTable[[#This Row],[Emergence]],NA())</f>
        <v>#N/A</v>
      </c>
      <c r="E153" s="10">
        <f>Data!C153</f>
        <v>0</v>
      </c>
      <c r="F153" s="10" t="str">
        <f ca="1">Data!D153</f>
        <v/>
      </c>
      <c r="G153" s="10">
        <f ca="1">Data!E153</f>
        <v>47</v>
      </c>
      <c r="H153" s="10" t="e">
        <f ca="1">IF(TodaysDate&gt;=$B153,Data!F153,NA())</f>
        <v>#N/A</v>
      </c>
      <c r="I153" s="10" t="e">
        <f ca="1">IF(TodaysDate&gt;=$B153,Data!G153,NA())</f>
        <v>#N/A</v>
      </c>
      <c r="J153" s="10" t="e">
        <f ca="1">IF(TodaysDate&gt;=$B153,Data!H153,NA())</f>
        <v>#N/A</v>
      </c>
      <c r="K153" s="10" t="e">
        <f ca="1">IF(TodaysDate&gt;=$B153,Data!I153,NA())</f>
        <v>#N/A</v>
      </c>
      <c r="L153" s="10" t="e">
        <f ca="1">IF(TodaysDate&gt;=$B153,Data!J153,NA())</f>
        <v>#N/A</v>
      </c>
      <c r="M153" s="10" t="e">
        <f ca="1">IF(CFDTable[[#This Row],[Done]]&gt;0,(CFDTable[[#This Row],[Done]])-(L152),0)</f>
        <v>#N/A</v>
      </c>
      <c r="N153" s="10">
        <f ca="1">IF(ISNUMBER($M153),SUM(CFDTable[[#This Row],[Done]]),IF(CFDTable[[#This Row],[lookupLow]]&gt;=CFDTable[[#This Row],[FutureWork2]]+CFDTable[[#This Row],[lowDaily]],NA(),CFDTable[[#This Row],[lookupLow]]))</f>
        <v>129.09523809523813</v>
      </c>
      <c r="O153" s="10">
        <f ca="1">IF(ISNUMBER($M153),SUM(CFDTable[[#This Row],[Done]]),IF(CFDTable[[#This Row],[lookupMedian]]&gt;=CFDTable[[#This Row],[FutureWork2]],NA(),CFDTable[[#This Row],[lookupMedian]]))</f>
        <v>139.52380952380946</v>
      </c>
      <c r="P153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149.95238095238145</v>
      </c>
      <c r="Q153" s="10">
        <f ca="1">CFDTable[[#This Row],[AvgDaily]]-CFDTable[[#This Row],[Deviation]]</f>
        <v>0.80952380952380931</v>
      </c>
      <c r="R153" s="10">
        <f ca="1">AVERAGE(IF(ISNUMBER(M153),IF(ISNUMBER(OFFSET(M153,-Historic,0)),OFFSET(M153,-Historic,0),M$2):M153,R152))</f>
        <v>0.95238095238095233</v>
      </c>
      <c r="S153" s="10">
        <f ca="1">AVERAGE(IF(ISNUMBER(M153),IF(ISNUMBER(OFFSET(M153,-Historic,0)),OFFSET(M153,-Historic,0),M$2):M153,S152))</f>
        <v>0.95238095238095233</v>
      </c>
      <c r="T153" s="10">
        <f ca="1">AVERAGE(IF(ISNUMBER(M153),OFFSET(M$2,DaysToIgnoreOnAvg,0):M153,T152))</f>
        <v>0.88311688311688308</v>
      </c>
      <c r="U153" s="10">
        <f ca="1">CFDTable[[#This Row],[AvgDaily]]+CFDTable[[#This Row],[Deviation]]</f>
        <v>1.0952380952380953</v>
      </c>
      <c r="V153" s="10">
        <f ca="1">IF(ISNUMBER(M153),((_xlfn.PERCENTILE.INC(IF(ISNUMBER(OFFSET(R153,-Historic,0)),OFFSET(R153,-Historic,0),R$2):R153,PercentileHigh/100))-(MEDIAN(IF(ISNUMBER(OFFSET(R153,-Historic,0)),OFFSET(R153,-Historic,0),R$2):R153))),V152)</f>
        <v>0.14285714285714302</v>
      </c>
      <c r="W153" s="10">
        <f ca="1">IF(ISNUMBER(M153),((_xlfn.PERCENTILE.INC(R$2:R153,PercentileHigh/100))-(MEDIAN(R$2:R153))),V152)</f>
        <v>0.14285714285714302</v>
      </c>
      <c r="X153" s="10" t="e">
        <f ca="1">(SUM(CFDTable[[#This Row],[To Do]:[Done]])-SUM(G152:L152))</f>
        <v>#N/A</v>
      </c>
      <c r="Y153" s="10">
        <f ca="1">AVERAGE(IF(ISNUMBER(X153),IF(ISNUMBER(OFFSET(X153,-Historic,0)),OFFSET(X153,-Historic,0),X$2):X153,Y152))</f>
        <v>1.1428571428571428</v>
      </c>
      <c r="Z153" s="10">
        <f ca="1">IF(ISNUMBER(CFDTable[[#This Row],[Done Today]]),SUM($G153:$L153),Z152+CFDTable[[#This Row],[avg added]])</f>
        <v>207.42857142857113</v>
      </c>
      <c r="AA153" s="10">
        <f ca="1">IF(ISNUMBER(CFDTable[[#This Row],[Done Today]]),SUM($G153:$L153),$AA152)</f>
        <v>124</v>
      </c>
      <c r="AB153" s="10">
        <f ca="1">IF(ISNUMBER(CFDTable[[#This Row],[Done Today]]),SUM($G153:$L153),$AB152)</f>
        <v>124</v>
      </c>
      <c r="AC153" s="10">
        <f ca="1">SUM(LOOKUP(2,1/(N$1:N152&lt;&gt;""),N$1:N152)+CFDTable[[#This Row],[lowDaily]])</f>
        <v>129.09523809523813</v>
      </c>
      <c r="AD153" s="10">
        <f ca="1">SUM(LOOKUP(2,1/(O$1:O152&lt;&gt;""),O$1:O152)+R153)</f>
        <v>139.52380952380946</v>
      </c>
      <c r="AE153" s="10">
        <f ca="1">SUM(LOOKUP(2,1/(P$1:P152&lt;&gt;""),P$1:P152)+CFDTable[[#This Row],[highDaily]])</f>
        <v>149.95238095238145</v>
      </c>
      <c r="AF153" s="12">
        <f>IF(CFDTable[[#This Row],[Date]]=DeadlineDate,CFDTable[[#This Row],[FutureWork2]],0)</f>
        <v>0</v>
      </c>
    </row>
    <row r="154" spans="1:32">
      <c r="A154" s="8">
        <f>CFDTable[[#This Row],[Date]]</f>
        <v>42627</v>
      </c>
      <c r="B154" s="38">
        <f>Data!B154</f>
        <v>42627</v>
      </c>
      <c r="C154" s="10">
        <f ca="1">IF(ISNUMBER(CFDTable[[#This Row],[Ready]]),NA(),CFDTable[[#This Row],[Target]]-CFDTable[[#This Row],[To Do]])</f>
        <v>77</v>
      </c>
      <c r="D154" s="10" t="e">
        <f>IF(CFDTable[[#This Row],[Emergence]]&gt;0,CFDTable[[#This Row],[Future Work]]-CFDTable[[#This Row],[Emergence]],NA())</f>
        <v>#N/A</v>
      </c>
      <c r="E154" s="10">
        <f>Data!C154</f>
        <v>0</v>
      </c>
      <c r="F154" s="10" t="str">
        <f ca="1">Data!D154</f>
        <v/>
      </c>
      <c r="G154" s="10">
        <f ca="1">Data!E154</f>
        <v>47</v>
      </c>
      <c r="H154" s="10" t="e">
        <f ca="1">IF(TodaysDate&gt;=$B154,Data!F154,NA())</f>
        <v>#N/A</v>
      </c>
      <c r="I154" s="10" t="e">
        <f ca="1">IF(TodaysDate&gt;=$B154,Data!G154,NA())</f>
        <v>#N/A</v>
      </c>
      <c r="J154" s="10" t="e">
        <f ca="1">IF(TodaysDate&gt;=$B154,Data!H154,NA())</f>
        <v>#N/A</v>
      </c>
      <c r="K154" s="10" t="e">
        <f ca="1">IF(TodaysDate&gt;=$B154,Data!I154,NA())</f>
        <v>#N/A</v>
      </c>
      <c r="L154" s="10" t="e">
        <f ca="1">IF(TodaysDate&gt;=$B154,Data!J154,NA())</f>
        <v>#N/A</v>
      </c>
      <c r="M154" s="10" t="e">
        <f ca="1">IF(CFDTable[[#This Row],[Done]]&gt;0,(CFDTable[[#This Row],[Done]])-(L153),0)</f>
        <v>#N/A</v>
      </c>
      <c r="N154" s="10">
        <f ca="1">IF(ISNUMBER($M154),SUM(CFDTable[[#This Row],[Done]]),IF(CFDTable[[#This Row],[lookupLow]]&gt;=CFDTable[[#This Row],[FutureWork2]]+CFDTable[[#This Row],[lowDaily]],NA(),CFDTable[[#This Row],[lookupLow]]))</f>
        <v>129.90476190476193</v>
      </c>
      <c r="O154" s="10">
        <f ca="1">IF(ISNUMBER($M154),SUM(CFDTable[[#This Row],[Done]]),IF(CFDTable[[#This Row],[lookupMedian]]&gt;=CFDTable[[#This Row],[FutureWork2]],NA(),CFDTable[[#This Row],[lookupMedian]]))</f>
        <v>140.47619047619042</v>
      </c>
      <c r="P154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151.04761904761955</v>
      </c>
      <c r="Q154" s="10">
        <f ca="1">CFDTable[[#This Row],[AvgDaily]]-CFDTable[[#This Row],[Deviation]]</f>
        <v>0.80952380952380931</v>
      </c>
      <c r="R154" s="10">
        <f ca="1">AVERAGE(IF(ISNUMBER(M154),IF(ISNUMBER(OFFSET(M154,-Historic,0)),OFFSET(M154,-Historic,0),M$2):M154,R153))</f>
        <v>0.95238095238095233</v>
      </c>
      <c r="S154" s="10">
        <f ca="1">AVERAGE(IF(ISNUMBER(M154),IF(ISNUMBER(OFFSET(M154,-Historic,0)),OFFSET(M154,-Historic,0),M$2):M154,S153))</f>
        <v>0.95238095238095233</v>
      </c>
      <c r="T154" s="10">
        <f ca="1">AVERAGE(IF(ISNUMBER(M154),OFFSET(M$2,DaysToIgnoreOnAvg,0):M154,T153))</f>
        <v>0.88311688311688308</v>
      </c>
      <c r="U154" s="10">
        <f ca="1">CFDTable[[#This Row],[AvgDaily]]+CFDTable[[#This Row],[Deviation]]</f>
        <v>1.0952380952380953</v>
      </c>
      <c r="V154" s="10">
        <f ca="1">IF(ISNUMBER(M154),((_xlfn.PERCENTILE.INC(IF(ISNUMBER(OFFSET(R154,-Historic,0)),OFFSET(R154,-Historic,0),R$2):R154,PercentileHigh/100))-(MEDIAN(IF(ISNUMBER(OFFSET(R154,-Historic,0)),OFFSET(R154,-Historic,0),R$2):R154))),V153)</f>
        <v>0.14285714285714302</v>
      </c>
      <c r="W154" s="10">
        <f ca="1">IF(ISNUMBER(M154),((_xlfn.PERCENTILE.INC(R$2:R154,PercentileHigh/100))-(MEDIAN(R$2:R154))),V153)</f>
        <v>0.14285714285714302</v>
      </c>
      <c r="X154" s="10" t="e">
        <f ca="1">(SUM(CFDTable[[#This Row],[To Do]:[Done]])-SUM(G153:L153))</f>
        <v>#N/A</v>
      </c>
      <c r="Y154" s="10">
        <f ca="1">AVERAGE(IF(ISNUMBER(X154),IF(ISNUMBER(OFFSET(X154,-Historic,0)),OFFSET(X154,-Historic,0),X$2):X154,Y153))</f>
        <v>1.1428571428571428</v>
      </c>
      <c r="Z154" s="10">
        <f ca="1">IF(ISNUMBER(CFDTable[[#This Row],[Done Today]]),SUM($G154:$L154),Z153+CFDTable[[#This Row],[avg added]])</f>
        <v>208.57142857142827</v>
      </c>
      <c r="AA154" s="10">
        <f ca="1">IF(ISNUMBER(CFDTable[[#This Row],[Done Today]]),SUM($G154:$L154),$AA153)</f>
        <v>124</v>
      </c>
      <c r="AB154" s="10">
        <f ca="1">IF(ISNUMBER(CFDTable[[#This Row],[Done Today]]),SUM($G154:$L154),$AB153)</f>
        <v>124</v>
      </c>
      <c r="AC154" s="10">
        <f ca="1">SUM(LOOKUP(2,1/(N$1:N153&lt;&gt;""),N$1:N153)+CFDTable[[#This Row],[lowDaily]])</f>
        <v>129.90476190476193</v>
      </c>
      <c r="AD154" s="10">
        <f ca="1">SUM(LOOKUP(2,1/(O$1:O153&lt;&gt;""),O$1:O153)+R154)</f>
        <v>140.47619047619042</v>
      </c>
      <c r="AE154" s="10">
        <f ca="1">SUM(LOOKUP(2,1/(P$1:P153&lt;&gt;""),P$1:P153)+CFDTable[[#This Row],[highDaily]])</f>
        <v>151.04761904761955</v>
      </c>
      <c r="AF154" s="12">
        <f>IF(CFDTable[[#This Row],[Date]]=DeadlineDate,CFDTable[[#This Row],[FutureWork2]],0)</f>
        <v>0</v>
      </c>
    </row>
    <row r="155" spans="1:32">
      <c r="A155" s="8">
        <f>CFDTable[[#This Row],[Date]]</f>
        <v>42628</v>
      </c>
      <c r="B155" s="38">
        <f>Data!B155</f>
        <v>42628</v>
      </c>
      <c r="C155" s="10">
        <f ca="1">IF(ISNUMBER(CFDTable[[#This Row],[Ready]]),NA(),CFDTable[[#This Row],[Target]]-CFDTable[[#This Row],[To Do]])</f>
        <v>77</v>
      </c>
      <c r="D155" s="10" t="e">
        <f>IF(CFDTable[[#This Row],[Emergence]]&gt;0,CFDTable[[#This Row],[Future Work]]-CFDTable[[#This Row],[Emergence]],NA())</f>
        <v>#N/A</v>
      </c>
      <c r="E155" s="10">
        <f>Data!C155</f>
        <v>0</v>
      </c>
      <c r="F155" s="10" t="str">
        <f ca="1">Data!D155</f>
        <v/>
      </c>
      <c r="G155" s="10">
        <f ca="1">Data!E155</f>
        <v>47</v>
      </c>
      <c r="H155" s="10" t="e">
        <f ca="1">IF(TodaysDate&gt;=$B155,Data!F155,NA())</f>
        <v>#N/A</v>
      </c>
      <c r="I155" s="10" t="e">
        <f ca="1">IF(TodaysDate&gt;=$B155,Data!G155,NA())</f>
        <v>#N/A</v>
      </c>
      <c r="J155" s="10" t="e">
        <f ca="1">IF(TodaysDate&gt;=$B155,Data!H155,NA())</f>
        <v>#N/A</v>
      </c>
      <c r="K155" s="10" t="e">
        <f ca="1">IF(TodaysDate&gt;=$B155,Data!I155,NA())</f>
        <v>#N/A</v>
      </c>
      <c r="L155" s="10" t="e">
        <f ca="1">IF(TodaysDate&gt;=$B155,Data!J155,NA())</f>
        <v>#N/A</v>
      </c>
      <c r="M155" s="10" t="e">
        <f ca="1">IF(CFDTable[[#This Row],[Done]]&gt;0,(CFDTable[[#This Row],[Done]])-(L154),0)</f>
        <v>#N/A</v>
      </c>
      <c r="N155" s="10">
        <f ca="1">IF(ISNUMBER($M155),SUM(CFDTable[[#This Row],[Done]]),IF(CFDTable[[#This Row],[lookupLow]]&gt;=CFDTable[[#This Row],[FutureWork2]]+CFDTable[[#This Row],[lowDaily]],NA(),CFDTable[[#This Row],[lookupLow]]))</f>
        <v>130.71428571428572</v>
      </c>
      <c r="O155" s="10">
        <f ca="1">IF(ISNUMBER($M155),SUM(CFDTable[[#This Row],[Done]]),IF(CFDTable[[#This Row],[lookupMedian]]&gt;=CFDTable[[#This Row],[FutureWork2]],NA(),CFDTable[[#This Row],[lookupMedian]]))</f>
        <v>141.42857142857139</v>
      </c>
      <c r="P155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152.14285714285765</v>
      </c>
      <c r="Q155" s="10">
        <f ca="1">CFDTable[[#This Row],[AvgDaily]]-CFDTable[[#This Row],[Deviation]]</f>
        <v>0.80952380952380931</v>
      </c>
      <c r="R155" s="10">
        <f ca="1">AVERAGE(IF(ISNUMBER(M155),IF(ISNUMBER(OFFSET(M155,-Historic,0)),OFFSET(M155,-Historic,0),M$2):M155,R154))</f>
        <v>0.95238095238095233</v>
      </c>
      <c r="S155" s="10">
        <f ca="1">AVERAGE(IF(ISNUMBER(M155),IF(ISNUMBER(OFFSET(M155,-Historic,0)),OFFSET(M155,-Historic,0),M$2):M155,S154))</f>
        <v>0.95238095238095233</v>
      </c>
      <c r="T155" s="10">
        <f ca="1">AVERAGE(IF(ISNUMBER(M155),OFFSET(M$2,DaysToIgnoreOnAvg,0):M155,T154))</f>
        <v>0.88311688311688308</v>
      </c>
      <c r="U155" s="10">
        <f ca="1">CFDTable[[#This Row],[AvgDaily]]+CFDTable[[#This Row],[Deviation]]</f>
        <v>1.0952380952380953</v>
      </c>
      <c r="V155" s="10">
        <f ca="1">IF(ISNUMBER(M155),((_xlfn.PERCENTILE.INC(IF(ISNUMBER(OFFSET(R155,-Historic,0)),OFFSET(R155,-Historic,0),R$2):R155,PercentileHigh/100))-(MEDIAN(IF(ISNUMBER(OFFSET(R155,-Historic,0)),OFFSET(R155,-Historic,0),R$2):R155))),V154)</f>
        <v>0.14285714285714302</v>
      </c>
      <c r="W155" s="10">
        <f ca="1">IF(ISNUMBER(M155),((_xlfn.PERCENTILE.INC(R$2:R155,PercentileHigh/100))-(MEDIAN(R$2:R155))),V154)</f>
        <v>0.14285714285714302</v>
      </c>
      <c r="X155" s="10" t="e">
        <f ca="1">(SUM(CFDTable[[#This Row],[To Do]:[Done]])-SUM(G154:L154))</f>
        <v>#N/A</v>
      </c>
      <c r="Y155" s="10">
        <f ca="1">AVERAGE(IF(ISNUMBER(X155),IF(ISNUMBER(OFFSET(X155,-Historic,0)),OFFSET(X155,-Historic,0),X$2):X155,Y154))</f>
        <v>1.1428571428571428</v>
      </c>
      <c r="Z155" s="10">
        <f ca="1">IF(ISNUMBER(CFDTable[[#This Row],[Done Today]]),SUM($G155:$L155),Z154+CFDTable[[#This Row],[avg added]])</f>
        <v>209.71428571428541</v>
      </c>
      <c r="AA155" s="10">
        <f ca="1">IF(ISNUMBER(CFDTable[[#This Row],[Done Today]]),SUM($G155:$L155),$AA154)</f>
        <v>124</v>
      </c>
      <c r="AB155" s="10">
        <f ca="1">IF(ISNUMBER(CFDTable[[#This Row],[Done Today]]),SUM($G155:$L155),$AB154)</f>
        <v>124</v>
      </c>
      <c r="AC155" s="10">
        <f ca="1">SUM(LOOKUP(2,1/(N$1:N154&lt;&gt;""),N$1:N154)+CFDTable[[#This Row],[lowDaily]])</f>
        <v>130.71428571428572</v>
      </c>
      <c r="AD155" s="10">
        <f ca="1">SUM(LOOKUP(2,1/(O$1:O154&lt;&gt;""),O$1:O154)+R155)</f>
        <v>141.42857142857139</v>
      </c>
      <c r="AE155" s="10">
        <f ca="1">SUM(LOOKUP(2,1/(P$1:P154&lt;&gt;""),P$1:P154)+CFDTable[[#This Row],[highDaily]])</f>
        <v>152.14285714285765</v>
      </c>
      <c r="AF155" s="12">
        <f>IF(CFDTable[[#This Row],[Date]]=DeadlineDate,CFDTable[[#This Row],[FutureWork2]],0)</f>
        <v>0</v>
      </c>
    </row>
    <row r="156" spans="1:32">
      <c r="A156" s="8">
        <f>CFDTable[[#This Row],[Date]]</f>
        <v>42629</v>
      </c>
      <c r="B156" s="38">
        <f>Data!B156</f>
        <v>42629</v>
      </c>
      <c r="C156" s="10">
        <f ca="1">IF(ISNUMBER(CFDTable[[#This Row],[Ready]]),NA(),CFDTable[[#This Row],[Target]]-CFDTable[[#This Row],[To Do]])</f>
        <v>77</v>
      </c>
      <c r="D156" s="10" t="e">
        <f>IF(CFDTable[[#This Row],[Emergence]]&gt;0,CFDTable[[#This Row],[Future Work]]-CFDTable[[#This Row],[Emergence]],NA())</f>
        <v>#N/A</v>
      </c>
      <c r="E156" s="10">
        <f>Data!C156</f>
        <v>0</v>
      </c>
      <c r="F156" s="10" t="str">
        <f ca="1">Data!D156</f>
        <v/>
      </c>
      <c r="G156" s="10">
        <f ca="1">Data!E156</f>
        <v>47</v>
      </c>
      <c r="H156" s="10" t="e">
        <f ca="1">IF(TodaysDate&gt;=$B156,Data!F156,NA())</f>
        <v>#N/A</v>
      </c>
      <c r="I156" s="10" t="e">
        <f ca="1">IF(TodaysDate&gt;=$B156,Data!G156,NA())</f>
        <v>#N/A</v>
      </c>
      <c r="J156" s="10" t="e">
        <f ca="1">IF(TodaysDate&gt;=$B156,Data!H156,NA())</f>
        <v>#N/A</v>
      </c>
      <c r="K156" s="10" t="e">
        <f ca="1">IF(TodaysDate&gt;=$B156,Data!I156,NA())</f>
        <v>#N/A</v>
      </c>
      <c r="L156" s="10" t="e">
        <f ca="1">IF(TodaysDate&gt;=$B156,Data!J156,NA())</f>
        <v>#N/A</v>
      </c>
      <c r="M156" s="10" t="e">
        <f ca="1">IF(CFDTable[[#This Row],[Done]]&gt;0,(CFDTable[[#This Row],[Done]])-(L155),0)</f>
        <v>#N/A</v>
      </c>
      <c r="N156" s="10">
        <f ca="1">IF(ISNUMBER($M156),SUM(CFDTable[[#This Row],[Done]]),IF(CFDTable[[#This Row],[lookupLow]]&gt;=CFDTable[[#This Row],[FutureWork2]]+CFDTable[[#This Row],[lowDaily]],NA(),CFDTable[[#This Row],[lookupLow]]))</f>
        <v>131.52380952380952</v>
      </c>
      <c r="O156" s="10">
        <f ca="1">IF(ISNUMBER($M156),SUM(CFDTable[[#This Row],[Done]]),IF(CFDTable[[#This Row],[lookupMedian]]&gt;=CFDTable[[#This Row],[FutureWork2]],NA(),CFDTable[[#This Row],[lookupMedian]]))</f>
        <v>142.38095238095235</v>
      </c>
      <c r="P156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153.23809523809575</v>
      </c>
      <c r="Q156" s="10">
        <f ca="1">CFDTable[[#This Row],[AvgDaily]]-CFDTable[[#This Row],[Deviation]]</f>
        <v>0.80952380952380931</v>
      </c>
      <c r="R156" s="10">
        <f ca="1">AVERAGE(IF(ISNUMBER(M156),IF(ISNUMBER(OFFSET(M156,-Historic,0)),OFFSET(M156,-Historic,0),M$2):M156,R155))</f>
        <v>0.95238095238095233</v>
      </c>
      <c r="S156" s="10">
        <f ca="1">AVERAGE(IF(ISNUMBER(M156),IF(ISNUMBER(OFFSET(M156,-Historic,0)),OFFSET(M156,-Historic,0),M$2):M156,S155))</f>
        <v>0.95238095238095233</v>
      </c>
      <c r="T156" s="10">
        <f ca="1">AVERAGE(IF(ISNUMBER(M156),OFFSET(M$2,DaysToIgnoreOnAvg,0):M156,T155))</f>
        <v>0.88311688311688308</v>
      </c>
      <c r="U156" s="10">
        <f ca="1">CFDTable[[#This Row],[AvgDaily]]+CFDTable[[#This Row],[Deviation]]</f>
        <v>1.0952380952380953</v>
      </c>
      <c r="V156" s="10">
        <f ca="1">IF(ISNUMBER(M156),((_xlfn.PERCENTILE.INC(IF(ISNUMBER(OFFSET(R156,-Historic,0)),OFFSET(R156,-Historic,0),R$2):R156,PercentileHigh/100))-(MEDIAN(IF(ISNUMBER(OFFSET(R156,-Historic,0)),OFFSET(R156,-Historic,0),R$2):R156))),V155)</f>
        <v>0.14285714285714302</v>
      </c>
      <c r="W156" s="10">
        <f ca="1">IF(ISNUMBER(M156),((_xlfn.PERCENTILE.INC(R$2:R156,PercentileHigh/100))-(MEDIAN(R$2:R156))),V155)</f>
        <v>0.14285714285714302</v>
      </c>
      <c r="X156" s="10" t="e">
        <f ca="1">(SUM(CFDTable[[#This Row],[To Do]:[Done]])-SUM(G155:L155))</f>
        <v>#N/A</v>
      </c>
      <c r="Y156" s="10">
        <f ca="1">AVERAGE(IF(ISNUMBER(X156),IF(ISNUMBER(OFFSET(X156,-Historic,0)),OFFSET(X156,-Historic,0),X$2):X156,Y155))</f>
        <v>1.1428571428571428</v>
      </c>
      <c r="Z156" s="10">
        <f ca="1">IF(ISNUMBER(CFDTable[[#This Row],[Done Today]]),SUM($G156:$L156),Z155+CFDTable[[#This Row],[avg added]])</f>
        <v>210.85714285714255</v>
      </c>
      <c r="AA156" s="10">
        <f ca="1">IF(ISNUMBER(CFDTable[[#This Row],[Done Today]]),SUM($G156:$L156),$AA155)</f>
        <v>124</v>
      </c>
      <c r="AB156" s="10">
        <f ca="1">IF(ISNUMBER(CFDTable[[#This Row],[Done Today]]),SUM($G156:$L156),$AB155)</f>
        <v>124</v>
      </c>
      <c r="AC156" s="10">
        <f ca="1">SUM(LOOKUP(2,1/(N$1:N155&lt;&gt;""),N$1:N155)+CFDTable[[#This Row],[lowDaily]])</f>
        <v>131.52380952380952</v>
      </c>
      <c r="AD156" s="10">
        <f ca="1">SUM(LOOKUP(2,1/(O$1:O155&lt;&gt;""),O$1:O155)+R156)</f>
        <v>142.38095238095235</v>
      </c>
      <c r="AE156" s="10">
        <f ca="1">SUM(LOOKUP(2,1/(P$1:P155&lt;&gt;""),P$1:P155)+CFDTable[[#This Row],[highDaily]])</f>
        <v>153.23809523809575</v>
      </c>
      <c r="AF156" s="12">
        <f>IF(CFDTable[[#This Row],[Date]]=DeadlineDate,CFDTable[[#This Row],[FutureWork2]],0)</f>
        <v>0</v>
      </c>
    </row>
    <row r="157" spans="1:32">
      <c r="A157" s="8">
        <f>CFDTable[[#This Row],[Date]]</f>
        <v>42632</v>
      </c>
      <c r="B157" s="38">
        <f>Data!B157</f>
        <v>42632</v>
      </c>
      <c r="C157" s="10">
        <f ca="1">IF(ISNUMBER(CFDTable[[#This Row],[Ready]]),NA(),CFDTable[[#This Row],[Target]]-CFDTable[[#This Row],[To Do]])</f>
        <v>77</v>
      </c>
      <c r="D157" s="10" t="e">
        <f>IF(CFDTable[[#This Row],[Emergence]]&gt;0,CFDTable[[#This Row],[Future Work]]-CFDTable[[#This Row],[Emergence]],NA())</f>
        <v>#N/A</v>
      </c>
      <c r="E157" s="10">
        <f>Data!C157</f>
        <v>0</v>
      </c>
      <c r="F157" s="10" t="str">
        <f ca="1">Data!D157</f>
        <v/>
      </c>
      <c r="G157" s="10">
        <f ca="1">Data!E157</f>
        <v>47</v>
      </c>
      <c r="H157" s="10" t="e">
        <f ca="1">IF(TodaysDate&gt;=$B157,Data!F157,NA())</f>
        <v>#N/A</v>
      </c>
      <c r="I157" s="10" t="e">
        <f ca="1">IF(TodaysDate&gt;=$B157,Data!G157,NA())</f>
        <v>#N/A</v>
      </c>
      <c r="J157" s="10" t="e">
        <f ca="1">IF(TodaysDate&gt;=$B157,Data!H157,NA())</f>
        <v>#N/A</v>
      </c>
      <c r="K157" s="10" t="e">
        <f ca="1">IF(TodaysDate&gt;=$B157,Data!I157,NA())</f>
        <v>#N/A</v>
      </c>
      <c r="L157" s="10" t="e">
        <f ca="1">IF(TodaysDate&gt;=$B157,Data!J157,NA())</f>
        <v>#N/A</v>
      </c>
      <c r="M157" s="10" t="e">
        <f ca="1">IF(CFDTable[[#This Row],[Done]]&gt;0,(CFDTable[[#This Row],[Done]])-(L156),0)</f>
        <v>#N/A</v>
      </c>
      <c r="N157" s="10">
        <f ca="1">IF(ISNUMBER($M157),SUM(CFDTable[[#This Row],[Done]]),IF(CFDTable[[#This Row],[lookupLow]]&gt;=CFDTable[[#This Row],[FutureWork2]]+CFDTable[[#This Row],[lowDaily]],NA(),CFDTable[[#This Row],[lookupLow]]))</f>
        <v>132.33333333333331</v>
      </c>
      <c r="O157" s="10">
        <f ca="1">IF(ISNUMBER($M157),SUM(CFDTable[[#This Row],[Done]]),IF(CFDTable[[#This Row],[lookupMedian]]&gt;=CFDTable[[#This Row],[FutureWork2]],NA(),CFDTable[[#This Row],[lookupMedian]]))</f>
        <v>143.33333333333331</v>
      </c>
      <c r="P157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154.33333333333385</v>
      </c>
      <c r="Q157" s="10">
        <f ca="1">CFDTable[[#This Row],[AvgDaily]]-CFDTable[[#This Row],[Deviation]]</f>
        <v>0.80952380952380931</v>
      </c>
      <c r="R157" s="10">
        <f ca="1">AVERAGE(IF(ISNUMBER(M157),IF(ISNUMBER(OFFSET(M157,-Historic,0)),OFFSET(M157,-Historic,0),M$2):M157,R156))</f>
        <v>0.95238095238095233</v>
      </c>
      <c r="S157" s="10">
        <f ca="1">AVERAGE(IF(ISNUMBER(M157),IF(ISNUMBER(OFFSET(M157,-Historic,0)),OFFSET(M157,-Historic,0),M$2):M157,S156))</f>
        <v>0.95238095238095233</v>
      </c>
      <c r="T157" s="10">
        <f ca="1">AVERAGE(IF(ISNUMBER(M157),OFFSET(M$2,DaysToIgnoreOnAvg,0):M157,T156))</f>
        <v>0.88311688311688308</v>
      </c>
      <c r="U157" s="10">
        <f ca="1">CFDTable[[#This Row],[AvgDaily]]+CFDTable[[#This Row],[Deviation]]</f>
        <v>1.0952380952380953</v>
      </c>
      <c r="V157" s="10">
        <f ca="1">IF(ISNUMBER(M157),((_xlfn.PERCENTILE.INC(IF(ISNUMBER(OFFSET(R157,-Historic,0)),OFFSET(R157,-Historic,0),R$2):R157,PercentileHigh/100))-(MEDIAN(IF(ISNUMBER(OFFSET(R157,-Historic,0)),OFFSET(R157,-Historic,0),R$2):R157))),V156)</f>
        <v>0.14285714285714302</v>
      </c>
      <c r="W157" s="10">
        <f ca="1">IF(ISNUMBER(M157),((_xlfn.PERCENTILE.INC(R$2:R157,PercentileHigh/100))-(MEDIAN(R$2:R157))),V156)</f>
        <v>0.14285714285714302</v>
      </c>
      <c r="X157" s="10" t="e">
        <f ca="1">(SUM(CFDTable[[#This Row],[To Do]:[Done]])-SUM(G156:L156))</f>
        <v>#N/A</v>
      </c>
      <c r="Y157" s="10">
        <f ca="1">AVERAGE(IF(ISNUMBER(X157),IF(ISNUMBER(OFFSET(X157,-Historic,0)),OFFSET(X157,-Historic,0),X$2):X157,Y156))</f>
        <v>1.1428571428571428</v>
      </c>
      <c r="Z157" s="10">
        <f ca="1">IF(ISNUMBER(CFDTable[[#This Row],[Done Today]]),SUM($G157:$L157),Z156+CFDTable[[#This Row],[avg added]])</f>
        <v>211.99999999999969</v>
      </c>
      <c r="AA157" s="10">
        <f ca="1">IF(ISNUMBER(CFDTable[[#This Row],[Done Today]]),SUM($G157:$L157),$AA156)</f>
        <v>124</v>
      </c>
      <c r="AB157" s="10">
        <f ca="1">IF(ISNUMBER(CFDTable[[#This Row],[Done Today]]),SUM($G157:$L157),$AB156)</f>
        <v>124</v>
      </c>
      <c r="AC157" s="10">
        <f ca="1">SUM(LOOKUP(2,1/(N$1:N156&lt;&gt;""),N$1:N156)+CFDTable[[#This Row],[lowDaily]])</f>
        <v>132.33333333333331</v>
      </c>
      <c r="AD157" s="10">
        <f ca="1">SUM(LOOKUP(2,1/(O$1:O156&lt;&gt;""),O$1:O156)+R157)</f>
        <v>143.33333333333331</v>
      </c>
      <c r="AE157" s="10">
        <f ca="1">SUM(LOOKUP(2,1/(P$1:P156&lt;&gt;""),P$1:P156)+CFDTable[[#This Row],[highDaily]])</f>
        <v>154.33333333333385</v>
      </c>
      <c r="AF157" s="12">
        <f>IF(CFDTable[[#This Row],[Date]]=DeadlineDate,CFDTable[[#This Row],[FutureWork2]],0)</f>
        <v>0</v>
      </c>
    </row>
    <row r="158" spans="1:32">
      <c r="A158" s="8">
        <f>CFDTable[[#This Row],[Date]]</f>
        <v>42633</v>
      </c>
      <c r="B158" s="38">
        <f>Data!B158</f>
        <v>42633</v>
      </c>
      <c r="C158" s="10">
        <f ca="1">IF(ISNUMBER(CFDTable[[#This Row],[Ready]]),NA(),CFDTable[[#This Row],[Target]]-CFDTable[[#This Row],[To Do]])</f>
        <v>77</v>
      </c>
      <c r="D158" s="10" t="e">
        <f>IF(CFDTable[[#This Row],[Emergence]]&gt;0,CFDTable[[#This Row],[Future Work]]-CFDTable[[#This Row],[Emergence]],NA())</f>
        <v>#N/A</v>
      </c>
      <c r="E158" s="10">
        <f>Data!C158</f>
        <v>0</v>
      </c>
      <c r="F158" s="10" t="str">
        <f ca="1">Data!D158</f>
        <v/>
      </c>
      <c r="G158" s="10">
        <f ca="1">Data!E158</f>
        <v>47</v>
      </c>
      <c r="H158" s="10" t="e">
        <f ca="1">IF(TodaysDate&gt;=$B158,Data!F158,NA())</f>
        <v>#N/A</v>
      </c>
      <c r="I158" s="10" t="e">
        <f ca="1">IF(TodaysDate&gt;=$B158,Data!G158,NA())</f>
        <v>#N/A</v>
      </c>
      <c r="J158" s="10" t="e">
        <f ca="1">IF(TodaysDate&gt;=$B158,Data!H158,NA())</f>
        <v>#N/A</v>
      </c>
      <c r="K158" s="10" t="e">
        <f ca="1">IF(TodaysDate&gt;=$B158,Data!I158,NA())</f>
        <v>#N/A</v>
      </c>
      <c r="L158" s="10" t="e">
        <f ca="1">IF(TodaysDate&gt;=$B158,Data!J158,NA())</f>
        <v>#N/A</v>
      </c>
      <c r="M158" s="10" t="e">
        <f ca="1">IF(CFDTable[[#This Row],[Done]]&gt;0,(CFDTable[[#This Row],[Done]])-(L157),0)</f>
        <v>#N/A</v>
      </c>
      <c r="N158" s="10">
        <f ca="1">IF(ISNUMBER($M158),SUM(CFDTable[[#This Row],[Done]]),IF(CFDTable[[#This Row],[lookupLow]]&gt;=CFDTable[[#This Row],[FutureWork2]]+CFDTable[[#This Row],[lowDaily]],NA(),CFDTable[[#This Row],[lookupLow]]))</f>
        <v>133.14285714285711</v>
      </c>
      <c r="O158" s="10">
        <f ca="1">IF(ISNUMBER($M158),SUM(CFDTable[[#This Row],[Done]]),IF(CFDTable[[#This Row],[lookupMedian]]&gt;=CFDTable[[#This Row],[FutureWork2]],NA(),CFDTable[[#This Row],[lookupMedian]]))</f>
        <v>144.28571428571428</v>
      </c>
      <c r="P158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155.42857142857196</v>
      </c>
      <c r="Q158" s="10">
        <f ca="1">CFDTable[[#This Row],[AvgDaily]]-CFDTable[[#This Row],[Deviation]]</f>
        <v>0.80952380952380931</v>
      </c>
      <c r="R158" s="10">
        <f ca="1">AVERAGE(IF(ISNUMBER(M158),IF(ISNUMBER(OFFSET(M158,-Historic,0)),OFFSET(M158,-Historic,0),M$2):M158,R157))</f>
        <v>0.95238095238095233</v>
      </c>
      <c r="S158" s="10">
        <f ca="1">AVERAGE(IF(ISNUMBER(M158),IF(ISNUMBER(OFFSET(M158,-Historic,0)),OFFSET(M158,-Historic,0),M$2):M158,S157))</f>
        <v>0.95238095238095233</v>
      </c>
      <c r="T158" s="10">
        <f ca="1">AVERAGE(IF(ISNUMBER(M158),OFFSET(M$2,DaysToIgnoreOnAvg,0):M158,T157))</f>
        <v>0.88311688311688308</v>
      </c>
      <c r="U158" s="10">
        <f ca="1">CFDTable[[#This Row],[AvgDaily]]+CFDTable[[#This Row],[Deviation]]</f>
        <v>1.0952380952380953</v>
      </c>
      <c r="V158" s="10">
        <f ca="1">IF(ISNUMBER(M158),((_xlfn.PERCENTILE.INC(IF(ISNUMBER(OFFSET(R158,-Historic,0)),OFFSET(R158,-Historic,0),R$2):R158,PercentileHigh/100))-(MEDIAN(IF(ISNUMBER(OFFSET(R158,-Historic,0)),OFFSET(R158,-Historic,0),R$2):R158))),V157)</f>
        <v>0.14285714285714302</v>
      </c>
      <c r="W158" s="10">
        <f ca="1">IF(ISNUMBER(M158),((_xlfn.PERCENTILE.INC(R$2:R158,PercentileHigh/100))-(MEDIAN(R$2:R158))),V157)</f>
        <v>0.14285714285714302</v>
      </c>
      <c r="X158" s="10" t="e">
        <f ca="1">(SUM(CFDTable[[#This Row],[To Do]:[Done]])-SUM(G157:L157))</f>
        <v>#N/A</v>
      </c>
      <c r="Y158" s="10">
        <f ca="1">AVERAGE(IF(ISNUMBER(X158),IF(ISNUMBER(OFFSET(X158,-Historic,0)),OFFSET(X158,-Historic,0),X$2):X158,Y157))</f>
        <v>1.1428571428571428</v>
      </c>
      <c r="Z158" s="10">
        <f ca="1">IF(ISNUMBER(CFDTable[[#This Row],[Done Today]]),SUM($G158:$L158),Z157+CFDTable[[#This Row],[avg added]])</f>
        <v>213.14285714285683</v>
      </c>
      <c r="AA158" s="10">
        <f ca="1">IF(ISNUMBER(CFDTable[[#This Row],[Done Today]]),SUM($G158:$L158),$AA157)</f>
        <v>124</v>
      </c>
      <c r="AB158" s="10">
        <f ca="1">IF(ISNUMBER(CFDTable[[#This Row],[Done Today]]),SUM($G158:$L158),$AB157)</f>
        <v>124</v>
      </c>
      <c r="AC158" s="10">
        <f ca="1">SUM(LOOKUP(2,1/(N$1:N157&lt;&gt;""),N$1:N157)+CFDTable[[#This Row],[lowDaily]])</f>
        <v>133.14285714285711</v>
      </c>
      <c r="AD158" s="10">
        <f ca="1">SUM(LOOKUP(2,1/(O$1:O157&lt;&gt;""),O$1:O157)+R158)</f>
        <v>144.28571428571428</v>
      </c>
      <c r="AE158" s="10">
        <f ca="1">SUM(LOOKUP(2,1/(P$1:P157&lt;&gt;""),P$1:P157)+CFDTable[[#This Row],[highDaily]])</f>
        <v>155.42857142857196</v>
      </c>
      <c r="AF158" s="12">
        <f>IF(CFDTable[[#This Row],[Date]]=DeadlineDate,CFDTable[[#This Row],[FutureWork2]],0)</f>
        <v>0</v>
      </c>
    </row>
    <row r="159" spans="1:32">
      <c r="A159" s="8">
        <f>CFDTable[[#This Row],[Date]]</f>
        <v>42634</v>
      </c>
      <c r="B159" s="38">
        <f>Data!B159</f>
        <v>42634</v>
      </c>
      <c r="C159" s="10">
        <f ca="1">IF(ISNUMBER(CFDTable[[#This Row],[Ready]]),NA(),CFDTable[[#This Row],[Target]]-CFDTable[[#This Row],[To Do]])</f>
        <v>77</v>
      </c>
      <c r="D159" s="10" t="e">
        <f>IF(CFDTable[[#This Row],[Emergence]]&gt;0,CFDTable[[#This Row],[Future Work]]-CFDTable[[#This Row],[Emergence]],NA())</f>
        <v>#N/A</v>
      </c>
      <c r="E159" s="10">
        <f>Data!C159</f>
        <v>0</v>
      </c>
      <c r="F159" s="10" t="str">
        <f ca="1">Data!D159</f>
        <v/>
      </c>
      <c r="G159" s="10">
        <f ca="1">Data!E159</f>
        <v>47</v>
      </c>
      <c r="H159" s="10" t="e">
        <f ca="1">IF(TodaysDate&gt;=$B159,Data!F159,NA())</f>
        <v>#N/A</v>
      </c>
      <c r="I159" s="10" t="e">
        <f ca="1">IF(TodaysDate&gt;=$B159,Data!G159,NA())</f>
        <v>#N/A</v>
      </c>
      <c r="J159" s="10" t="e">
        <f ca="1">IF(TodaysDate&gt;=$B159,Data!H159,NA())</f>
        <v>#N/A</v>
      </c>
      <c r="K159" s="10" t="e">
        <f ca="1">IF(TodaysDate&gt;=$B159,Data!I159,NA())</f>
        <v>#N/A</v>
      </c>
      <c r="L159" s="10" t="e">
        <f ca="1">IF(TodaysDate&gt;=$B159,Data!J159,NA())</f>
        <v>#N/A</v>
      </c>
      <c r="M159" s="10" t="e">
        <f ca="1">IF(CFDTable[[#This Row],[Done]]&gt;0,(CFDTable[[#This Row],[Done]])-(L158),0)</f>
        <v>#N/A</v>
      </c>
      <c r="N159" s="10">
        <f ca="1">IF(ISNUMBER($M159),SUM(CFDTable[[#This Row],[Done]]),IF(CFDTable[[#This Row],[lookupLow]]&gt;=CFDTable[[#This Row],[FutureWork2]]+CFDTable[[#This Row],[lowDaily]],NA(),CFDTable[[#This Row],[lookupLow]]))</f>
        <v>133.95238095238091</v>
      </c>
      <c r="O159" s="10">
        <f ca="1">IF(ISNUMBER($M159),SUM(CFDTable[[#This Row],[Done]]),IF(CFDTable[[#This Row],[lookupMedian]]&gt;=CFDTable[[#This Row],[FutureWork2]],NA(),CFDTable[[#This Row],[lookupMedian]]))</f>
        <v>145.23809523809524</v>
      </c>
      <c r="P159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156.52380952381006</v>
      </c>
      <c r="Q159" s="10">
        <f ca="1">CFDTable[[#This Row],[AvgDaily]]-CFDTable[[#This Row],[Deviation]]</f>
        <v>0.80952380952380931</v>
      </c>
      <c r="R159" s="10">
        <f ca="1">AVERAGE(IF(ISNUMBER(M159),IF(ISNUMBER(OFFSET(M159,-Historic,0)),OFFSET(M159,-Historic,0),M$2):M159,R158))</f>
        <v>0.95238095238095233</v>
      </c>
      <c r="S159" s="10">
        <f ca="1">AVERAGE(IF(ISNUMBER(M159),IF(ISNUMBER(OFFSET(M159,-Historic,0)),OFFSET(M159,-Historic,0),M$2):M159,S158))</f>
        <v>0.95238095238095233</v>
      </c>
      <c r="T159" s="10">
        <f ca="1">AVERAGE(IF(ISNUMBER(M159),OFFSET(M$2,DaysToIgnoreOnAvg,0):M159,T158))</f>
        <v>0.88311688311688308</v>
      </c>
      <c r="U159" s="10">
        <f ca="1">CFDTable[[#This Row],[AvgDaily]]+CFDTable[[#This Row],[Deviation]]</f>
        <v>1.0952380952380953</v>
      </c>
      <c r="V159" s="10">
        <f ca="1">IF(ISNUMBER(M159),((_xlfn.PERCENTILE.INC(IF(ISNUMBER(OFFSET(R159,-Historic,0)),OFFSET(R159,-Historic,0),R$2):R159,PercentileHigh/100))-(MEDIAN(IF(ISNUMBER(OFFSET(R159,-Historic,0)),OFFSET(R159,-Historic,0),R$2):R159))),V158)</f>
        <v>0.14285714285714302</v>
      </c>
      <c r="W159" s="10">
        <f ca="1">IF(ISNUMBER(M159),((_xlfn.PERCENTILE.INC(R$2:R159,PercentileHigh/100))-(MEDIAN(R$2:R159))),V158)</f>
        <v>0.14285714285714302</v>
      </c>
      <c r="X159" s="10" t="e">
        <f ca="1">(SUM(CFDTable[[#This Row],[To Do]:[Done]])-SUM(G158:L158))</f>
        <v>#N/A</v>
      </c>
      <c r="Y159" s="10">
        <f ca="1">AVERAGE(IF(ISNUMBER(X159),IF(ISNUMBER(OFFSET(X159,-Historic,0)),OFFSET(X159,-Historic,0),X$2):X159,Y158))</f>
        <v>1.1428571428571428</v>
      </c>
      <c r="Z159" s="10">
        <f ca="1">IF(ISNUMBER(CFDTable[[#This Row],[Done Today]]),SUM($G159:$L159),Z158+CFDTable[[#This Row],[avg added]])</f>
        <v>214.28571428571396</v>
      </c>
      <c r="AA159" s="10">
        <f ca="1">IF(ISNUMBER(CFDTable[[#This Row],[Done Today]]),SUM($G159:$L159),$AA158)</f>
        <v>124</v>
      </c>
      <c r="AB159" s="10">
        <f ca="1">IF(ISNUMBER(CFDTable[[#This Row],[Done Today]]),SUM($G159:$L159),$AB158)</f>
        <v>124</v>
      </c>
      <c r="AC159" s="10">
        <f ca="1">SUM(LOOKUP(2,1/(N$1:N158&lt;&gt;""),N$1:N158)+CFDTable[[#This Row],[lowDaily]])</f>
        <v>133.95238095238091</v>
      </c>
      <c r="AD159" s="10">
        <f ca="1">SUM(LOOKUP(2,1/(O$1:O158&lt;&gt;""),O$1:O158)+R159)</f>
        <v>145.23809523809524</v>
      </c>
      <c r="AE159" s="10">
        <f ca="1">SUM(LOOKUP(2,1/(P$1:P158&lt;&gt;""),P$1:P158)+CFDTable[[#This Row],[highDaily]])</f>
        <v>156.52380952381006</v>
      </c>
      <c r="AF159" s="12">
        <f>IF(CFDTable[[#This Row],[Date]]=DeadlineDate,CFDTable[[#This Row],[FutureWork2]],0)</f>
        <v>0</v>
      </c>
    </row>
    <row r="160" spans="1:32">
      <c r="A160" s="8">
        <f>CFDTable[[#This Row],[Date]]</f>
        <v>42635</v>
      </c>
      <c r="B160" s="38">
        <f>Data!B160</f>
        <v>42635</v>
      </c>
      <c r="C160" s="10">
        <f ca="1">IF(ISNUMBER(CFDTable[[#This Row],[Ready]]),NA(),CFDTable[[#This Row],[Target]]-CFDTable[[#This Row],[To Do]])</f>
        <v>77</v>
      </c>
      <c r="D160" s="10" t="e">
        <f>IF(CFDTable[[#This Row],[Emergence]]&gt;0,CFDTable[[#This Row],[Future Work]]-CFDTable[[#This Row],[Emergence]],NA())</f>
        <v>#N/A</v>
      </c>
      <c r="E160" s="10">
        <f>Data!C160</f>
        <v>0</v>
      </c>
      <c r="F160" s="10" t="str">
        <f ca="1">Data!D160</f>
        <v/>
      </c>
      <c r="G160" s="10">
        <f ca="1">Data!E160</f>
        <v>47</v>
      </c>
      <c r="H160" s="10" t="e">
        <f ca="1">IF(TodaysDate&gt;=$B160,Data!F160,NA())</f>
        <v>#N/A</v>
      </c>
      <c r="I160" s="10" t="e">
        <f ca="1">IF(TodaysDate&gt;=$B160,Data!G160,NA())</f>
        <v>#N/A</v>
      </c>
      <c r="J160" s="10" t="e">
        <f ca="1">IF(TodaysDate&gt;=$B160,Data!H160,NA())</f>
        <v>#N/A</v>
      </c>
      <c r="K160" s="10" t="e">
        <f ca="1">IF(TodaysDate&gt;=$B160,Data!I160,NA())</f>
        <v>#N/A</v>
      </c>
      <c r="L160" s="10" t="e">
        <f ca="1">IF(TodaysDate&gt;=$B160,Data!J160,NA())</f>
        <v>#N/A</v>
      </c>
      <c r="M160" s="10" t="e">
        <f ca="1">IF(CFDTable[[#This Row],[Done]]&gt;0,(CFDTable[[#This Row],[Done]])-(L159),0)</f>
        <v>#N/A</v>
      </c>
      <c r="N160" s="10">
        <f ca="1">IF(ISNUMBER($M160),SUM(CFDTable[[#This Row],[Done]]),IF(CFDTable[[#This Row],[lookupLow]]&gt;=CFDTable[[#This Row],[FutureWork2]]+CFDTable[[#This Row],[lowDaily]],NA(),CFDTable[[#This Row],[lookupLow]]))</f>
        <v>134.7619047619047</v>
      </c>
      <c r="O160" s="10">
        <f ca="1">IF(ISNUMBER($M160),SUM(CFDTable[[#This Row],[Done]]),IF(CFDTable[[#This Row],[lookupMedian]]&gt;=CFDTable[[#This Row],[FutureWork2]],NA(),CFDTable[[#This Row],[lookupMedian]]))</f>
        <v>146.1904761904762</v>
      </c>
      <c r="P160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157.61904761904816</v>
      </c>
      <c r="Q160" s="10">
        <f ca="1">CFDTable[[#This Row],[AvgDaily]]-CFDTable[[#This Row],[Deviation]]</f>
        <v>0.80952380952380931</v>
      </c>
      <c r="R160" s="10">
        <f ca="1">AVERAGE(IF(ISNUMBER(M160),IF(ISNUMBER(OFFSET(M160,-Historic,0)),OFFSET(M160,-Historic,0),M$2):M160,R159))</f>
        <v>0.95238095238095233</v>
      </c>
      <c r="S160" s="10">
        <f ca="1">AVERAGE(IF(ISNUMBER(M160),IF(ISNUMBER(OFFSET(M160,-Historic,0)),OFFSET(M160,-Historic,0),M$2):M160,S159))</f>
        <v>0.95238095238095233</v>
      </c>
      <c r="T160" s="10">
        <f ca="1">AVERAGE(IF(ISNUMBER(M160),OFFSET(M$2,DaysToIgnoreOnAvg,0):M160,T159))</f>
        <v>0.88311688311688308</v>
      </c>
      <c r="U160" s="10">
        <f ca="1">CFDTable[[#This Row],[AvgDaily]]+CFDTable[[#This Row],[Deviation]]</f>
        <v>1.0952380952380953</v>
      </c>
      <c r="V160" s="10">
        <f ca="1">IF(ISNUMBER(M160),((_xlfn.PERCENTILE.INC(IF(ISNUMBER(OFFSET(R160,-Historic,0)),OFFSET(R160,-Historic,0),R$2):R160,PercentileHigh/100))-(MEDIAN(IF(ISNUMBER(OFFSET(R160,-Historic,0)),OFFSET(R160,-Historic,0),R$2):R160))),V159)</f>
        <v>0.14285714285714302</v>
      </c>
      <c r="W160" s="10">
        <f ca="1">IF(ISNUMBER(M160),((_xlfn.PERCENTILE.INC(R$2:R160,PercentileHigh/100))-(MEDIAN(R$2:R160))),V159)</f>
        <v>0.14285714285714302</v>
      </c>
      <c r="X160" s="10" t="e">
        <f ca="1">(SUM(CFDTable[[#This Row],[To Do]:[Done]])-SUM(G159:L159))</f>
        <v>#N/A</v>
      </c>
      <c r="Y160" s="10">
        <f ca="1">AVERAGE(IF(ISNUMBER(X160),IF(ISNUMBER(OFFSET(X160,-Historic,0)),OFFSET(X160,-Historic,0),X$2):X160,Y159))</f>
        <v>1.1428571428571428</v>
      </c>
      <c r="Z160" s="10">
        <f ca="1">IF(ISNUMBER(CFDTable[[#This Row],[Done Today]]),SUM($G160:$L160),Z159+CFDTable[[#This Row],[avg added]])</f>
        <v>215.4285714285711</v>
      </c>
      <c r="AA160" s="10">
        <f ca="1">IF(ISNUMBER(CFDTable[[#This Row],[Done Today]]),SUM($G160:$L160),$AA159)</f>
        <v>124</v>
      </c>
      <c r="AB160" s="10">
        <f ca="1">IF(ISNUMBER(CFDTable[[#This Row],[Done Today]]),SUM($G160:$L160),$AB159)</f>
        <v>124</v>
      </c>
      <c r="AC160" s="10">
        <f ca="1">SUM(LOOKUP(2,1/(N$1:N159&lt;&gt;""),N$1:N159)+CFDTable[[#This Row],[lowDaily]])</f>
        <v>134.7619047619047</v>
      </c>
      <c r="AD160" s="10">
        <f ca="1">SUM(LOOKUP(2,1/(O$1:O159&lt;&gt;""),O$1:O159)+R160)</f>
        <v>146.1904761904762</v>
      </c>
      <c r="AE160" s="10">
        <f ca="1">SUM(LOOKUP(2,1/(P$1:P159&lt;&gt;""),P$1:P159)+CFDTable[[#This Row],[highDaily]])</f>
        <v>157.61904761904816</v>
      </c>
      <c r="AF160" s="12">
        <f>IF(CFDTable[[#This Row],[Date]]=DeadlineDate,CFDTable[[#This Row],[FutureWork2]],0)</f>
        <v>0</v>
      </c>
    </row>
    <row r="161" spans="1:32">
      <c r="A161" s="8">
        <f>CFDTable[[#This Row],[Date]]</f>
        <v>42636</v>
      </c>
      <c r="B161" s="38">
        <f>Data!B161</f>
        <v>42636</v>
      </c>
      <c r="C161" s="10">
        <f ca="1">IF(ISNUMBER(CFDTable[[#This Row],[Ready]]),NA(),CFDTable[[#This Row],[Target]]-CFDTable[[#This Row],[To Do]])</f>
        <v>77</v>
      </c>
      <c r="D161" s="10" t="e">
        <f>IF(CFDTable[[#This Row],[Emergence]]&gt;0,CFDTable[[#This Row],[Future Work]]-CFDTable[[#This Row],[Emergence]],NA())</f>
        <v>#N/A</v>
      </c>
      <c r="E161" s="10">
        <f>Data!C161</f>
        <v>0</v>
      </c>
      <c r="F161" s="10" t="str">
        <f ca="1">Data!D161</f>
        <v/>
      </c>
      <c r="G161" s="10">
        <f ca="1">Data!E161</f>
        <v>47</v>
      </c>
      <c r="H161" s="10" t="e">
        <f ca="1">IF(TodaysDate&gt;=$B161,Data!F161,NA())</f>
        <v>#N/A</v>
      </c>
      <c r="I161" s="10" t="e">
        <f ca="1">IF(TodaysDate&gt;=$B161,Data!G161,NA())</f>
        <v>#N/A</v>
      </c>
      <c r="J161" s="10" t="e">
        <f ca="1">IF(TodaysDate&gt;=$B161,Data!H161,NA())</f>
        <v>#N/A</v>
      </c>
      <c r="K161" s="10" t="e">
        <f ca="1">IF(TodaysDate&gt;=$B161,Data!I161,NA())</f>
        <v>#N/A</v>
      </c>
      <c r="L161" s="10" t="e">
        <f ca="1">IF(TodaysDate&gt;=$B161,Data!J161,NA())</f>
        <v>#N/A</v>
      </c>
      <c r="M161" s="10" t="e">
        <f ca="1">IF(CFDTable[[#This Row],[Done]]&gt;0,(CFDTable[[#This Row],[Done]])-(L160),0)</f>
        <v>#N/A</v>
      </c>
      <c r="N161" s="10">
        <f ca="1">IF(ISNUMBER($M161),SUM(CFDTable[[#This Row],[Done]]),IF(CFDTable[[#This Row],[lookupLow]]&gt;=CFDTable[[#This Row],[FutureWork2]]+CFDTable[[#This Row],[lowDaily]],NA(),CFDTable[[#This Row],[lookupLow]]))</f>
        <v>135.5714285714285</v>
      </c>
      <c r="O161" s="10">
        <f ca="1">IF(ISNUMBER($M161),SUM(CFDTable[[#This Row],[Done]]),IF(CFDTable[[#This Row],[lookupMedian]]&gt;=CFDTable[[#This Row],[FutureWork2]],NA(),CFDTable[[#This Row],[lookupMedian]]))</f>
        <v>147.14285714285717</v>
      </c>
      <c r="P161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158.71428571428626</v>
      </c>
      <c r="Q161" s="10">
        <f ca="1">CFDTable[[#This Row],[AvgDaily]]-CFDTable[[#This Row],[Deviation]]</f>
        <v>0.80952380952380931</v>
      </c>
      <c r="R161" s="10">
        <f ca="1">AVERAGE(IF(ISNUMBER(M161),IF(ISNUMBER(OFFSET(M161,-Historic,0)),OFFSET(M161,-Historic,0),M$2):M161,R160))</f>
        <v>0.95238095238095233</v>
      </c>
      <c r="S161" s="10">
        <f ca="1">AVERAGE(IF(ISNUMBER(M161),IF(ISNUMBER(OFFSET(M161,-Historic,0)),OFFSET(M161,-Historic,0),M$2):M161,S160))</f>
        <v>0.95238095238095233</v>
      </c>
      <c r="T161" s="10">
        <f ca="1">AVERAGE(IF(ISNUMBER(M161),OFFSET(M$2,DaysToIgnoreOnAvg,0):M161,T160))</f>
        <v>0.88311688311688308</v>
      </c>
      <c r="U161" s="10">
        <f ca="1">CFDTable[[#This Row],[AvgDaily]]+CFDTable[[#This Row],[Deviation]]</f>
        <v>1.0952380952380953</v>
      </c>
      <c r="V161" s="10">
        <f ca="1">IF(ISNUMBER(M161),((_xlfn.PERCENTILE.INC(IF(ISNUMBER(OFFSET(R161,-Historic,0)),OFFSET(R161,-Historic,0),R$2):R161,PercentileHigh/100))-(MEDIAN(IF(ISNUMBER(OFFSET(R161,-Historic,0)),OFFSET(R161,-Historic,0),R$2):R161))),V160)</f>
        <v>0.14285714285714302</v>
      </c>
      <c r="W161" s="10">
        <f ca="1">IF(ISNUMBER(M161),((_xlfn.PERCENTILE.INC(R$2:R161,PercentileHigh/100))-(MEDIAN(R$2:R161))),V160)</f>
        <v>0.14285714285714302</v>
      </c>
      <c r="X161" s="10" t="e">
        <f ca="1">(SUM(CFDTable[[#This Row],[To Do]:[Done]])-SUM(G160:L160))</f>
        <v>#N/A</v>
      </c>
      <c r="Y161" s="10">
        <f ca="1">AVERAGE(IF(ISNUMBER(X161),IF(ISNUMBER(OFFSET(X161,-Historic,0)),OFFSET(X161,-Historic,0),X$2):X161,Y160))</f>
        <v>1.1428571428571428</v>
      </c>
      <c r="Z161" s="10">
        <f ca="1">IF(ISNUMBER(CFDTable[[#This Row],[Done Today]]),SUM($G161:$L161),Z160+CFDTable[[#This Row],[avg added]])</f>
        <v>216.57142857142824</v>
      </c>
      <c r="AA161" s="10">
        <f ca="1">IF(ISNUMBER(CFDTable[[#This Row],[Done Today]]),SUM($G161:$L161),$AA160)</f>
        <v>124</v>
      </c>
      <c r="AB161" s="10">
        <f ca="1">IF(ISNUMBER(CFDTable[[#This Row],[Done Today]]),SUM($G161:$L161),$AB160)</f>
        <v>124</v>
      </c>
      <c r="AC161" s="10">
        <f ca="1">SUM(LOOKUP(2,1/(N$1:N160&lt;&gt;""),N$1:N160)+CFDTable[[#This Row],[lowDaily]])</f>
        <v>135.5714285714285</v>
      </c>
      <c r="AD161" s="10">
        <f ca="1">SUM(LOOKUP(2,1/(O$1:O160&lt;&gt;""),O$1:O160)+R161)</f>
        <v>147.14285714285717</v>
      </c>
      <c r="AE161" s="10">
        <f ca="1">SUM(LOOKUP(2,1/(P$1:P160&lt;&gt;""),P$1:P160)+CFDTable[[#This Row],[highDaily]])</f>
        <v>158.71428571428626</v>
      </c>
      <c r="AF161" s="12">
        <f>IF(CFDTable[[#This Row],[Date]]=DeadlineDate,CFDTable[[#This Row],[FutureWork2]],0)</f>
        <v>0</v>
      </c>
    </row>
    <row r="162" spans="1:32">
      <c r="A162" s="8">
        <f>CFDTable[[#This Row],[Date]]</f>
        <v>42639</v>
      </c>
      <c r="B162" s="38">
        <f>Data!B162</f>
        <v>42639</v>
      </c>
      <c r="C162" s="10">
        <f ca="1">IF(ISNUMBER(CFDTable[[#This Row],[Ready]]),NA(),CFDTable[[#This Row],[Target]]-CFDTable[[#This Row],[To Do]])</f>
        <v>77</v>
      </c>
      <c r="D162" s="10" t="e">
        <f>IF(CFDTable[[#This Row],[Emergence]]&gt;0,CFDTable[[#This Row],[Future Work]]-CFDTable[[#This Row],[Emergence]],NA())</f>
        <v>#N/A</v>
      </c>
      <c r="E162" s="10">
        <f>Data!C162</f>
        <v>0</v>
      </c>
      <c r="F162" s="10" t="str">
        <f ca="1">Data!D162</f>
        <v/>
      </c>
      <c r="G162" s="10">
        <f ca="1">Data!E162</f>
        <v>47</v>
      </c>
      <c r="H162" s="10" t="e">
        <f ca="1">IF(TodaysDate&gt;=$B162,Data!F162,NA())</f>
        <v>#N/A</v>
      </c>
      <c r="I162" s="10" t="e">
        <f ca="1">IF(TodaysDate&gt;=$B162,Data!G162,NA())</f>
        <v>#N/A</v>
      </c>
      <c r="J162" s="10" t="e">
        <f ca="1">IF(TodaysDate&gt;=$B162,Data!H162,NA())</f>
        <v>#N/A</v>
      </c>
      <c r="K162" s="10" t="e">
        <f ca="1">IF(TodaysDate&gt;=$B162,Data!I162,NA())</f>
        <v>#N/A</v>
      </c>
      <c r="L162" s="10" t="e">
        <f ca="1">IF(TodaysDate&gt;=$B162,Data!J162,NA())</f>
        <v>#N/A</v>
      </c>
      <c r="M162" s="10" t="e">
        <f ca="1">IF(CFDTable[[#This Row],[Done]]&gt;0,(CFDTable[[#This Row],[Done]])-(L161),0)</f>
        <v>#N/A</v>
      </c>
      <c r="N162" s="10">
        <f ca="1">IF(ISNUMBER($M162),SUM(CFDTable[[#This Row],[Done]]),IF(CFDTable[[#This Row],[lookupLow]]&gt;=CFDTable[[#This Row],[FutureWork2]]+CFDTable[[#This Row],[lowDaily]],NA(),CFDTable[[#This Row],[lookupLow]]))</f>
        <v>136.38095238095229</v>
      </c>
      <c r="O162" s="10">
        <f ca="1">IF(ISNUMBER($M162),SUM(CFDTable[[#This Row],[Done]]),IF(CFDTable[[#This Row],[lookupMedian]]&gt;=CFDTable[[#This Row],[FutureWork2]],NA(),CFDTable[[#This Row],[lookupMedian]]))</f>
        <v>148.09523809523813</v>
      </c>
      <c r="P162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159.80952380952436</v>
      </c>
      <c r="Q162" s="10">
        <f ca="1">CFDTable[[#This Row],[AvgDaily]]-CFDTable[[#This Row],[Deviation]]</f>
        <v>0.80952380952380931</v>
      </c>
      <c r="R162" s="10">
        <f ca="1">AVERAGE(IF(ISNUMBER(M162),IF(ISNUMBER(OFFSET(M162,-Historic,0)),OFFSET(M162,-Historic,0),M$2):M162,R161))</f>
        <v>0.95238095238095233</v>
      </c>
      <c r="S162" s="10">
        <f ca="1">AVERAGE(IF(ISNUMBER(M162),IF(ISNUMBER(OFFSET(M162,-Historic,0)),OFFSET(M162,-Historic,0),M$2):M162,S161))</f>
        <v>0.95238095238095233</v>
      </c>
      <c r="T162" s="10">
        <f ca="1">AVERAGE(IF(ISNUMBER(M162),OFFSET(M$2,DaysToIgnoreOnAvg,0):M162,T161))</f>
        <v>0.88311688311688308</v>
      </c>
      <c r="U162" s="10">
        <f ca="1">CFDTable[[#This Row],[AvgDaily]]+CFDTable[[#This Row],[Deviation]]</f>
        <v>1.0952380952380953</v>
      </c>
      <c r="V162" s="10">
        <f ca="1">IF(ISNUMBER(M162),((_xlfn.PERCENTILE.INC(IF(ISNUMBER(OFFSET(R162,-Historic,0)),OFFSET(R162,-Historic,0),R$2):R162,PercentileHigh/100))-(MEDIAN(IF(ISNUMBER(OFFSET(R162,-Historic,0)),OFFSET(R162,-Historic,0),R$2):R162))),V161)</f>
        <v>0.14285714285714302</v>
      </c>
      <c r="W162" s="10">
        <f ca="1">IF(ISNUMBER(M162),((_xlfn.PERCENTILE.INC(R$2:R162,PercentileHigh/100))-(MEDIAN(R$2:R162))),V161)</f>
        <v>0.14285714285714302</v>
      </c>
      <c r="X162" s="10" t="e">
        <f ca="1">(SUM(CFDTable[[#This Row],[To Do]:[Done]])-SUM(G161:L161))</f>
        <v>#N/A</v>
      </c>
      <c r="Y162" s="10">
        <f ca="1">AVERAGE(IF(ISNUMBER(X162),IF(ISNUMBER(OFFSET(X162,-Historic,0)),OFFSET(X162,-Historic,0),X$2):X162,Y161))</f>
        <v>1.1428571428571428</v>
      </c>
      <c r="Z162" s="10">
        <f ca="1">IF(ISNUMBER(CFDTable[[#This Row],[Done Today]]),SUM($G162:$L162),Z161+CFDTable[[#This Row],[avg added]])</f>
        <v>217.71428571428538</v>
      </c>
      <c r="AA162" s="10">
        <f ca="1">IF(ISNUMBER(CFDTable[[#This Row],[Done Today]]),SUM($G162:$L162),$AA161)</f>
        <v>124</v>
      </c>
      <c r="AB162" s="10">
        <f ca="1">IF(ISNUMBER(CFDTable[[#This Row],[Done Today]]),SUM($G162:$L162),$AB161)</f>
        <v>124</v>
      </c>
      <c r="AC162" s="10">
        <f ca="1">SUM(LOOKUP(2,1/(N$1:N161&lt;&gt;""),N$1:N161)+CFDTable[[#This Row],[lowDaily]])</f>
        <v>136.38095238095229</v>
      </c>
      <c r="AD162" s="10">
        <f ca="1">SUM(LOOKUP(2,1/(O$1:O161&lt;&gt;""),O$1:O161)+R162)</f>
        <v>148.09523809523813</v>
      </c>
      <c r="AE162" s="10">
        <f ca="1">SUM(LOOKUP(2,1/(P$1:P161&lt;&gt;""),P$1:P161)+CFDTable[[#This Row],[highDaily]])</f>
        <v>159.80952380952436</v>
      </c>
      <c r="AF162" s="12">
        <f>IF(CFDTable[[#This Row],[Date]]=DeadlineDate,CFDTable[[#This Row],[FutureWork2]],0)</f>
        <v>0</v>
      </c>
    </row>
    <row r="163" spans="1:32">
      <c r="A163" s="8">
        <f>CFDTable[[#This Row],[Date]]</f>
        <v>42640</v>
      </c>
      <c r="B163" s="38">
        <f>Data!B163</f>
        <v>42640</v>
      </c>
      <c r="C163" s="10">
        <f ca="1">IF(ISNUMBER(CFDTable[[#This Row],[Ready]]),NA(),CFDTable[[#This Row],[Target]]-CFDTable[[#This Row],[To Do]])</f>
        <v>77</v>
      </c>
      <c r="D163" s="10" t="e">
        <f>IF(CFDTable[[#This Row],[Emergence]]&gt;0,CFDTable[[#This Row],[Future Work]]-CFDTable[[#This Row],[Emergence]],NA())</f>
        <v>#N/A</v>
      </c>
      <c r="E163" s="10">
        <f>Data!C163</f>
        <v>0</v>
      </c>
      <c r="F163" s="10" t="str">
        <f ca="1">Data!D163</f>
        <v/>
      </c>
      <c r="G163" s="10">
        <f ca="1">Data!E163</f>
        <v>47</v>
      </c>
      <c r="H163" s="10" t="e">
        <f ca="1">IF(TodaysDate&gt;=$B163,Data!F163,NA())</f>
        <v>#N/A</v>
      </c>
      <c r="I163" s="10" t="e">
        <f ca="1">IF(TodaysDate&gt;=$B163,Data!G163,NA())</f>
        <v>#N/A</v>
      </c>
      <c r="J163" s="10" t="e">
        <f ca="1">IF(TodaysDate&gt;=$B163,Data!H163,NA())</f>
        <v>#N/A</v>
      </c>
      <c r="K163" s="10" t="e">
        <f ca="1">IF(TodaysDate&gt;=$B163,Data!I163,NA())</f>
        <v>#N/A</v>
      </c>
      <c r="L163" s="10" t="e">
        <f ca="1">IF(TodaysDate&gt;=$B163,Data!J163,NA())</f>
        <v>#N/A</v>
      </c>
      <c r="M163" s="10" t="e">
        <f ca="1">IF(CFDTable[[#This Row],[Done]]&gt;0,(CFDTable[[#This Row],[Done]])-(L162),0)</f>
        <v>#N/A</v>
      </c>
      <c r="N163" s="10">
        <f ca="1">IF(ISNUMBER($M163),SUM(CFDTable[[#This Row],[Done]]),IF(CFDTable[[#This Row],[lookupLow]]&gt;=CFDTable[[#This Row],[FutureWork2]]+CFDTable[[#This Row],[lowDaily]],NA(),CFDTable[[#This Row],[lookupLow]]))</f>
        <v>137.19047619047609</v>
      </c>
      <c r="O163" s="10">
        <f ca="1">IF(ISNUMBER($M163),SUM(CFDTable[[#This Row],[Done]]),IF(CFDTable[[#This Row],[lookupMedian]]&gt;=CFDTable[[#This Row],[FutureWork2]],NA(),CFDTable[[#This Row],[lookupMedian]]))</f>
        <v>149.04761904761909</v>
      </c>
      <c r="P163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160.90476190476247</v>
      </c>
      <c r="Q163" s="10">
        <f ca="1">CFDTable[[#This Row],[AvgDaily]]-CFDTable[[#This Row],[Deviation]]</f>
        <v>0.80952380952380931</v>
      </c>
      <c r="R163" s="10">
        <f ca="1">AVERAGE(IF(ISNUMBER(M163),IF(ISNUMBER(OFFSET(M163,-Historic,0)),OFFSET(M163,-Historic,0),M$2):M163,R162))</f>
        <v>0.95238095238095233</v>
      </c>
      <c r="S163" s="10">
        <f ca="1">AVERAGE(IF(ISNUMBER(M163),IF(ISNUMBER(OFFSET(M163,-Historic,0)),OFFSET(M163,-Historic,0),M$2):M163,S162))</f>
        <v>0.95238095238095233</v>
      </c>
      <c r="T163" s="10">
        <f ca="1">AVERAGE(IF(ISNUMBER(M163),OFFSET(M$2,DaysToIgnoreOnAvg,0):M163,T162))</f>
        <v>0.88311688311688308</v>
      </c>
      <c r="U163" s="10">
        <f ca="1">CFDTable[[#This Row],[AvgDaily]]+CFDTable[[#This Row],[Deviation]]</f>
        <v>1.0952380952380953</v>
      </c>
      <c r="V163" s="10">
        <f ca="1">IF(ISNUMBER(M163),((_xlfn.PERCENTILE.INC(IF(ISNUMBER(OFFSET(R163,-Historic,0)),OFFSET(R163,-Historic,0),R$2):R163,PercentileHigh/100))-(MEDIAN(IF(ISNUMBER(OFFSET(R163,-Historic,0)),OFFSET(R163,-Historic,0),R$2):R163))),V162)</f>
        <v>0.14285714285714302</v>
      </c>
      <c r="W163" s="10">
        <f ca="1">IF(ISNUMBER(M163),((_xlfn.PERCENTILE.INC(R$2:R163,PercentileHigh/100))-(MEDIAN(R$2:R163))),V162)</f>
        <v>0.14285714285714302</v>
      </c>
      <c r="X163" s="10" t="e">
        <f ca="1">(SUM(CFDTable[[#This Row],[To Do]:[Done]])-SUM(G162:L162))</f>
        <v>#N/A</v>
      </c>
      <c r="Y163" s="10">
        <f ca="1">AVERAGE(IF(ISNUMBER(X163),IF(ISNUMBER(OFFSET(X163,-Historic,0)),OFFSET(X163,-Historic,0),X$2):X163,Y162))</f>
        <v>1.1428571428571428</v>
      </c>
      <c r="Z163" s="10">
        <f ca="1">IF(ISNUMBER(CFDTable[[#This Row],[Done Today]]),SUM($G163:$L163),Z162+CFDTable[[#This Row],[avg added]])</f>
        <v>218.85714285714252</v>
      </c>
      <c r="AA163" s="10">
        <f ca="1">IF(ISNUMBER(CFDTable[[#This Row],[Done Today]]),SUM($G163:$L163),$AA162)</f>
        <v>124</v>
      </c>
      <c r="AB163" s="10">
        <f ca="1">IF(ISNUMBER(CFDTable[[#This Row],[Done Today]]),SUM($G163:$L163),$AB162)</f>
        <v>124</v>
      </c>
      <c r="AC163" s="10">
        <f ca="1">SUM(LOOKUP(2,1/(N$1:N162&lt;&gt;""),N$1:N162)+CFDTable[[#This Row],[lowDaily]])</f>
        <v>137.19047619047609</v>
      </c>
      <c r="AD163" s="10">
        <f ca="1">SUM(LOOKUP(2,1/(O$1:O162&lt;&gt;""),O$1:O162)+R163)</f>
        <v>149.04761904761909</v>
      </c>
      <c r="AE163" s="10">
        <f ca="1">SUM(LOOKUP(2,1/(P$1:P162&lt;&gt;""),P$1:P162)+CFDTable[[#This Row],[highDaily]])</f>
        <v>160.90476190476247</v>
      </c>
      <c r="AF163" s="12">
        <f>IF(CFDTable[[#This Row],[Date]]=DeadlineDate,CFDTable[[#This Row],[FutureWork2]],0)</f>
        <v>0</v>
      </c>
    </row>
    <row r="164" spans="1:32">
      <c r="A164" s="8">
        <f>CFDTable[[#This Row],[Date]]</f>
        <v>42641</v>
      </c>
      <c r="B164" s="38">
        <f>Data!B164</f>
        <v>42641</v>
      </c>
      <c r="C164" s="10">
        <f ca="1">IF(ISNUMBER(CFDTable[[#This Row],[Ready]]),NA(),CFDTable[[#This Row],[Target]]-CFDTable[[#This Row],[To Do]])</f>
        <v>77</v>
      </c>
      <c r="D164" s="10" t="e">
        <f>IF(CFDTable[[#This Row],[Emergence]]&gt;0,CFDTable[[#This Row],[Future Work]]-CFDTable[[#This Row],[Emergence]],NA())</f>
        <v>#N/A</v>
      </c>
      <c r="E164" s="10">
        <f>Data!C164</f>
        <v>0</v>
      </c>
      <c r="F164" s="10" t="str">
        <f ca="1">Data!D164</f>
        <v/>
      </c>
      <c r="G164" s="10">
        <f ca="1">Data!E164</f>
        <v>47</v>
      </c>
      <c r="H164" s="10" t="e">
        <f ca="1">IF(TodaysDate&gt;=$B164,Data!F164,NA())</f>
        <v>#N/A</v>
      </c>
      <c r="I164" s="10" t="e">
        <f ca="1">IF(TodaysDate&gt;=$B164,Data!G164,NA())</f>
        <v>#N/A</v>
      </c>
      <c r="J164" s="10" t="e">
        <f ca="1">IF(TodaysDate&gt;=$B164,Data!H164,NA())</f>
        <v>#N/A</v>
      </c>
      <c r="K164" s="10" t="e">
        <f ca="1">IF(TodaysDate&gt;=$B164,Data!I164,NA())</f>
        <v>#N/A</v>
      </c>
      <c r="L164" s="10" t="e">
        <f ca="1">IF(TodaysDate&gt;=$B164,Data!J164,NA())</f>
        <v>#N/A</v>
      </c>
      <c r="M164" s="10" t="e">
        <f ca="1">IF(CFDTable[[#This Row],[Done]]&gt;0,(CFDTable[[#This Row],[Done]])-(L163),0)</f>
        <v>#N/A</v>
      </c>
      <c r="N164" s="10">
        <f ca="1">IF(ISNUMBER($M164),SUM(CFDTable[[#This Row],[Done]]),IF(CFDTable[[#This Row],[lookupLow]]&gt;=CFDTable[[#This Row],[FutureWork2]]+CFDTable[[#This Row],[lowDaily]],NA(),CFDTable[[#This Row],[lookupLow]]))</f>
        <v>137.99999999999989</v>
      </c>
      <c r="O164" s="10">
        <f ca="1">IF(ISNUMBER($M164),SUM(CFDTable[[#This Row],[Done]]),IF(CFDTable[[#This Row],[lookupMedian]]&gt;=CFDTable[[#This Row],[FutureWork2]],NA(),CFDTable[[#This Row],[lookupMedian]]))</f>
        <v>150.00000000000006</v>
      </c>
      <c r="P164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162.00000000000057</v>
      </c>
      <c r="Q164" s="10">
        <f ca="1">CFDTable[[#This Row],[AvgDaily]]-CFDTable[[#This Row],[Deviation]]</f>
        <v>0.80952380952380931</v>
      </c>
      <c r="R164" s="10">
        <f ca="1">AVERAGE(IF(ISNUMBER(M164),IF(ISNUMBER(OFFSET(M164,-Historic,0)),OFFSET(M164,-Historic,0),M$2):M164,R163))</f>
        <v>0.95238095238095233</v>
      </c>
      <c r="S164" s="10">
        <f ca="1">AVERAGE(IF(ISNUMBER(M164),IF(ISNUMBER(OFFSET(M164,-Historic,0)),OFFSET(M164,-Historic,0),M$2):M164,S163))</f>
        <v>0.95238095238095233</v>
      </c>
      <c r="T164" s="10">
        <f ca="1">AVERAGE(IF(ISNUMBER(M164),OFFSET(M$2,DaysToIgnoreOnAvg,0):M164,T163))</f>
        <v>0.88311688311688308</v>
      </c>
      <c r="U164" s="10">
        <f ca="1">CFDTable[[#This Row],[AvgDaily]]+CFDTable[[#This Row],[Deviation]]</f>
        <v>1.0952380952380953</v>
      </c>
      <c r="V164" s="10">
        <f ca="1">IF(ISNUMBER(M164),((_xlfn.PERCENTILE.INC(IF(ISNUMBER(OFFSET(R164,-Historic,0)),OFFSET(R164,-Historic,0),R$2):R164,PercentileHigh/100))-(MEDIAN(IF(ISNUMBER(OFFSET(R164,-Historic,0)),OFFSET(R164,-Historic,0),R$2):R164))),V163)</f>
        <v>0.14285714285714302</v>
      </c>
      <c r="W164" s="10">
        <f ca="1">IF(ISNUMBER(M164),((_xlfn.PERCENTILE.INC(R$2:R164,PercentileHigh/100))-(MEDIAN(R$2:R164))),V163)</f>
        <v>0.14285714285714302</v>
      </c>
      <c r="X164" s="10" t="e">
        <f ca="1">(SUM(CFDTable[[#This Row],[To Do]:[Done]])-SUM(G163:L163))</f>
        <v>#N/A</v>
      </c>
      <c r="Y164" s="10">
        <f ca="1">AVERAGE(IF(ISNUMBER(X164),IF(ISNUMBER(OFFSET(X164,-Historic,0)),OFFSET(X164,-Historic,0),X$2):X164,Y163))</f>
        <v>1.1428571428571428</v>
      </c>
      <c r="Z164" s="10">
        <f ca="1">IF(ISNUMBER(CFDTable[[#This Row],[Done Today]]),SUM($G164:$L164),Z163+CFDTable[[#This Row],[avg added]])</f>
        <v>219.99999999999966</v>
      </c>
      <c r="AA164" s="10">
        <f ca="1">IF(ISNUMBER(CFDTable[[#This Row],[Done Today]]),SUM($G164:$L164),$AA163)</f>
        <v>124</v>
      </c>
      <c r="AB164" s="10">
        <f ca="1">IF(ISNUMBER(CFDTable[[#This Row],[Done Today]]),SUM($G164:$L164),$AB163)</f>
        <v>124</v>
      </c>
      <c r="AC164" s="10">
        <f ca="1">SUM(LOOKUP(2,1/(N$1:N163&lt;&gt;""),N$1:N163)+CFDTable[[#This Row],[lowDaily]])</f>
        <v>137.99999999999989</v>
      </c>
      <c r="AD164" s="10">
        <f ca="1">SUM(LOOKUP(2,1/(O$1:O163&lt;&gt;""),O$1:O163)+R164)</f>
        <v>150.00000000000006</v>
      </c>
      <c r="AE164" s="10">
        <f ca="1">SUM(LOOKUP(2,1/(P$1:P163&lt;&gt;""),P$1:P163)+CFDTable[[#This Row],[highDaily]])</f>
        <v>162.00000000000057</v>
      </c>
      <c r="AF164" s="12">
        <f>IF(CFDTable[[#This Row],[Date]]=DeadlineDate,CFDTable[[#This Row],[FutureWork2]],0)</f>
        <v>0</v>
      </c>
    </row>
    <row r="165" spans="1:32">
      <c r="A165" s="8">
        <f>CFDTable[[#This Row],[Date]]</f>
        <v>42642</v>
      </c>
      <c r="B165" s="38">
        <f>Data!B165</f>
        <v>42642</v>
      </c>
      <c r="C165" s="10">
        <f ca="1">IF(ISNUMBER(CFDTable[[#This Row],[Ready]]),NA(),CFDTable[[#This Row],[Target]]-CFDTable[[#This Row],[To Do]])</f>
        <v>77</v>
      </c>
      <c r="D165" s="10" t="e">
        <f>IF(CFDTable[[#This Row],[Emergence]]&gt;0,CFDTable[[#This Row],[Future Work]]-CFDTable[[#This Row],[Emergence]],NA())</f>
        <v>#N/A</v>
      </c>
      <c r="E165" s="10">
        <f>Data!C165</f>
        <v>0</v>
      </c>
      <c r="F165" s="10" t="str">
        <f ca="1">Data!D165</f>
        <v/>
      </c>
      <c r="G165" s="10">
        <f ca="1">Data!E165</f>
        <v>47</v>
      </c>
      <c r="H165" s="10" t="e">
        <f ca="1">IF(TodaysDate&gt;=$B165,Data!F165,NA())</f>
        <v>#N/A</v>
      </c>
      <c r="I165" s="10" t="e">
        <f ca="1">IF(TodaysDate&gt;=$B165,Data!G165,NA())</f>
        <v>#N/A</v>
      </c>
      <c r="J165" s="10" t="e">
        <f ca="1">IF(TodaysDate&gt;=$B165,Data!H165,NA())</f>
        <v>#N/A</v>
      </c>
      <c r="K165" s="10" t="e">
        <f ca="1">IF(TodaysDate&gt;=$B165,Data!I165,NA())</f>
        <v>#N/A</v>
      </c>
      <c r="L165" s="10" t="e">
        <f ca="1">IF(TodaysDate&gt;=$B165,Data!J165,NA())</f>
        <v>#N/A</v>
      </c>
      <c r="M165" s="10" t="e">
        <f ca="1">IF(CFDTable[[#This Row],[Done]]&gt;0,(CFDTable[[#This Row],[Done]])-(L164),0)</f>
        <v>#N/A</v>
      </c>
      <c r="N165" s="10">
        <f ca="1">IF(ISNUMBER($M165),SUM(CFDTable[[#This Row],[Done]]),IF(CFDTable[[#This Row],[lookupLow]]&gt;=CFDTable[[#This Row],[FutureWork2]]+CFDTable[[#This Row],[lowDaily]],NA(),CFDTable[[#This Row],[lookupLow]]))</f>
        <v>138.80952380952368</v>
      </c>
      <c r="O165" s="10">
        <f ca="1">IF(ISNUMBER($M165),SUM(CFDTable[[#This Row],[Done]]),IF(CFDTable[[#This Row],[lookupMedian]]&gt;=CFDTable[[#This Row],[FutureWork2]],NA(),CFDTable[[#This Row],[lookupMedian]]))</f>
        <v>150.95238095238102</v>
      </c>
      <c r="P165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163.09523809523867</v>
      </c>
      <c r="Q165" s="10">
        <f ca="1">CFDTable[[#This Row],[AvgDaily]]-CFDTable[[#This Row],[Deviation]]</f>
        <v>0.80952380952380931</v>
      </c>
      <c r="R165" s="10">
        <f ca="1">AVERAGE(IF(ISNUMBER(M165),IF(ISNUMBER(OFFSET(M165,-Historic,0)),OFFSET(M165,-Historic,0),M$2):M165,R164))</f>
        <v>0.95238095238095233</v>
      </c>
      <c r="S165" s="10">
        <f ca="1">AVERAGE(IF(ISNUMBER(M165),IF(ISNUMBER(OFFSET(M165,-Historic,0)),OFFSET(M165,-Historic,0),M$2):M165,S164))</f>
        <v>0.95238095238095233</v>
      </c>
      <c r="T165" s="10">
        <f ca="1">AVERAGE(IF(ISNUMBER(M165),OFFSET(M$2,DaysToIgnoreOnAvg,0):M165,T164))</f>
        <v>0.88311688311688308</v>
      </c>
      <c r="U165" s="10">
        <f ca="1">CFDTable[[#This Row],[AvgDaily]]+CFDTable[[#This Row],[Deviation]]</f>
        <v>1.0952380952380953</v>
      </c>
      <c r="V165" s="10">
        <f ca="1">IF(ISNUMBER(M165),((_xlfn.PERCENTILE.INC(IF(ISNUMBER(OFFSET(R165,-Historic,0)),OFFSET(R165,-Historic,0),R$2):R165,PercentileHigh/100))-(MEDIAN(IF(ISNUMBER(OFFSET(R165,-Historic,0)),OFFSET(R165,-Historic,0),R$2):R165))),V164)</f>
        <v>0.14285714285714302</v>
      </c>
      <c r="W165" s="10">
        <f ca="1">IF(ISNUMBER(M165),((_xlfn.PERCENTILE.INC(R$2:R165,PercentileHigh/100))-(MEDIAN(R$2:R165))),V164)</f>
        <v>0.14285714285714302</v>
      </c>
      <c r="X165" s="10" t="e">
        <f ca="1">(SUM(CFDTable[[#This Row],[To Do]:[Done]])-SUM(G164:L164))</f>
        <v>#N/A</v>
      </c>
      <c r="Y165" s="10">
        <f ca="1">AVERAGE(IF(ISNUMBER(X165),IF(ISNUMBER(OFFSET(X165,-Historic,0)),OFFSET(X165,-Historic,0),X$2):X165,Y164))</f>
        <v>1.1428571428571428</v>
      </c>
      <c r="Z165" s="10">
        <f ca="1">IF(ISNUMBER(CFDTable[[#This Row],[Done Today]]),SUM($G165:$L165),Z164+CFDTable[[#This Row],[avg added]])</f>
        <v>221.1428571428568</v>
      </c>
      <c r="AA165" s="10">
        <f ca="1">IF(ISNUMBER(CFDTable[[#This Row],[Done Today]]),SUM($G165:$L165),$AA164)</f>
        <v>124</v>
      </c>
      <c r="AB165" s="10">
        <f ca="1">IF(ISNUMBER(CFDTable[[#This Row],[Done Today]]),SUM($G165:$L165),$AB164)</f>
        <v>124</v>
      </c>
      <c r="AC165" s="10">
        <f ca="1">SUM(LOOKUP(2,1/(N$1:N164&lt;&gt;""),N$1:N164)+CFDTable[[#This Row],[lowDaily]])</f>
        <v>138.80952380952368</v>
      </c>
      <c r="AD165" s="10">
        <f ca="1">SUM(LOOKUP(2,1/(O$1:O164&lt;&gt;""),O$1:O164)+R165)</f>
        <v>150.95238095238102</v>
      </c>
      <c r="AE165" s="10">
        <f ca="1">SUM(LOOKUP(2,1/(P$1:P164&lt;&gt;""),P$1:P164)+CFDTable[[#This Row],[highDaily]])</f>
        <v>163.09523809523867</v>
      </c>
      <c r="AF165" s="12">
        <f>IF(CFDTable[[#This Row],[Date]]=DeadlineDate,CFDTable[[#This Row],[FutureWork2]],0)</f>
        <v>0</v>
      </c>
    </row>
    <row r="166" spans="1:32">
      <c r="A166" s="8">
        <f>CFDTable[[#This Row],[Date]]</f>
        <v>42643</v>
      </c>
      <c r="B166" s="38">
        <f>Data!B166</f>
        <v>42643</v>
      </c>
      <c r="C166" s="10">
        <f ca="1">IF(ISNUMBER(CFDTable[[#This Row],[Ready]]),NA(),CFDTable[[#This Row],[Target]]-CFDTable[[#This Row],[To Do]])</f>
        <v>77</v>
      </c>
      <c r="D166" s="10" t="e">
        <f>IF(CFDTable[[#This Row],[Emergence]]&gt;0,CFDTable[[#This Row],[Future Work]]-CFDTable[[#This Row],[Emergence]],NA())</f>
        <v>#N/A</v>
      </c>
      <c r="E166" s="10">
        <f>Data!C166</f>
        <v>0</v>
      </c>
      <c r="F166" s="10" t="str">
        <f ca="1">Data!D166</f>
        <v/>
      </c>
      <c r="G166" s="10">
        <f ca="1">Data!E166</f>
        <v>47</v>
      </c>
      <c r="H166" s="10" t="e">
        <f ca="1">IF(TodaysDate&gt;=$B166,Data!F166,NA())</f>
        <v>#N/A</v>
      </c>
      <c r="I166" s="10" t="e">
        <f ca="1">IF(TodaysDate&gt;=$B166,Data!G166,NA())</f>
        <v>#N/A</v>
      </c>
      <c r="J166" s="10" t="e">
        <f ca="1">IF(TodaysDate&gt;=$B166,Data!H166,NA())</f>
        <v>#N/A</v>
      </c>
      <c r="K166" s="10" t="e">
        <f ca="1">IF(TodaysDate&gt;=$B166,Data!I166,NA())</f>
        <v>#N/A</v>
      </c>
      <c r="L166" s="10" t="e">
        <f ca="1">IF(TodaysDate&gt;=$B166,Data!J166,NA())</f>
        <v>#N/A</v>
      </c>
      <c r="M166" s="10" t="e">
        <f ca="1">IF(CFDTable[[#This Row],[Done]]&gt;0,(CFDTable[[#This Row],[Done]])-(L165),0)</f>
        <v>#N/A</v>
      </c>
      <c r="N166" s="10">
        <f ca="1">IF(ISNUMBER($M166),SUM(CFDTable[[#This Row],[Done]]),IF(CFDTable[[#This Row],[lookupLow]]&gt;=CFDTable[[#This Row],[FutureWork2]]+CFDTable[[#This Row],[lowDaily]],NA(),CFDTable[[#This Row],[lookupLow]]))</f>
        <v>139.61904761904748</v>
      </c>
      <c r="O166" s="10">
        <f ca="1">IF(ISNUMBER($M166),SUM(CFDTable[[#This Row],[Done]]),IF(CFDTable[[#This Row],[lookupMedian]]&gt;=CFDTable[[#This Row],[FutureWork2]],NA(),CFDTable[[#This Row],[lookupMedian]]))</f>
        <v>151.90476190476198</v>
      </c>
      <c r="P166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164.19047619047677</v>
      </c>
      <c r="Q166" s="10">
        <f ca="1">CFDTable[[#This Row],[AvgDaily]]-CFDTable[[#This Row],[Deviation]]</f>
        <v>0.80952380952380931</v>
      </c>
      <c r="R166" s="10">
        <f ca="1">AVERAGE(IF(ISNUMBER(M166),IF(ISNUMBER(OFFSET(M166,-Historic,0)),OFFSET(M166,-Historic,0),M$2):M166,R165))</f>
        <v>0.95238095238095233</v>
      </c>
      <c r="S166" s="10">
        <f ca="1">AVERAGE(IF(ISNUMBER(M166),IF(ISNUMBER(OFFSET(M166,-Historic,0)),OFFSET(M166,-Historic,0),M$2):M166,S165))</f>
        <v>0.95238095238095233</v>
      </c>
      <c r="T166" s="10">
        <f ca="1">AVERAGE(IF(ISNUMBER(M166),OFFSET(M$2,DaysToIgnoreOnAvg,0):M166,T165))</f>
        <v>0.88311688311688308</v>
      </c>
      <c r="U166" s="10">
        <f ca="1">CFDTable[[#This Row],[AvgDaily]]+CFDTable[[#This Row],[Deviation]]</f>
        <v>1.0952380952380953</v>
      </c>
      <c r="V166" s="10">
        <f ca="1">IF(ISNUMBER(M166),((_xlfn.PERCENTILE.INC(IF(ISNUMBER(OFFSET(R166,-Historic,0)),OFFSET(R166,-Historic,0),R$2):R166,PercentileHigh/100))-(MEDIAN(IF(ISNUMBER(OFFSET(R166,-Historic,0)),OFFSET(R166,-Historic,0),R$2):R166))),V165)</f>
        <v>0.14285714285714302</v>
      </c>
      <c r="W166" s="10">
        <f ca="1">IF(ISNUMBER(M166),((_xlfn.PERCENTILE.INC(R$2:R166,PercentileHigh/100))-(MEDIAN(R$2:R166))),V165)</f>
        <v>0.14285714285714302</v>
      </c>
      <c r="X166" s="10" t="e">
        <f ca="1">(SUM(CFDTable[[#This Row],[To Do]:[Done]])-SUM(G165:L165))</f>
        <v>#N/A</v>
      </c>
      <c r="Y166" s="10">
        <f ca="1">AVERAGE(IF(ISNUMBER(X166),IF(ISNUMBER(OFFSET(X166,-Historic,0)),OFFSET(X166,-Historic,0),X$2):X166,Y165))</f>
        <v>1.1428571428571428</v>
      </c>
      <c r="Z166" s="10">
        <f ca="1">IF(ISNUMBER(CFDTable[[#This Row],[Done Today]]),SUM($G166:$L166),Z165+CFDTable[[#This Row],[avg added]])</f>
        <v>222.28571428571394</v>
      </c>
      <c r="AA166" s="10">
        <f ca="1">IF(ISNUMBER(CFDTable[[#This Row],[Done Today]]),SUM($G166:$L166),$AA165)</f>
        <v>124</v>
      </c>
      <c r="AB166" s="10">
        <f ca="1">IF(ISNUMBER(CFDTable[[#This Row],[Done Today]]),SUM($G166:$L166),$AB165)</f>
        <v>124</v>
      </c>
      <c r="AC166" s="10">
        <f ca="1">SUM(LOOKUP(2,1/(N$1:N165&lt;&gt;""),N$1:N165)+CFDTable[[#This Row],[lowDaily]])</f>
        <v>139.61904761904748</v>
      </c>
      <c r="AD166" s="10">
        <f ca="1">SUM(LOOKUP(2,1/(O$1:O165&lt;&gt;""),O$1:O165)+R166)</f>
        <v>151.90476190476198</v>
      </c>
      <c r="AE166" s="10">
        <f ca="1">SUM(LOOKUP(2,1/(P$1:P165&lt;&gt;""),P$1:P165)+CFDTable[[#This Row],[highDaily]])</f>
        <v>164.19047619047677</v>
      </c>
      <c r="AF166" s="12">
        <f>IF(CFDTable[[#This Row],[Date]]=DeadlineDate,CFDTable[[#This Row],[FutureWork2]],0)</f>
        <v>0</v>
      </c>
    </row>
    <row r="167" spans="1:32">
      <c r="A167" s="8">
        <f>CFDTable[[#This Row],[Date]]</f>
        <v>42646</v>
      </c>
      <c r="B167" s="38">
        <f>Data!B167</f>
        <v>42646</v>
      </c>
      <c r="C167" s="10">
        <f ca="1">IF(ISNUMBER(CFDTable[[#This Row],[Ready]]),NA(),CFDTable[[#This Row],[Target]]-CFDTable[[#This Row],[To Do]])</f>
        <v>77</v>
      </c>
      <c r="D167" s="10" t="e">
        <f>IF(CFDTable[[#This Row],[Emergence]]&gt;0,CFDTable[[#This Row],[Future Work]]-CFDTable[[#This Row],[Emergence]],NA())</f>
        <v>#N/A</v>
      </c>
      <c r="E167" s="10">
        <f>Data!C167</f>
        <v>0</v>
      </c>
      <c r="F167" s="10" t="str">
        <f ca="1">Data!D167</f>
        <v/>
      </c>
      <c r="G167" s="10">
        <f ca="1">Data!E167</f>
        <v>47</v>
      </c>
      <c r="H167" s="10" t="e">
        <f ca="1">IF(TodaysDate&gt;=$B167,Data!F167,NA())</f>
        <v>#N/A</v>
      </c>
      <c r="I167" s="10" t="e">
        <f ca="1">IF(TodaysDate&gt;=$B167,Data!G167,NA())</f>
        <v>#N/A</v>
      </c>
      <c r="J167" s="10" t="e">
        <f ca="1">IF(TodaysDate&gt;=$B167,Data!H167,NA())</f>
        <v>#N/A</v>
      </c>
      <c r="K167" s="10" t="e">
        <f ca="1">IF(TodaysDate&gt;=$B167,Data!I167,NA())</f>
        <v>#N/A</v>
      </c>
      <c r="L167" s="10" t="e">
        <f ca="1">IF(TodaysDate&gt;=$B167,Data!J167,NA())</f>
        <v>#N/A</v>
      </c>
      <c r="M167" s="10" t="e">
        <f ca="1">IF(CFDTable[[#This Row],[Done]]&gt;0,(CFDTable[[#This Row],[Done]])-(L166),0)</f>
        <v>#N/A</v>
      </c>
      <c r="N167" s="10">
        <f ca="1">IF(ISNUMBER($M167),SUM(CFDTable[[#This Row],[Done]]),IF(CFDTable[[#This Row],[lookupLow]]&gt;=CFDTable[[#This Row],[FutureWork2]]+CFDTable[[#This Row],[lowDaily]],NA(),CFDTable[[#This Row],[lookupLow]]))</f>
        <v>140.42857142857127</v>
      </c>
      <c r="O167" s="10">
        <f ca="1">IF(ISNUMBER($M167),SUM(CFDTable[[#This Row],[Done]]),IF(CFDTable[[#This Row],[lookupMedian]]&gt;=CFDTable[[#This Row],[FutureWork2]],NA(),CFDTable[[#This Row],[lookupMedian]]))</f>
        <v>152.85714285714295</v>
      </c>
      <c r="P167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165.28571428571487</v>
      </c>
      <c r="Q167" s="10">
        <f ca="1">CFDTable[[#This Row],[AvgDaily]]-CFDTable[[#This Row],[Deviation]]</f>
        <v>0.80952380952380931</v>
      </c>
      <c r="R167" s="10">
        <f ca="1">AVERAGE(IF(ISNUMBER(M167),IF(ISNUMBER(OFFSET(M167,-Historic,0)),OFFSET(M167,-Historic,0),M$2):M167,R166))</f>
        <v>0.95238095238095233</v>
      </c>
      <c r="S167" s="10">
        <f ca="1">AVERAGE(IF(ISNUMBER(M167),IF(ISNUMBER(OFFSET(M167,-Historic,0)),OFFSET(M167,-Historic,0),M$2):M167,S166))</f>
        <v>0.95238095238095233</v>
      </c>
      <c r="T167" s="10">
        <f ca="1">AVERAGE(IF(ISNUMBER(M167),OFFSET(M$2,DaysToIgnoreOnAvg,0):M167,T166))</f>
        <v>0.88311688311688308</v>
      </c>
      <c r="U167" s="10">
        <f ca="1">CFDTable[[#This Row],[AvgDaily]]+CFDTable[[#This Row],[Deviation]]</f>
        <v>1.0952380952380953</v>
      </c>
      <c r="V167" s="10">
        <f ca="1">IF(ISNUMBER(M167),((_xlfn.PERCENTILE.INC(IF(ISNUMBER(OFFSET(R167,-Historic,0)),OFFSET(R167,-Historic,0),R$2):R167,PercentileHigh/100))-(MEDIAN(IF(ISNUMBER(OFFSET(R167,-Historic,0)),OFFSET(R167,-Historic,0),R$2):R167))),V166)</f>
        <v>0.14285714285714302</v>
      </c>
      <c r="W167" s="10">
        <f ca="1">IF(ISNUMBER(M167),((_xlfn.PERCENTILE.INC(R$2:R167,PercentileHigh/100))-(MEDIAN(R$2:R167))),V166)</f>
        <v>0.14285714285714302</v>
      </c>
      <c r="X167" s="10" t="e">
        <f ca="1">(SUM(CFDTable[[#This Row],[To Do]:[Done]])-SUM(G166:L166))</f>
        <v>#N/A</v>
      </c>
      <c r="Y167" s="10">
        <f ca="1">AVERAGE(IF(ISNUMBER(X167),IF(ISNUMBER(OFFSET(X167,-Historic,0)),OFFSET(X167,-Historic,0),X$2):X167,Y166))</f>
        <v>1.1428571428571428</v>
      </c>
      <c r="Z167" s="10">
        <f ca="1">IF(ISNUMBER(CFDTable[[#This Row],[Done Today]]),SUM($G167:$L167),Z166+CFDTable[[#This Row],[avg added]])</f>
        <v>223.42857142857108</v>
      </c>
      <c r="AA167" s="10">
        <f ca="1">IF(ISNUMBER(CFDTable[[#This Row],[Done Today]]),SUM($G167:$L167),$AA166)</f>
        <v>124</v>
      </c>
      <c r="AB167" s="10">
        <f ca="1">IF(ISNUMBER(CFDTable[[#This Row],[Done Today]]),SUM($G167:$L167),$AB166)</f>
        <v>124</v>
      </c>
      <c r="AC167" s="10">
        <f ca="1">SUM(LOOKUP(2,1/(N$1:N166&lt;&gt;""),N$1:N166)+CFDTable[[#This Row],[lowDaily]])</f>
        <v>140.42857142857127</v>
      </c>
      <c r="AD167" s="10">
        <f ca="1">SUM(LOOKUP(2,1/(O$1:O166&lt;&gt;""),O$1:O166)+R167)</f>
        <v>152.85714285714295</v>
      </c>
      <c r="AE167" s="10">
        <f ca="1">SUM(LOOKUP(2,1/(P$1:P166&lt;&gt;""),P$1:P166)+CFDTable[[#This Row],[highDaily]])</f>
        <v>165.28571428571487</v>
      </c>
      <c r="AF167" s="12">
        <f>IF(CFDTable[[#This Row],[Date]]=DeadlineDate,CFDTable[[#This Row],[FutureWork2]],0)</f>
        <v>0</v>
      </c>
    </row>
    <row r="168" spans="1:32">
      <c r="A168" s="8">
        <f>CFDTable[[#This Row],[Date]]</f>
        <v>42647</v>
      </c>
      <c r="B168" s="38">
        <f>Data!B168</f>
        <v>42647</v>
      </c>
      <c r="C168" s="10">
        <f ca="1">IF(ISNUMBER(CFDTable[[#This Row],[Ready]]),NA(),CFDTable[[#This Row],[Target]]-CFDTable[[#This Row],[To Do]])</f>
        <v>77</v>
      </c>
      <c r="D168" s="10" t="e">
        <f>IF(CFDTable[[#This Row],[Emergence]]&gt;0,CFDTable[[#This Row],[Future Work]]-CFDTable[[#This Row],[Emergence]],NA())</f>
        <v>#N/A</v>
      </c>
      <c r="E168" s="10">
        <f>Data!C168</f>
        <v>0</v>
      </c>
      <c r="F168" s="10" t="str">
        <f ca="1">Data!D168</f>
        <v/>
      </c>
      <c r="G168" s="10">
        <f ca="1">Data!E168</f>
        <v>47</v>
      </c>
      <c r="H168" s="10" t="e">
        <f ca="1">IF(TodaysDate&gt;=$B168,Data!F168,NA())</f>
        <v>#N/A</v>
      </c>
      <c r="I168" s="10" t="e">
        <f ca="1">IF(TodaysDate&gt;=$B168,Data!G168,NA())</f>
        <v>#N/A</v>
      </c>
      <c r="J168" s="10" t="e">
        <f ca="1">IF(TodaysDate&gt;=$B168,Data!H168,NA())</f>
        <v>#N/A</v>
      </c>
      <c r="K168" s="10" t="e">
        <f ca="1">IF(TodaysDate&gt;=$B168,Data!I168,NA())</f>
        <v>#N/A</v>
      </c>
      <c r="L168" s="10" t="e">
        <f ca="1">IF(TodaysDate&gt;=$B168,Data!J168,NA())</f>
        <v>#N/A</v>
      </c>
      <c r="M168" s="10" t="e">
        <f ca="1">IF(CFDTable[[#This Row],[Done]]&gt;0,(CFDTable[[#This Row],[Done]])-(L167),0)</f>
        <v>#N/A</v>
      </c>
      <c r="N168" s="10">
        <f ca="1">IF(ISNUMBER($M168),SUM(CFDTable[[#This Row],[Done]]),IF(CFDTable[[#This Row],[lookupLow]]&gt;=CFDTable[[#This Row],[FutureWork2]]+CFDTable[[#This Row],[lowDaily]],NA(),CFDTable[[#This Row],[lookupLow]]))</f>
        <v>141.23809523809507</v>
      </c>
      <c r="O168" s="10">
        <f ca="1">IF(ISNUMBER($M168),SUM(CFDTable[[#This Row],[Done]]),IF(CFDTable[[#This Row],[lookupMedian]]&gt;=CFDTable[[#This Row],[FutureWork2]],NA(),CFDTable[[#This Row],[lookupMedian]]))</f>
        <v>153.80952380952391</v>
      </c>
      <c r="P168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166.38095238095298</v>
      </c>
      <c r="Q168" s="10">
        <f ca="1">CFDTable[[#This Row],[AvgDaily]]-CFDTable[[#This Row],[Deviation]]</f>
        <v>0.80952380952380931</v>
      </c>
      <c r="R168" s="10">
        <f ca="1">AVERAGE(IF(ISNUMBER(M168),IF(ISNUMBER(OFFSET(M168,-Historic,0)),OFFSET(M168,-Historic,0),M$2):M168,R167))</f>
        <v>0.95238095238095233</v>
      </c>
      <c r="S168" s="10">
        <f ca="1">AVERAGE(IF(ISNUMBER(M168),IF(ISNUMBER(OFFSET(M168,-Historic,0)),OFFSET(M168,-Historic,0),M$2):M168,S167))</f>
        <v>0.95238095238095233</v>
      </c>
      <c r="T168" s="10">
        <f ca="1">AVERAGE(IF(ISNUMBER(M168),OFFSET(M$2,DaysToIgnoreOnAvg,0):M168,T167))</f>
        <v>0.88311688311688308</v>
      </c>
      <c r="U168" s="10">
        <f ca="1">CFDTable[[#This Row],[AvgDaily]]+CFDTable[[#This Row],[Deviation]]</f>
        <v>1.0952380952380953</v>
      </c>
      <c r="V168" s="10">
        <f ca="1">IF(ISNUMBER(M168),((_xlfn.PERCENTILE.INC(IF(ISNUMBER(OFFSET(R168,-Historic,0)),OFFSET(R168,-Historic,0),R$2):R168,PercentileHigh/100))-(MEDIAN(IF(ISNUMBER(OFFSET(R168,-Historic,0)),OFFSET(R168,-Historic,0),R$2):R168))),V167)</f>
        <v>0.14285714285714302</v>
      </c>
      <c r="W168" s="10">
        <f ca="1">IF(ISNUMBER(M168),((_xlfn.PERCENTILE.INC(R$2:R168,PercentileHigh/100))-(MEDIAN(R$2:R168))),V167)</f>
        <v>0.14285714285714302</v>
      </c>
      <c r="X168" s="10" t="e">
        <f ca="1">(SUM(CFDTable[[#This Row],[To Do]:[Done]])-SUM(G167:L167))</f>
        <v>#N/A</v>
      </c>
      <c r="Y168" s="10">
        <f ca="1">AVERAGE(IF(ISNUMBER(X168),IF(ISNUMBER(OFFSET(X168,-Historic,0)),OFFSET(X168,-Historic,0),X$2):X168,Y167))</f>
        <v>1.1428571428571428</v>
      </c>
      <c r="Z168" s="10">
        <f ca="1">IF(ISNUMBER(CFDTable[[#This Row],[Done Today]]),SUM($G168:$L168),Z167+CFDTable[[#This Row],[avg added]])</f>
        <v>224.57142857142821</v>
      </c>
      <c r="AA168" s="10">
        <f ca="1">IF(ISNUMBER(CFDTable[[#This Row],[Done Today]]),SUM($G168:$L168),$AA167)</f>
        <v>124</v>
      </c>
      <c r="AB168" s="10">
        <f ca="1">IF(ISNUMBER(CFDTable[[#This Row],[Done Today]]),SUM($G168:$L168),$AB167)</f>
        <v>124</v>
      </c>
      <c r="AC168" s="10">
        <f ca="1">SUM(LOOKUP(2,1/(N$1:N167&lt;&gt;""),N$1:N167)+CFDTable[[#This Row],[lowDaily]])</f>
        <v>141.23809523809507</v>
      </c>
      <c r="AD168" s="10">
        <f ca="1">SUM(LOOKUP(2,1/(O$1:O167&lt;&gt;""),O$1:O167)+R168)</f>
        <v>153.80952380952391</v>
      </c>
      <c r="AE168" s="10">
        <f ca="1">SUM(LOOKUP(2,1/(P$1:P167&lt;&gt;""),P$1:P167)+CFDTable[[#This Row],[highDaily]])</f>
        <v>166.38095238095298</v>
      </c>
      <c r="AF168" s="12">
        <f>IF(CFDTable[[#This Row],[Date]]=DeadlineDate,CFDTable[[#This Row],[FutureWork2]],0)</f>
        <v>0</v>
      </c>
    </row>
    <row r="169" spans="1:32">
      <c r="A169" s="8">
        <f>CFDTable[[#This Row],[Date]]</f>
        <v>42648</v>
      </c>
      <c r="B169" s="38">
        <f>Data!B169</f>
        <v>42648</v>
      </c>
      <c r="C169" s="10">
        <f ca="1">IF(ISNUMBER(CFDTable[[#This Row],[Ready]]),NA(),CFDTable[[#This Row],[Target]]-CFDTable[[#This Row],[To Do]])</f>
        <v>77</v>
      </c>
      <c r="D169" s="10" t="e">
        <f>IF(CFDTable[[#This Row],[Emergence]]&gt;0,CFDTable[[#This Row],[Future Work]]-CFDTable[[#This Row],[Emergence]],NA())</f>
        <v>#N/A</v>
      </c>
      <c r="E169" s="10">
        <f>Data!C169</f>
        <v>0</v>
      </c>
      <c r="F169" s="10" t="str">
        <f ca="1">Data!D169</f>
        <v/>
      </c>
      <c r="G169" s="10">
        <f ca="1">Data!E169</f>
        <v>47</v>
      </c>
      <c r="H169" s="10" t="e">
        <f ca="1">IF(TodaysDate&gt;=$B169,Data!F169,NA())</f>
        <v>#N/A</v>
      </c>
      <c r="I169" s="10" t="e">
        <f ca="1">IF(TodaysDate&gt;=$B169,Data!G169,NA())</f>
        <v>#N/A</v>
      </c>
      <c r="J169" s="10" t="e">
        <f ca="1">IF(TodaysDate&gt;=$B169,Data!H169,NA())</f>
        <v>#N/A</v>
      </c>
      <c r="K169" s="10" t="e">
        <f ca="1">IF(TodaysDate&gt;=$B169,Data!I169,NA())</f>
        <v>#N/A</v>
      </c>
      <c r="L169" s="10" t="e">
        <f ca="1">IF(TodaysDate&gt;=$B169,Data!J169,NA())</f>
        <v>#N/A</v>
      </c>
      <c r="M169" s="10" t="e">
        <f ca="1">IF(CFDTable[[#This Row],[Done]]&gt;0,(CFDTable[[#This Row],[Done]])-(L168),0)</f>
        <v>#N/A</v>
      </c>
      <c r="N169" s="10">
        <f ca="1">IF(ISNUMBER($M169),SUM(CFDTable[[#This Row],[Done]]),IF(CFDTable[[#This Row],[lookupLow]]&gt;=CFDTable[[#This Row],[FutureWork2]]+CFDTable[[#This Row],[lowDaily]],NA(),CFDTable[[#This Row],[lookupLow]]))</f>
        <v>142.04761904761887</v>
      </c>
      <c r="O169" s="10">
        <f ca="1">IF(ISNUMBER($M169),SUM(CFDTable[[#This Row],[Done]]),IF(CFDTable[[#This Row],[lookupMedian]]&gt;=CFDTable[[#This Row],[FutureWork2]],NA(),CFDTable[[#This Row],[lookupMedian]]))</f>
        <v>154.76190476190487</v>
      </c>
      <c r="P169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167.47619047619108</v>
      </c>
      <c r="Q169" s="10">
        <f ca="1">CFDTable[[#This Row],[AvgDaily]]-CFDTable[[#This Row],[Deviation]]</f>
        <v>0.80952380952380931</v>
      </c>
      <c r="R169" s="10">
        <f ca="1">AVERAGE(IF(ISNUMBER(M169),IF(ISNUMBER(OFFSET(M169,-Historic,0)),OFFSET(M169,-Historic,0),M$2):M169,R168))</f>
        <v>0.95238095238095233</v>
      </c>
      <c r="S169" s="10">
        <f ca="1">AVERAGE(IF(ISNUMBER(M169),IF(ISNUMBER(OFFSET(M169,-Historic,0)),OFFSET(M169,-Historic,0),M$2):M169,S168))</f>
        <v>0.95238095238095233</v>
      </c>
      <c r="T169" s="10">
        <f ca="1">AVERAGE(IF(ISNUMBER(M169),OFFSET(M$2,DaysToIgnoreOnAvg,0):M169,T168))</f>
        <v>0.88311688311688308</v>
      </c>
      <c r="U169" s="10">
        <f ca="1">CFDTable[[#This Row],[AvgDaily]]+CFDTable[[#This Row],[Deviation]]</f>
        <v>1.0952380952380953</v>
      </c>
      <c r="V169" s="10">
        <f ca="1">IF(ISNUMBER(M169),((_xlfn.PERCENTILE.INC(IF(ISNUMBER(OFFSET(R169,-Historic,0)),OFFSET(R169,-Historic,0),R$2):R169,PercentileHigh/100))-(MEDIAN(IF(ISNUMBER(OFFSET(R169,-Historic,0)),OFFSET(R169,-Historic,0),R$2):R169))),V168)</f>
        <v>0.14285714285714302</v>
      </c>
      <c r="W169" s="10">
        <f ca="1">IF(ISNUMBER(M169),((_xlfn.PERCENTILE.INC(R$2:R169,PercentileHigh/100))-(MEDIAN(R$2:R169))),V168)</f>
        <v>0.14285714285714302</v>
      </c>
      <c r="X169" s="10" t="e">
        <f ca="1">(SUM(CFDTable[[#This Row],[To Do]:[Done]])-SUM(G168:L168))</f>
        <v>#N/A</v>
      </c>
      <c r="Y169" s="10">
        <f ca="1">AVERAGE(IF(ISNUMBER(X169),IF(ISNUMBER(OFFSET(X169,-Historic,0)),OFFSET(X169,-Historic,0),X$2):X169,Y168))</f>
        <v>1.1428571428571428</v>
      </c>
      <c r="Z169" s="10">
        <f ca="1">IF(ISNUMBER(CFDTable[[#This Row],[Done Today]]),SUM($G169:$L169),Z168+CFDTable[[#This Row],[avg added]])</f>
        <v>225.71428571428535</v>
      </c>
      <c r="AA169" s="10">
        <f ca="1">IF(ISNUMBER(CFDTable[[#This Row],[Done Today]]),SUM($G169:$L169),$AA168)</f>
        <v>124</v>
      </c>
      <c r="AB169" s="10">
        <f ca="1">IF(ISNUMBER(CFDTable[[#This Row],[Done Today]]),SUM($G169:$L169),$AB168)</f>
        <v>124</v>
      </c>
      <c r="AC169" s="10">
        <f ca="1">SUM(LOOKUP(2,1/(N$1:N168&lt;&gt;""),N$1:N168)+CFDTable[[#This Row],[lowDaily]])</f>
        <v>142.04761904761887</v>
      </c>
      <c r="AD169" s="10">
        <f ca="1">SUM(LOOKUP(2,1/(O$1:O168&lt;&gt;""),O$1:O168)+R169)</f>
        <v>154.76190476190487</v>
      </c>
      <c r="AE169" s="10">
        <f ca="1">SUM(LOOKUP(2,1/(P$1:P168&lt;&gt;""),P$1:P168)+CFDTable[[#This Row],[highDaily]])</f>
        <v>167.47619047619108</v>
      </c>
      <c r="AF169" s="12">
        <f>IF(CFDTable[[#This Row],[Date]]=DeadlineDate,CFDTable[[#This Row],[FutureWork2]],0)</f>
        <v>0</v>
      </c>
    </row>
    <row r="170" spans="1:32">
      <c r="A170" s="8">
        <f>CFDTable[[#This Row],[Date]]</f>
        <v>42649</v>
      </c>
      <c r="B170" s="38">
        <f>Data!B170</f>
        <v>42649</v>
      </c>
      <c r="C170" s="10">
        <f ca="1">IF(ISNUMBER(CFDTable[[#This Row],[Ready]]),NA(),CFDTable[[#This Row],[Target]]-CFDTable[[#This Row],[To Do]])</f>
        <v>77</v>
      </c>
      <c r="D170" s="10" t="e">
        <f>IF(CFDTable[[#This Row],[Emergence]]&gt;0,CFDTable[[#This Row],[Future Work]]-CFDTable[[#This Row],[Emergence]],NA())</f>
        <v>#N/A</v>
      </c>
      <c r="E170" s="10">
        <f>Data!C170</f>
        <v>0</v>
      </c>
      <c r="F170" s="10" t="str">
        <f ca="1">Data!D170</f>
        <v/>
      </c>
      <c r="G170" s="10">
        <f ca="1">Data!E170</f>
        <v>47</v>
      </c>
      <c r="H170" s="10" t="e">
        <f ca="1">IF(TodaysDate&gt;=$B170,Data!F170,NA())</f>
        <v>#N/A</v>
      </c>
      <c r="I170" s="10" t="e">
        <f ca="1">IF(TodaysDate&gt;=$B170,Data!G170,NA())</f>
        <v>#N/A</v>
      </c>
      <c r="J170" s="10" t="e">
        <f ca="1">IF(TodaysDate&gt;=$B170,Data!H170,NA())</f>
        <v>#N/A</v>
      </c>
      <c r="K170" s="10" t="e">
        <f ca="1">IF(TodaysDate&gt;=$B170,Data!I170,NA())</f>
        <v>#N/A</v>
      </c>
      <c r="L170" s="10" t="e">
        <f ca="1">IF(TodaysDate&gt;=$B170,Data!J170,NA())</f>
        <v>#N/A</v>
      </c>
      <c r="M170" s="10" t="e">
        <f ca="1">IF(CFDTable[[#This Row],[Done]]&gt;0,(CFDTable[[#This Row],[Done]])-(L169),0)</f>
        <v>#N/A</v>
      </c>
      <c r="N170" s="10">
        <f ca="1">IF(ISNUMBER($M170),SUM(CFDTable[[#This Row],[Done]]),IF(CFDTable[[#This Row],[lookupLow]]&gt;=CFDTable[[#This Row],[FutureWork2]]+CFDTable[[#This Row],[lowDaily]],NA(),CFDTable[[#This Row],[lookupLow]]))</f>
        <v>142.85714285714266</v>
      </c>
      <c r="O170" s="10">
        <f ca="1">IF(ISNUMBER($M170),SUM(CFDTable[[#This Row],[Done]]),IF(CFDTable[[#This Row],[lookupMedian]]&gt;=CFDTable[[#This Row],[FutureWork2]],NA(),CFDTable[[#This Row],[lookupMedian]]))</f>
        <v>155.71428571428584</v>
      </c>
      <c r="P170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168.57142857142918</v>
      </c>
      <c r="Q170" s="10">
        <f ca="1">CFDTable[[#This Row],[AvgDaily]]-CFDTable[[#This Row],[Deviation]]</f>
        <v>0.80952380952380931</v>
      </c>
      <c r="R170" s="10">
        <f ca="1">AVERAGE(IF(ISNUMBER(M170),IF(ISNUMBER(OFFSET(M170,-Historic,0)),OFFSET(M170,-Historic,0),M$2):M170,R169))</f>
        <v>0.95238095238095233</v>
      </c>
      <c r="S170" s="10">
        <f ca="1">AVERAGE(IF(ISNUMBER(M170),IF(ISNUMBER(OFFSET(M170,-Historic,0)),OFFSET(M170,-Historic,0),M$2):M170,S169))</f>
        <v>0.95238095238095233</v>
      </c>
      <c r="T170" s="10">
        <f ca="1">AVERAGE(IF(ISNUMBER(M170),OFFSET(M$2,DaysToIgnoreOnAvg,0):M170,T169))</f>
        <v>0.88311688311688308</v>
      </c>
      <c r="U170" s="10">
        <f ca="1">CFDTable[[#This Row],[AvgDaily]]+CFDTable[[#This Row],[Deviation]]</f>
        <v>1.0952380952380953</v>
      </c>
      <c r="V170" s="10">
        <f ca="1">IF(ISNUMBER(M170),((_xlfn.PERCENTILE.INC(IF(ISNUMBER(OFFSET(R170,-Historic,0)),OFFSET(R170,-Historic,0),R$2):R170,PercentileHigh/100))-(MEDIAN(IF(ISNUMBER(OFFSET(R170,-Historic,0)),OFFSET(R170,-Historic,0),R$2):R170))),V169)</f>
        <v>0.14285714285714302</v>
      </c>
      <c r="W170" s="10">
        <f ca="1">IF(ISNUMBER(M170),((_xlfn.PERCENTILE.INC(R$2:R170,PercentileHigh/100))-(MEDIAN(R$2:R170))),V169)</f>
        <v>0.14285714285714302</v>
      </c>
      <c r="X170" s="10" t="e">
        <f ca="1">(SUM(CFDTable[[#This Row],[To Do]:[Done]])-SUM(G169:L169))</f>
        <v>#N/A</v>
      </c>
      <c r="Y170" s="10">
        <f ca="1">AVERAGE(IF(ISNUMBER(X170),IF(ISNUMBER(OFFSET(X170,-Historic,0)),OFFSET(X170,-Historic,0),X$2):X170,Y169))</f>
        <v>1.1428571428571428</v>
      </c>
      <c r="Z170" s="10">
        <f ca="1">IF(ISNUMBER(CFDTable[[#This Row],[Done Today]]),SUM($G170:$L170),Z169+CFDTable[[#This Row],[avg added]])</f>
        <v>226.85714285714249</v>
      </c>
      <c r="AA170" s="10">
        <f ca="1">IF(ISNUMBER(CFDTable[[#This Row],[Done Today]]),SUM($G170:$L170),$AA169)</f>
        <v>124</v>
      </c>
      <c r="AB170" s="10">
        <f ca="1">IF(ISNUMBER(CFDTable[[#This Row],[Done Today]]),SUM($G170:$L170),$AB169)</f>
        <v>124</v>
      </c>
      <c r="AC170" s="10">
        <f ca="1">SUM(LOOKUP(2,1/(N$1:N169&lt;&gt;""),N$1:N169)+CFDTable[[#This Row],[lowDaily]])</f>
        <v>142.85714285714266</v>
      </c>
      <c r="AD170" s="10">
        <f ca="1">SUM(LOOKUP(2,1/(O$1:O169&lt;&gt;""),O$1:O169)+R170)</f>
        <v>155.71428571428584</v>
      </c>
      <c r="AE170" s="10">
        <f ca="1">SUM(LOOKUP(2,1/(P$1:P169&lt;&gt;""),P$1:P169)+CFDTable[[#This Row],[highDaily]])</f>
        <v>168.57142857142918</v>
      </c>
      <c r="AF170" s="12">
        <f>IF(CFDTable[[#This Row],[Date]]=DeadlineDate,CFDTable[[#This Row],[FutureWork2]],0)</f>
        <v>0</v>
      </c>
    </row>
    <row r="171" spans="1:32">
      <c r="A171" s="8">
        <f>CFDTable[[#This Row],[Date]]</f>
        <v>42650</v>
      </c>
      <c r="B171" s="38">
        <f>Data!B171</f>
        <v>42650</v>
      </c>
      <c r="C171" s="10">
        <f ca="1">IF(ISNUMBER(CFDTable[[#This Row],[Ready]]),NA(),CFDTable[[#This Row],[Target]]-CFDTable[[#This Row],[To Do]])</f>
        <v>77</v>
      </c>
      <c r="D171" s="10" t="e">
        <f>IF(CFDTable[[#This Row],[Emergence]]&gt;0,CFDTable[[#This Row],[Future Work]]-CFDTable[[#This Row],[Emergence]],NA())</f>
        <v>#N/A</v>
      </c>
      <c r="E171" s="10">
        <f>Data!C171</f>
        <v>0</v>
      </c>
      <c r="F171" s="10" t="str">
        <f ca="1">Data!D171</f>
        <v/>
      </c>
      <c r="G171" s="10">
        <f ca="1">Data!E171</f>
        <v>47</v>
      </c>
      <c r="H171" s="10" t="e">
        <f ca="1">IF(TodaysDate&gt;=$B171,Data!F171,NA())</f>
        <v>#N/A</v>
      </c>
      <c r="I171" s="10" t="e">
        <f ca="1">IF(TodaysDate&gt;=$B171,Data!G171,NA())</f>
        <v>#N/A</v>
      </c>
      <c r="J171" s="10" t="e">
        <f ca="1">IF(TodaysDate&gt;=$B171,Data!H171,NA())</f>
        <v>#N/A</v>
      </c>
      <c r="K171" s="10" t="e">
        <f ca="1">IF(TodaysDate&gt;=$B171,Data!I171,NA())</f>
        <v>#N/A</v>
      </c>
      <c r="L171" s="10" t="e">
        <f ca="1">IF(TodaysDate&gt;=$B171,Data!J171,NA())</f>
        <v>#N/A</v>
      </c>
      <c r="M171" s="10" t="e">
        <f ca="1">IF(CFDTable[[#This Row],[Done]]&gt;0,(CFDTable[[#This Row],[Done]])-(L170),0)</f>
        <v>#N/A</v>
      </c>
      <c r="N171" s="10">
        <f ca="1">IF(ISNUMBER($M171),SUM(CFDTable[[#This Row],[Done]]),IF(CFDTable[[#This Row],[lookupLow]]&gt;=CFDTable[[#This Row],[FutureWork2]]+CFDTable[[#This Row],[lowDaily]],NA(),CFDTable[[#This Row],[lookupLow]]))</f>
        <v>143.66666666666646</v>
      </c>
      <c r="O171" s="10">
        <f ca="1">IF(ISNUMBER($M171),SUM(CFDTable[[#This Row],[Done]]),IF(CFDTable[[#This Row],[lookupMedian]]&gt;=CFDTable[[#This Row],[FutureWork2]],NA(),CFDTable[[#This Row],[lookupMedian]]))</f>
        <v>156.6666666666668</v>
      </c>
      <c r="P171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169.66666666666728</v>
      </c>
      <c r="Q171" s="10">
        <f ca="1">CFDTable[[#This Row],[AvgDaily]]-CFDTable[[#This Row],[Deviation]]</f>
        <v>0.80952380952380931</v>
      </c>
      <c r="R171" s="10">
        <f ca="1">AVERAGE(IF(ISNUMBER(M171),IF(ISNUMBER(OFFSET(M171,-Historic,0)),OFFSET(M171,-Historic,0),M$2):M171,R170))</f>
        <v>0.95238095238095233</v>
      </c>
      <c r="S171" s="10">
        <f ca="1">AVERAGE(IF(ISNUMBER(M171),IF(ISNUMBER(OFFSET(M171,-Historic,0)),OFFSET(M171,-Historic,0),M$2):M171,S170))</f>
        <v>0.95238095238095233</v>
      </c>
      <c r="T171" s="10">
        <f ca="1">AVERAGE(IF(ISNUMBER(M171),OFFSET(M$2,DaysToIgnoreOnAvg,0):M171,T170))</f>
        <v>0.88311688311688308</v>
      </c>
      <c r="U171" s="10">
        <f ca="1">CFDTable[[#This Row],[AvgDaily]]+CFDTable[[#This Row],[Deviation]]</f>
        <v>1.0952380952380953</v>
      </c>
      <c r="V171" s="10">
        <f ca="1">IF(ISNUMBER(M171),((_xlfn.PERCENTILE.INC(IF(ISNUMBER(OFFSET(R171,-Historic,0)),OFFSET(R171,-Historic,0),R$2):R171,PercentileHigh/100))-(MEDIAN(IF(ISNUMBER(OFFSET(R171,-Historic,0)),OFFSET(R171,-Historic,0),R$2):R171))),V170)</f>
        <v>0.14285714285714302</v>
      </c>
      <c r="W171" s="10">
        <f ca="1">IF(ISNUMBER(M171),((_xlfn.PERCENTILE.INC(R$2:R171,PercentileHigh/100))-(MEDIAN(R$2:R171))),V170)</f>
        <v>0.14285714285714302</v>
      </c>
      <c r="X171" s="10" t="e">
        <f ca="1">(SUM(CFDTable[[#This Row],[To Do]:[Done]])-SUM(G170:L170))</f>
        <v>#N/A</v>
      </c>
      <c r="Y171" s="10">
        <f ca="1">AVERAGE(IF(ISNUMBER(X171),IF(ISNUMBER(OFFSET(X171,-Historic,0)),OFFSET(X171,-Historic,0),X$2):X171,Y170))</f>
        <v>1.1428571428571428</v>
      </c>
      <c r="Z171" s="10">
        <f ca="1">IF(ISNUMBER(CFDTable[[#This Row],[Done Today]]),SUM($G171:$L171),Z170+CFDTable[[#This Row],[avg added]])</f>
        <v>227.99999999999963</v>
      </c>
      <c r="AA171" s="10">
        <f ca="1">IF(ISNUMBER(CFDTable[[#This Row],[Done Today]]),SUM($G171:$L171),$AA170)</f>
        <v>124</v>
      </c>
      <c r="AB171" s="10">
        <f ca="1">IF(ISNUMBER(CFDTable[[#This Row],[Done Today]]),SUM($G171:$L171),$AB170)</f>
        <v>124</v>
      </c>
      <c r="AC171" s="10">
        <f ca="1">SUM(LOOKUP(2,1/(N$1:N170&lt;&gt;""),N$1:N170)+CFDTable[[#This Row],[lowDaily]])</f>
        <v>143.66666666666646</v>
      </c>
      <c r="AD171" s="10">
        <f ca="1">SUM(LOOKUP(2,1/(O$1:O170&lt;&gt;""),O$1:O170)+R171)</f>
        <v>156.6666666666668</v>
      </c>
      <c r="AE171" s="10">
        <f ca="1">SUM(LOOKUP(2,1/(P$1:P170&lt;&gt;""),P$1:P170)+CFDTable[[#This Row],[highDaily]])</f>
        <v>169.66666666666728</v>
      </c>
      <c r="AF171" s="12">
        <f>IF(CFDTable[[#This Row],[Date]]=DeadlineDate,CFDTable[[#This Row],[FutureWork2]],0)</f>
        <v>0</v>
      </c>
    </row>
    <row r="172" spans="1:32">
      <c r="A172" s="8">
        <f>CFDTable[[#This Row],[Date]]</f>
        <v>42653</v>
      </c>
      <c r="B172" s="38">
        <f>Data!B172</f>
        <v>42653</v>
      </c>
      <c r="C172" s="10">
        <f ca="1">IF(ISNUMBER(CFDTable[[#This Row],[Ready]]),NA(),CFDTable[[#This Row],[Target]]-CFDTable[[#This Row],[To Do]])</f>
        <v>77</v>
      </c>
      <c r="D172" s="10" t="e">
        <f>IF(CFDTable[[#This Row],[Emergence]]&gt;0,CFDTable[[#This Row],[Future Work]]-CFDTable[[#This Row],[Emergence]],NA())</f>
        <v>#N/A</v>
      </c>
      <c r="E172" s="10">
        <f>Data!C172</f>
        <v>0</v>
      </c>
      <c r="F172" s="10" t="str">
        <f ca="1">Data!D172</f>
        <v/>
      </c>
      <c r="G172" s="10">
        <f ca="1">Data!E172</f>
        <v>47</v>
      </c>
      <c r="H172" s="10" t="e">
        <f ca="1">IF(TodaysDate&gt;=$B172,Data!F172,NA())</f>
        <v>#N/A</v>
      </c>
      <c r="I172" s="10" t="e">
        <f ca="1">IF(TodaysDate&gt;=$B172,Data!G172,NA())</f>
        <v>#N/A</v>
      </c>
      <c r="J172" s="10" t="e">
        <f ca="1">IF(TodaysDate&gt;=$B172,Data!H172,NA())</f>
        <v>#N/A</v>
      </c>
      <c r="K172" s="10" t="e">
        <f ca="1">IF(TodaysDate&gt;=$B172,Data!I172,NA())</f>
        <v>#N/A</v>
      </c>
      <c r="L172" s="10" t="e">
        <f ca="1">IF(TodaysDate&gt;=$B172,Data!J172,NA())</f>
        <v>#N/A</v>
      </c>
      <c r="M172" s="10" t="e">
        <f ca="1">IF(CFDTable[[#This Row],[Done]]&gt;0,(CFDTable[[#This Row],[Done]])-(L171),0)</f>
        <v>#N/A</v>
      </c>
      <c r="N172" s="10">
        <f ca="1">IF(ISNUMBER($M172),SUM(CFDTable[[#This Row],[Done]]),IF(CFDTable[[#This Row],[lookupLow]]&gt;=CFDTable[[#This Row],[FutureWork2]]+CFDTable[[#This Row],[lowDaily]],NA(),CFDTable[[#This Row],[lookupLow]]))</f>
        <v>144.47619047619025</v>
      </c>
      <c r="O172" s="10">
        <f ca="1">IF(ISNUMBER($M172),SUM(CFDTable[[#This Row],[Done]]),IF(CFDTable[[#This Row],[lookupMedian]]&gt;=CFDTable[[#This Row],[FutureWork2]],NA(),CFDTable[[#This Row],[lookupMedian]]))</f>
        <v>157.61904761904776</v>
      </c>
      <c r="P172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170.76190476190538</v>
      </c>
      <c r="Q172" s="10">
        <f ca="1">CFDTable[[#This Row],[AvgDaily]]-CFDTable[[#This Row],[Deviation]]</f>
        <v>0.80952380952380931</v>
      </c>
      <c r="R172" s="10">
        <f ca="1">AVERAGE(IF(ISNUMBER(M172),IF(ISNUMBER(OFFSET(M172,-Historic,0)),OFFSET(M172,-Historic,0),M$2):M172,R171))</f>
        <v>0.95238095238095233</v>
      </c>
      <c r="S172" s="10">
        <f ca="1">AVERAGE(IF(ISNUMBER(M172),IF(ISNUMBER(OFFSET(M172,-Historic,0)),OFFSET(M172,-Historic,0),M$2):M172,S171))</f>
        <v>0.95238095238095233</v>
      </c>
      <c r="T172" s="10">
        <f ca="1">AVERAGE(IF(ISNUMBER(M172),OFFSET(M$2,DaysToIgnoreOnAvg,0):M172,T171))</f>
        <v>0.88311688311688308</v>
      </c>
      <c r="U172" s="10">
        <f ca="1">CFDTable[[#This Row],[AvgDaily]]+CFDTable[[#This Row],[Deviation]]</f>
        <v>1.0952380952380953</v>
      </c>
      <c r="V172" s="10">
        <f ca="1">IF(ISNUMBER(M172),((_xlfn.PERCENTILE.INC(IF(ISNUMBER(OFFSET(R172,-Historic,0)),OFFSET(R172,-Historic,0),R$2):R172,PercentileHigh/100))-(MEDIAN(IF(ISNUMBER(OFFSET(R172,-Historic,0)),OFFSET(R172,-Historic,0),R$2):R172))),V171)</f>
        <v>0.14285714285714302</v>
      </c>
      <c r="W172" s="10">
        <f ca="1">IF(ISNUMBER(M172),((_xlfn.PERCENTILE.INC(R$2:R172,PercentileHigh/100))-(MEDIAN(R$2:R172))),V171)</f>
        <v>0.14285714285714302</v>
      </c>
      <c r="X172" s="10" t="e">
        <f ca="1">(SUM(CFDTable[[#This Row],[To Do]:[Done]])-SUM(G171:L171))</f>
        <v>#N/A</v>
      </c>
      <c r="Y172" s="10">
        <f ca="1">AVERAGE(IF(ISNUMBER(X172),IF(ISNUMBER(OFFSET(X172,-Historic,0)),OFFSET(X172,-Historic,0),X$2):X172,Y171))</f>
        <v>1.1428571428571428</v>
      </c>
      <c r="Z172" s="10">
        <f ca="1">IF(ISNUMBER(CFDTable[[#This Row],[Done Today]]),SUM($G172:$L172),Z171+CFDTable[[#This Row],[avg added]])</f>
        <v>229.14285714285677</v>
      </c>
      <c r="AA172" s="10">
        <f ca="1">IF(ISNUMBER(CFDTable[[#This Row],[Done Today]]),SUM($G172:$L172),$AA171)</f>
        <v>124</v>
      </c>
      <c r="AB172" s="10">
        <f ca="1">IF(ISNUMBER(CFDTable[[#This Row],[Done Today]]),SUM($G172:$L172),$AB171)</f>
        <v>124</v>
      </c>
      <c r="AC172" s="10">
        <f ca="1">SUM(LOOKUP(2,1/(N$1:N171&lt;&gt;""),N$1:N171)+CFDTable[[#This Row],[lowDaily]])</f>
        <v>144.47619047619025</v>
      </c>
      <c r="AD172" s="10">
        <f ca="1">SUM(LOOKUP(2,1/(O$1:O171&lt;&gt;""),O$1:O171)+R172)</f>
        <v>157.61904761904776</v>
      </c>
      <c r="AE172" s="10">
        <f ca="1">SUM(LOOKUP(2,1/(P$1:P171&lt;&gt;""),P$1:P171)+CFDTable[[#This Row],[highDaily]])</f>
        <v>170.76190476190538</v>
      </c>
      <c r="AF172" s="12">
        <f>IF(CFDTable[[#This Row],[Date]]=DeadlineDate,CFDTable[[#This Row],[FutureWork2]],0)</f>
        <v>0</v>
      </c>
    </row>
    <row r="173" spans="1:32">
      <c r="A173" s="8">
        <f>CFDTable[[#This Row],[Date]]</f>
        <v>42654</v>
      </c>
      <c r="B173" s="38">
        <f>Data!B173</f>
        <v>42654</v>
      </c>
      <c r="C173" s="10">
        <f ca="1">IF(ISNUMBER(CFDTable[[#This Row],[Ready]]),NA(),CFDTable[[#This Row],[Target]]-CFDTable[[#This Row],[To Do]])</f>
        <v>77</v>
      </c>
      <c r="D173" s="10" t="e">
        <f>IF(CFDTable[[#This Row],[Emergence]]&gt;0,CFDTable[[#This Row],[Future Work]]-CFDTable[[#This Row],[Emergence]],NA())</f>
        <v>#N/A</v>
      </c>
      <c r="E173" s="10">
        <f>Data!C173</f>
        <v>0</v>
      </c>
      <c r="F173" s="10" t="str">
        <f ca="1">Data!D173</f>
        <v/>
      </c>
      <c r="G173" s="10">
        <f ca="1">Data!E173</f>
        <v>47</v>
      </c>
      <c r="H173" s="10" t="e">
        <f ca="1">IF(TodaysDate&gt;=$B173,Data!F173,NA())</f>
        <v>#N/A</v>
      </c>
      <c r="I173" s="10" t="e">
        <f ca="1">IF(TodaysDate&gt;=$B173,Data!G173,NA())</f>
        <v>#N/A</v>
      </c>
      <c r="J173" s="10" t="e">
        <f ca="1">IF(TodaysDate&gt;=$B173,Data!H173,NA())</f>
        <v>#N/A</v>
      </c>
      <c r="K173" s="10" t="e">
        <f ca="1">IF(TodaysDate&gt;=$B173,Data!I173,NA())</f>
        <v>#N/A</v>
      </c>
      <c r="L173" s="10" t="e">
        <f ca="1">IF(TodaysDate&gt;=$B173,Data!J173,NA())</f>
        <v>#N/A</v>
      </c>
      <c r="M173" s="10" t="e">
        <f ca="1">IF(CFDTable[[#This Row],[Done]]&gt;0,(CFDTable[[#This Row],[Done]])-(L172),0)</f>
        <v>#N/A</v>
      </c>
      <c r="N173" s="10">
        <f ca="1">IF(ISNUMBER($M173),SUM(CFDTable[[#This Row],[Done]]),IF(CFDTable[[#This Row],[lookupLow]]&gt;=CFDTable[[#This Row],[FutureWork2]]+CFDTable[[#This Row],[lowDaily]],NA(),CFDTable[[#This Row],[lookupLow]]))</f>
        <v>145.28571428571405</v>
      </c>
      <c r="O173" s="10">
        <f ca="1">IF(ISNUMBER($M173),SUM(CFDTable[[#This Row],[Done]]),IF(CFDTable[[#This Row],[lookupMedian]]&gt;=CFDTable[[#This Row],[FutureWork2]],NA(),CFDTable[[#This Row],[lookupMedian]]))</f>
        <v>158.57142857142873</v>
      </c>
      <c r="P173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171.85714285714349</v>
      </c>
      <c r="Q173" s="10">
        <f ca="1">CFDTable[[#This Row],[AvgDaily]]-CFDTable[[#This Row],[Deviation]]</f>
        <v>0.80952380952380931</v>
      </c>
      <c r="R173" s="10">
        <f ca="1">AVERAGE(IF(ISNUMBER(M173),IF(ISNUMBER(OFFSET(M173,-Historic,0)),OFFSET(M173,-Historic,0),M$2):M173,R172))</f>
        <v>0.95238095238095233</v>
      </c>
      <c r="S173" s="10">
        <f ca="1">AVERAGE(IF(ISNUMBER(M173),IF(ISNUMBER(OFFSET(M173,-Historic,0)),OFFSET(M173,-Historic,0),M$2):M173,S172))</f>
        <v>0.95238095238095233</v>
      </c>
      <c r="T173" s="10">
        <f ca="1">AVERAGE(IF(ISNUMBER(M173),OFFSET(M$2,DaysToIgnoreOnAvg,0):M173,T172))</f>
        <v>0.88311688311688308</v>
      </c>
      <c r="U173" s="10">
        <f ca="1">CFDTable[[#This Row],[AvgDaily]]+CFDTable[[#This Row],[Deviation]]</f>
        <v>1.0952380952380953</v>
      </c>
      <c r="V173" s="10">
        <f ca="1">IF(ISNUMBER(M173),((_xlfn.PERCENTILE.INC(IF(ISNUMBER(OFFSET(R173,-Historic,0)),OFFSET(R173,-Historic,0),R$2):R173,PercentileHigh/100))-(MEDIAN(IF(ISNUMBER(OFFSET(R173,-Historic,0)),OFFSET(R173,-Historic,0),R$2):R173))),V172)</f>
        <v>0.14285714285714302</v>
      </c>
      <c r="W173" s="10">
        <f ca="1">IF(ISNUMBER(M173),((_xlfn.PERCENTILE.INC(R$2:R173,PercentileHigh/100))-(MEDIAN(R$2:R173))),V172)</f>
        <v>0.14285714285714302</v>
      </c>
      <c r="X173" s="10" t="e">
        <f ca="1">(SUM(CFDTable[[#This Row],[To Do]:[Done]])-SUM(G172:L172))</f>
        <v>#N/A</v>
      </c>
      <c r="Y173" s="10">
        <f ca="1">AVERAGE(IF(ISNUMBER(X173),IF(ISNUMBER(OFFSET(X173,-Historic,0)),OFFSET(X173,-Historic,0),X$2):X173,Y172))</f>
        <v>1.1428571428571428</v>
      </c>
      <c r="Z173" s="10">
        <f ca="1">IF(ISNUMBER(CFDTable[[#This Row],[Done Today]]),SUM($G173:$L173),Z172+CFDTable[[#This Row],[avg added]])</f>
        <v>230.28571428571391</v>
      </c>
      <c r="AA173" s="10">
        <f ca="1">IF(ISNUMBER(CFDTable[[#This Row],[Done Today]]),SUM($G173:$L173),$AA172)</f>
        <v>124</v>
      </c>
      <c r="AB173" s="10">
        <f ca="1">IF(ISNUMBER(CFDTable[[#This Row],[Done Today]]),SUM($G173:$L173),$AB172)</f>
        <v>124</v>
      </c>
      <c r="AC173" s="10">
        <f ca="1">SUM(LOOKUP(2,1/(N$1:N172&lt;&gt;""),N$1:N172)+CFDTable[[#This Row],[lowDaily]])</f>
        <v>145.28571428571405</v>
      </c>
      <c r="AD173" s="10">
        <f ca="1">SUM(LOOKUP(2,1/(O$1:O172&lt;&gt;""),O$1:O172)+R173)</f>
        <v>158.57142857142873</v>
      </c>
      <c r="AE173" s="10">
        <f ca="1">SUM(LOOKUP(2,1/(P$1:P172&lt;&gt;""),P$1:P172)+CFDTable[[#This Row],[highDaily]])</f>
        <v>171.85714285714349</v>
      </c>
      <c r="AF173" s="12">
        <f>IF(CFDTable[[#This Row],[Date]]=DeadlineDate,CFDTable[[#This Row],[FutureWork2]],0)</f>
        <v>0</v>
      </c>
    </row>
    <row r="174" spans="1:32">
      <c r="A174" s="8">
        <f>CFDTable[[#This Row],[Date]]</f>
        <v>42655</v>
      </c>
      <c r="B174" s="38">
        <f>Data!B174</f>
        <v>42655</v>
      </c>
      <c r="C174" s="10">
        <f ca="1">IF(ISNUMBER(CFDTable[[#This Row],[Ready]]),NA(),CFDTable[[#This Row],[Target]]-CFDTable[[#This Row],[To Do]])</f>
        <v>77</v>
      </c>
      <c r="D174" s="10" t="e">
        <f>IF(CFDTable[[#This Row],[Emergence]]&gt;0,CFDTable[[#This Row],[Future Work]]-CFDTable[[#This Row],[Emergence]],NA())</f>
        <v>#N/A</v>
      </c>
      <c r="E174" s="10">
        <f>Data!C174</f>
        <v>0</v>
      </c>
      <c r="F174" s="10" t="str">
        <f ca="1">Data!D174</f>
        <v/>
      </c>
      <c r="G174" s="10">
        <f ca="1">Data!E174</f>
        <v>47</v>
      </c>
      <c r="H174" s="10" t="e">
        <f ca="1">IF(TodaysDate&gt;=$B174,Data!F174,NA())</f>
        <v>#N/A</v>
      </c>
      <c r="I174" s="10" t="e">
        <f ca="1">IF(TodaysDate&gt;=$B174,Data!G174,NA())</f>
        <v>#N/A</v>
      </c>
      <c r="J174" s="10" t="e">
        <f ca="1">IF(TodaysDate&gt;=$B174,Data!H174,NA())</f>
        <v>#N/A</v>
      </c>
      <c r="K174" s="10" t="e">
        <f ca="1">IF(TodaysDate&gt;=$B174,Data!I174,NA())</f>
        <v>#N/A</v>
      </c>
      <c r="L174" s="10" t="e">
        <f ca="1">IF(TodaysDate&gt;=$B174,Data!J174,NA())</f>
        <v>#N/A</v>
      </c>
      <c r="M174" s="10" t="e">
        <f ca="1">IF(CFDTable[[#This Row],[Done]]&gt;0,(CFDTable[[#This Row],[Done]])-(L173),0)</f>
        <v>#N/A</v>
      </c>
      <c r="N174" s="10">
        <f ca="1">IF(ISNUMBER($M174),SUM(CFDTable[[#This Row],[Done]]),IF(CFDTable[[#This Row],[lookupLow]]&gt;=CFDTable[[#This Row],[FutureWork2]]+CFDTable[[#This Row],[lowDaily]],NA(),CFDTable[[#This Row],[lookupLow]]))</f>
        <v>146.09523809523785</v>
      </c>
      <c r="O174" s="10">
        <f ca="1">IF(ISNUMBER($M174),SUM(CFDTable[[#This Row],[Done]]),IF(CFDTable[[#This Row],[lookupMedian]]&gt;=CFDTable[[#This Row],[FutureWork2]],NA(),CFDTable[[#This Row],[lookupMedian]]))</f>
        <v>159.52380952380969</v>
      </c>
      <c r="P174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172.95238095238159</v>
      </c>
      <c r="Q174" s="10">
        <f ca="1">CFDTable[[#This Row],[AvgDaily]]-CFDTable[[#This Row],[Deviation]]</f>
        <v>0.80952380952380931</v>
      </c>
      <c r="R174" s="10">
        <f ca="1">AVERAGE(IF(ISNUMBER(M174),IF(ISNUMBER(OFFSET(M174,-Historic,0)),OFFSET(M174,-Historic,0),M$2):M174,R173))</f>
        <v>0.95238095238095233</v>
      </c>
      <c r="S174" s="10">
        <f ca="1">AVERAGE(IF(ISNUMBER(M174),IF(ISNUMBER(OFFSET(M174,-Historic,0)),OFFSET(M174,-Historic,0),M$2):M174,S173))</f>
        <v>0.95238095238095233</v>
      </c>
      <c r="T174" s="10">
        <f ca="1">AVERAGE(IF(ISNUMBER(M174),OFFSET(M$2,DaysToIgnoreOnAvg,0):M174,T173))</f>
        <v>0.88311688311688308</v>
      </c>
      <c r="U174" s="10">
        <f ca="1">CFDTable[[#This Row],[AvgDaily]]+CFDTable[[#This Row],[Deviation]]</f>
        <v>1.0952380952380953</v>
      </c>
      <c r="V174" s="10">
        <f ca="1">IF(ISNUMBER(M174),((_xlfn.PERCENTILE.INC(IF(ISNUMBER(OFFSET(R174,-Historic,0)),OFFSET(R174,-Historic,0),R$2):R174,PercentileHigh/100))-(MEDIAN(IF(ISNUMBER(OFFSET(R174,-Historic,0)),OFFSET(R174,-Historic,0),R$2):R174))),V173)</f>
        <v>0.14285714285714302</v>
      </c>
      <c r="W174" s="10">
        <f ca="1">IF(ISNUMBER(M174),((_xlfn.PERCENTILE.INC(R$2:R174,PercentileHigh/100))-(MEDIAN(R$2:R174))),V173)</f>
        <v>0.14285714285714302</v>
      </c>
      <c r="X174" s="10" t="e">
        <f ca="1">(SUM(CFDTable[[#This Row],[To Do]:[Done]])-SUM(G173:L173))</f>
        <v>#N/A</v>
      </c>
      <c r="Y174" s="10">
        <f ca="1">AVERAGE(IF(ISNUMBER(X174),IF(ISNUMBER(OFFSET(X174,-Historic,0)),OFFSET(X174,-Historic,0),X$2):X174,Y173))</f>
        <v>1.1428571428571428</v>
      </c>
      <c r="Z174" s="10">
        <f ca="1">IF(ISNUMBER(CFDTable[[#This Row],[Done Today]]),SUM($G174:$L174),Z173+CFDTable[[#This Row],[avg added]])</f>
        <v>231.42857142857105</v>
      </c>
      <c r="AA174" s="10">
        <f ca="1">IF(ISNUMBER(CFDTable[[#This Row],[Done Today]]),SUM($G174:$L174),$AA173)</f>
        <v>124</v>
      </c>
      <c r="AB174" s="10">
        <f ca="1">IF(ISNUMBER(CFDTable[[#This Row],[Done Today]]),SUM($G174:$L174),$AB173)</f>
        <v>124</v>
      </c>
      <c r="AC174" s="10">
        <f ca="1">SUM(LOOKUP(2,1/(N$1:N173&lt;&gt;""),N$1:N173)+CFDTable[[#This Row],[lowDaily]])</f>
        <v>146.09523809523785</v>
      </c>
      <c r="AD174" s="10">
        <f ca="1">SUM(LOOKUP(2,1/(O$1:O173&lt;&gt;""),O$1:O173)+R174)</f>
        <v>159.52380952380969</v>
      </c>
      <c r="AE174" s="10">
        <f ca="1">SUM(LOOKUP(2,1/(P$1:P173&lt;&gt;""),P$1:P173)+CFDTable[[#This Row],[highDaily]])</f>
        <v>172.95238095238159</v>
      </c>
      <c r="AF174" s="12">
        <f>IF(CFDTable[[#This Row],[Date]]=DeadlineDate,CFDTable[[#This Row],[FutureWork2]],0)</f>
        <v>0</v>
      </c>
    </row>
    <row r="175" spans="1:32">
      <c r="A175" s="8">
        <f>CFDTable[[#This Row],[Date]]</f>
        <v>42656</v>
      </c>
      <c r="B175" s="38">
        <f>Data!B175</f>
        <v>42656</v>
      </c>
      <c r="C175" s="10">
        <f ca="1">IF(ISNUMBER(CFDTable[[#This Row],[Ready]]),NA(),CFDTable[[#This Row],[Target]]-CFDTable[[#This Row],[To Do]])</f>
        <v>77</v>
      </c>
      <c r="D175" s="10" t="e">
        <f>IF(CFDTable[[#This Row],[Emergence]]&gt;0,CFDTable[[#This Row],[Future Work]]-CFDTable[[#This Row],[Emergence]],NA())</f>
        <v>#N/A</v>
      </c>
      <c r="E175" s="10">
        <f>Data!C175</f>
        <v>0</v>
      </c>
      <c r="F175" s="10" t="str">
        <f ca="1">Data!D175</f>
        <v/>
      </c>
      <c r="G175" s="10">
        <f ca="1">Data!E175</f>
        <v>47</v>
      </c>
      <c r="H175" s="10" t="e">
        <f ca="1">IF(TodaysDate&gt;=$B175,Data!F175,NA())</f>
        <v>#N/A</v>
      </c>
      <c r="I175" s="10" t="e">
        <f ca="1">IF(TodaysDate&gt;=$B175,Data!G175,NA())</f>
        <v>#N/A</v>
      </c>
      <c r="J175" s="10" t="e">
        <f ca="1">IF(TodaysDate&gt;=$B175,Data!H175,NA())</f>
        <v>#N/A</v>
      </c>
      <c r="K175" s="10" t="e">
        <f ca="1">IF(TodaysDate&gt;=$B175,Data!I175,NA())</f>
        <v>#N/A</v>
      </c>
      <c r="L175" s="10" t="e">
        <f ca="1">IF(TodaysDate&gt;=$B175,Data!J175,NA())</f>
        <v>#N/A</v>
      </c>
      <c r="M175" s="10" t="e">
        <f ca="1">IF(CFDTable[[#This Row],[Done]]&gt;0,(CFDTable[[#This Row],[Done]])-(L174),0)</f>
        <v>#N/A</v>
      </c>
      <c r="N175" s="10">
        <f ca="1">IF(ISNUMBER($M175),SUM(CFDTable[[#This Row],[Done]]),IF(CFDTable[[#This Row],[lookupLow]]&gt;=CFDTable[[#This Row],[FutureWork2]]+CFDTable[[#This Row],[lowDaily]],NA(),CFDTable[[#This Row],[lookupLow]]))</f>
        <v>146.90476190476164</v>
      </c>
      <c r="O175" s="10">
        <f ca="1">IF(ISNUMBER($M175),SUM(CFDTable[[#This Row],[Done]]),IF(CFDTable[[#This Row],[lookupMedian]]&gt;=CFDTable[[#This Row],[FutureWork2]],NA(),CFDTable[[#This Row],[lookupMedian]]))</f>
        <v>160.47619047619065</v>
      </c>
      <c r="P175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174.04761904761969</v>
      </c>
      <c r="Q175" s="10">
        <f ca="1">CFDTable[[#This Row],[AvgDaily]]-CFDTable[[#This Row],[Deviation]]</f>
        <v>0.80952380952380931</v>
      </c>
      <c r="R175" s="10">
        <f ca="1">AVERAGE(IF(ISNUMBER(M175),IF(ISNUMBER(OFFSET(M175,-Historic,0)),OFFSET(M175,-Historic,0),M$2):M175,R174))</f>
        <v>0.95238095238095233</v>
      </c>
      <c r="S175" s="10">
        <f ca="1">AVERAGE(IF(ISNUMBER(M175),IF(ISNUMBER(OFFSET(M175,-Historic,0)),OFFSET(M175,-Historic,0),M$2):M175,S174))</f>
        <v>0.95238095238095233</v>
      </c>
      <c r="T175" s="10">
        <f ca="1">AVERAGE(IF(ISNUMBER(M175),OFFSET(M$2,DaysToIgnoreOnAvg,0):M175,T174))</f>
        <v>0.88311688311688308</v>
      </c>
      <c r="U175" s="10">
        <f ca="1">CFDTable[[#This Row],[AvgDaily]]+CFDTable[[#This Row],[Deviation]]</f>
        <v>1.0952380952380953</v>
      </c>
      <c r="V175" s="10">
        <f ca="1">IF(ISNUMBER(M175),((_xlfn.PERCENTILE.INC(IF(ISNUMBER(OFFSET(R175,-Historic,0)),OFFSET(R175,-Historic,0),R$2):R175,PercentileHigh/100))-(MEDIAN(IF(ISNUMBER(OFFSET(R175,-Historic,0)),OFFSET(R175,-Historic,0),R$2):R175))),V174)</f>
        <v>0.14285714285714302</v>
      </c>
      <c r="W175" s="10">
        <f ca="1">IF(ISNUMBER(M175),((_xlfn.PERCENTILE.INC(R$2:R175,PercentileHigh/100))-(MEDIAN(R$2:R175))),V174)</f>
        <v>0.14285714285714302</v>
      </c>
      <c r="X175" s="10" t="e">
        <f ca="1">(SUM(CFDTable[[#This Row],[To Do]:[Done]])-SUM(G174:L174))</f>
        <v>#N/A</v>
      </c>
      <c r="Y175" s="10">
        <f ca="1">AVERAGE(IF(ISNUMBER(X175),IF(ISNUMBER(OFFSET(X175,-Historic,0)),OFFSET(X175,-Historic,0),X$2):X175,Y174))</f>
        <v>1.1428571428571428</v>
      </c>
      <c r="Z175" s="10">
        <f ca="1">IF(ISNUMBER(CFDTable[[#This Row],[Done Today]]),SUM($G175:$L175),Z174+CFDTable[[#This Row],[avg added]])</f>
        <v>232.57142857142819</v>
      </c>
      <c r="AA175" s="10">
        <f ca="1">IF(ISNUMBER(CFDTable[[#This Row],[Done Today]]),SUM($G175:$L175),$AA174)</f>
        <v>124</v>
      </c>
      <c r="AB175" s="10">
        <f ca="1">IF(ISNUMBER(CFDTable[[#This Row],[Done Today]]),SUM($G175:$L175),$AB174)</f>
        <v>124</v>
      </c>
      <c r="AC175" s="10">
        <f ca="1">SUM(LOOKUP(2,1/(N$1:N174&lt;&gt;""),N$1:N174)+CFDTable[[#This Row],[lowDaily]])</f>
        <v>146.90476190476164</v>
      </c>
      <c r="AD175" s="10">
        <f ca="1">SUM(LOOKUP(2,1/(O$1:O174&lt;&gt;""),O$1:O174)+R175)</f>
        <v>160.47619047619065</v>
      </c>
      <c r="AE175" s="10">
        <f ca="1">SUM(LOOKUP(2,1/(P$1:P174&lt;&gt;""),P$1:P174)+CFDTable[[#This Row],[highDaily]])</f>
        <v>174.04761904761969</v>
      </c>
      <c r="AF175" s="12">
        <f>IF(CFDTable[[#This Row],[Date]]=DeadlineDate,CFDTable[[#This Row],[FutureWork2]],0)</f>
        <v>0</v>
      </c>
    </row>
    <row r="176" spans="1:32">
      <c r="A176" s="8">
        <f>CFDTable[[#This Row],[Date]]</f>
        <v>42657</v>
      </c>
      <c r="B176" s="38">
        <f>Data!B176</f>
        <v>42657</v>
      </c>
      <c r="C176" s="10">
        <f ca="1">IF(ISNUMBER(CFDTable[[#This Row],[Ready]]),NA(),CFDTable[[#This Row],[Target]]-CFDTable[[#This Row],[To Do]])</f>
        <v>77</v>
      </c>
      <c r="D176" s="10" t="e">
        <f>IF(CFDTable[[#This Row],[Emergence]]&gt;0,CFDTable[[#This Row],[Future Work]]-CFDTable[[#This Row],[Emergence]],NA())</f>
        <v>#N/A</v>
      </c>
      <c r="E176" s="10">
        <f>Data!C176</f>
        <v>0</v>
      </c>
      <c r="F176" s="10" t="str">
        <f ca="1">Data!D176</f>
        <v/>
      </c>
      <c r="G176" s="10">
        <f ca="1">Data!E176</f>
        <v>47</v>
      </c>
      <c r="H176" s="10" t="e">
        <f ca="1">IF(TodaysDate&gt;=$B176,Data!F176,NA())</f>
        <v>#N/A</v>
      </c>
      <c r="I176" s="10" t="e">
        <f ca="1">IF(TodaysDate&gt;=$B176,Data!G176,NA())</f>
        <v>#N/A</v>
      </c>
      <c r="J176" s="10" t="e">
        <f ca="1">IF(TodaysDate&gt;=$B176,Data!H176,NA())</f>
        <v>#N/A</v>
      </c>
      <c r="K176" s="10" t="e">
        <f ca="1">IF(TodaysDate&gt;=$B176,Data!I176,NA())</f>
        <v>#N/A</v>
      </c>
      <c r="L176" s="10" t="e">
        <f ca="1">IF(TodaysDate&gt;=$B176,Data!J176,NA())</f>
        <v>#N/A</v>
      </c>
      <c r="M176" s="10" t="e">
        <f ca="1">IF(CFDTable[[#This Row],[Done]]&gt;0,(CFDTable[[#This Row],[Done]])-(L175),0)</f>
        <v>#N/A</v>
      </c>
      <c r="N176" s="10">
        <f ca="1">IF(ISNUMBER($M176),SUM(CFDTable[[#This Row],[Done]]),IF(CFDTable[[#This Row],[lookupLow]]&gt;=CFDTable[[#This Row],[FutureWork2]]+CFDTable[[#This Row],[lowDaily]],NA(),CFDTable[[#This Row],[lookupLow]]))</f>
        <v>147.71428571428544</v>
      </c>
      <c r="O176" s="10">
        <f ca="1">IF(ISNUMBER($M176),SUM(CFDTable[[#This Row],[Done]]),IF(CFDTable[[#This Row],[lookupMedian]]&gt;=CFDTable[[#This Row],[FutureWork2]],NA(),CFDTable[[#This Row],[lookupMedian]]))</f>
        <v>161.42857142857162</v>
      </c>
      <c r="P176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175.14285714285779</v>
      </c>
      <c r="Q176" s="10">
        <f ca="1">CFDTable[[#This Row],[AvgDaily]]-CFDTable[[#This Row],[Deviation]]</f>
        <v>0.80952380952380931</v>
      </c>
      <c r="R176" s="10">
        <f ca="1">AVERAGE(IF(ISNUMBER(M176),IF(ISNUMBER(OFFSET(M176,-Historic,0)),OFFSET(M176,-Historic,0),M$2):M176,R175))</f>
        <v>0.95238095238095233</v>
      </c>
      <c r="S176" s="10">
        <f ca="1">AVERAGE(IF(ISNUMBER(M176),IF(ISNUMBER(OFFSET(M176,-Historic,0)),OFFSET(M176,-Historic,0),M$2):M176,S175))</f>
        <v>0.95238095238095233</v>
      </c>
      <c r="T176" s="10">
        <f ca="1">AVERAGE(IF(ISNUMBER(M176),OFFSET(M$2,DaysToIgnoreOnAvg,0):M176,T175))</f>
        <v>0.88311688311688308</v>
      </c>
      <c r="U176" s="10">
        <f ca="1">CFDTable[[#This Row],[AvgDaily]]+CFDTable[[#This Row],[Deviation]]</f>
        <v>1.0952380952380953</v>
      </c>
      <c r="V176" s="10">
        <f ca="1">IF(ISNUMBER(M176),((_xlfn.PERCENTILE.INC(IF(ISNUMBER(OFFSET(R176,-Historic,0)),OFFSET(R176,-Historic,0),R$2):R176,PercentileHigh/100))-(MEDIAN(IF(ISNUMBER(OFFSET(R176,-Historic,0)),OFFSET(R176,-Historic,0),R$2):R176))),V175)</f>
        <v>0.14285714285714302</v>
      </c>
      <c r="W176" s="10">
        <f ca="1">IF(ISNUMBER(M176),((_xlfn.PERCENTILE.INC(R$2:R176,PercentileHigh/100))-(MEDIAN(R$2:R176))),V175)</f>
        <v>0.14285714285714302</v>
      </c>
      <c r="X176" s="10" t="e">
        <f ca="1">(SUM(CFDTable[[#This Row],[To Do]:[Done]])-SUM(G175:L175))</f>
        <v>#N/A</v>
      </c>
      <c r="Y176" s="10">
        <f ca="1">AVERAGE(IF(ISNUMBER(X176),IF(ISNUMBER(OFFSET(X176,-Historic,0)),OFFSET(X176,-Historic,0),X$2):X176,Y175))</f>
        <v>1.1428571428571428</v>
      </c>
      <c r="Z176" s="10">
        <f ca="1">IF(ISNUMBER(CFDTable[[#This Row],[Done Today]]),SUM($G176:$L176),Z175+CFDTable[[#This Row],[avg added]])</f>
        <v>233.71428571428532</v>
      </c>
      <c r="AA176" s="10">
        <f ca="1">IF(ISNUMBER(CFDTable[[#This Row],[Done Today]]),SUM($G176:$L176),$AA175)</f>
        <v>124</v>
      </c>
      <c r="AB176" s="10">
        <f ca="1">IF(ISNUMBER(CFDTable[[#This Row],[Done Today]]),SUM($G176:$L176),$AB175)</f>
        <v>124</v>
      </c>
      <c r="AC176" s="10">
        <f ca="1">SUM(LOOKUP(2,1/(N$1:N175&lt;&gt;""),N$1:N175)+CFDTable[[#This Row],[lowDaily]])</f>
        <v>147.71428571428544</v>
      </c>
      <c r="AD176" s="10">
        <f ca="1">SUM(LOOKUP(2,1/(O$1:O175&lt;&gt;""),O$1:O175)+R176)</f>
        <v>161.42857142857162</v>
      </c>
      <c r="AE176" s="10">
        <f ca="1">SUM(LOOKUP(2,1/(P$1:P175&lt;&gt;""),P$1:P175)+CFDTable[[#This Row],[highDaily]])</f>
        <v>175.14285714285779</v>
      </c>
      <c r="AF176" s="12">
        <f>IF(CFDTable[[#This Row],[Date]]=DeadlineDate,CFDTable[[#This Row],[FutureWork2]],0)</f>
        <v>0</v>
      </c>
    </row>
    <row r="177" spans="1:32">
      <c r="A177" s="8">
        <f>CFDTable[[#This Row],[Date]]</f>
        <v>42660</v>
      </c>
      <c r="B177" s="38">
        <f>Data!B177</f>
        <v>42660</v>
      </c>
      <c r="C177" s="10">
        <f ca="1">IF(ISNUMBER(CFDTable[[#This Row],[Ready]]),NA(),CFDTable[[#This Row],[Target]]-CFDTable[[#This Row],[To Do]])</f>
        <v>77</v>
      </c>
      <c r="D177" s="10" t="e">
        <f>IF(CFDTable[[#This Row],[Emergence]]&gt;0,CFDTable[[#This Row],[Future Work]]-CFDTable[[#This Row],[Emergence]],NA())</f>
        <v>#N/A</v>
      </c>
      <c r="E177" s="10">
        <f>Data!C177</f>
        <v>0</v>
      </c>
      <c r="F177" s="10" t="str">
        <f ca="1">Data!D177</f>
        <v/>
      </c>
      <c r="G177" s="10">
        <f ca="1">Data!E177</f>
        <v>47</v>
      </c>
      <c r="H177" s="10" t="e">
        <f ca="1">IF(TodaysDate&gt;=$B177,Data!F177,NA())</f>
        <v>#N/A</v>
      </c>
      <c r="I177" s="10" t="e">
        <f ca="1">IF(TodaysDate&gt;=$B177,Data!G177,NA())</f>
        <v>#N/A</v>
      </c>
      <c r="J177" s="10" t="e">
        <f ca="1">IF(TodaysDate&gt;=$B177,Data!H177,NA())</f>
        <v>#N/A</v>
      </c>
      <c r="K177" s="10" t="e">
        <f ca="1">IF(TodaysDate&gt;=$B177,Data!I177,NA())</f>
        <v>#N/A</v>
      </c>
      <c r="L177" s="10" t="e">
        <f ca="1">IF(TodaysDate&gt;=$B177,Data!J177,NA())</f>
        <v>#N/A</v>
      </c>
      <c r="M177" s="10" t="e">
        <f ca="1">IF(CFDTable[[#This Row],[Done]]&gt;0,(CFDTable[[#This Row],[Done]])-(L176),0)</f>
        <v>#N/A</v>
      </c>
      <c r="N177" s="10">
        <f ca="1">IF(ISNUMBER($M177),SUM(CFDTable[[#This Row],[Done]]),IF(CFDTable[[#This Row],[lookupLow]]&gt;=CFDTable[[#This Row],[FutureWork2]]+CFDTable[[#This Row],[lowDaily]],NA(),CFDTable[[#This Row],[lookupLow]]))</f>
        <v>148.52380952380923</v>
      </c>
      <c r="O177" s="10">
        <f ca="1">IF(ISNUMBER($M177),SUM(CFDTable[[#This Row],[Done]]),IF(CFDTable[[#This Row],[lookupMedian]]&gt;=CFDTable[[#This Row],[FutureWork2]],NA(),CFDTable[[#This Row],[lookupMedian]]))</f>
        <v>162.38095238095258</v>
      </c>
      <c r="P177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176.23809523809589</v>
      </c>
      <c r="Q177" s="10">
        <f ca="1">CFDTable[[#This Row],[AvgDaily]]-CFDTable[[#This Row],[Deviation]]</f>
        <v>0.80952380952380931</v>
      </c>
      <c r="R177" s="10">
        <f ca="1">AVERAGE(IF(ISNUMBER(M177),IF(ISNUMBER(OFFSET(M177,-Historic,0)),OFFSET(M177,-Historic,0),M$2):M177,R176))</f>
        <v>0.95238095238095233</v>
      </c>
      <c r="S177" s="10">
        <f ca="1">AVERAGE(IF(ISNUMBER(M177),IF(ISNUMBER(OFFSET(M177,-Historic,0)),OFFSET(M177,-Historic,0),M$2):M177,S176))</f>
        <v>0.95238095238095233</v>
      </c>
      <c r="T177" s="10">
        <f ca="1">AVERAGE(IF(ISNUMBER(M177),OFFSET(M$2,DaysToIgnoreOnAvg,0):M177,T176))</f>
        <v>0.88311688311688308</v>
      </c>
      <c r="U177" s="10">
        <f ca="1">CFDTable[[#This Row],[AvgDaily]]+CFDTable[[#This Row],[Deviation]]</f>
        <v>1.0952380952380953</v>
      </c>
      <c r="V177" s="10">
        <f ca="1">IF(ISNUMBER(M177),((_xlfn.PERCENTILE.INC(IF(ISNUMBER(OFFSET(R177,-Historic,0)),OFFSET(R177,-Historic,0),R$2):R177,PercentileHigh/100))-(MEDIAN(IF(ISNUMBER(OFFSET(R177,-Historic,0)),OFFSET(R177,-Historic,0),R$2):R177))),V176)</f>
        <v>0.14285714285714302</v>
      </c>
      <c r="W177" s="10">
        <f ca="1">IF(ISNUMBER(M177),((_xlfn.PERCENTILE.INC(R$2:R177,PercentileHigh/100))-(MEDIAN(R$2:R177))),V176)</f>
        <v>0.14285714285714302</v>
      </c>
      <c r="X177" s="10" t="e">
        <f ca="1">(SUM(CFDTable[[#This Row],[To Do]:[Done]])-SUM(G176:L176))</f>
        <v>#N/A</v>
      </c>
      <c r="Y177" s="10">
        <f ca="1">AVERAGE(IF(ISNUMBER(X177),IF(ISNUMBER(OFFSET(X177,-Historic,0)),OFFSET(X177,-Historic,0),X$2):X177,Y176))</f>
        <v>1.1428571428571428</v>
      </c>
      <c r="Z177" s="10">
        <f ca="1">IF(ISNUMBER(CFDTable[[#This Row],[Done Today]]),SUM($G177:$L177),Z176+CFDTable[[#This Row],[avg added]])</f>
        <v>234.85714285714246</v>
      </c>
      <c r="AA177" s="10">
        <f ca="1">IF(ISNUMBER(CFDTable[[#This Row],[Done Today]]),SUM($G177:$L177),$AA176)</f>
        <v>124</v>
      </c>
      <c r="AB177" s="10">
        <f ca="1">IF(ISNUMBER(CFDTable[[#This Row],[Done Today]]),SUM($G177:$L177),$AB176)</f>
        <v>124</v>
      </c>
      <c r="AC177" s="10">
        <f ca="1">SUM(LOOKUP(2,1/(N$1:N176&lt;&gt;""),N$1:N176)+CFDTable[[#This Row],[lowDaily]])</f>
        <v>148.52380952380923</v>
      </c>
      <c r="AD177" s="10">
        <f ca="1">SUM(LOOKUP(2,1/(O$1:O176&lt;&gt;""),O$1:O176)+R177)</f>
        <v>162.38095238095258</v>
      </c>
      <c r="AE177" s="10">
        <f ca="1">SUM(LOOKUP(2,1/(P$1:P176&lt;&gt;""),P$1:P176)+CFDTable[[#This Row],[highDaily]])</f>
        <v>176.23809523809589</v>
      </c>
      <c r="AF177" s="12">
        <f>IF(CFDTable[[#This Row],[Date]]=DeadlineDate,CFDTable[[#This Row],[FutureWork2]],0)</f>
        <v>0</v>
      </c>
    </row>
    <row r="178" spans="1:32">
      <c r="A178" s="8">
        <f>CFDTable[[#This Row],[Date]]</f>
        <v>42661</v>
      </c>
      <c r="B178" s="38">
        <f>Data!B178</f>
        <v>42661</v>
      </c>
      <c r="C178" s="10">
        <f ca="1">IF(ISNUMBER(CFDTable[[#This Row],[Ready]]),NA(),CFDTable[[#This Row],[Target]]-CFDTable[[#This Row],[To Do]])</f>
        <v>77</v>
      </c>
      <c r="D178" s="10" t="e">
        <f>IF(CFDTable[[#This Row],[Emergence]]&gt;0,CFDTable[[#This Row],[Future Work]]-CFDTable[[#This Row],[Emergence]],NA())</f>
        <v>#N/A</v>
      </c>
      <c r="E178" s="10">
        <f>Data!C178</f>
        <v>0</v>
      </c>
      <c r="F178" s="10" t="str">
        <f ca="1">Data!D178</f>
        <v/>
      </c>
      <c r="G178" s="10">
        <f ca="1">Data!E178</f>
        <v>47</v>
      </c>
      <c r="H178" s="10" t="e">
        <f ca="1">IF(TodaysDate&gt;=$B178,Data!F178,NA())</f>
        <v>#N/A</v>
      </c>
      <c r="I178" s="10" t="e">
        <f ca="1">IF(TodaysDate&gt;=$B178,Data!G178,NA())</f>
        <v>#N/A</v>
      </c>
      <c r="J178" s="10" t="e">
        <f ca="1">IF(TodaysDate&gt;=$B178,Data!H178,NA())</f>
        <v>#N/A</v>
      </c>
      <c r="K178" s="10" t="e">
        <f ca="1">IF(TodaysDate&gt;=$B178,Data!I178,NA())</f>
        <v>#N/A</v>
      </c>
      <c r="L178" s="10" t="e">
        <f ca="1">IF(TodaysDate&gt;=$B178,Data!J178,NA())</f>
        <v>#N/A</v>
      </c>
      <c r="M178" s="10" t="e">
        <f ca="1">IF(CFDTable[[#This Row],[Done]]&gt;0,(CFDTable[[#This Row],[Done]])-(L177),0)</f>
        <v>#N/A</v>
      </c>
      <c r="N178" s="10">
        <f ca="1">IF(ISNUMBER($M178),SUM(CFDTable[[#This Row],[Done]]),IF(CFDTable[[#This Row],[lookupLow]]&gt;=CFDTable[[#This Row],[FutureWork2]]+CFDTable[[#This Row],[lowDaily]],NA(),CFDTable[[#This Row],[lookupLow]]))</f>
        <v>149.33333333333303</v>
      </c>
      <c r="O178" s="10">
        <f ca="1">IF(ISNUMBER($M178),SUM(CFDTable[[#This Row],[Done]]),IF(CFDTable[[#This Row],[lookupMedian]]&gt;=CFDTable[[#This Row],[FutureWork2]],NA(),CFDTable[[#This Row],[lookupMedian]]))</f>
        <v>163.33333333333354</v>
      </c>
      <c r="P178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177.333333333334</v>
      </c>
      <c r="Q178" s="10">
        <f ca="1">CFDTable[[#This Row],[AvgDaily]]-CFDTable[[#This Row],[Deviation]]</f>
        <v>0.80952380952380931</v>
      </c>
      <c r="R178" s="10">
        <f ca="1">AVERAGE(IF(ISNUMBER(M178),IF(ISNUMBER(OFFSET(M178,-Historic,0)),OFFSET(M178,-Historic,0),M$2):M178,R177))</f>
        <v>0.95238095238095233</v>
      </c>
      <c r="S178" s="10">
        <f ca="1">AVERAGE(IF(ISNUMBER(M178),IF(ISNUMBER(OFFSET(M178,-Historic,0)),OFFSET(M178,-Historic,0),M$2):M178,S177))</f>
        <v>0.95238095238095233</v>
      </c>
      <c r="T178" s="10">
        <f ca="1">AVERAGE(IF(ISNUMBER(M178),OFFSET(M$2,DaysToIgnoreOnAvg,0):M178,T177))</f>
        <v>0.88311688311688308</v>
      </c>
      <c r="U178" s="10">
        <f ca="1">CFDTable[[#This Row],[AvgDaily]]+CFDTable[[#This Row],[Deviation]]</f>
        <v>1.0952380952380953</v>
      </c>
      <c r="V178" s="10">
        <f ca="1">IF(ISNUMBER(M178),((_xlfn.PERCENTILE.INC(IF(ISNUMBER(OFFSET(R178,-Historic,0)),OFFSET(R178,-Historic,0),R$2):R178,PercentileHigh/100))-(MEDIAN(IF(ISNUMBER(OFFSET(R178,-Historic,0)),OFFSET(R178,-Historic,0),R$2):R178))),V177)</f>
        <v>0.14285714285714302</v>
      </c>
      <c r="W178" s="10">
        <f ca="1">IF(ISNUMBER(M178),((_xlfn.PERCENTILE.INC(R$2:R178,PercentileHigh/100))-(MEDIAN(R$2:R178))),V177)</f>
        <v>0.14285714285714302</v>
      </c>
      <c r="X178" s="10" t="e">
        <f ca="1">(SUM(CFDTable[[#This Row],[To Do]:[Done]])-SUM(G177:L177))</f>
        <v>#N/A</v>
      </c>
      <c r="Y178" s="10">
        <f ca="1">AVERAGE(IF(ISNUMBER(X178),IF(ISNUMBER(OFFSET(X178,-Historic,0)),OFFSET(X178,-Historic,0),X$2):X178,Y177))</f>
        <v>1.1428571428571428</v>
      </c>
      <c r="Z178" s="10">
        <f ca="1">IF(ISNUMBER(CFDTable[[#This Row],[Done Today]]),SUM($G178:$L178),Z177+CFDTable[[#This Row],[avg added]])</f>
        <v>235.9999999999996</v>
      </c>
      <c r="AA178" s="10">
        <f ca="1">IF(ISNUMBER(CFDTable[[#This Row],[Done Today]]),SUM($G178:$L178),$AA177)</f>
        <v>124</v>
      </c>
      <c r="AB178" s="10">
        <f ca="1">IF(ISNUMBER(CFDTable[[#This Row],[Done Today]]),SUM($G178:$L178),$AB177)</f>
        <v>124</v>
      </c>
      <c r="AC178" s="10">
        <f ca="1">SUM(LOOKUP(2,1/(N$1:N177&lt;&gt;""),N$1:N177)+CFDTable[[#This Row],[lowDaily]])</f>
        <v>149.33333333333303</v>
      </c>
      <c r="AD178" s="10">
        <f ca="1">SUM(LOOKUP(2,1/(O$1:O177&lt;&gt;""),O$1:O177)+R178)</f>
        <v>163.33333333333354</v>
      </c>
      <c r="AE178" s="10">
        <f ca="1">SUM(LOOKUP(2,1/(P$1:P177&lt;&gt;""),P$1:P177)+CFDTable[[#This Row],[highDaily]])</f>
        <v>177.333333333334</v>
      </c>
      <c r="AF178" s="12">
        <f>IF(CFDTable[[#This Row],[Date]]=DeadlineDate,CFDTable[[#This Row],[FutureWork2]],0)</f>
        <v>0</v>
      </c>
    </row>
    <row r="179" spans="1:32">
      <c r="A179" s="8">
        <f>CFDTable[[#This Row],[Date]]</f>
        <v>42662</v>
      </c>
      <c r="B179" s="38">
        <f>Data!B179</f>
        <v>42662</v>
      </c>
      <c r="C179" s="10">
        <f ca="1">IF(ISNUMBER(CFDTable[[#This Row],[Ready]]),NA(),CFDTable[[#This Row],[Target]]-CFDTable[[#This Row],[To Do]])</f>
        <v>77</v>
      </c>
      <c r="D179" s="10" t="e">
        <f>IF(CFDTable[[#This Row],[Emergence]]&gt;0,CFDTable[[#This Row],[Future Work]]-CFDTable[[#This Row],[Emergence]],NA())</f>
        <v>#N/A</v>
      </c>
      <c r="E179" s="10">
        <f>Data!C179</f>
        <v>0</v>
      </c>
      <c r="F179" s="10" t="str">
        <f ca="1">Data!D179</f>
        <v/>
      </c>
      <c r="G179" s="10">
        <f ca="1">Data!E179</f>
        <v>47</v>
      </c>
      <c r="H179" s="10" t="e">
        <f ca="1">IF(TodaysDate&gt;=$B179,Data!F179,NA())</f>
        <v>#N/A</v>
      </c>
      <c r="I179" s="10" t="e">
        <f ca="1">IF(TodaysDate&gt;=$B179,Data!G179,NA())</f>
        <v>#N/A</v>
      </c>
      <c r="J179" s="10" t="e">
        <f ca="1">IF(TodaysDate&gt;=$B179,Data!H179,NA())</f>
        <v>#N/A</v>
      </c>
      <c r="K179" s="10" t="e">
        <f ca="1">IF(TodaysDate&gt;=$B179,Data!I179,NA())</f>
        <v>#N/A</v>
      </c>
      <c r="L179" s="10" t="e">
        <f ca="1">IF(TodaysDate&gt;=$B179,Data!J179,NA())</f>
        <v>#N/A</v>
      </c>
      <c r="M179" s="10" t="e">
        <f ca="1">IF(CFDTable[[#This Row],[Done]]&gt;0,(CFDTable[[#This Row],[Done]])-(L178),0)</f>
        <v>#N/A</v>
      </c>
      <c r="N179" s="10">
        <f ca="1">IF(ISNUMBER($M179),SUM(CFDTable[[#This Row],[Done]]),IF(CFDTable[[#This Row],[lookupLow]]&gt;=CFDTable[[#This Row],[FutureWork2]]+CFDTable[[#This Row],[lowDaily]],NA(),CFDTable[[#This Row],[lookupLow]]))</f>
        <v>150.14285714285683</v>
      </c>
      <c r="O179" s="10">
        <f ca="1">IF(ISNUMBER($M179),SUM(CFDTable[[#This Row],[Done]]),IF(CFDTable[[#This Row],[lookupMedian]]&gt;=CFDTable[[#This Row],[FutureWork2]],NA(),CFDTable[[#This Row],[lookupMedian]]))</f>
        <v>164.2857142857145</v>
      </c>
      <c r="P179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178.4285714285721</v>
      </c>
      <c r="Q179" s="10">
        <f ca="1">CFDTable[[#This Row],[AvgDaily]]-CFDTable[[#This Row],[Deviation]]</f>
        <v>0.80952380952380931</v>
      </c>
      <c r="R179" s="10">
        <f ca="1">AVERAGE(IF(ISNUMBER(M179),IF(ISNUMBER(OFFSET(M179,-Historic,0)),OFFSET(M179,-Historic,0),M$2):M179,R178))</f>
        <v>0.95238095238095233</v>
      </c>
      <c r="S179" s="10">
        <f ca="1">AVERAGE(IF(ISNUMBER(M179),IF(ISNUMBER(OFFSET(M179,-Historic,0)),OFFSET(M179,-Historic,0),M$2):M179,S178))</f>
        <v>0.95238095238095233</v>
      </c>
      <c r="T179" s="10">
        <f ca="1">AVERAGE(IF(ISNUMBER(M179),OFFSET(M$2,DaysToIgnoreOnAvg,0):M179,T178))</f>
        <v>0.88311688311688308</v>
      </c>
      <c r="U179" s="10">
        <f ca="1">CFDTable[[#This Row],[AvgDaily]]+CFDTable[[#This Row],[Deviation]]</f>
        <v>1.0952380952380953</v>
      </c>
      <c r="V179" s="10">
        <f ca="1">IF(ISNUMBER(M179),((_xlfn.PERCENTILE.INC(IF(ISNUMBER(OFFSET(R179,-Historic,0)),OFFSET(R179,-Historic,0),R$2):R179,PercentileHigh/100))-(MEDIAN(IF(ISNUMBER(OFFSET(R179,-Historic,0)),OFFSET(R179,-Historic,0),R$2):R179))),V178)</f>
        <v>0.14285714285714302</v>
      </c>
      <c r="W179" s="10">
        <f ca="1">IF(ISNUMBER(M179),((_xlfn.PERCENTILE.INC(R$2:R179,PercentileHigh/100))-(MEDIAN(R$2:R179))),V178)</f>
        <v>0.14285714285714302</v>
      </c>
      <c r="X179" s="10" t="e">
        <f ca="1">(SUM(CFDTable[[#This Row],[To Do]:[Done]])-SUM(G178:L178))</f>
        <v>#N/A</v>
      </c>
      <c r="Y179" s="10">
        <f ca="1">AVERAGE(IF(ISNUMBER(X179),IF(ISNUMBER(OFFSET(X179,-Historic,0)),OFFSET(X179,-Historic,0),X$2):X179,Y178))</f>
        <v>1.1428571428571428</v>
      </c>
      <c r="Z179" s="10">
        <f ca="1">IF(ISNUMBER(CFDTable[[#This Row],[Done Today]]),SUM($G179:$L179),Z178+CFDTable[[#This Row],[avg added]])</f>
        <v>237.14285714285674</v>
      </c>
      <c r="AA179" s="10">
        <f ca="1">IF(ISNUMBER(CFDTable[[#This Row],[Done Today]]),SUM($G179:$L179),$AA178)</f>
        <v>124</v>
      </c>
      <c r="AB179" s="10">
        <f ca="1">IF(ISNUMBER(CFDTable[[#This Row],[Done Today]]),SUM($G179:$L179),$AB178)</f>
        <v>124</v>
      </c>
      <c r="AC179" s="10">
        <f ca="1">SUM(LOOKUP(2,1/(N$1:N178&lt;&gt;""),N$1:N178)+CFDTable[[#This Row],[lowDaily]])</f>
        <v>150.14285714285683</v>
      </c>
      <c r="AD179" s="10">
        <f ca="1">SUM(LOOKUP(2,1/(O$1:O178&lt;&gt;""),O$1:O178)+R179)</f>
        <v>164.2857142857145</v>
      </c>
      <c r="AE179" s="10">
        <f ca="1">SUM(LOOKUP(2,1/(P$1:P178&lt;&gt;""),P$1:P178)+CFDTable[[#This Row],[highDaily]])</f>
        <v>178.4285714285721</v>
      </c>
      <c r="AF179" s="12">
        <f>IF(CFDTable[[#This Row],[Date]]=DeadlineDate,CFDTable[[#This Row],[FutureWork2]],0)</f>
        <v>0</v>
      </c>
    </row>
    <row r="180" spans="1:32">
      <c r="A180" s="8">
        <f>CFDTable[[#This Row],[Date]]</f>
        <v>42663</v>
      </c>
      <c r="B180" s="38">
        <f>Data!B180</f>
        <v>42663</v>
      </c>
      <c r="C180" s="10">
        <f ca="1">IF(ISNUMBER(CFDTable[[#This Row],[Ready]]),NA(),CFDTable[[#This Row],[Target]]-CFDTable[[#This Row],[To Do]])</f>
        <v>77</v>
      </c>
      <c r="D180" s="10" t="e">
        <f>IF(CFDTable[[#This Row],[Emergence]]&gt;0,CFDTable[[#This Row],[Future Work]]-CFDTable[[#This Row],[Emergence]],NA())</f>
        <v>#N/A</v>
      </c>
      <c r="E180" s="10">
        <f>Data!C180</f>
        <v>0</v>
      </c>
      <c r="F180" s="10" t="str">
        <f ca="1">Data!D180</f>
        <v/>
      </c>
      <c r="G180" s="10">
        <f ca="1">Data!E180</f>
        <v>47</v>
      </c>
      <c r="H180" s="10" t="e">
        <f ca="1">IF(TodaysDate&gt;=$B180,Data!F180,NA())</f>
        <v>#N/A</v>
      </c>
      <c r="I180" s="10" t="e">
        <f ca="1">IF(TodaysDate&gt;=$B180,Data!G180,NA())</f>
        <v>#N/A</v>
      </c>
      <c r="J180" s="10" t="e">
        <f ca="1">IF(TodaysDate&gt;=$B180,Data!H180,NA())</f>
        <v>#N/A</v>
      </c>
      <c r="K180" s="10" t="e">
        <f ca="1">IF(TodaysDate&gt;=$B180,Data!I180,NA())</f>
        <v>#N/A</v>
      </c>
      <c r="L180" s="10" t="e">
        <f ca="1">IF(TodaysDate&gt;=$B180,Data!J180,NA())</f>
        <v>#N/A</v>
      </c>
      <c r="M180" s="10" t="e">
        <f ca="1">IF(CFDTable[[#This Row],[Done]]&gt;0,(CFDTable[[#This Row],[Done]])-(L179),0)</f>
        <v>#N/A</v>
      </c>
      <c r="N180" s="10">
        <f ca="1">IF(ISNUMBER($M180),SUM(CFDTable[[#This Row],[Done]]),IF(CFDTable[[#This Row],[lookupLow]]&gt;=CFDTable[[#This Row],[FutureWork2]]+CFDTable[[#This Row],[lowDaily]],NA(),CFDTable[[#This Row],[lookupLow]]))</f>
        <v>150.95238095238062</v>
      </c>
      <c r="O180" s="10">
        <f ca="1">IF(ISNUMBER($M180),SUM(CFDTable[[#This Row],[Done]]),IF(CFDTable[[#This Row],[lookupMedian]]&gt;=CFDTable[[#This Row],[FutureWork2]],NA(),CFDTable[[#This Row],[lookupMedian]]))</f>
        <v>165.23809523809547</v>
      </c>
      <c r="P180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179.5238095238102</v>
      </c>
      <c r="Q180" s="10">
        <f ca="1">CFDTable[[#This Row],[AvgDaily]]-CFDTable[[#This Row],[Deviation]]</f>
        <v>0.80952380952380931</v>
      </c>
      <c r="R180" s="10">
        <f ca="1">AVERAGE(IF(ISNUMBER(M180),IF(ISNUMBER(OFFSET(M180,-Historic,0)),OFFSET(M180,-Historic,0),M$2):M180,R179))</f>
        <v>0.95238095238095233</v>
      </c>
      <c r="S180" s="10">
        <f ca="1">AVERAGE(IF(ISNUMBER(M180),IF(ISNUMBER(OFFSET(M180,-Historic,0)),OFFSET(M180,-Historic,0),M$2):M180,S179))</f>
        <v>0.95238095238095233</v>
      </c>
      <c r="T180" s="10">
        <f ca="1">AVERAGE(IF(ISNUMBER(M180),OFFSET(M$2,DaysToIgnoreOnAvg,0):M180,T179))</f>
        <v>0.88311688311688308</v>
      </c>
      <c r="U180" s="10">
        <f ca="1">CFDTable[[#This Row],[AvgDaily]]+CFDTable[[#This Row],[Deviation]]</f>
        <v>1.0952380952380953</v>
      </c>
      <c r="V180" s="10">
        <f ca="1">IF(ISNUMBER(M180),((_xlfn.PERCENTILE.INC(IF(ISNUMBER(OFFSET(R180,-Historic,0)),OFFSET(R180,-Historic,0),R$2):R180,PercentileHigh/100))-(MEDIAN(IF(ISNUMBER(OFFSET(R180,-Historic,0)),OFFSET(R180,-Historic,0),R$2):R180))),V179)</f>
        <v>0.14285714285714302</v>
      </c>
      <c r="W180" s="10">
        <f ca="1">IF(ISNUMBER(M180),((_xlfn.PERCENTILE.INC(R$2:R180,PercentileHigh/100))-(MEDIAN(R$2:R180))),V179)</f>
        <v>0.14285714285714302</v>
      </c>
      <c r="X180" s="10" t="e">
        <f ca="1">(SUM(CFDTable[[#This Row],[To Do]:[Done]])-SUM(G179:L179))</f>
        <v>#N/A</v>
      </c>
      <c r="Y180" s="10">
        <f ca="1">AVERAGE(IF(ISNUMBER(X180),IF(ISNUMBER(OFFSET(X180,-Historic,0)),OFFSET(X180,-Historic,0),X$2):X180,Y179))</f>
        <v>1.1428571428571428</v>
      </c>
      <c r="Z180" s="10">
        <f ca="1">IF(ISNUMBER(CFDTable[[#This Row],[Done Today]]),SUM($G180:$L180),Z179+CFDTable[[#This Row],[avg added]])</f>
        <v>238.28571428571388</v>
      </c>
      <c r="AA180" s="10">
        <f ca="1">IF(ISNUMBER(CFDTable[[#This Row],[Done Today]]),SUM($G180:$L180),$AA179)</f>
        <v>124</v>
      </c>
      <c r="AB180" s="10">
        <f ca="1">IF(ISNUMBER(CFDTable[[#This Row],[Done Today]]),SUM($G180:$L180),$AB179)</f>
        <v>124</v>
      </c>
      <c r="AC180" s="10">
        <f ca="1">SUM(LOOKUP(2,1/(N$1:N179&lt;&gt;""),N$1:N179)+CFDTable[[#This Row],[lowDaily]])</f>
        <v>150.95238095238062</v>
      </c>
      <c r="AD180" s="10">
        <f ca="1">SUM(LOOKUP(2,1/(O$1:O179&lt;&gt;""),O$1:O179)+R180)</f>
        <v>165.23809523809547</v>
      </c>
      <c r="AE180" s="10">
        <f ca="1">SUM(LOOKUP(2,1/(P$1:P179&lt;&gt;""),P$1:P179)+CFDTable[[#This Row],[highDaily]])</f>
        <v>179.5238095238102</v>
      </c>
      <c r="AF180" s="12">
        <f>IF(CFDTable[[#This Row],[Date]]=DeadlineDate,CFDTable[[#This Row],[FutureWork2]],0)</f>
        <v>0</v>
      </c>
    </row>
    <row r="181" spans="1:32">
      <c r="A181" s="8">
        <f>CFDTable[[#This Row],[Date]]</f>
        <v>42664</v>
      </c>
      <c r="B181" s="38">
        <f>Data!B181</f>
        <v>42664</v>
      </c>
      <c r="C181" s="10">
        <f ca="1">IF(ISNUMBER(CFDTable[[#This Row],[Ready]]),NA(),CFDTable[[#This Row],[Target]]-CFDTable[[#This Row],[To Do]])</f>
        <v>77</v>
      </c>
      <c r="D181" s="10" t="e">
        <f>IF(CFDTable[[#This Row],[Emergence]]&gt;0,CFDTable[[#This Row],[Future Work]]-CFDTable[[#This Row],[Emergence]],NA())</f>
        <v>#N/A</v>
      </c>
      <c r="E181" s="10">
        <f>Data!C181</f>
        <v>0</v>
      </c>
      <c r="F181" s="10" t="str">
        <f ca="1">Data!D181</f>
        <v/>
      </c>
      <c r="G181" s="10">
        <f ca="1">Data!E181</f>
        <v>47</v>
      </c>
      <c r="H181" s="10" t="e">
        <f ca="1">IF(TodaysDate&gt;=$B181,Data!F181,NA())</f>
        <v>#N/A</v>
      </c>
      <c r="I181" s="10" t="e">
        <f ca="1">IF(TodaysDate&gt;=$B181,Data!G181,NA())</f>
        <v>#N/A</v>
      </c>
      <c r="J181" s="10" t="e">
        <f ca="1">IF(TodaysDate&gt;=$B181,Data!H181,NA())</f>
        <v>#N/A</v>
      </c>
      <c r="K181" s="10" t="e">
        <f ca="1">IF(TodaysDate&gt;=$B181,Data!I181,NA())</f>
        <v>#N/A</v>
      </c>
      <c r="L181" s="10" t="e">
        <f ca="1">IF(TodaysDate&gt;=$B181,Data!J181,NA())</f>
        <v>#N/A</v>
      </c>
      <c r="M181" s="10" t="e">
        <f ca="1">IF(CFDTable[[#This Row],[Done]]&gt;0,(CFDTable[[#This Row],[Done]])-(L180),0)</f>
        <v>#N/A</v>
      </c>
      <c r="N181" s="10">
        <f ca="1">IF(ISNUMBER($M181),SUM(CFDTable[[#This Row],[Done]]),IF(CFDTable[[#This Row],[lookupLow]]&gt;=CFDTable[[#This Row],[FutureWork2]]+CFDTable[[#This Row],[lowDaily]],NA(),CFDTable[[#This Row],[lookupLow]]))</f>
        <v>151.76190476190442</v>
      </c>
      <c r="O181" s="10">
        <f ca="1">IF(ISNUMBER($M181),SUM(CFDTable[[#This Row],[Done]]),IF(CFDTable[[#This Row],[lookupMedian]]&gt;=CFDTable[[#This Row],[FutureWork2]],NA(),CFDTable[[#This Row],[lookupMedian]]))</f>
        <v>166.19047619047643</v>
      </c>
      <c r="P181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180.6190476190483</v>
      </c>
      <c r="Q181" s="10">
        <f ca="1">CFDTable[[#This Row],[AvgDaily]]-CFDTable[[#This Row],[Deviation]]</f>
        <v>0.80952380952380931</v>
      </c>
      <c r="R181" s="10">
        <f ca="1">AVERAGE(IF(ISNUMBER(M181),IF(ISNUMBER(OFFSET(M181,-Historic,0)),OFFSET(M181,-Historic,0),M$2):M181,R180))</f>
        <v>0.95238095238095233</v>
      </c>
      <c r="S181" s="10">
        <f ca="1">AVERAGE(IF(ISNUMBER(M181),IF(ISNUMBER(OFFSET(M181,-Historic,0)),OFFSET(M181,-Historic,0),M$2):M181,S180))</f>
        <v>0.95238095238095233</v>
      </c>
      <c r="T181" s="10">
        <f ca="1">AVERAGE(IF(ISNUMBER(M181),OFFSET(M$2,DaysToIgnoreOnAvg,0):M181,T180))</f>
        <v>0.88311688311688308</v>
      </c>
      <c r="U181" s="10">
        <f ca="1">CFDTable[[#This Row],[AvgDaily]]+CFDTable[[#This Row],[Deviation]]</f>
        <v>1.0952380952380953</v>
      </c>
      <c r="V181" s="10">
        <f ca="1">IF(ISNUMBER(M181),((_xlfn.PERCENTILE.INC(IF(ISNUMBER(OFFSET(R181,-Historic,0)),OFFSET(R181,-Historic,0),R$2):R181,PercentileHigh/100))-(MEDIAN(IF(ISNUMBER(OFFSET(R181,-Historic,0)),OFFSET(R181,-Historic,0),R$2):R181))),V180)</f>
        <v>0.14285714285714302</v>
      </c>
      <c r="W181" s="10">
        <f ca="1">IF(ISNUMBER(M181),((_xlfn.PERCENTILE.INC(R$2:R181,PercentileHigh/100))-(MEDIAN(R$2:R181))),V180)</f>
        <v>0.14285714285714302</v>
      </c>
      <c r="X181" s="10" t="e">
        <f ca="1">(SUM(CFDTable[[#This Row],[To Do]:[Done]])-SUM(G180:L180))</f>
        <v>#N/A</v>
      </c>
      <c r="Y181" s="10">
        <f ca="1">AVERAGE(IF(ISNUMBER(X181),IF(ISNUMBER(OFFSET(X181,-Historic,0)),OFFSET(X181,-Historic,0),X$2):X181,Y180))</f>
        <v>1.1428571428571428</v>
      </c>
      <c r="Z181" s="10">
        <f ca="1">IF(ISNUMBER(CFDTable[[#This Row],[Done Today]]),SUM($G181:$L181),Z180+CFDTable[[#This Row],[avg added]])</f>
        <v>239.42857142857102</v>
      </c>
      <c r="AA181" s="10">
        <f ca="1">IF(ISNUMBER(CFDTable[[#This Row],[Done Today]]),SUM($G181:$L181),$AA180)</f>
        <v>124</v>
      </c>
      <c r="AB181" s="10">
        <f ca="1">IF(ISNUMBER(CFDTable[[#This Row],[Done Today]]),SUM($G181:$L181),$AB180)</f>
        <v>124</v>
      </c>
      <c r="AC181" s="10">
        <f ca="1">SUM(LOOKUP(2,1/(N$1:N180&lt;&gt;""),N$1:N180)+CFDTable[[#This Row],[lowDaily]])</f>
        <v>151.76190476190442</v>
      </c>
      <c r="AD181" s="10">
        <f ca="1">SUM(LOOKUP(2,1/(O$1:O180&lt;&gt;""),O$1:O180)+R181)</f>
        <v>166.19047619047643</v>
      </c>
      <c r="AE181" s="10">
        <f ca="1">SUM(LOOKUP(2,1/(P$1:P180&lt;&gt;""),P$1:P180)+CFDTable[[#This Row],[highDaily]])</f>
        <v>180.6190476190483</v>
      </c>
      <c r="AF181" s="12">
        <f>IF(CFDTable[[#This Row],[Date]]=DeadlineDate,CFDTable[[#This Row],[FutureWork2]],0)</f>
        <v>0</v>
      </c>
    </row>
    <row r="182" spans="1:32">
      <c r="A182" s="8">
        <f>CFDTable[[#This Row],[Date]]</f>
        <v>42667</v>
      </c>
      <c r="B182" s="38">
        <f>Data!B182</f>
        <v>42667</v>
      </c>
      <c r="C182" s="10">
        <f ca="1">IF(ISNUMBER(CFDTable[[#This Row],[Ready]]),NA(),CFDTable[[#This Row],[Target]]-CFDTable[[#This Row],[To Do]])</f>
        <v>77</v>
      </c>
      <c r="D182" s="10" t="e">
        <f>IF(CFDTable[[#This Row],[Emergence]]&gt;0,CFDTable[[#This Row],[Future Work]]-CFDTable[[#This Row],[Emergence]],NA())</f>
        <v>#N/A</v>
      </c>
      <c r="E182" s="10">
        <f>Data!C182</f>
        <v>0</v>
      </c>
      <c r="F182" s="10" t="str">
        <f ca="1">Data!D182</f>
        <v/>
      </c>
      <c r="G182" s="10">
        <f ca="1">Data!E182</f>
        <v>47</v>
      </c>
      <c r="H182" s="10" t="e">
        <f ca="1">IF(TodaysDate&gt;=$B182,Data!F182,NA())</f>
        <v>#N/A</v>
      </c>
      <c r="I182" s="10" t="e">
        <f ca="1">IF(TodaysDate&gt;=$B182,Data!G182,NA())</f>
        <v>#N/A</v>
      </c>
      <c r="J182" s="10" t="e">
        <f ca="1">IF(TodaysDate&gt;=$B182,Data!H182,NA())</f>
        <v>#N/A</v>
      </c>
      <c r="K182" s="10" t="e">
        <f ca="1">IF(TodaysDate&gt;=$B182,Data!I182,NA())</f>
        <v>#N/A</v>
      </c>
      <c r="L182" s="10" t="e">
        <f ca="1">IF(TodaysDate&gt;=$B182,Data!J182,NA())</f>
        <v>#N/A</v>
      </c>
      <c r="M182" s="10" t="e">
        <f ca="1">IF(CFDTable[[#This Row],[Done]]&gt;0,(CFDTable[[#This Row],[Done]])-(L181),0)</f>
        <v>#N/A</v>
      </c>
      <c r="N182" s="10">
        <f ca="1">IF(ISNUMBER($M182),SUM(CFDTable[[#This Row],[Done]]),IF(CFDTable[[#This Row],[lookupLow]]&gt;=CFDTable[[#This Row],[FutureWork2]]+CFDTable[[#This Row],[lowDaily]],NA(),CFDTable[[#This Row],[lookupLow]]))</f>
        <v>152.57142857142821</v>
      </c>
      <c r="O182" s="10">
        <f ca="1">IF(ISNUMBER($M182),SUM(CFDTable[[#This Row],[Done]]),IF(CFDTable[[#This Row],[lookupMedian]]&gt;=CFDTable[[#This Row],[FutureWork2]],NA(),CFDTable[[#This Row],[lookupMedian]]))</f>
        <v>167.14285714285739</v>
      </c>
      <c r="P182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181.7142857142864</v>
      </c>
      <c r="Q182" s="10">
        <f ca="1">CFDTable[[#This Row],[AvgDaily]]-CFDTable[[#This Row],[Deviation]]</f>
        <v>0.80952380952380931</v>
      </c>
      <c r="R182" s="10">
        <f ca="1">AVERAGE(IF(ISNUMBER(M182),IF(ISNUMBER(OFFSET(M182,-Historic,0)),OFFSET(M182,-Historic,0),M$2):M182,R181))</f>
        <v>0.95238095238095233</v>
      </c>
      <c r="S182" s="10">
        <f ca="1">AVERAGE(IF(ISNUMBER(M182),IF(ISNUMBER(OFFSET(M182,-Historic,0)),OFFSET(M182,-Historic,0),M$2):M182,S181))</f>
        <v>0.95238095238095233</v>
      </c>
      <c r="T182" s="10">
        <f ca="1">AVERAGE(IF(ISNUMBER(M182),OFFSET(M$2,DaysToIgnoreOnAvg,0):M182,T181))</f>
        <v>0.88311688311688308</v>
      </c>
      <c r="U182" s="10">
        <f ca="1">CFDTable[[#This Row],[AvgDaily]]+CFDTable[[#This Row],[Deviation]]</f>
        <v>1.0952380952380953</v>
      </c>
      <c r="V182" s="10">
        <f ca="1">IF(ISNUMBER(M182),((_xlfn.PERCENTILE.INC(IF(ISNUMBER(OFFSET(R182,-Historic,0)),OFFSET(R182,-Historic,0),R$2):R182,PercentileHigh/100))-(MEDIAN(IF(ISNUMBER(OFFSET(R182,-Historic,0)),OFFSET(R182,-Historic,0),R$2):R182))),V181)</f>
        <v>0.14285714285714302</v>
      </c>
      <c r="W182" s="10">
        <f ca="1">IF(ISNUMBER(M182),((_xlfn.PERCENTILE.INC(R$2:R182,PercentileHigh/100))-(MEDIAN(R$2:R182))),V181)</f>
        <v>0.14285714285714302</v>
      </c>
      <c r="X182" s="10" t="e">
        <f ca="1">(SUM(CFDTable[[#This Row],[To Do]:[Done]])-SUM(G181:L181))</f>
        <v>#N/A</v>
      </c>
      <c r="Y182" s="10">
        <f ca="1">AVERAGE(IF(ISNUMBER(X182),IF(ISNUMBER(OFFSET(X182,-Historic,0)),OFFSET(X182,-Historic,0),X$2):X182,Y181))</f>
        <v>1.1428571428571428</v>
      </c>
      <c r="Z182" s="10">
        <f ca="1">IF(ISNUMBER(CFDTable[[#This Row],[Done Today]]),SUM($G182:$L182),Z181+CFDTable[[#This Row],[avg added]])</f>
        <v>240.57142857142816</v>
      </c>
      <c r="AA182" s="10">
        <f ca="1">IF(ISNUMBER(CFDTable[[#This Row],[Done Today]]),SUM($G182:$L182),$AA181)</f>
        <v>124</v>
      </c>
      <c r="AB182" s="10">
        <f ca="1">IF(ISNUMBER(CFDTable[[#This Row],[Done Today]]),SUM($G182:$L182),$AB181)</f>
        <v>124</v>
      </c>
      <c r="AC182" s="10">
        <f ca="1">SUM(LOOKUP(2,1/(N$1:N181&lt;&gt;""),N$1:N181)+CFDTable[[#This Row],[lowDaily]])</f>
        <v>152.57142857142821</v>
      </c>
      <c r="AD182" s="10">
        <f ca="1">SUM(LOOKUP(2,1/(O$1:O181&lt;&gt;""),O$1:O181)+R182)</f>
        <v>167.14285714285739</v>
      </c>
      <c r="AE182" s="10">
        <f ca="1">SUM(LOOKUP(2,1/(P$1:P181&lt;&gt;""),P$1:P181)+CFDTable[[#This Row],[highDaily]])</f>
        <v>181.7142857142864</v>
      </c>
      <c r="AF182" s="12">
        <f>IF(CFDTable[[#This Row],[Date]]=DeadlineDate,CFDTable[[#This Row],[FutureWork2]],0)</f>
        <v>0</v>
      </c>
    </row>
    <row r="183" spans="1:32">
      <c r="A183" s="8">
        <f>CFDTable[[#This Row],[Date]]</f>
        <v>42668</v>
      </c>
      <c r="B183" s="38">
        <f>Data!B183</f>
        <v>42668</v>
      </c>
      <c r="C183" s="10">
        <f ca="1">IF(ISNUMBER(CFDTable[[#This Row],[Ready]]),NA(),CFDTable[[#This Row],[Target]]-CFDTable[[#This Row],[To Do]])</f>
        <v>77</v>
      </c>
      <c r="D183" s="10" t="e">
        <f>IF(CFDTable[[#This Row],[Emergence]]&gt;0,CFDTable[[#This Row],[Future Work]]-CFDTable[[#This Row],[Emergence]],NA())</f>
        <v>#N/A</v>
      </c>
      <c r="E183" s="10">
        <f>Data!C183</f>
        <v>0</v>
      </c>
      <c r="F183" s="10" t="str">
        <f ca="1">Data!D183</f>
        <v/>
      </c>
      <c r="G183" s="10">
        <f ca="1">Data!E183</f>
        <v>47</v>
      </c>
      <c r="H183" s="10" t="e">
        <f ca="1">IF(TodaysDate&gt;=$B183,Data!F183,NA())</f>
        <v>#N/A</v>
      </c>
      <c r="I183" s="10" t="e">
        <f ca="1">IF(TodaysDate&gt;=$B183,Data!G183,NA())</f>
        <v>#N/A</v>
      </c>
      <c r="J183" s="10" t="e">
        <f ca="1">IF(TodaysDate&gt;=$B183,Data!H183,NA())</f>
        <v>#N/A</v>
      </c>
      <c r="K183" s="10" t="e">
        <f ca="1">IF(TodaysDate&gt;=$B183,Data!I183,NA())</f>
        <v>#N/A</v>
      </c>
      <c r="L183" s="10" t="e">
        <f ca="1">IF(TodaysDate&gt;=$B183,Data!J183,NA())</f>
        <v>#N/A</v>
      </c>
      <c r="M183" s="10" t="e">
        <f ca="1">IF(CFDTable[[#This Row],[Done]]&gt;0,(CFDTable[[#This Row],[Done]])-(L182),0)</f>
        <v>#N/A</v>
      </c>
      <c r="N183" s="10">
        <f ca="1">IF(ISNUMBER($M183),SUM(CFDTable[[#This Row],[Done]]),IF(CFDTable[[#This Row],[lookupLow]]&gt;=CFDTable[[#This Row],[FutureWork2]]+CFDTable[[#This Row],[lowDaily]],NA(),CFDTable[[#This Row],[lookupLow]]))</f>
        <v>153.38095238095201</v>
      </c>
      <c r="O183" s="10">
        <f ca="1">IF(ISNUMBER($M183),SUM(CFDTable[[#This Row],[Done]]),IF(CFDTable[[#This Row],[lookupMedian]]&gt;=CFDTable[[#This Row],[FutureWork2]],NA(),CFDTable[[#This Row],[lookupMedian]]))</f>
        <v>168.09523809523836</v>
      </c>
      <c r="P183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182.80952380952451</v>
      </c>
      <c r="Q183" s="10">
        <f ca="1">CFDTable[[#This Row],[AvgDaily]]-CFDTable[[#This Row],[Deviation]]</f>
        <v>0.80952380952380931</v>
      </c>
      <c r="R183" s="10">
        <f ca="1">AVERAGE(IF(ISNUMBER(M183),IF(ISNUMBER(OFFSET(M183,-Historic,0)),OFFSET(M183,-Historic,0),M$2):M183,R182))</f>
        <v>0.95238095238095233</v>
      </c>
      <c r="S183" s="10">
        <f ca="1">AVERAGE(IF(ISNUMBER(M183),IF(ISNUMBER(OFFSET(M183,-Historic,0)),OFFSET(M183,-Historic,0),M$2):M183,S182))</f>
        <v>0.95238095238095233</v>
      </c>
      <c r="T183" s="10">
        <f ca="1">AVERAGE(IF(ISNUMBER(M183),OFFSET(M$2,DaysToIgnoreOnAvg,0):M183,T182))</f>
        <v>0.88311688311688308</v>
      </c>
      <c r="U183" s="10">
        <f ca="1">CFDTable[[#This Row],[AvgDaily]]+CFDTable[[#This Row],[Deviation]]</f>
        <v>1.0952380952380953</v>
      </c>
      <c r="V183" s="10">
        <f ca="1">IF(ISNUMBER(M183),((_xlfn.PERCENTILE.INC(IF(ISNUMBER(OFFSET(R183,-Historic,0)),OFFSET(R183,-Historic,0),R$2):R183,PercentileHigh/100))-(MEDIAN(IF(ISNUMBER(OFFSET(R183,-Historic,0)),OFFSET(R183,-Historic,0),R$2):R183))),V182)</f>
        <v>0.14285714285714302</v>
      </c>
      <c r="W183" s="10">
        <f ca="1">IF(ISNUMBER(M183),((_xlfn.PERCENTILE.INC(R$2:R183,PercentileHigh/100))-(MEDIAN(R$2:R183))),V182)</f>
        <v>0.14285714285714302</v>
      </c>
      <c r="X183" s="10" t="e">
        <f ca="1">(SUM(CFDTable[[#This Row],[To Do]:[Done]])-SUM(G182:L182))</f>
        <v>#N/A</v>
      </c>
      <c r="Y183" s="10">
        <f ca="1">AVERAGE(IF(ISNUMBER(X183),IF(ISNUMBER(OFFSET(X183,-Historic,0)),OFFSET(X183,-Historic,0),X$2):X183,Y182))</f>
        <v>1.1428571428571428</v>
      </c>
      <c r="Z183" s="10">
        <f ca="1">IF(ISNUMBER(CFDTable[[#This Row],[Done Today]]),SUM($G183:$L183),Z182+CFDTable[[#This Row],[avg added]])</f>
        <v>241.7142857142853</v>
      </c>
      <c r="AA183" s="10">
        <f ca="1">IF(ISNUMBER(CFDTable[[#This Row],[Done Today]]),SUM($G183:$L183),$AA182)</f>
        <v>124</v>
      </c>
      <c r="AB183" s="10">
        <f ca="1">IF(ISNUMBER(CFDTable[[#This Row],[Done Today]]),SUM($G183:$L183),$AB182)</f>
        <v>124</v>
      </c>
      <c r="AC183" s="10">
        <f ca="1">SUM(LOOKUP(2,1/(N$1:N182&lt;&gt;""),N$1:N182)+CFDTable[[#This Row],[lowDaily]])</f>
        <v>153.38095238095201</v>
      </c>
      <c r="AD183" s="10">
        <f ca="1">SUM(LOOKUP(2,1/(O$1:O182&lt;&gt;""),O$1:O182)+R183)</f>
        <v>168.09523809523836</v>
      </c>
      <c r="AE183" s="10">
        <f ca="1">SUM(LOOKUP(2,1/(P$1:P182&lt;&gt;""),P$1:P182)+CFDTable[[#This Row],[highDaily]])</f>
        <v>182.80952380952451</v>
      </c>
      <c r="AF183" s="12">
        <f>IF(CFDTable[[#This Row],[Date]]=DeadlineDate,CFDTable[[#This Row],[FutureWork2]],0)</f>
        <v>0</v>
      </c>
    </row>
    <row r="184" spans="1:32">
      <c r="A184" s="8">
        <f>CFDTable[[#This Row],[Date]]</f>
        <v>42669</v>
      </c>
      <c r="B184" s="38">
        <f>Data!B184</f>
        <v>42669</v>
      </c>
      <c r="C184" s="10">
        <f ca="1">IF(ISNUMBER(CFDTable[[#This Row],[Ready]]),NA(),CFDTable[[#This Row],[Target]]-CFDTable[[#This Row],[To Do]])</f>
        <v>77</v>
      </c>
      <c r="D184" s="10" t="e">
        <f>IF(CFDTable[[#This Row],[Emergence]]&gt;0,CFDTable[[#This Row],[Future Work]]-CFDTable[[#This Row],[Emergence]],NA())</f>
        <v>#N/A</v>
      </c>
      <c r="E184" s="10">
        <f>Data!C184</f>
        <v>0</v>
      </c>
      <c r="F184" s="10" t="str">
        <f ca="1">Data!D184</f>
        <v/>
      </c>
      <c r="G184" s="10">
        <f ca="1">Data!E184</f>
        <v>47</v>
      </c>
      <c r="H184" s="10" t="e">
        <f ca="1">IF(TodaysDate&gt;=$B184,Data!F184,NA())</f>
        <v>#N/A</v>
      </c>
      <c r="I184" s="10" t="e">
        <f ca="1">IF(TodaysDate&gt;=$B184,Data!G184,NA())</f>
        <v>#N/A</v>
      </c>
      <c r="J184" s="10" t="e">
        <f ca="1">IF(TodaysDate&gt;=$B184,Data!H184,NA())</f>
        <v>#N/A</v>
      </c>
      <c r="K184" s="10" t="e">
        <f ca="1">IF(TodaysDate&gt;=$B184,Data!I184,NA())</f>
        <v>#N/A</v>
      </c>
      <c r="L184" s="10" t="e">
        <f ca="1">IF(TodaysDate&gt;=$B184,Data!J184,NA())</f>
        <v>#N/A</v>
      </c>
      <c r="M184" s="10" t="e">
        <f ca="1">IF(CFDTable[[#This Row],[Done]]&gt;0,(CFDTable[[#This Row],[Done]])-(L183),0)</f>
        <v>#N/A</v>
      </c>
      <c r="N184" s="10">
        <f ca="1">IF(ISNUMBER($M184),SUM(CFDTable[[#This Row],[Done]]),IF(CFDTable[[#This Row],[lookupLow]]&gt;=CFDTable[[#This Row],[FutureWork2]]+CFDTable[[#This Row],[lowDaily]],NA(),CFDTable[[#This Row],[lookupLow]]))</f>
        <v>154.19047619047581</v>
      </c>
      <c r="O184" s="10">
        <f ca="1">IF(ISNUMBER($M184),SUM(CFDTable[[#This Row],[Done]]),IF(CFDTable[[#This Row],[lookupMedian]]&gt;=CFDTable[[#This Row],[FutureWork2]],NA(),CFDTable[[#This Row],[lookupMedian]]))</f>
        <v>169.04761904761932</v>
      </c>
      <c r="P184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183.90476190476261</v>
      </c>
      <c r="Q184" s="10">
        <f ca="1">CFDTable[[#This Row],[AvgDaily]]-CFDTable[[#This Row],[Deviation]]</f>
        <v>0.80952380952380931</v>
      </c>
      <c r="R184" s="10">
        <f ca="1">AVERAGE(IF(ISNUMBER(M184),IF(ISNUMBER(OFFSET(M184,-Historic,0)),OFFSET(M184,-Historic,0),M$2):M184,R183))</f>
        <v>0.95238095238095233</v>
      </c>
      <c r="S184" s="10">
        <f ca="1">AVERAGE(IF(ISNUMBER(M184),IF(ISNUMBER(OFFSET(M184,-Historic,0)),OFFSET(M184,-Historic,0),M$2):M184,S183))</f>
        <v>0.95238095238095233</v>
      </c>
      <c r="T184" s="10">
        <f ca="1">AVERAGE(IF(ISNUMBER(M184),OFFSET(M$2,DaysToIgnoreOnAvg,0):M184,T183))</f>
        <v>0.88311688311688308</v>
      </c>
      <c r="U184" s="10">
        <f ca="1">CFDTable[[#This Row],[AvgDaily]]+CFDTable[[#This Row],[Deviation]]</f>
        <v>1.0952380952380953</v>
      </c>
      <c r="V184" s="10">
        <f ca="1">IF(ISNUMBER(M184),((_xlfn.PERCENTILE.INC(IF(ISNUMBER(OFFSET(R184,-Historic,0)),OFFSET(R184,-Historic,0),R$2):R184,PercentileHigh/100))-(MEDIAN(IF(ISNUMBER(OFFSET(R184,-Historic,0)),OFFSET(R184,-Historic,0),R$2):R184))),V183)</f>
        <v>0.14285714285714302</v>
      </c>
      <c r="W184" s="10">
        <f ca="1">IF(ISNUMBER(M184),((_xlfn.PERCENTILE.INC(R$2:R184,PercentileHigh/100))-(MEDIAN(R$2:R184))),V183)</f>
        <v>0.14285714285714302</v>
      </c>
      <c r="X184" s="10" t="e">
        <f ca="1">(SUM(CFDTable[[#This Row],[To Do]:[Done]])-SUM(G183:L183))</f>
        <v>#N/A</v>
      </c>
      <c r="Y184" s="10">
        <f ca="1">AVERAGE(IF(ISNUMBER(X184),IF(ISNUMBER(OFFSET(X184,-Historic,0)),OFFSET(X184,-Historic,0),X$2):X184,Y183))</f>
        <v>1.1428571428571428</v>
      </c>
      <c r="Z184" s="10">
        <f ca="1">IF(ISNUMBER(CFDTable[[#This Row],[Done Today]]),SUM($G184:$L184),Z183+CFDTable[[#This Row],[avg added]])</f>
        <v>242.85714285714243</v>
      </c>
      <c r="AA184" s="10">
        <f ca="1">IF(ISNUMBER(CFDTable[[#This Row],[Done Today]]),SUM($G184:$L184),$AA183)</f>
        <v>124</v>
      </c>
      <c r="AB184" s="10">
        <f ca="1">IF(ISNUMBER(CFDTable[[#This Row],[Done Today]]),SUM($G184:$L184),$AB183)</f>
        <v>124</v>
      </c>
      <c r="AC184" s="10">
        <f ca="1">SUM(LOOKUP(2,1/(N$1:N183&lt;&gt;""),N$1:N183)+CFDTable[[#This Row],[lowDaily]])</f>
        <v>154.19047619047581</v>
      </c>
      <c r="AD184" s="10">
        <f ca="1">SUM(LOOKUP(2,1/(O$1:O183&lt;&gt;""),O$1:O183)+R184)</f>
        <v>169.04761904761932</v>
      </c>
      <c r="AE184" s="10">
        <f ca="1">SUM(LOOKUP(2,1/(P$1:P183&lt;&gt;""),P$1:P183)+CFDTable[[#This Row],[highDaily]])</f>
        <v>183.90476190476261</v>
      </c>
      <c r="AF184" s="12">
        <f>IF(CFDTable[[#This Row],[Date]]=DeadlineDate,CFDTable[[#This Row],[FutureWork2]],0)</f>
        <v>0</v>
      </c>
    </row>
    <row r="185" spans="1:32">
      <c r="A185" s="8">
        <f>CFDTable[[#This Row],[Date]]</f>
        <v>42670</v>
      </c>
      <c r="B185" s="38">
        <f>Data!B185</f>
        <v>42670</v>
      </c>
      <c r="C185" s="10">
        <f ca="1">IF(ISNUMBER(CFDTable[[#This Row],[Ready]]),NA(),CFDTable[[#This Row],[Target]]-CFDTable[[#This Row],[To Do]])</f>
        <v>77</v>
      </c>
      <c r="D185" s="10" t="e">
        <f>IF(CFDTable[[#This Row],[Emergence]]&gt;0,CFDTable[[#This Row],[Future Work]]-CFDTable[[#This Row],[Emergence]],NA())</f>
        <v>#N/A</v>
      </c>
      <c r="E185" s="10">
        <f>Data!C185</f>
        <v>0</v>
      </c>
      <c r="F185" s="10" t="str">
        <f ca="1">Data!D185</f>
        <v/>
      </c>
      <c r="G185" s="10">
        <f ca="1">Data!E185</f>
        <v>47</v>
      </c>
      <c r="H185" s="10" t="e">
        <f ca="1">IF(TodaysDate&gt;=$B185,Data!F185,NA())</f>
        <v>#N/A</v>
      </c>
      <c r="I185" s="10" t="e">
        <f ca="1">IF(TodaysDate&gt;=$B185,Data!G185,NA())</f>
        <v>#N/A</v>
      </c>
      <c r="J185" s="10" t="e">
        <f ca="1">IF(TodaysDate&gt;=$B185,Data!H185,NA())</f>
        <v>#N/A</v>
      </c>
      <c r="K185" s="10" t="e">
        <f ca="1">IF(TodaysDate&gt;=$B185,Data!I185,NA())</f>
        <v>#N/A</v>
      </c>
      <c r="L185" s="10" t="e">
        <f ca="1">IF(TodaysDate&gt;=$B185,Data!J185,NA())</f>
        <v>#N/A</v>
      </c>
      <c r="M185" s="10" t="e">
        <f ca="1">IF(CFDTable[[#This Row],[Done]]&gt;0,(CFDTable[[#This Row],[Done]])-(L184),0)</f>
        <v>#N/A</v>
      </c>
      <c r="N185" s="10">
        <f ca="1">IF(ISNUMBER($M185),SUM(CFDTable[[#This Row],[Done]]),IF(CFDTable[[#This Row],[lookupLow]]&gt;=CFDTable[[#This Row],[FutureWork2]]+CFDTable[[#This Row],[lowDaily]],NA(),CFDTable[[#This Row],[lookupLow]]))</f>
        <v>154.9999999999996</v>
      </c>
      <c r="O185" s="10">
        <f ca="1">IF(ISNUMBER($M185),SUM(CFDTable[[#This Row],[Done]]),IF(CFDTable[[#This Row],[lookupMedian]]&gt;=CFDTable[[#This Row],[FutureWork2]],NA(),CFDTable[[#This Row],[lookupMedian]]))</f>
        <v>170.00000000000028</v>
      </c>
      <c r="P185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185.00000000000071</v>
      </c>
      <c r="Q185" s="10">
        <f ca="1">CFDTable[[#This Row],[AvgDaily]]-CFDTable[[#This Row],[Deviation]]</f>
        <v>0.80952380952380931</v>
      </c>
      <c r="R185" s="10">
        <f ca="1">AVERAGE(IF(ISNUMBER(M185),IF(ISNUMBER(OFFSET(M185,-Historic,0)),OFFSET(M185,-Historic,0),M$2):M185,R184))</f>
        <v>0.95238095238095233</v>
      </c>
      <c r="S185" s="10">
        <f ca="1">AVERAGE(IF(ISNUMBER(M185),IF(ISNUMBER(OFFSET(M185,-Historic,0)),OFFSET(M185,-Historic,0),M$2):M185,S184))</f>
        <v>0.95238095238095233</v>
      </c>
      <c r="T185" s="10">
        <f ca="1">AVERAGE(IF(ISNUMBER(M185),OFFSET(M$2,DaysToIgnoreOnAvg,0):M185,T184))</f>
        <v>0.88311688311688308</v>
      </c>
      <c r="U185" s="10">
        <f ca="1">CFDTable[[#This Row],[AvgDaily]]+CFDTable[[#This Row],[Deviation]]</f>
        <v>1.0952380952380953</v>
      </c>
      <c r="V185" s="10">
        <f ca="1">IF(ISNUMBER(M185),((_xlfn.PERCENTILE.INC(IF(ISNUMBER(OFFSET(R185,-Historic,0)),OFFSET(R185,-Historic,0),R$2):R185,PercentileHigh/100))-(MEDIAN(IF(ISNUMBER(OFFSET(R185,-Historic,0)),OFFSET(R185,-Historic,0),R$2):R185))),V184)</f>
        <v>0.14285714285714302</v>
      </c>
      <c r="W185" s="10">
        <f ca="1">IF(ISNUMBER(M185),((_xlfn.PERCENTILE.INC(R$2:R185,PercentileHigh/100))-(MEDIAN(R$2:R185))),V184)</f>
        <v>0.14285714285714302</v>
      </c>
      <c r="X185" s="10" t="e">
        <f ca="1">(SUM(CFDTable[[#This Row],[To Do]:[Done]])-SUM(G184:L184))</f>
        <v>#N/A</v>
      </c>
      <c r="Y185" s="10">
        <f ca="1">AVERAGE(IF(ISNUMBER(X185),IF(ISNUMBER(OFFSET(X185,-Historic,0)),OFFSET(X185,-Historic,0),X$2):X185,Y184))</f>
        <v>1.1428571428571428</v>
      </c>
      <c r="Z185" s="10">
        <f ca="1">IF(ISNUMBER(CFDTable[[#This Row],[Done Today]]),SUM($G185:$L185),Z184+CFDTable[[#This Row],[avg added]])</f>
        <v>243.99999999999957</v>
      </c>
      <c r="AA185" s="10">
        <f ca="1">IF(ISNUMBER(CFDTable[[#This Row],[Done Today]]),SUM($G185:$L185),$AA184)</f>
        <v>124</v>
      </c>
      <c r="AB185" s="10">
        <f ca="1">IF(ISNUMBER(CFDTable[[#This Row],[Done Today]]),SUM($G185:$L185),$AB184)</f>
        <v>124</v>
      </c>
      <c r="AC185" s="10">
        <f ca="1">SUM(LOOKUP(2,1/(N$1:N184&lt;&gt;""),N$1:N184)+CFDTable[[#This Row],[lowDaily]])</f>
        <v>154.9999999999996</v>
      </c>
      <c r="AD185" s="10">
        <f ca="1">SUM(LOOKUP(2,1/(O$1:O184&lt;&gt;""),O$1:O184)+R185)</f>
        <v>170.00000000000028</v>
      </c>
      <c r="AE185" s="10">
        <f ca="1">SUM(LOOKUP(2,1/(P$1:P184&lt;&gt;""),P$1:P184)+CFDTable[[#This Row],[highDaily]])</f>
        <v>185.00000000000071</v>
      </c>
      <c r="AF185" s="12">
        <f>IF(CFDTable[[#This Row],[Date]]=DeadlineDate,CFDTable[[#This Row],[FutureWork2]],0)</f>
        <v>0</v>
      </c>
    </row>
    <row r="186" spans="1:32">
      <c r="A186" s="8">
        <f>CFDTable[[#This Row],[Date]]</f>
        <v>42671</v>
      </c>
      <c r="B186" s="38">
        <f>Data!B186</f>
        <v>42671</v>
      </c>
      <c r="C186" s="10">
        <f ca="1">IF(ISNUMBER(CFDTable[[#This Row],[Ready]]),NA(),CFDTable[[#This Row],[Target]]-CFDTable[[#This Row],[To Do]])</f>
        <v>77</v>
      </c>
      <c r="D186" s="10" t="e">
        <f>IF(CFDTable[[#This Row],[Emergence]]&gt;0,CFDTable[[#This Row],[Future Work]]-CFDTable[[#This Row],[Emergence]],NA())</f>
        <v>#N/A</v>
      </c>
      <c r="E186" s="10">
        <f>Data!C186</f>
        <v>0</v>
      </c>
      <c r="F186" s="10" t="str">
        <f ca="1">Data!D186</f>
        <v/>
      </c>
      <c r="G186" s="10">
        <f ca="1">Data!E186</f>
        <v>47</v>
      </c>
      <c r="H186" s="10" t="e">
        <f ca="1">IF(TodaysDate&gt;=$B186,Data!F186,NA())</f>
        <v>#N/A</v>
      </c>
      <c r="I186" s="10" t="e">
        <f ca="1">IF(TodaysDate&gt;=$B186,Data!G186,NA())</f>
        <v>#N/A</v>
      </c>
      <c r="J186" s="10" t="e">
        <f ca="1">IF(TodaysDate&gt;=$B186,Data!H186,NA())</f>
        <v>#N/A</v>
      </c>
      <c r="K186" s="10" t="e">
        <f ca="1">IF(TodaysDate&gt;=$B186,Data!I186,NA())</f>
        <v>#N/A</v>
      </c>
      <c r="L186" s="10" t="e">
        <f ca="1">IF(TodaysDate&gt;=$B186,Data!J186,NA())</f>
        <v>#N/A</v>
      </c>
      <c r="M186" s="10" t="e">
        <f ca="1">IF(CFDTable[[#This Row],[Done]]&gt;0,(CFDTable[[#This Row],[Done]])-(L185),0)</f>
        <v>#N/A</v>
      </c>
      <c r="N186" s="10">
        <f ca="1">IF(ISNUMBER($M186),SUM(CFDTable[[#This Row],[Done]]),IF(CFDTable[[#This Row],[lookupLow]]&gt;=CFDTable[[#This Row],[FutureWork2]]+CFDTable[[#This Row],[lowDaily]],NA(),CFDTable[[#This Row],[lookupLow]]))</f>
        <v>155.8095238095234</v>
      </c>
      <c r="O186" s="10">
        <f ca="1">IF(ISNUMBER($M186),SUM(CFDTable[[#This Row],[Done]]),IF(CFDTable[[#This Row],[lookupMedian]]&gt;=CFDTable[[#This Row],[FutureWork2]],NA(),CFDTable[[#This Row],[lookupMedian]]))</f>
        <v>170.95238095238125</v>
      </c>
      <c r="P186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186.09523809523881</v>
      </c>
      <c r="Q186" s="10">
        <f ca="1">CFDTable[[#This Row],[AvgDaily]]-CFDTable[[#This Row],[Deviation]]</f>
        <v>0.80952380952380931</v>
      </c>
      <c r="R186" s="10">
        <f ca="1">AVERAGE(IF(ISNUMBER(M186),IF(ISNUMBER(OFFSET(M186,-Historic,0)),OFFSET(M186,-Historic,0),M$2):M186,R185))</f>
        <v>0.95238095238095233</v>
      </c>
      <c r="S186" s="10">
        <f ca="1">AVERAGE(IF(ISNUMBER(M186),IF(ISNUMBER(OFFSET(M186,-Historic,0)),OFFSET(M186,-Historic,0),M$2):M186,S185))</f>
        <v>0.95238095238095233</v>
      </c>
      <c r="T186" s="10">
        <f ca="1">AVERAGE(IF(ISNUMBER(M186),OFFSET(M$2,DaysToIgnoreOnAvg,0):M186,T185))</f>
        <v>0.88311688311688308</v>
      </c>
      <c r="U186" s="10">
        <f ca="1">CFDTable[[#This Row],[AvgDaily]]+CFDTable[[#This Row],[Deviation]]</f>
        <v>1.0952380952380953</v>
      </c>
      <c r="V186" s="10">
        <f ca="1">IF(ISNUMBER(M186),((_xlfn.PERCENTILE.INC(IF(ISNUMBER(OFFSET(R186,-Historic,0)),OFFSET(R186,-Historic,0),R$2):R186,PercentileHigh/100))-(MEDIAN(IF(ISNUMBER(OFFSET(R186,-Historic,0)),OFFSET(R186,-Historic,0),R$2):R186))),V185)</f>
        <v>0.14285714285714302</v>
      </c>
      <c r="W186" s="10">
        <f ca="1">IF(ISNUMBER(M186),((_xlfn.PERCENTILE.INC(R$2:R186,PercentileHigh/100))-(MEDIAN(R$2:R186))),V185)</f>
        <v>0.14285714285714302</v>
      </c>
      <c r="X186" s="10" t="e">
        <f ca="1">(SUM(CFDTable[[#This Row],[To Do]:[Done]])-SUM(G185:L185))</f>
        <v>#N/A</v>
      </c>
      <c r="Y186" s="10">
        <f ca="1">AVERAGE(IF(ISNUMBER(X186),IF(ISNUMBER(OFFSET(X186,-Historic,0)),OFFSET(X186,-Historic,0),X$2):X186,Y185))</f>
        <v>1.1428571428571428</v>
      </c>
      <c r="Z186" s="10">
        <f ca="1">IF(ISNUMBER(CFDTable[[#This Row],[Done Today]]),SUM($G186:$L186),Z185+CFDTable[[#This Row],[avg added]])</f>
        <v>245.14285714285671</v>
      </c>
      <c r="AA186" s="10">
        <f ca="1">IF(ISNUMBER(CFDTable[[#This Row],[Done Today]]),SUM($G186:$L186),$AA185)</f>
        <v>124</v>
      </c>
      <c r="AB186" s="10">
        <f ca="1">IF(ISNUMBER(CFDTable[[#This Row],[Done Today]]),SUM($G186:$L186),$AB185)</f>
        <v>124</v>
      </c>
      <c r="AC186" s="10">
        <f ca="1">SUM(LOOKUP(2,1/(N$1:N185&lt;&gt;""),N$1:N185)+CFDTable[[#This Row],[lowDaily]])</f>
        <v>155.8095238095234</v>
      </c>
      <c r="AD186" s="10">
        <f ca="1">SUM(LOOKUP(2,1/(O$1:O185&lt;&gt;""),O$1:O185)+R186)</f>
        <v>170.95238095238125</v>
      </c>
      <c r="AE186" s="10">
        <f ca="1">SUM(LOOKUP(2,1/(P$1:P185&lt;&gt;""),P$1:P185)+CFDTable[[#This Row],[highDaily]])</f>
        <v>186.09523809523881</v>
      </c>
      <c r="AF186" s="12">
        <f>IF(CFDTable[[#This Row],[Date]]=DeadlineDate,CFDTable[[#This Row],[FutureWork2]],0)</f>
        <v>0</v>
      </c>
    </row>
    <row r="187" spans="1:32">
      <c r="A187" s="8">
        <f>CFDTable[[#This Row],[Date]]</f>
        <v>42674</v>
      </c>
      <c r="B187" s="38">
        <f>Data!B187</f>
        <v>42674</v>
      </c>
      <c r="C187" s="10">
        <f ca="1">IF(ISNUMBER(CFDTable[[#This Row],[Ready]]),NA(),CFDTable[[#This Row],[Target]]-CFDTable[[#This Row],[To Do]])</f>
        <v>77</v>
      </c>
      <c r="D187" s="10" t="e">
        <f>IF(CFDTable[[#This Row],[Emergence]]&gt;0,CFDTable[[#This Row],[Future Work]]-CFDTable[[#This Row],[Emergence]],NA())</f>
        <v>#N/A</v>
      </c>
      <c r="E187" s="10">
        <f>Data!C187</f>
        <v>0</v>
      </c>
      <c r="F187" s="10" t="str">
        <f ca="1">Data!D187</f>
        <v/>
      </c>
      <c r="G187" s="10">
        <f ca="1">Data!E187</f>
        <v>47</v>
      </c>
      <c r="H187" s="10" t="e">
        <f ca="1">IF(TodaysDate&gt;=$B187,Data!F187,NA())</f>
        <v>#N/A</v>
      </c>
      <c r="I187" s="10" t="e">
        <f ca="1">IF(TodaysDate&gt;=$B187,Data!G187,NA())</f>
        <v>#N/A</v>
      </c>
      <c r="J187" s="10" t="e">
        <f ca="1">IF(TodaysDate&gt;=$B187,Data!H187,NA())</f>
        <v>#N/A</v>
      </c>
      <c r="K187" s="10" t="e">
        <f ca="1">IF(TodaysDate&gt;=$B187,Data!I187,NA())</f>
        <v>#N/A</v>
      </c>
      <c r="L187" s="10" t="e">
        <f ca="1">IF(TodaysDate&gt;=$B187,Data!J187,NA())</f>
        <v>#N/A</v>
      </c>
      <c r="M187" s="10" t="e">
        <f ca="1">IF(CFDTable[[#This Row],[Done]]&gt;0,(CFDTable[[#This Row],[Done]])-(L186),0)</f>
        <v>#N/A</v>
      </c>
      <c r="N187" s="10">
        <f ca="1">IF(ISNUMBER($M187),SUM(CFDTable[[#This Row],[Done]]),IF(CFDTable[[#This Row],[lookupLow]]&gt;=CFDTable[[#This Row],[FutureWork2]]+CFDTable[[#This Row],[lowDaily]],NA(),CFDTable[[#This Row],[lookupLow]]))</f>
        <v>156.61904761904719</v>
      </c>
      <c r="O187" s="10">
        <f ca="1">IF(ISNUMBER($M187),SUM(CFDTable[[#This Row],[Done]]),IF(CFDTable[[#This Row],[lookupMedian]]&gt;=CFDTable[[#This Row],[FutureWork2]],NA(),CFDTable[[#This Row],[lookupMedian]]))</f>
        <v>171.90476190476221</v>
      </c>
      <c r="P187" s="10">
        <f ca="1">IF(ISNUMBER(CFDTable[[#This Row],[Done Today]]),SUM(CFDTable[[#This Row],[Done]]),IF(CFDTable[[#This Row],[lookupHigh]]&gt;=CFDTable[[#This Row],[FutureWork2]]+CFDTable[[#This Row],[highDaily]],NA(),CFDTable[[#This Row],[lookupHigh]]))</f>
        <v>187.19047619047691</v>
      </c>
      <c r="Q187" s="10">
        <f ca="1">CFDTable[[#This Row],[AvgDaily]]-CFDTable[[#This Row],[Deviation]]</f>
        <v>0.80952380952380931</v>
      </c>
      <c r="R187" s="10">
        <f ca="1">AVERAGE(IF(ISNUMBER(M187),IF(ISNUMBER(OFFSET(M187,-Historic,0)),OFFSET(M187,-Historic,0),M$2):M187,R186))</f>
        <v>0.95238095238095233</v>
      </c>
      <c r="S187" s="10">
        <f ca="1">AVERAGE(IF(ISNUMBER(M187),IF(ISNUMBER(OFFSET(M187,-Historic,0)),OFFSET(M187,-Historic,0),M$2):M187,S186))</f>
        <v>0.95238095238095233</v>
      </c>
      <c r="T187" s="10">
        <f ca="1">AVERAGE(IF(ISNUMBER(M187),OFFSET(M$2,DaysToIgnoreOnAvg,0):M187,T186))</f>
        <v>0.88311688311688308</v>
      </c>
      <c r="U187" s="10">
        <f ca="1">CFDTable[[#This Row],[AvgDaily]]+CFDTable[[#This Row],[Deviation]]</f>
        <v>1.0952380952380953</v>
      </c>
      <c r="V187" s="10">
        <f ca="1">IF(ISNUMBER(M187),((_xlfn.PERCENTILE.INC(IF(ISNUMBER(OFFSET(R187,-Historic,0)),OFFSET(R187,-Historic,0),R$2):R187,PercentileHigh/100))-(MEDIAN(IF(ISNUMBER(OFFSET(R187,-Historic,0)),OFFSET(R187,-Historic,0),R$2):R187))),V186)</f>
        <v>0.14285714285714302</v>
      </c>
      <c r="W187" s="10">
        <f ca="1">IF(ISNUMBER(M187),((_xlfn.PERCENTILE.INC(R$2:R187,PercentileHigh/100))-(MEDIAN(R$2:R187))),V186)</f>
        <v>0.14285714285714302</v>
      </c>
      <c r="X187" s="10" t="e">
        <f ca="1">(SUM(CFDTable[[#This Row],[To Do]:[Done]])-SUM(G186:L186))</f>
        <v>#N/A</v>
      </c>
      <c r="Y187" s="10">
        <f ca="1">AVERAGE(IF(ISNUMBER(X187),IF(ISNUMBER(OFFSET(X187,-Historic,0)),OFFSET(X187,-Historic,0),X$2):X187,Y186))</f>
        <v>1.1428571428571428</v>
      </c>
      <c r="Z187" s="10">
        <f ca="1">IF(ISNUMBER(CFDTable[[#This Row],[Done Today]]),SUM($G187:$L187),Z186+CFDTable[[#This Row],[avg added]])</f>
        <v>246.28571428571385</v>
      </c>
      <c r="AA187" s="10">
        <f ca="1">IF(ISNUMBER(CFDTable[[#This Row],[Done Today]]),SUM($G187:$L187),$AA186)</f>
        <v>124</v>
      </c>
      <c r="AB187" s="10">
        <f ca="1">IF(ISNUMBER(CFDTable[[#This Row],[Done Today]]),SUM($G187:$L187),$AB186)</f>
        <v>124</v>
      </c>
      <c r="AC187" s="10">
        <f ca="1">SUM(LOOKUP(2,1/(N$1:N186&lt;&gt;""),N$1:N186)+CFDTable[[#This Row],[lowDaily]])</f>
        <v>156.61904761904719</v>
      </c>
      <c r="AD187" s="10">
        <f ca="1">SUM(LOOKUP(2,1/(O$1:O186&lt;&gt;""),O$1:O186)+R187)</f>
        <v>171.90476190476221</v>
      </c>
      <c r="AE187" s="10">
        <f ca="1">SUM(LOOKUP(2,1/(P$1:P186&lt;&gt;""),P$1:P186)+CFDTable[[#This Row],[highDaily]])</f>
        <v>187.19047619047691</v>
      </c>
      <c r="AF187" s="12">
        <f>IF(CFDTable[[#This Row],[Date]]=DeadlineDate,CFDTable[[#This Row],[FutureWork2]],0)</f>
        <v>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499984740745262"/>
  </sheetPr>
  <dimension ref="A1:S601"/>
  <sheetViews>
    <sheetView topLeftCell="A73" workbookViewId="0">
      <selection activeCell="D80" sqref="D80"/>
    </sheetView>
  </sheetViews>
  <sheetFormatPr defaultColWidth="8.85546875" defaultRowHeight="15"/>
  <cols>
    <col min="1" max="1" width="10.42578125" style="8" customWidth="1"/>
    <col min="2" max="2" width="10.7109375" style="11" bestFit="1" customWidth="1"/>
    <col min="3" max="3" width="21.28515625" style="10" customWidth="1"/>
    <col min="4" max="4" width="16.7109375" style="10" bestFit="1" customWidth="1"/>
    <col min="5" max="5" width="16.7109375" style="12" bestFit="1" customWidth="1"/>
    <col min="6" max="6" width="12" style="12" customWidth="1"/>
    <col min="7" max="7" width="15.85546875" style="12" customWidth="1"/>
    <col min="8" max="8" width="10.28515625" style="12" bestFit="1" customWidth="1"/>
    <col min="9" max="9" width="9.28515625" style="12" bestFit="1" customWidth="1"/>
    <col min="10" max="11" width="9.28515625" style="10" bestFit="1" customWidth="1"/>
    <col min="12" max="12" width="10" style="44" customWidth="1"/>
    <col min="13" max="13" width="9.28515625" style="44" bestFit="1" customWidth="1"/>
    <col min="14" max="14" width="11.42578125" style="44" customWidth="1"/>
    <col min="15" max="17" width="14.7109375" style="44" customWidth="1"/>
  </cols>
  <sheetData>
    <row r="1" spans="1:19" s="7" customFormat="1">
      <c r="A1" s="54" t="s">
        <v>59</v>
      </c>
      <c r="B1" s="55" t="s">
        <v>1</v>
      </c>
      <c r="C1" s="56" t="s">
        <v>60</v>
      </c>
      <c r="D1" s="56" t="s">
        <v>180</v>
      </c>
      <c r="E1" s="56" t="s">
        <v>3</v>
      </c>
      <c r="F1" s="57" t="s">
        <v>44</v>
      </c>
      <c r="G1" s="57" t="s">
        <v>20</v>
      </c>
      <c r="H1" s="57" t="s">
        <v>48</v>
      </c>
      <c r="I1" s="57" t="s">
        <v>47</v>
      </c>
      <c r="J1" s="57" t="s">
        <v>19</v>
      </c>
      <c r="K1" s="56" t="s">
        <v>7</v>
      </c>
      <c r="L1" s="56" t="s">
        <v>40</v>
      </c>
      <c r="M1" s="58" t="s">
        <v>56</v>
      </c>
      <c r="N1" s="58" t="s">
        <v>55</v>
      </c>
      <c r="O1" s="58" t="s">
        <v>10</v>
      </c>
      <c r="P1" s="59" t="s">
        <v>58</v>
      </c>
      <c r="Q1" s="59" t="s">
        <v>61</v>
      </c>
      <c r="R1" s="59" t="s">
        <v>63</v>
      </c>
      <c r="S1" s="58" t="s">
        <v>62</v>
      </c>
    </row>
    <row r="2" spans="1:19">
      <c r="A2" s="52">
        <f>B2</f>
        <v>42408</v>
      </c>
      <c r="B2" s="46">
        <f>FirstDate</f>
        <v>42408</v>
      </c>
      <c r="C2" s="47">
        <f>SUMIFS('On The Board'!$M$5:$M$219,'On The Board'!F$5:F$219,"&lt;="&amp;$B2,'On The Board'!E$5:E$219,"="&amp;FutureWork)</f>
        <v>0</v>
      </c>
      <c r="D2" s="47">
        <f ca="1">IF(TodaysDate&gt;=B2,SUMIF('On The Board'!F$5:F$219,"&lt;="&amp;$B2,'On The Board'!$M$5:$M$219)-SUM(F2:J2),"")</f>
        <v>2</v>
      </c>
      <c r="E2" s="48">
        <f ca="1">IF(TodaysDate&gt;=B2,SUMIF('On The Board'!F$5:F$219,"&lt;="&amp;$B2,'On The Board'!$M$5:$M$219)-SUM(F2:J2),E1)</f>
        <v>2</v>
      </c>
      <c r="F2" s="48">
        <f>SUMIF('On The Board'!G$5:G$219,"&lt;="&amp;$B2,'On The Board'!$M$5:$M$219)-SUM(G2:J2)</f>
        <v>0</v>
      </c>
      <c r="G2" s="48">
        <f>SUMIF('On The Board'!H$5:H$219,"&lt;="&amp;$B2,'On The Board'!$M$5:$M$219)-SUM(H2:J2)</f>
        <v>3</v>
      </c>
      <c r="H2" s="48">
        <f>SUMIF('On The Board'!I$5:I$219,"&lt;="&amp;$B2,'On The Board'!$M$5:$M$219)-SUM(I2,J2)</f>
        <v>0</v>
      </c>
      <c r="I2" s="48">
        <f>SUMIF('On The Board'!J$5:J$219,"&lt;="&amp;$B2,'On The Board'!$M$5:$M$219)-SUM(J2)</f>
        <v>0</v>
      </c>
      <c r="J2" s="48">
        <f>SUMIF('On The Board'!K$5:K$219,"&lt;="&amp;$B2,'On The Board'!$M$5:$M$219)</f>
        <v>0</v>
      </c>
      <c r="K2" s="47">
        <f t="shared" ref="K2:K65" si="0">SUM(F2:J2)</f>
        <v>3</v>
      </c>
      <c r="L2" s="47">
        <f ca="1">IF(TodaysDate&gt;=B2,SUM(F2:I2),NA())</f>
        <v>3</v>
      </c>
      <c r="M2" s="49">
        <f ca="1">AVERAGE(L$2:L2)</f>
        <v>3</v>
      </c>
      <c r="N2" s="49">
        <f ca="1">IF(ISNUMBER(M2),J2/NETWORKDAYS(B$2,B2,BankHolidays),NA())</f>
        <v>0</v>
      </c>
      <c r="O2" s="49" t="e">
        <f ca="1">IF(N2&gt;0,M2/N2,NA())</f>
        <v>#N/A</v>
      </c>
      <c r="P2" s="53" t="e">
        <f ca="1">AVERAGE(O$2:O2)</f>
        <v>#N/A</v>
      </c>
      <c r="Q2" s="53" t="str">
        <f ca="1">IFERROR(DayByDayTable[[#This Row],[Lead Time]],"")</f>
        <v/>
      </c>
      <c r="R2" s="44">
        <f t="shared" ref="R2:R11" ca="1" si="1">PERCENTILE(O$3:O$12,0.8)</f>
        <v>16</v>
      </c>
      <c r="S2" s="44">
        <f ca="1">ROUND(PERCENTILE(DayByDayTable[[#Data],[BlankLeadTime]],0.8),0)</f>
        <v>8</v>
      </c>
    </row>
    <row r="3" spans="1:19">
      <c r="A3" s="52">
        <f t="shared" ref="A3:A65" si="2">B3</f>
        <v>42409</v>
      </c>
      <c r="B3" s="46">
        <f t="shared" ref="B3:B66" si="3">IF(NETWORKDAYS(B2,B2+1,BankHolidays)=2,B2+1,IF(NETWORKDAYS(B2,B2+2,BankHolidays)=2,B2+2,IF(NETWORKDAYS(B2,B2+3,BankHolidays)=2,B2+3,IF(NETWORKDAYS(B2,B2+4,BankHolidays)=2,B2+4,IF(NETWORKDAYS(B2,B2+5,BankHolidays)=2,B2+5,NA())))))</f>
        <v>42409</v>
      </c>
      <c r="C3" s="47">
        <f>SUMIFS('On The Board'!$M$5:$M$219,'On The Board'!F$5:F$219,"&lt;="&amp;$B3,'On The Board'!E$5:E$219,"="&amp;FutureWork)</f>
        <v>0</v>
      </c>
      <c r="D3" s="47">
        <f ca="1">IF(TodaysDate&gt;=B3,SUMIF('On The Board'!F$5:F$219,"&lt;="&amp;$B3,'On The Board'!$M$5:$M$219)-SUM(F3:J3),"")</f>
        <v>2</v>
      </c>
      <c r="E3" s="48">
        <f ca="1">IF(TodaysDate&gt;=B3,SUMIF('On The Board'!F$5:F$219,"&lt;="&amp;$B3,'On The Board'!$M$5:$M$219)-SUM(F3:J3),E2)</f>
        <v>2</v>
      </c>
      <c r="F3" s="48">
        <f>SUMIF('On The Board'!G$5:G$219,"&lt;="&amp;$B3,'On The Board'!$M$5:$M$219)-SUM(G3:J3)</f>
        <v>0</v>
      </c>
      <c r="G3" s="48">
        <f>SUMIF('On The Board'!H$5:H$219,"&lt;="&amp;$B3,'On The Board'!$M$5:$M$219)-SUM(H3:J3)</f>
        <v>1</v>
      </c>
      <c r="H3" s="48">
        <f>SUMIF('On The Board'!I$5:I$219,"&lt;="&amp;$B3,'On The Board'!$M$5:$M$219)-SUM(I3,J3)</f>
        <v>0</v>
      </c>
      <c r="I3" s="48">
        <f>SUMIF('On The Board'!J$5:J$219,"&lt;="&amp;$B3,'On The Board'!$M$5:$M$219)-SUM(J3)</f>
        <v>0</v>
      </c>
      <c r="J3" s="48">
        <f>SUMIF('On The Board'!K$5:K$219,"&lt;="&amp;$B3,'On The Board'!$M$5:$M$219)</f>
        <v>2</v>
      </c>
      <c r="K3" s="47">
        <f t="shared" si="0"/>
        <v>3</v>
      </c>
      <c r="L3" s="47">
        <f ca="1">IF(TodaysDate&gt;=B3,SUM(F3:I3),NA())</f>
        <v>1</v>
      </c>
      <c r="M3" s="49">
        <f ca="1">AVERAGE(L$2:L3)</f>
        <v>2</v>
      </c>
      <c r="N3" s="49">
        <f ca="1">IF(ISNUMBER(M3),J3/NETWORKDAYS(B$2,B3,BankHolidays),NA())</f>
        <v>1</v>
      </c>
      <c r="O3" s="49">
        <f t="shared" ref="O3:O66" ca="1" si="4">IF(N3&gt;0,M3/N3,NA())</f>
        <v>2</v>
      </c>
      <c r="P3" s="53" t="e">
        <f ca="1">AVERAGE(O$2:O3)</f>
        <v>#N/A</v>
      </c>
      <c r="Q3" s="53">
        <f ca="1">IFERROR(DayByDayTable[[#This Row],[Lead Time]],"")</f>
        <v>2</v>
      </c>
      <c r="R3" s="44">
        <f t="shared" ca="1" si="1"/>
        <v>16</v>
      </c>
      <c r="S3" s="44">
        <f ca="1">ROUND(PERCENTILE(DayByDayTable[[#Data],[BlankLeadTime]],0.8),0)</f>
        <v>8</v>
      </c>
    </row>
    <row r="4" spans="1:19">
      <c r="A4" s="52">
        <f t="shared" si="2"/>
        <v>42410</v>
      </c>
      <c r="B4" s="46">
        <f t="shared" si="3"/>
        <v>42410</v>
      </c>
      <c r="C4" s="47">
        <f>SUMIFS('On The Board'!$M$5:$M$219,'On The Board'!F$5:F$219,"&lt;="&amp;$B4,'On The Board'!E$5:E$219,"="&amp;FutureWork)</f>
        <v>0</v>
      </c>
      <c r="D4" s="47">
        <f ca="1">IF(TodaysDate&gt;=B4,SUMIF('On The Board'!F$5:F$219,"&lt;="&amp;$B4,'On The Board'!$M$5:$M$219)-SUM(F4:J4),"")</f>
        <v>0</v>
      </c>
      <c r="E4" s="48">
        <f ca="1">IF(TodaysDate&gt;=B4,SUMIF('On The Board'!F$5:F$219,"&lt;="&amp;$B4,'On The Board'!$M$5:$M$219)-SUM(F4:J4),E3)</f>
        <v>0</v>
      </c>
      <c r="F4" s="48">
        <f>SUMIF('On The Board'!G$5:G$219,"&lt;="&amp;$B4,'On The Board'!$M$5:$M$219)-SUM(G4:J4)</f>
        <v>0</v>
      </c>
      <c r="G4" s="48">
        <f>SUMIF('On The Board'!H$5:H$219,"&lt;="&amp;$B4,'On The Board'!$M$5:$M$219)-SUM(H4:J4)</f>
        <v>3</v>
      </c>
      <c r="H4" s="48">
        <f>SUMIF('On The Board'!I$5:I$219,"&lt;="&amp;$B4,'On The Board'!$M$5:$M$219)-SUM(I4,J4)</f>
        <v>0</v>
      </c>
      <c r="I4" s="48">
        <f>SUMIF('On The Board'!J$5:J$219,"&lt;="&amp;$B4,'On The Board'!$M$5:$M$219)-SUM(J4)</f>
        <v>0</v>
      </c>
      <c r="J4" s="48">
        <f>SUMIF('On The Board'!K$5:K$219,"&lt;="&amp;$B4,'On The Board'!$M$5:$M$219)</f>
        <v>2</v>
      </c>
      <c r="K4" s="47">
        <f t="shared" si="0"/>
        <v>5</v>
      </c>
      <c r="L4" s="47">
        <f ca="1">IF(TodaysDate&gt;=B4,SUM(F4:I4),NA())</f>
        <v>3</v>
      </c>
      <c r="M4" s="49">
        <f ca="1">AVERAGE(L$2:L4)</f>
        <v>2.3333333333333335</v>
      </c>
      <c r="N4" s="49">
        <f ca="1">IF(ISNUMBER(M4),J4/NETWORKDAYS(B$2,B4,BankHolidays),NA())</f>
        <v>0.66666666666666663</v>
      </c>
      <c r="O4" s="49">
        <f t="shared" ca="1" si="4"/>
        <v>3.5000000000000004</v>
      </c>
      <c r="P4" s="53" t="e">
        <f ca="1">AVERAGE(O$2:O4)</f>
        <v>#N/A</v>
      </c>
      <c r="Q4" s="53">
        <f ca="1">IFERROR(DayByDayTable[[#This Row],[Lead Time]],"")</f>
        <v>3.5000000000000004</v>
      </c>
      <c r="R4" s="44">
        <f t="shared" ca="1" si="1"/>
        <v>16</v>
      </c>
      <c r="S4" s="44">
        <f ca="1">ROUND(PERCENTILE(DayByDayTable[[#Data],[BlankLeadTime]],0.8),0)</f>
        <v>8</v>
      </c>
    </row>
    <row r="5" spans="1:19">
      <c r="A5" s="52">
        <f t="shared" si="2"/>
        <v>42411</v>
      </c>
      <c r="B5" s="46">
        <f t="shared" si="3"/>
        <v>42411</v>
      </c>
      <c r="C5" s="47">
        <f>SUMIFS('On The Board'!$M$5:$M$219,'On The Board'!F$5:F$219,"&lt;="&amp;$B5,'On The Board'!E$5:E$219,"="&amp;FutureWork)</f>
        <v>0</v>
      </c>
      <c r="D5" s="47">
        <f ca="1">IF(TodaysDate&gt;=B5,SUMIF('On The Board'!F$5:F$219,"&lt;="&amp;$B5,'On The Board'!$M$5:$M$219)-SUM(F5:J5),"")</f>
        <v>0</v>
      </c>
      <c r="E5" s="48">
        <f ca="1">IF(TodaysDate&gt;=B5,SUMIF('On The Board'!F$5:F$219,"&lt;="&amp;$B5,'On The Board'!$M$5:$M$219)-SUM(F5:J5),E4)</f>
        <v>0</v>
      </c>
      <c r="F5" s="48">
        <f>SUMIF('On The Board'!G$5:G$219,"&lt;="&amp;$B5,'On The Board'!$M$5:$M$219)-SUM(G5:J5)</f>
        <v>0</v>
      </c>
      <c r="G5" s="48">
        <f>SUMIF('On The Board'!H$5:H$219,"&lt;="&amp;$B5,'On The Board'!$M$5:$M$219)-SUM(H5:J5)</f>
        <v>3</v>
      </c>
      <c r="H5" s="48">
        <f>SUMIF('On The Board'!I$5:I$219,"&lt;="&amp;$B5,'On The Board'!$M$5:$M$219)-SUM(I5,J5)</f>
        <v>0</v>
      </c>
      <c r="I5" s="48">
        <f>SUMIF('On The Board'!J$5:J$219,"&lt;="&amp;$B5,'On The Board'!$M$5:$M$219)-SUM(J5)</f>
        <v>0</v>
      </c>
      <c r="J5" s="48">
        <f>SUMIF('On The Board'!K$5:K$219,"&lt;="&amp;$B5,'On The Board'!$M$5:$M$219)</f>
        <v>2</v>
      </c>
      <c r="K5" s="47">
        <f t="shared" si="0"/>
        <v>5</v>
      </c>
      <c r="L5" s="47">
        <f ca="1">IF(TodaysDate&gt;=B5,SUM(F5:I5),NA())</f>
        <v>3</v>
      </c>
      <c r="M5" s="49">
        <f ca="1">AVERAGE(L$2:L5)</f>
        <v>2.5</v>
      </c>
      <c r="N5" s="49">
        <f ca="1">IF(ISNUMBER(M5),J5/NETWORKDAYS(B$2,B5,BankHolidays),NA())</f>
        <v>0.5</v>
      </c>
      <c r="O5" s="49">
        <f t="shared" ca="1" si="4"/>
        <v>5</v>
      </c>
      <c r="P5" s="53" t="e">
        <f ca="1">AVERAGE(O$2:O5)</f>
        <v>#N/A</v>
      </c>
      <c r="Q5" s="53">
        <f ca="1">IFERROR(DayByDayTable[[#This Row],[Lead Time]],"")</f>
        <v>5</v>
      </c>
      <c r="R5" s="44">
        <f t="shared" ca="1" si="1"/>
        <v>16</v>
      </c>
      <c r="S5" s="44">
        <f ca="1">ROUND(PERCENTILE(DayByDayTable[[#Data],[BlankLeadTime]],0.8),0)</f>
        <v>8</v>
      </c>
    </row>
    <row r="6" spans="1:19">
      <c r="A6" s="52">
        <f t="shared" si="2"/>
        <v>42412</v>
      </c>
      <c r="B6" s="46">
        <f t="shared" si="3"/>
        <v>42412</v>
      </c>
      <c r="C6" s="47">
        <f>SUMIFS('On The Board'!$M$5:$M$219,'On The Board'!F$5:F$219,"&lt;="&amp;$B6,'On The Board'!E$5:E$219,"="&amp;FutureWork)</f>
        <v>0</v>
      </c>
      <c r="D6" s="47">
        <f ca="1">IF(TodaysDate&gt;=B6,SUMIF('On The Board'!F$5:F$219,"&lt;="&amp;$B6,'On The Board'!$M$5:$M$219)-SUM(F6:J6),"")</f>
        <v>0</v>
      </c>
      <c r="E6" s="48">
        <f ca="1">IF(TodaysDate&gt;=B6,SUMIF('On The Board'!F$5:F$219,"&lt;="&amp;$B6,'On The Board'!$M$5:$M$219)-SUM(F6:J6),E5)</f>
        <v>0</v>
      </c>
      <c r="F6" s="48">
        <f>SUMIF('On The Board'!G$5:G$219,"&lt;="&amp;$B6,'On The Board'!$M$5:$M$219)-SUM(G6:J6)</f>
        <v>0</v>
      </c>
      <c r="G6" s="48">
        <f>SUMIF('On The Board'!H$5:H$219,"&lt;="&amp;$B6,'On The Board'!$M$5:$M$219)-SUM(H6:J6)</f>
        <v>3</v>
      </c>
      <c r="H6" s="48">
        <f>SUMIF('On The Board'!I$5:I$219,"&lt;="&amp;$B6,'On The Board'!$M$5:$M$219)-SUM(I6,J6)</f>
        <v>0</v>
      </c>
      <c r="I6" s="48">
        <f>SUMIF('On The Board'!J$5:J$219,"&lt;="&amp;$B6,'On The Board'!$M$5:$M$219)-SUM(J6)</f>
        <v>0</v>
      </c>
      <c r="J6" s="48">
        <f>SUMIF('On The Board'!K$5:K$219,"&lt;="&amp;$B6,'On The Board'!$M$5:$M$219)</f>
        <v>2</v>
      </c>
      <c r="K6" s="47">
        <f t="shared" si="0"/>
        <v>5</v>
      </c>
      <c r="L6" s="47">
        <f ca="1">IF(TodaysDate&gt;=B6,SUM(F6:I6),NA())</f>
        <v>3</v>
      </c>
      <c r="M6" s="49">
        <f ca="1">AVERAGE(L$2:L6)</f>
        <v>2.6</v>
      </c>
      <c r="N6" s="49">
        <f ca="1">IF(ISNUMBER(M6),J6/NETWORKDAYS(B$2,B6,BankHolidays),NA())</f>
        <v>0.4</v>
      </c>
      <c r="O6" s="49">
        <f t="shared" ca="1" si="4"/>
        <v>6.5</v>
      </c>
      <c r="P6" s="53" t="e">
        <f ca="1">AVERAGE(O$2:O6)</f>
        <v>#N/A</v>
      </c>
      <c r="Q6" s="53">
        <f ca="1">IFERROR(DayByDayTable[[#This Row],[Lead Time]],"")</f>
        <v>6.5</v>
      </c>
      <c r="R6" s="44">
        <f t="shared" ca="1" si="1"/>
        <v>16</v>
      </c>
      <c r="S6" s="44">
        <f ca="1">ROUND(PERCENTILE(DayByDayTable[[#Data],[BlankLeadTime]],0.8),0)</f>
        <v>8</v>
      </c>
    </row>
    <row r="7" spans="1:19">
      <c r="A7" s="52">
        <f t="shared" si="2"/>
        <v>42415</v>
      </c>
      <c r="B7" s="46">
        <f t="shared" si="3"/>
        <v>42415</v>
      </c>
      <c r="C7" s="47">
        <f>SUMIFS('On The Board'!$M$5:$M$219,'On The Board'!F$5:F$219,"&lt;="&amp;$B7,'On The Board'!E$5:E$219,"="&amp;FutureWork)</f>
        <v>0</v>
      </c>
      <c r="D7" s="47">
        <f ca="1">IF(TodaysDate&gt;=B7,SUMIF('On The Board'!F$5:F$219,"&lt;="&amp;$B7,'On The Board'!$M$5:$M$219)-SUM(F7:J7),"")</f>
        <v>0</v>
      </c>
      <c r="E7" s="48">
        <f ca="1">IF(TodaysDate&gt;=B7,SUMIF('On The Board'!F$5:F$219,"&lt;="&amp;$B7,'On The Board'!$M$5:$M$219)-SUM(F7:J7),E6)</f>
        <v>0</v>
      </c>
      <c r="F7" s="48">
        <f>SUMIF('On The Board'!G$5:G$219,"&lt;="&amp;$B7,'On The Board'!$M$5:$M$219)-SUM(G7:J7)</f>
        <v>0</v>
      </c>
      <c r="G7" s="48">
        <f>SUMIF('On The Board'!H$5:H$219,"&lt;="&amp;$B7,'On The Board'!$M$5:$M$219)-SUM(H7:J7)</f>
        <v>3</v>
      </c>
      <c r="H7" s="48">
        <f>SUMIF('On The Board'!I$5:I$219,"&lt;="&amp;$B7,'On The Board'!$M$5:$M$219)-SUM(I7,J7)</f>
        <v>0</v>
      </c>
      <c r="I7" s="48">
        <f>SUMIF('On The Board'!J$5:J$219,"&lt;="&amp;$B7,'On The Board'!$M$5:$M$219)-SUM(J7)</f>
        <v>0</v>
      </c>
      <c r="J7" s="48">
        <f>SUMIF('On The Board'!K$5:K$219,"&lt;="&amp;$B7,'On The Board'!$M$5:$M$219)</f>
        <v>2</v>
      </c>
      <c r="K7" s="47">
        <f t="shared" si="0"/>
        <v>5</v>
      </c>
      <c r="L7" s="47">
        <f ca="1">IF(TodaysDate&gt;=B7,SUM(F7:I7),NA())</f>
        <v>3</v>
      </c>
      <c r="M7" s="49">
        <f ca="1">AVERAGE(L$2:L7)</f>
        <v>2.6666666666666665</v>
      </c>
      <c r="N7" s="49">
        <f ca="1">IF(ISNUMBER(M7),J7/NETWORKDAYS(B$2,B7,BankHolidays),NA())</f>
        <v>0.33333333333333331</v>
      </c>
      <c r="O7" s="49">
        <f t="shared" ca="1" si="4"/>
        <v>8</v>
      </c>
      <c r="P7" s="53" t="e">
        <f ca="1">AVERAGE(O$2:O7)</f>
        <v>#N/A</v>
      </c>
      <c r="Q7" s="53">
        <f ca="1">IFERROR(DayByDayTable[[#This Row],[Lead Time]],"")</f>
        <v>8</v>
      </c>
      <c r="R7" s="44">
        <f t="shared" ca="1" si="1"/>
        <v>16</v>
      </c>
      <c r="S7" s="44">
        <f ca="1">ROUND(PERCENTILE(DayByDayTable[[#Data],[BlankLeadTime]],0.8),0)</f>
        <v>8</v>
      </c>
    </row>
    <row r="8" spans="1:19">
      <c r="A8" s="52">
        <f t="shared" si="2"/>
        <v>42416</v>
      </c>
      <c r="B8" s="46">
        <f t="shared" si="3"/>
        <v>42416</v>
      </c>
      <c r="C8" s="47">
        <f>SUMIFS('On The Board'!$M$5:$M$219,'On The Board'!F$5:F$219,"&lt;="&amp;$B8,'On The Board'!E$5:E$219,"="&amp;FutureWork)</f>
        <v>0</v>
      </c>
      <c r="D8" s="47">
        <f ca="1">IF(TodaysDate&gt;=B8,SUMIF('On The Board'!F$5:F$219,"&lt;="&amp;$B8,'On The Board'!$M$5:$M$219)-SUM(F8:J8),"")</f>
        <v>0</v>
      </c>
      <c r="E8" s="48">
        <f ca="1">IF(TodaysDate&gt;=B8,SUMIF('On The Board'!F$5:F$219,"&lt;="&amp;$B8,'On The Board'!$M$5:$M$219)-SUM(F8:J8),E7)</f>
        <v>0</v>
      </c>
      <c r="F8" s="48">
        <f>SUMIF('On The Board'!G$5:G$219,"&lt;="&amp;$B8,'On The Board'!$M$5:$M$219)-SUM(G8:J8)</f>
        <v>0</v>
      </c>
      <c r="G8" s="48">
        <f>SUMIF('On The Board'!H$5:H$219,"&lt;="&amp;$B8,'On The Board'!$M$5:$M$219)-SUM(H8:J8)</f>
        <v>4</v>
      </c>
      <c r="H8" s="48">
        <f>SUMIF('On The Board'!I$5:I$219,"&lt;="&amp;$B8,'On The Board'!$M$5:$M$219)-SUM(I8,J8)</f>
        <v>0</v>
      </c>
      <c r="I8" s="48">
        <f>SUMIF('On The Board'!J$5:J$219,"&lt;="&amp;$B8,'On The Board'!$M$5:$M$219)-SUM(J8)</f>
        <v>0</v>
      </c>
      <c r="J8" s="48">
        <f>SUMIF('On The Board'!K$5:K$219,"&lt;="&amp;$B8,'On The Board'!$M$5:$M$219)</f>
        <v>2</v>
      </c>
      <c r="K8" s="47">
        <f t="shared" si="0"/>
        <v>6</v>
      </c>
      <c r="L8" s="47">
        <f ca="1">IF(TodaysDate&gt;=B8,SUM(F8:I8),NA())</f>
        <v>4</v>
      </c>
      <c r="M8" s="49">
        <f ca="1">AVERAGE(L$2:L8)</f>
        <v>2.8571428571428572</v>
      </c>
      <c r="N8" s="49">
        <f ca="1">IF(ISNUMBER(M8),J8/NETWORKDAYS(B$2,B8,BankHolidays),NA())</f>
        <v>0.2857142857142857</v>
      </c>
      <c r="O8" s="49">
        <f t="shared" ca="1" si="4"/>
        <v>10</v>
      </c>
      <c r="P8" s="53" t="e">
        <f ca="1">AVERAGE(O$2:O8)</f>
        <v>#N/A</v>
      </c>
      <c r="Q8" s="53">
        <f ca="1">IFERROR(DayByDayTable[[#This Row],[Lead Time]],"")</f>
        <v>10</v>
      </c>
      <c r="R8" s="44">
        <f t="shared" ca="1" si="1"/>
        <v>16</v>
      </c>
      <c r="S8" s="44">
        <f ca="1">ROUND(PERCENTILE(DayByDayTable[[#Data],[BlankLeadTime]],0.8),0)</f>
        <v>8</v>
      </c>
    </row>
    <row r="9" spans="1:19">
      <c r="A9" s="52">
        <f t="shared" si="2"/>
        <v>42417</v>
      </c>
      <c r="B9" s="46">
        <f t="shared" si="3"/>
        <v>42417</v>
      </c>
      <c r="C9" s="47">
        <f>SUMIFS('On The Board'!$M$5:$M$219,'On The Board'!F$5:F$219,"&lt;="&amp;$B9,'On The Board'!E$5:E$219,"="&amp;FutureWork)</f>
        <v>0</v>
      </c>
      <c r="D9" s="47">
        <f ca="1">IF(TodaysDate&gt;=B9,SUMIF('On The Board'!F$5:F$219,"&lt;="&amp;$B9,'On The Board'!$M$5:$M$219)-SUM(F9:J9),"")</f>
        <v>1</v>
      </c>
      <c r="E9" s="48">
        <f ca="1">IF(TodaysDate&gt;=B9,SUMIF('On The Board'!F$5:F$219,"&lt;="&amp;$B9,'On The Board'!$M$5:$M$219)-SUM(F9:J9),E8)</f>
        <v>1</v>
      </c>
      <c r="F9" s="48">
        <f>SUMIF('On The Board'!G$5:G$219,"&lt;="&amp;$B9,'On The Board'!$M$5:$M$219)-SUM(G9:J9)</f>
        <v>0</v>
      </c>
      <c r="G9" s="48">
        <f>SUMIF('On The Board'!H$5:H$219,"&lt;="&amp;$B9,'On The Board'!$M$5:$M$219)-SUM(H9:J9)</f>
        <v>5</v>
      </c>
      <c r="H9" s="48">
        <f>SUMIF('On The Board'!I$5:I$219,"&lt;="&amp;$B9,'On The Board'!$M$5:$M$219)-SUM(I9,J9)</f>
        <v>0</v>
      </c>
      <c r="I9" s="48">
        <f>SUMIF('On The Board'!J$5:J$219,"&lt;="&amp;$B9,'On The Board'!$M$5:$M$219)-SUM(J9)</f>
        <v>0</v>
      </c>
      <c r="J9" s="48">
        <f>SUMIF('On The Board'!K$5:K$219,"&lt;="&amp;$B9,'On The Board'!$M$5:$M$219)</f>
        <v>2</v>
      </c>
      <c r="K9" s="47">
        <f t="shared" si="0"/>
        <v>7</v>
      </c>
      <c r="L9" s="47">
        <f ca="1">IF(TodaysDate&gt;=B9,SUM(F9:I9),NA())</f>
        <v>5</v>
      </c>
      <c r="M9" s="49">
        <f ca="1">AVERAGE(L$2:L9)</f>
        <v>3.125</v>
      </c>
      <c r="N9" s="49">
        <f ca="1">IF(ISNUMBER(M9),J9/NETWORKDAYS(B$2,B9,BankHolidays),NA())</f>
        <v>0.25</v>
      </c>
      <c r="O9" s="49">
        <f t="shared" ca="1" si="4"/>
        <v>12.5</v>
      </c>
      <c r="P9" s="53" t="e">
        <f ca="1">AVERAGE(O$2:O9)</f>
        <v>#N/A</v>
      </c>
      <c r="Q9" s="53">
        <f ca="1">IFERROR(DayByDayTable[[#This Row],[Lead Time]],"")</f>
        <v>12.5</v>
      </c>
      <c r="R9" s="44">
        <f t="shared" ca="1" si="1"/>
        <v>16</v>
      </c>
      <c r="S9" s="44">
        <f ca="1">ROUND(PERCENTILE(DayByDayTable[[#Data],[BlankLeadTime]],0.8),0)</f>
        <v>8</v>
      </c>
    </row>
    <row r="10" spans="1:19">
      <c r="A10" s="52">
        <f t="shared" si="2"/>
        <v>42418</v>
      </c>
      <c r="B10" s="46">
        <f t="shared" si="3"/>
        <v>42418</v>
      </c>
      <c r="C10" s="47">
        <f>SUMIFS('On The Board'!$M$5:$M$219,'On The Board'!F$5:F$219,"&lt;="&amp;$B10,'On The Board'!E$5:E$219,"="&amp;FutureWork)</f>
        <v>0</v>
      </c>
      <c r="D10" s="47">
        <f ca="1">IF(TodaysDate&gt;=B10,SUMIF('On The Board'!F$5:F$219,"&lt;="&amp;$B10,'On The Board'!$M$5:$M$219)-SUM(F10:J10),"")</f>
        <v>1</v>
      </c>
      <c r="E10" s="48">
        <f ca="1">IF(TodaysDate&gt;=B10,SUMIF('On The Board'!F$5:F$219,"&lt;="&amp;$B10,'On The Board'!$M$5:$M$219)-SUM(F10:J10),E9)</f>
        <v>1</v>
      </c>
      <c r="F10" s="48">
        <f>SUMIF('On The Board'!G$5:G$219,"&lt;="&amp;$B10,'On The Board'!$M$5:$M$219)-SUM(G10:J10)</f>
        <v>0</v>
      </c>
      <c r="G10" s="48">
        <f>SUMIF('On The Board'!H$5:H$219,"&lt;="&amp;$B10,'On The Board'!$M$5:$M$219)-SUM(H10:J10)</f>
        <v>7</v>
      </c>
      <c r="H10" s="48">
        <f>SUMIF('On The Board'!I$5:I$219,"&lt;="&amp;$B10,'On The Board'!$M$5:$M$219)-SUM(I10,J10)</f>
        <v>0</v>
      </c>
      <c r="I10" s="48">
        <f>SUMIF('On The Board'!J$5:J$219,"&lt;="&amp;$B10,'On The Board'!$M$5:$M$219)-SUM(J10)</f>
        <v>0</v>
      </c>
      <c r="J10" s="48">
        <f>SUMIF('On The Board'!K$5:K$219,"&lt;="&amp;$B10,'On The Board'!$M$5:$M$219)</f>
        <v>2</v>
      </c>
      <c r="K10" s="47">
        <f t="shared" si="0"/>
        <v>9</v>
      </c>
      <c r="L10" s="47">
        <f ca="1">IF(TodaysDate&gt;=B10,SUM(F10:I10),NA())</f>
        <v>7</v>
      </c>
      <c r="M10" s="49">
        <f ca="1">AVERAGE(L$2:L10)</f>
        <v>3.5555555555555554</v>
      </c>
      <c r="N10" s="49">
        <f ca="1">IF(ISNUMBER(M10),J10/NETWORKDAYS(B$2,B10,BankHolidays),NA())</f>
        <v>0.22222222222222221</v>
      </c>
      <c r="O10" s="49">
        <f t="shared" ca="1" si="4"/>
        <v>16</v>
      </c>
      <c r="P10" s="53" t="e">
        <f ca="1">AVERAGE(O$2:O10)</f>
        <v>#N/A</v>
      </c>
      <c r="Q10" s="53">
        <f ca="1">IFERROR(DayByDayTable[[#This Row],[Lead Time]],"")</f>
        <v>16</v>
      </c>
      <c r="R10" s="44">
        <f t="shared" ca="1" si="1"/>
        <v>16</v>
      </c>
      <c r="S10" s="44">
        <f ca="1">ROUND(PERCENTILE(DayByDayTable[[#Data],[BlankLeadTime]],0.8),0)</f>
        <v>8</v>
      </c>
    </row>
    <row r="11" spans="1:19">
      <c r="A11" s="52">
        <f t="shared" si="2"/>
        <v>42419</v>
      </c>
      <c r="B11" s="46">
        <f t="shared" si="3"/>
        <v>42419</v>
      </c>
      <c r="C11" s="47">
        <f>SUMIFS('On The Board'!$M$5:$M$219,'On The Board'!F$5:F$219,"&lt;="&amp;$B11,'On The Board'!E$5:E$219,"="&amp;FutureWork)</f>
        <v>0</v>
      </c>
      <c r="D11" s="47">
        <f ca="1">IF(TodaysDate&gt;=B11,SUMIF('On The Board'!F$5:F$219,"&lt;="&amp;$B11,'On The Board'!$M$5:$M$219)-SUM(F11:J11),"")</f>
        <v>0</v>
      </c>
      <c r="E11" s="48">
        <f ca="1">IF(TodaysDate&gt;=B11,SUMIF('On The Board'!F$5:F$219,"&lt;="&amp;$B11,'On The Board'!$M$5:$M$219)-SUM(F11:J11),E10)</f>
        <v>0</v>
      </c>
      <c r="F11" s="48">
        <f>SUMIF('On The Board'!G$5:G$219,"&lt;="&amp;$B11,'On The Board'!$M$5:$M$219)-SUM(G11:J11)</f>
        <v>1</v>
      </c>
      <c r="G11" s="48">
        <f>SUMIF('On The Board'!H$5:H$219,"&lt;="&amp;$B11,'On The Board'!$M$5:$M$219)-SUM(H11:J11)</f>
        <v>7</v>
      </c>
      <c r="H11" s="48">
        <f>SUMIF('On The Board'!I$5:I$219,"&lt;="&amp;$B11,'On The Board'!$M$5:$M$219)-SUM(I11,J11)</f>
        <v>0</v>
      </c>
      <c r="I11" s="48">
        <f>SUMIF('On The Board'!J$5:J$219,"&lt;="&amp;$B11,'On The Board'!$M$5:$M$219)-SUM(J11)</f>
        <v>0</v>
      </c>
      <c r="J11" s="48">
        <f>SUMIF('On The Board'!K$5:K$219,"&lt;="&amp;$B11,'On The Board'!$M$5:$M$219)</f>
        <v>2</v>
      </c>
      <c r="K11" s="47">
        <f t="shared" si="0"/>
        <v>10</v>
      </c>
      <c r="L11" s="47">
        <f ca="1">IF(TodaysDate&gt;=B11,SUM(F11:I11),NA())</f>
        <v>8</v>
      </c>
      <c r="M11" s="49">
        <f ca="1">AVERAGE(L$2:L11)</f>
        <v>4</v>
      </c>
      <c r="N11" s="49">
        <f ca="1">IF(ISNUMBER(M11),J11/NETWORKDAYS(B$2,B11,BankHolidays),NA())</f>
        <v>0.2</v>
      </c>
      <c r="O11" s="49">
        <f t="shared" ca="1" si="4"/>
        <v>20</v>
      </c>
      <c r="P11" s="53" t="e">
        <f ca="1">AVERAGE(O$2:O11)</f>
        <v>#N/A</v>
      </c>
      <c r="Q11" s="53">
        <f ca="1">IFERROR(DayByDayTable[[#This Row],[Lead Time]],"")</f>
        <v>20</v>
      </c>
      <c r="R11" s="44">
        <f t="shared" ca="1" si="1"/>
        <v>16</v>
      </c>
      <c r="S11" s="44">
        <f ca="1">ROUND(PERCENTILE(DayByDayTable[[#Data],[BlankLeadTime]],0.8),0)</f>
        <v>8</v>
      </c>
    </row>
    <row r="12" spans="1:19">
      <c r="A12" s="51">
        <f t="shared" si="2"/>
        <v>42422</v>
      </c>
      <c r="B12" s="11">
        <f t="shared" si="3"/>
        <v>42422</v>
      </c>
      <c r="C12" s="47">
        <f>SUMIFS('On The Board'!$M$5:$M$219,'On The Board'!F$5:F$219,"&lt;="&amp;$B12,'On The Board'!E$5:E$219,"="&amp;FutureWork)</f>
        <v>0</v>
      </c>
      <c r="D12" s="47">
        <f ca="1">IF(TodaysDate&gt;=B12,SUMIF('On The Board'!F$5:F$219,"&lt;="&amp;$B12,'On The Board'!$M$5:$M$219)-SUM(F12:J12),"")</f>
        <v>1</v>
      </c>
      <c r="E12" s="12">
        <f ca="1">IF(TodaysDate&gt;=B12,SUMIF('On The Board'!F$5:F$219,"&lt;="&amp;$B12,'On The Board'!$M$5:$M$219)-SUM(F12:J12),E11)</f>
        <v>1</v>
      </c>
      <c r="F12" s="12">
        <f>SUMIF('On The Board'!G$5:G$219,"&lt;="&amp;$B12,'On The Board'!$M$5:$M$219)-SUM(G12:J12)</f>
        <v>0</v>
      </c>
      <c r="G12" s="12">
        <f>SUMIF('On The Board'!H$5:H$219,"&lt;="&amp;$B12,'On The Board'!$M$5:$M$219)-SUM(H12:J12)</f>
        <v>3</v>
      </c>
      <c r="H12" s="12">
        <f>SUMIF('On The Board'!I$5:I$219,"&lt;="&amp;$B12,'On The Board'!$M$5:$M$219)-SUM(I12,J12)</f>
        <v>4</v>
      </c>
      <c r="I12" s="12">
        <f>SUMIF('On The Board'!J$5:J$219,"&lt;="&amp;$B12,'On The Board'!$M$5:$M$219)-SUM(J12)</f>
        <v>1</v>
      </c>
      <c r="J12" s="12">
        <f>SUMIF('On The Board'!K$5:K$219,"&lt;="&amp;$B12,'On The Board'!$M$5:$M$219)</f>
        <v>3</v>
      </c>
      <c r="K12" s="10">
        <f t="shared" si="0"/>
        <v>11</v>
      </c>
      <c r="L12" s="10">
        <f ca="1">IF(TodaysDate&gt;=B12,SUM(F12:I12),NA())</f>
        <v>8</v>
      </c>
      <c r="M12" s="44">
        <f ca="1">AVERAGE(L2:L12)</f>
        <v>4.3636363636363633</v>
      </c>
      <c r="N12" s="44">
        <f ca="1">IF(ISNUMBER(M12),(J12-J2)/NETWORKDAYS(B2,B12,BankHolidays),NA())</f>
        <v>0.27272727272727271</v>
      </c>
      <c r="O12" s="44">
        <f t="shared" ca="1" si="4"/>
        <v>16</v>
      </c>
      <c r="P12" s="53" t="e">
        <f ca="1">AVERAGE(O2:O12)</f>
        <v>#N/A</v>
      </c>
      <c r="Q12" s="53">
        <f ca="1">IFERROR(DayByDayTable[[#This Row],[Lead Time]],"")</f>
        <v>16</v>
      </c>
      <c r="R12" s="44">
        <f ca="1">PERCENTILE(O$3:O12,0.8)</f>
        <v>16</v>
      </c>
      <c r="S12" s="44">
        <f ca="1">ROUND(PERCENTILE(DayByDayTable[[#Data],[BlankLeadTime]],0.8),0)</f>
        <v>8</v>
      </c>
    </row>
    <row r="13" spans="1:19">
      <c r="A13" s="51">
        <f t="shared" si="2"/>
        <v>42423</v>
      </c>
      <c r="B13" s="11">
        <f t="shared" si="3"/>
        <v>42423</v>
      </c>
      <c r="C13" s="47">
        <f>SUMIFS('On The Board'!$M$5:$M$219,'On The Board'!F$5:F$219,"&lt;="&amp;$B13,'On The Board'!E$5:E$219,"="&amp;FutureWork)</f>
        <v>0</v>
      </c>
      <c r="D13" s="47">
        <f ca="1">IF(TodaysDate&gt;=B13,SUMIF('On The Board'!F$5:F$219,"&lt;="&amp;$B13,'On The Board'!$M$5:$M$219)-SUM(F13:J13),"")</f>
        <v>0</v>
      </c>
      <c r="E13" s="12">
        <f ca="1">IF(TodaysDate&gt;=B13,SUMIF('On The Board'!F$5:F$219,"&lt;="&amp;$B13,'On The Board'!$M$5:$M$219)-SUM(F13:J13),E12)</f>
        <v>0</v>
      </c>
      <c r="F13" s="12">
        <f>SUMIF('On The Board'!G$5:G$219,"&lt;="&amp;$B13,'On The Board'!$M$5:$M$219)-SUM(G13:J13)</f>
        <v>0</v>
      </c>
      <c r="G13" s="12">
        <f>SUMIF('On The Board'!H$5:H$219,"&lt;="&amp;$B13,'On The Board'!$M$5:$M$219)-SUM(H13:J13)</f>
        <v>3</v>
      </c>
      <c r="H13" s="12">
        <f>SUMIF('On The Board'!I$5:I$219,"&lt;="&amp;$B13,'On The Board'!$M$5:$M$219)-SUM(I13,J13)</f>
        <v>2</v>
      </c>
      <c r="I13" s="12">
        <f>SUMIF('On The Board'!J$5:J$219,"&lt;="&amp;$B13,'On The Board'!$M$5:$M$219)-SUM(J13)</f>
        <v>1</v>
      </c>
      <c r="J13" s="12">
        <f>SUMIF('On The Board'!K$5:K$219,"&lt;="&amp;$B13,'On The Board'!$M$5:$M$219)</f>
        <v>6</v>
      </c>
      <c r="K13" s="10">
        <f t="shared" si="0"/>
        <v>12</v>
      </c>
      <c r="L13" s="10">
        <f ca="1">IF(TodaysDate&gt;=B13,SUM(F13:I13),NA())</f>
        <v>6</v>
      </c>
      <c r="M13" s="44">
        <f t="shared" ref="M13:M76" ca="1" si="5">AVERAGE(L3:L13)</f>
        <v>4.6363636363636367</v>
      </c>
      <c r="N13" s="44">
        <f ca="1">IF(ISNUMBER(M13),(J13-J3)/NETWORKDAYS(B3,B13,BankHolidays),NA())</f>
        <v>0.36363636363636365</v>
      </c>
      <c r="O13" s="44">
        <f t="shared" ca="1" si="4"/>
        <v>12.75</v>
      </c>
      <c r="P13" s="53">
        <f t="shared" ref="P13:P76" ca="1" si="6">AVERAGE(O3:O13)</f>
        <v>10.204545454545455</v>
      </c>
      <c r="Q13" s="53">
        <f ca="1">IFERROR(DayByDayTable[[#This Row],[Lead Time]],"")</f>
        <v>12.75</v>
      </c>
      <c r="R13" s="44">
        <f ca="1">PERCENTILE(O$3:O13,0.8)</f>
        <v>16</v>
      </c>
      <c r="S13" s="44">
        <f ca="1">ROUND(PERCENTILE(DayByDayTable[[#Data],[BlankLeadTime]],0.8),0)</f>
        <v>8</v>
      </c>
    </row>
    <row r="14" spans="1:19">
      <c r="A14" s="51">
        <f t="shared" si="2"/>
        <v>42424</v>
      </c>
      <c r="B14" s="11">
        <f t="shared" si="3"/>
        <v>42424</v>
      </c>
      <c r="C14" s="47">
        <f>SUMIFS('On The Board'!$M$5:$M$219,'On The Board'!F$5:F$219,"&lt;="&amp;$B14,'On The Board'!E$5:E$219,"="&amp;FutureWork)</f>
        <v>0</v>
      </c>
      <c r="D14" s="47">
        <f ca="1">IF(TodaysDate&gt;=B14,SUMIF('On The Board'!F$5:F$219,"&lt;="&amp;$B14,'On The Board'!$M$5:$M$219)-SUM(F14:J14),"")</f>
        <v>1</v>
      </c>
      <c r="E14" s="12">
        <f ca="1">IF(TodaysDate&gt;=B14,SUMIF('On The Board'!F$5:F$219,"&lt;="&amp;$B14,'On The Board'!$M$5:$M$219)-SUM(F14:J14),E13)</f>
        <v>1</v>
      </c>
      <c r="F14" s="12">
        <f>SUMIF('On The Board'!G$5:G$219,"&lt;="&amp;$B14,'On The Board'!$M$5:$M$219)-SUM(G14:J14)</f>
        <v>0</v>
      </c>
      <c r="G14" s="12">
        <f>SUMIF('On The Board'!H$5:H$219,"&lt;="&amp;$B14,'On The Board'!$M$5:$M$219)-SUM(H14:J14)</f>
        <v>2</v>
      </c>
      <c r="H14" s="12">
        <f>SUMIF('On The Board'!I$5:I$219,"&lt;="&amp;$B14,'On The Board'!$M$5:$M$219)-SUM(I14,J14)</f>
        <v>1</v>
      </c>
      <c r="I14" s="12">
        <f>SUMIF('On The Board'!J$5:J$219,"&lt;="&amp;$B14,'On The Board'!$M$5:$M$219)-SUM(J14)</f>
        <v>1</v>
      </c>
      <c r="J14" s="12">
        <f>SUMIF('On The Board'!K$5:K$219,"&lt;="&amp;$B14,'On The Board'!$M$5:$M$219)</f>
        <v>8</v>
      </c>
      <c r="K14" s="10">
        <f t="shared" si="0"/>
        <v>12</v>
      </c>
      <c r="L14" s="10">
        <f ca="1">IF(TodaysDate&gt;=B14,SUM(F14:I14),NA())</f>
        <v>4</v>
      </c>
      <c r="M14" s="44">
        <f t="shared" ca="1" si="5"/>
        <v>4.9090909090909092</v>
      </c>
      <c r="N14" s="44">
        <f ca="1">IF(ISNUMBER(M14),(J14-J4)/NETWORKDAYS(B4,B14,BankHolidays),NA())</f>
        <v>0.54545454545454541</v>
      </c>
      <c r="O14" s="44">
        <f t="shared" ca="1" si="4"/>
        <v>9</v>
      </c>
      <c r="P14" s="53">
        <f t="shared" ca="1" si="6"/>
        <v>10.840909090909092</v>
      </c>
      <c r="Q14" s="53">
        <f ca="1">IFERROR(DayByDayTable[[#This Row],[Lead Time]],"")</f>
        <v>9</v>
      </c>
      <c r="R14" s="44">
        <f ca="1">PERCENTILE(O$3:O14,0.8)</f>
        <v>15.350000000000001</v>
      </c>
      <c r="S14" s="44">
        <f ca="1">ROUND(PERCENTILE(DayByDayTable[[#Data],[BlankLeadTime]],0.8),0)</f>
        <v>8</v>
      </c>
    </row>
    <row r="15" spans="1:19">
      <c r="A15" s="51">
        <f t="shared" si="2"/>
        <v>42425</v>
      </c>
      <c r="B15" s="11">
        <f t="shared" si="3"/>
        <v>42425</v>
      </c>
      <c r="C15" s="47">
        <f>SUMIFS('On The Board'!$M$5:$M$219,'On The Board'!F$5:F$219,"&lt;="&amp;$B15,'On The Board'!E$5:E$219,"="&amp;FutureWork)</f>
        <v>0</v>
      </c>
      <c r="D15" s="47">
        <f ca="1">IF(TodaysDate&gt;=B15,SUMIF('On The Board'!F$5:F$219,"&lt;="&amp;$B15,'On The Board'!$M$5:$M$219)-SUM(F15:J15),"")</f>
        <v>0</v>
      </c>
      <c r="E15" s="12">
        <f ca="1">IF(TodaysDate&gt;=B15,SUMIF('On The Board'!F$5:F$219,"&lt;="&amp;$B15,'On The Board'!$M$5:$M$219)-SUM(F15:J15),E14)</f>
        <v>0</v>
      </c>
      <c r="F15" s="12">
        <f>SUMIF('On The Board'!G$5:G$219,"&lt;="&amp;$B15,'On The Board'!$M$5:$M$219)-SUM(G15:J15)</f>
        <v>0</v>
      </c>
      <c r="G15" s="12">
        <f>SUMIF('On The Board'!H$5:H$219,"&lt;="&amp;$B15,'On The Board'!$M$5:$M$219)-SUM(H15:J15)</f>
        <v>4</v>
      </c>
      <c r="H15" s="12">
        <f>SUMIF('On The Board'!I$5:I$219,"&lt;="&amp;$B15,'On The Board'!$M$5:$M$219)-SUM(I15,J15)</f>
        <v>2</v>
      </c>
      <c r="I15" s="12">
        <f>SUMIF('On The Board'!J$5:J$219,"&lt;="&amp;$B15,'On The Board'!$M$5:$M$219)-SUM(J15)</f>
        <v>1</v>
      </c>
      <c r="J15" s="12">
        <f>SUMIF('On The Board'!K$5:K$219,"&lt;="&amp;$B15,'On The Board'!$M$5:$M$219)</f>
        <v>8</v>
      </c>
      <c r="K15" s="10">
        <f t="shared" si="0"/>
        <v>15</v>
      </c>
      <c r="L15" s="10">
        <f ca="1">IF(TodaysDate&gt;=B15,SUM(F15:I15),NA())</f>
        <v>7</v>
      </c>
      <c r="M15" s="44">
        <f t="shared" ca="1" si="5"/>
        <v>5.2727272727272725</v>
      </c>
      <c r="N15" s="44">
        <f ca="1">IF(ISNUMBER(M15),(J15-J5)/NETWORKDAYS(B5,B15,BankHolidays),NA())</f>
        <v>0.54545454545454541</v>
      </c>
      <c r="O15" s="44">
        <f t="shared" ca="1" si="4"/>
        <v>9.6666666666666661</v>
      </c>
      <c r="P15" s="53">
        <f t="shared" ca="1" si="6"/>
        <v>11.401515151515152</v>
      </c>
      <c r="Q15" s="53">
        <f ca="1">IFERROR(DayByDayTable[[#This Row],[Lead Time]],"")</f>
        <v>9.6666666666666661</v>
      </c>
      <c r="R15" s="44">
        <f ca="1">PERCENTILE(O4:O15,0.8)</f>
        <v>15.350000000000001</v>
      </c>
      <c r="S15" s="44">
        <f ca="1">ROUND(PERCENTILE(DayByDayTable[[#Data],[BlankLeadTime]],0.8),0)</f>
        <v>8</v>
      </c>
    </row>
    <row r="16" spans="1:19">
      <c r="A16" s="51">
        <f t="shared" si="2"/>
        <v>42426</v>
      </c>
      <c r="B16" s="11">
        <f t="shared" si="3"/>
        <v>42426</v>
      </c>
      <c r="C16" s="47">
        <f>SUMIFS('On The Board'!$M$5:$M$219,'On The Board'!F$5:F$219,"&lt;="&amp;$B16,'On The Board'!E$5:E$219,"="&amp;FutureWork)</f>
        <v>0</v>
      </c>
      <c r="D16" s="47">
        <f ca="1">IF(TodaysDate&gt;=B16,SUMIF('On The Board'!F$5:F$219,"&lt;="&amp;$B16,'On The Board'!$M$5:$M$219)-SUM(F16:J16),"")</f>
        <v>0</v>
      </c>
      <c r="E16" s="12">
        <f ca="1">IF(TodaysDate&gt;=B16,SUMIF('On The Board'!F$5:F$219,"&lt;="&amp;$B16,'On The Board'!$M$5:$M$219)-SUM(F16:J16),E15)</f>
        <v>0</v>
      </c>
      <c r="F16" s="12">
        <f>SUMIF('On The Board'!G$5:G$219,"&lt;="&amp;$B16,'On The Board'!$M$5:$M$219)-SUM(G16:J16)</f>
        <v>0</v>
      </c>
      <c r="G16" s="12">
        <f>SUMIF('On The Board'!H$5:H$219,"&lt;="&amp;$B16,'On The Board'!$M$5:$M$219)-SUM(H16:J16)</f>
        <v>4</v>
      </c>
      <c r="H16" s="12">
        <f>SUMIF('On The Board'!I$5:I$219,"&lt;="&amp;$B16,'On The Board'!$M$5:$M$219)-SUM(I16,J16)</f>
        <v>2</v>
      </c>
      <c r="I16" s="12">
        <f>SUMIF('On The Board'!J$5:J$219,"&lt;="&amp;$B16,'On The Board'!$M$5:$M$219)-SUM(J16)</f>
        <v>1</v>
      </c>
      <c r="J16" s="12">
        <f>SUMIF('On The Board'!K$5:K$219,"&lt;="&amp;$B16,'On The Board'!$M$5:$M$219)</f>
        <v>8</v>
      </c>
      <c r="K16" s="10">
        <f t="shared" si="0"/>
        <v>15</v>
      </c>
      <c r="L16" s="10">
        <f ca="1">IF(TodaysDate&gt;=B16,SUM(F16:I16),NA())</f>
        <v>7</v>
      </c>
      <c r="M16" s="44">
        <f t="shared" ca="1" si="5"/>
        <v>5.6363636363636367</v>
      </c>
      <c r="N16" s="44">
        <f ca="1">IF(ISNUMBER(M16),(J16-J6)/NETWORKDAYS(B6,B16,BankHolidays),NA())</f>
        <v>0.54545454545454541</v>
      </c>
      <c r="O16" s="44">
        <f t="shared" ca="1" si="4"/>
        <v>10.333333333333334</v>
      </c>
      <c r="P16" s="53">
        <f t="shared" ca="1" si="6"/>
        <v>11.886363636363637</v>
      </c>
      <c r="Q16" s="53">
        <f ca="1">IFERROR(DayByDayTable[[#This Row],[Lead Time]],"")</f>
        <v>10.333333333333334</v>
      </c>
      <c r="R16" s="44">
        <f t="shared" ref="R16:R79" ca="1" si="7">PERCENTILE(O5:O16,0.8)</f>
        <v>15.350000000000001</v>
      </c>
      <c r="S16" s="44">
        <f ca="1">ROUND(PERCENTILE(DayByDayTable[[#Data],[BlankLeadTime]],0.8),0)</f>
        <v>8</v>
      </c>
    </row>
    <row r="17" spans="1:19">
      <c r="A17" s="51">
        <f t="shared" si="2"/>
        <v>42429</v>
      </c>
      <c r="B17" s="11">
        <f t="shared" si="3"/>
        <v>42429</v>
      </c>
      <c r="C17" s="47">
        <f>SUMIFS('On The Board'!$M$5:$M$219,'On The Board'!F$5:F$219,"&lt;="&amp;$B17,'On The Board'!E$5:E$219,"="&amp;FutureWork)</f>
        <v>0</v>
      </c>
      <c r="D17" s="47">
        <f ca="1">IF(TodaysDate&gt;=B17,SUMIF('On The Board'!F$5:F$219,"&lt;="&amp;$B17,'On The Board'!$M$5:$M$219)-SUM(F17:J17),"")</f>
        <v>4</v>
      </c>
      <c r="E17" s="12">
        <f ca="1">IF(TodaysDate&gt;=B17,SUMIF('On The Board'!F$5:F$219,"&lt;="&amp;$B17,'On The Board'!$M$5:$M$219)-SUM(F17:J17),E16)</f>
        <v>4</v>
      </c>
      <c r="F17" s="12">
        <f>SUMIF('On The Board'!G$5:G$219,"&lt;="&amp;$B17,'On The Board'!$M$5:$M$219)-SUM(G17:J17)</f>
        <v>1</v>
      </c>
      <c r="G17" s="12">
        <f>SUMIF('On The Board'!H$5:H$219,"&lt;="&amp;$B17,'On The Board'!$M$5:$M$219)-SUM(H17:J17)</f>
        <v>2</v>
      </c>
      <c r="H17" s="12">
        <f>SUMIF('On The Board'!I$5:I$219,"&lt;="&amp;$B17,'On The Board'!$M$5:$M$219)-SUM(I17,J17)</f>
        <v>4</v>
      </c>
      <c r="I17" s="12">
        <f>SUMIF('On The Board'!J$5:J$219,"&lt;="&amp;$B17,'On The Board'!$M$5:$M$219)-SUM(J17)</f>
        <v>1</v>
      </c>
      <c r="J17" s="12">
        <f>SUMIF('On The Board'!K$5:K$219,"&lt;="&amp;$B17,'On The Board'!$M$5:$M$219)</f>
        <v>9</v>
      </c>
      <c r="K17" s="10">
        <f t="shared" si="0"/>
        <v>17</v>
      </c>
      <c r="L17" s="10">
        <f ca="1">IF(TodaysDate&gt;=B17,SUM(F17:I17),NA())</f>
        <v>8</v>
      </c>
      <c r="M17" s="44">
        <f t="shared" ca="1" si="5"/>
        <v>6.0909090909090908</v>
      </c>
      <c r="N17" s="44">
        <f ca="1">IF(ISNUMBER(M17),(J17-J7)/NETWORKDAYS(B7,B17,BankHolidays),NA())</f>
        <v>0.63636363636363635</v>
      </c>
      <c r="O17" s="44">
        <f t="shared" ca="1" si="4"/>
        <v>9.5714285714285712</v>
      </c>
      <c r="P17" s="53">
        <f t="shared" ca="1" si="6"/>
        <v>12.165584415584417</v>
      </c>
      <c r="Q17" s="53">
        <f ca="1">IFERROR(DayByDayTable[[#This Row],[Lead Time]],"")</f>
        <v>9.5714285714285712</v>
      </c>
      <c r="R17" s="44">
        <f t="shared" ca="1" si="7"/>
        <v>15.350000000000001</v>
      </c>
      <c r="S17" s="44">
        <f ca="1">ROUND(PERCENTILE(DayByDayTable[[#Data],[BlankLeadTime]],0.8),0)</f>
        <v>8</v>
      </c>
    </row>
    <row r="18" spans="1:19">
      <c r="A18" s="51">
        <f t="shared" si="2"/>
        <v>42430</v>
      </c>
      <c r="B18" s="11">
        <f t="shared" si="3"/>
        <v>42430</v>
      </c>
      <c r="C18" s="47">
        <f>SUMIFS('On The Board'!$M$5:$M$219,'On The Board'!F$5:F$219,"&lt;="&amp;$B18,'On The Board'!E$5:E$219,"="&amp;FutureWork)</f>
        <v>0</v>
      </c>
      <c r="D18" s="47">
        <f ca="1">IF(TodaysDate&gt;=B18,SUMIF('On The Board'!F$5:F$219,"&lt;="&amp;$B18,'On The Board'!$M$5:$M$219)-SUM(F18:J18),"")</f>
        <v>1</v>
      </c>
      <c r="E18" s="12">
        <f ca="1">IF(TodaysDate&gt;=B18,SUMIF('On The Board'!F$5:F$219,"&lt;="&amp;$B18,'On The Board'!$M$5:$M$219)-SUM(F18:J18),E17)</f>
        <v>1</v>
      </c>
      <c r="F18" s="12">
        <f>SUMIF('On The Board'!G$5:G$219,"&lt;="&amp;$B18,'On The Board'!$M$5:$M$219)-SUM(G18:J18)</f>
        <v>2</v>
      </c>
      <c r="G18" s="12">
        <f>SUMIF('On The Board'!H$5:H$219,"&lt;="&amp;$B18,'On The Board'!$M$5:$M$219)-SUM(H18:J18)</f>
        <v>3</v>
      </c>
      <c r="H18" s="12">
        <f>SUMIF('On The Board'!I$5:I$219,"&lt;="&amp;$B18,'On The Board'!$M$5:$M$219)-SUM(I18,J18)</f>
        <v>1</v>
      </c>
      <c r="I18" s="12">
        <f>SUMIF('On The Board'!J$5:J$219,"&lt;="&amp;$B18,'On The Board'!$M$5:$M$219)-SUM(J18)</f>
        <v>1</v>
      </c>
      <c r="J18" s="12">
        <f>SUMIF('On The Board'!K$5:K$219,"&lt;="&amp;$B18,'On The Board'!$M$5:$M$219)</f>
        <v>13</v>
      </c>
      <c r="K18" s="10">
        <f t="shared" si="0"/>
        <v>20</v>
      </c>
      <c r="L18" s="10">
        <f ca="1">IF(TodaysDate&gt;=B18,SUM(F18:I18),NA())</f>
        <v>7</v>
      </c>
      <c r="M18" s="44">
        <f t="shared" ca="1" si="5"/>
        <v>6.4545454545454541</v>
      </c>
      <c r="N18" s="44">
        <f ca="1">IF(ISNUMBER(M18),(J18-J8)/NETWORKDAYS(B8,B18,BankHolidays),NA())</f>
        <v>1</v>
      </c>
      <c r="O18" s="44">
        <f t="shared" ca="1" si="4"/>
        <v>6.4545454545454541</v>
      </c>
      <c r="P18" s="53">
        <f t="shared" ca="1" si="6"/>
        <v>12.02508854781582</v>
      </c>
      <c r="Q18" s="53">
        <f ca="1">IFERROR(DayByDayTable[[#This Row],[Lead Time]],"")</f>
        <v>6.4545454545454541</v>
      </c>
      <c r="R18" s="44">
        <f t="shared" ca="1" si="7"/>
        <v>15.350000000000001</v>
      </c>
      <c r="S18" s="44">
        <f ca="1">ROUND(PERCENTILE(DayByDayTable[[#Data],[BlankLeadTime]],0.8),0)</f>
        <v>8</v>
      </c>
    </row>
    <row r="19" spans="1:19">
      <c r="A19" s="51">
        <f t="shared" si="2"/>
        <v>42431</v>
      </c>
      <c r="B19" s="11">
        <f t="shared" si="3"/>
        <v>42431</v>
      </c>
      <c r="C19" s="47">
        <f>SUMIFS('On The Board'!$M$5:$M$219,'On The Board'!F$5:F$219,"&lt;="&amp;$B19,'On The Board'!E$5:E$219,"="&amp;FutureWork)</f>
        <v>0</v>
      </c>
      <c r="D19" s="47">
        <f ca="1">IF(TodaysDate&gt;=B19,SUMIF('On The Board'!F$5:F$219,"&lt;="&amp;$B19,'On The Board'!$M$5:$M$219)-SUM(F19:J19),"")</f>
        <v>16</v>
      </c>
      <c r="E19" s="12">
        <f ca="1">IF(TodaysDate&gt;=B19,SUMIF('On The Board'!F$5:F$219,"&lt;="&amp;$B19,'On The Board'!$M$5:$M$219)-SUM(F19:J19),E18)</f>
        <v>16</v>
      </c>
      <c r="F19" s="12">
        <f>SUMIF('On The Board'!G$5:G$219,"&lt;="&amp;$B19,'On The Board'!$M$5:$M$219)-SUM(G19:J19)</f>
        <v>2</v>
      </c>
      <c r="G19" s="12">
        <f>SUMIF('On The Board'!H$5:H$219,"&lt;="&amp;$B19,'On The Board'!$M$5:$M$219)-SUM(H19:J19)</f>
        <v>3</v>
      </c>
      <c r="H19" s="12">
        <f>SUMIF('On The Board'!I$5:I$219,"&lt;="&amp;$B19,'On The Board'!$M$5:$M$219)-SUM(I19,J19)</f>
        <v>1</v>
      </c>
      <c r="I19" s="12">
        <f>SUMIF('On The Board'!J$5:J$219,"&lt;="&amp;$B19,'On The Board'!$M$5:$M$219)-SUM(J19)</f>
        <v>1</v>
      </c>
      <c r="J19" s="12">
        <f>SUMIF('On The Board'!K$5:K$219,"&lt;="&amp;$B19,'On The Board'!$M$5:$M$219)</f>
        <v>13</v>
      </c>
      <c r="K19" s="10">
        <f t="shared" si="0"/>
        <v>20</v>
      </c>
      <c r="L19" s="10">
        <f ca="1">IF(TodaysDate&gt;=B19,SUM(F19:I19),NA())</f>
        <v>7</v>
      </c>
      <c r="M19" s="44">
        <f t="shared" ca="1" si="5"/>
        <v>6.7272727272727275</v>
      </c>
      <c r="N19" s="44">
        <f ca="1">IF(ISNUMBER(M19),(J19-J9)/NETWORKDAYS(B9,B19,BankHolidays),NA())</f>
        <v>1</v>
      </c>
      <c r="O19" s="44">
        <f t="shared" ca="1" si="4"/>
        <v>6.7272727272727275</v>
      </c>
      <c r="P19" s="53">
        <f t="shared" ca="1" si="6"/>
        <v>11.727567886658795</v>
      </c>
      <c r="Q19" s="53">
        <f ca="1">IFERROR(DayByDayTable[[#This Row],[Lead Time]],"")</f>
        <v>6.7272727272727275</v>
      </c>
      <c r="R19" s="44">
        <f t="shared" ca="1" si="7"/>
        <v>15.350000000000001</v>
      </c>
      <c r="S19" s="44">
        <f ca="1">ROUND(PERCENTILE(DayByDayTable[[#Data],[BlankLeadTime]],0.8),0)</f>
        <v>8</v>
      </c>
    </row>
    <row r="20" spans="1:19">
      <c r="A20" s="51">
        <f t="shared" si="2"/>
        <v>42432</v>
      </c>
      <c r="B20" s="11">
        <f t="shared" si="3"/>
        <v>42432</v>
      </c>
      <c r="C20" s="47">
        <f>SUMIFS('On The Board'!$M$5:$M$219,'On The Board'!F$5:F$219,"&lt;="&amp;$B20,'On The Board'!E$5:E$219,"="&amp;FutureWork)</f>
        <v>0</v>
      </c>
      <c r="D20" s="47">
        <f ca="1">IF(TodaysDate&gt;=B20,SUMIF('On The Board'!F$5:F$219,"&lt;="&amp;$B20,'On The Board'!$M$5:$M$219)-SUM(F20:J20),"")</f>
        <v>15</v>
      </c>
      <c r="E20" s="12">
        <f ca="1">IF(TodaysDate&gt;=B20,SUMIF('On The Board'!F$5:F$219,"&lt;="&amp;$B20,'On The Board'!$M$5:$M$219)-SUM(F20:J20),E19)</f>
        <v>15</v>
      </c>
      <c r="F20" s="12">
        <f>SUMIF('On The Board'!G$5:G$219,"&lt;="&amp;$B20,'On The Board'!$M$5:$M$219)-SUM(G20:J20)</f>
        <v>3</v>
      </c>
      <c r="G20" s="12">
        <f>SUMIF('On The Board'!H$5:H$219,"&lt;="&amp;$B20,'On The Board'!$M$5:$M$219)-SUM(H20:J20)</f>
        <v>1</v>
      </c>
      <c r="H20" s="12">
        <f>SUMIF('On The Board'!I$5:I$219,"&lt;="&amp;$B20,'On The Board'!$M$5:$M$219)-SUM(I20,J20)</f>
        <v>0</v>
      </c>
      <c r="I20" s="12">
        <f>SUMIF('On The Board'!J$5:J$219,"&lt;="&amp;$B20,'On The Board'!$M$5:$M$219)-SUM(J20)</f>
        <v>1</v>
      </c>
      <c r="J20" s="12">
        <f>SUMIF('On The Board'!K$5:K$219,"&lt;="&amp;$B20,'On The Board'!$M$5:$M$219)</f>
        <v>16</v>
      </c>
      <c r="K20" s="10">
        <f t="shared" si="0"/>
        <v>21</v>
      </c>
      <c r="L20" s="10">
        <f ca="1">IF(TodaysDate&gt;=B20,SUM(F20:I20),NA())</f>
        <v>5</v>
      </c>
      <c r="M20" s="44">
        <f t="shared" ca="1" si="5"/>
        <v>6.7272727272727275</v>
      </c>
      <c r="N20" s="44">
        <f ca="1">IF(ISNUMBER(M20),(J20-J10)/NETWORKDAYS(B10,B20,BankHolidays),NA())</f>
        <v>1.2727272727272727</v>
      </c>
      <c r="O20" s="44">
        <f t="shared" ca="1" si="4"/>
        <v>5.2857142857142856</v>
      </c>
      <c r="P20" s="53">
        <f t="shared" ca="1" si="6"/>
        <v>11.071723730814641</v>
      </c>
      <c r="Q20" s="53">
        <f ca="1">IFERROR(DayByDayTable[[#This Row],[Lead Time]],"")</f>
        <v>5.2857142857142856</v>
      </c>
      <c r="R20" s="44">
        <f t="shared" ca="1" si="7"/>
        <v>15.350000000000001</v>
      </c>
      <c r="S20" s="44">
        <f ca="1">ROUND(PERCENTILE(DayByDayTable[[#Data],[BlankLeadTime]],0.8),0)</f>
        <v>8</v>
      </c>
    </row>
    <row r="21" spans="1:19">
      <c r="A21" s="51">
        <f t="shared" si="2"/>
        <v>42433</v>
      </c>
      <c r="B21" s="11">
        <f t="shared" si="3"/>
        <v>42433</v>
      </c>
      <c r="C21" s="47">
        <f>SUMIFS('On The Board'!$M$5:$M$219,'On The Board'!F$5:F$219,"&lt;="&amp;$B21,'On The Board'!E$5:E$219,"="&amp;FutureWork)</f>
        <v>0</v>
      </c>
      <c r="D21" s="47">
        <f ca="1">IF(TodaysDate&gt;=B21,SUMIF('On The Board'!F$5:F$219,"&lt;="&amp;$B21,'On The Board'!$M$5:$M$219)-SUM(F21:J21),"")</f>
        <v>14</v>
      </c>
      <c r="E21" s="12">
        <f ca="1">IF(TodaysDate&gt;=B21,SUMIF('On The Board'!F$5:F$219,"&lt;="&amp;$B21,'On The Board'!$M$5:$M$219)-SUM(F21:J21),E20)</f>
        <v>14</v>
      </c>
      <c r="F21" s="12">
        <f>SUMIF('On The Board'!G$5:G$219,"&lt;="&amp;$B21,'On The Board'!$M$5:$M$219)-SUM(G21:J21)</f>
        <v>4</v>
      </c>
      <c r="G21" s="12">
        <f>SUMIF('On The Board'!H$5:H$219,"&lt;="&amp;$B21,'On The Board'!$M$5:$M$219)-SUM(H21:J21)</f>
        <v>1</v>
      </c>
      <c r="H21" s="12">
        <f>SUMIF('On The Board'!I$5:I$219,"&lt;="&amp;$B21,'On The Board'!$M$5:$M$219)-SUM(I21,J21)</f>
        <v>0</v>
      </c>
      <c r="I21" s="12">
        <f>SUMIF('On The Board'!J$5:J$219,"&lt;="&amp;$B21,'On The Board'!$M$5:$M$219)-SUM(J21)</f>
        <v>1</v>
      </c>
      <c r="J21" s="12">
        <f>SUMIF('On The Board'!K$5:K$219,"&lt;="&amp;$B21,'On The Board'!$M$5:$M$219)</f>
        <v>16</v>
      </c>
      <c r="K21" s="10">
        <f t="shared" si="0"/>
        <v>22</v>
      </c>
      <c r="L21" s="10">
        <f ca="1">IF(TodaysDate&gt;=B21,SUM(F21:I21),NA())</f>
        <v>6</v>
      </c>
      <c r="M21" s="44">
        <f t="shared" ca="1" si="5"/>
        <v>6.6363636363636367</v>
      </c>
      <c r="N21" s="44">
        <f ca="1">IF(ISNUMBER(M21),(J21-J11)/NETWORKDAYS(B11,B21,BankHolidays),NA())</f>
        <v>1.2727272727272727</v>
      </c>
      <c r="O21" s="44">
        <f t="shared" ca="1" si="4"/>
        <v>5.2142857142857144</v>
      </c>
      <c r="P21" s="53">
        <f t="shared" ca="1" si="6"/>
        <v>10.09120425029516</v>
      </c>
      <c r="Q21" s="53">
        <f ca="1">IFERROR(DayByDayTable[[#This Row],[Lead Time]],"")</f>
        <v>5.2142857142857144</v>
      </c>
      <c r="R21" s="44">
        <f t="shared" ca="1" si="7"/>
        <v>15.350000000000001</v>
      </c>
      <c r="S21" s="44">
        <f ca="1">ROUND(PERCENTILE(DayByDayTable[[#Data],[BlankLeadTime]],0.8),0)</f>
        <v>8</v>
      </c>
    </row>
    <row r="22" spans="1:19">
      <c r="A22" s="51">
        <f t="shared" si="2"/>
        <v>42436</v>
      </c>
      <c r="B22" s="11">
        <f t="shared" si="3"/>
        <v>42436</v>
      </c>
      <c r="C22" s="47">
        <f>SUMIFS('On The Board'!$M$5:$M$219,'On The Board'!F$5:F$219,"&lt;="&amp;$B22,'On The Board'!E$5:E$219,"="&amp;FutureWork)</f>
        <v>0</v>
      </c>
      <c r="D22" s="47">
        <f ca="1">IF(TodaysDate&gt;=B22,SUMIF('On The Board'!F$5:F$219,"&lt;="&amp;$B22,'On The Board'!$M$5:$M$219)-SUM(F22:J22),"")</f>
        <v>14</v>
      </c>
      <c r="E22" s="12">
        <f ca="1">IF(TodaysDate&gt;=B22,SUMIF('On The Board'!F$5:F$219,"&lt;="&amp;$B22,'On The Board'!$M$5:$M$219)-SUM(F22:J22),E21)</f>
        <v>14</v>
      </c>
      <c r="F22" s="12">
        <f>SUMIF('On The Board'!G$5:G$219,"&lt;="&amp;$B22,'On The Board'!$M$5:$M$219)-SUM(G22:J22)</f>
        <v>2</v>
      </c>
      <c r="G22" s="12">
        <f>SUMIF('On The Board'!H$5:H$219,"&lt;="&amp;$B22,'On The Board'!$M$5:$M$219)-SUM(H22:J22)</f>
        <v>2</v>
      </c>
      <c r="H22" s="12">
        <f>SUMIF('On The Board'!I$5:I$219,"&lt;="&amp;$B22,'On The Board'!$M$5:$M$219)-SUM(I22,J22)</f>
        <v>0</v>
      </c>
      <c r="I22" s="12">
        <f>SUMIF('On The Board'!J$5:J$219,"&lt;="&amp;$B22,'On The Board'!$M$5:$M$219)-SUM(J22)</f>
        <v>0</v>
      </c>
      <c r="J22" s="12">
        <f>SUMIF('On The Board'!K$5:K$219,"&lt;="&amp;$B22,'On The Board'!$M$5:$M$219)</f>
        <v>18</v>
      </c>
      <c r="K22" s="10">
        <f t="shared" si="0"/>
        <v>22</v>
      </c>
      <c r="L22" s="10">
        <f ca="1">IF(TodaysDate&gt;=B22,SUM(F22:I22),NA())</f>
        <v>4</v>
      </c>
      <c r="M22" s="44">
        <f t="shared" ca="1" si="5"/>
        <v>6.2727272727272725</v>
      </c>
      <c r="N22" s="44">
        <f ca="1">IF(ISNUMBER(M22),(J22-J12)/NETWORKDAYS(B12,B22,BankHolidays),NA())</f>
        <v>1.3636363636363635</v>
      </c>
      <c r="O22" s="44">
        <f t="shared" ca="1" si="4"/>
        <v>4.6000000000000005</v>
      </c>
      <c r="P22" s="53">
        <f t="shared" ca="1" si="6"/>
        <v>8.6912042502951596</v>
      </c>
      <c r="Q22" s="53">
        <f ca="1">IFERROR(DayByDayTable[[#This Row],[Lead Time]],"")</f>
        <v>4.6000000000000005</v>
      </c>
      <c r="R22" s="44">
        <f t="shared" ca="1" si="7"/>
        <v>12.266666666666669</v>
      </c>
      <c r="S22" s="44">
        <f ca="1">ROUND(PERCENTILE(DayByDayTable[[#Data],[BlankLeadTime]],0.8),0)</f>
        <v>8</v>
      </c>
    </row>
    <row r="23" spans="1:19">
      <c r="A23" s="51">
        <f t="shared" si="2"/>
        <v>42437</v>
      </c>
      <c r="B23" s="11">
        <f t="shared" si="3"/>
        <v>42437</v>
      </c>
      <c r="C23" s="47">
        <f>SUMIFS('On The Board'!$M$5:$M$219,'On The Board'!F$5:F$219,"&lt;="&amp;$B23,'On The Board'!E$5:E$219,"="&amp;FutureWork)</f>
        <v>0</v>
      </c>
      <c r="D23" s="47">
        <f ca="1">IF(TodaysDate&gt;=B23,SUMIF('On The Board'!F$5:F$219,"&lt;="&amp;$B23,'On The Board'!$M$5:$M$219)-SUM(F23:J23),"")</f>
        <v>14</v>
      </c>
      <c r="E23" s="12">
        <f ca="1">IF(TodaysDate&gt;=B23,SUMIF('On The Board'!F$5:F$219,"&lt;="&amp;$B23,'On The Board'!$M$5:$M$219)-SUM(F23:J23),E22)</f>
        <v>14</v>
      </c>
      <c r="F23" s="12">
        <f>SUMIF('On The Board'!G$5:G$219,"&lt;="&amp;$B23,'On The Board'!$M$5:$M$219)-SUM(G23:J23)</f>
        <v>0</v>
      </c>
      <c r="G23" s="12">
        <f>SUMIF('On The Board'!H$5:H$219,"&lt;="&amp;$B23,'On The Board'!$M$5:$M$219)-SUM(H23:J23)</f>
        <v>2</v>
      </c>
      <c r="H23" s="12">
        <f>SUMIF('On The Board'!I$5:I$219,"&lt;="&amp;$B23,'On The Board'!$M$5:$M$219)-SUM(I23,J23)</f>
        <v>1</v>
      </c>
      <c r="I23" s="12">
        <f>SUMIF('On The Board'!J$5:J$219,"&lt;="&amp;$B23,'On The Board'!$M$5:$M$219)-SUM(J23)</f>
        <v>0</v>
      </c>
      <c r="J23" s="12">
        <f>SUMIF('On The Board'!K$5:K$219,"&lt;="&amp;$B23,'On The Board'!$M$5:$M$219)</f>
        <v>19</v>
      </c>
      <c r="K23" s="10">
        <f t="shared" si="0"/>
        <v>22</v>
      </c>
      <c r="L23" s="10">
        <f ca="1">IF(TodaysDate&gt;=B23,SUM(F23:I23),NA())</f>
        <v>3</v>
      </c>
      <c r="M23" s="44">
        <f t="shared" ca="1" si="5"/>
        <v>5.8181818181818183</v>
      </c>
      <c r="N23" s="44">
        <f ca="1">IF(ISNUMBER(M23),(J23-J13)/NETWORKDAYS(B13,B23,BankHolidays),NA())</f>
        <v>1.1818181818181819</v>
      </c>
      <c r="O23" s="44">
        <f t="shared" ca="1" si="4"/>
        <v>4.9230769230769234</v>
      </c>
      <c r="P23" s="53">
        <f t="shared" ca="1" si="6"/>
        <v>7.6842112433021521</v>
      </c>
      <c r="Q23" s="53">
        <f ca="1">IFERROR(DayByDayTable[[#This Row],[Lead Time]],"")</f>
        <v>4.9230769230769234</v>
      </c>
      <c r="R23" s="44">
        <f t="shared" ca="1" si="7"/>
        <v>10.200000000000001</v>
      </c>
      <c r="S23" s="44">
        <f ca="1">ROUND(PERCENTILE(DayByDayTable[[#Data],[BlankLeadTime]],0.8),0)</f>
        <v>8</v>
      </c>
    </row>
    <row r="24" spans="1:19">
      <c r="A24" s="51">
        <f t="shared" si="2"/>
        <v>42438</v>
      </c>
      <c r="B24" s="11">
        <f t="shared" si="3"/>
        <v>42438</v>
      </c>
      <c r="C24" s="47">
        <f>SUMIFS('On The Board'!$M$5:$M$219,'On The Board'!F$5:F$219,"&lt;="&amp;$B24,'On The Board'!E$5:E$219,"="&amp;FutureWork)</f>
        <v>0</v>
      </c>
      <c r="D24" s="47">
        <f ca="1">IF(TodaysDate&gt;=B24,SUMIF('On The Board'!F$5:F$219,"&lt;="&amp;$B24,'On The Board'!$M$5:$M$219)-SUM(F24:J24),"")</f>
        <v>56</v>
      </c>
      <c r="E24" s="12">
        <f ca="1">IF(TodaysDate&gt;=B24,SUMIF('On The Board'!F$5:F$219,"&lt;="&amp;$B24,'On The Board'!$M$5:$M$219)-SUM(F24:J24),E23)</f>
        <v>56</v>
      </c>
      <c r="F24" s="12">
        <f>SUMIF('On The Board'!G$5:G$219,"&lt;="&amp;$B24,'On The Board'!$M$5:$M$219)-SUM(G24:J24)</f>
        <v>0</v>
      </c>
      <c r="G24" s="12">
        <f>SUMIF('On The Board'!H$5:H$219,"&lt;="&amp;$B24,'On The Board'!$M$5:$M$219)-SUM(H24:J24)</f>
        <v>3</v>
      </c>
      <c r="H24" s="12">
        <f>SUMIF('On The Board'!I$5:I$219,"&lt;="&amp;$B24,'On The Board'!$M$5:$M$219)-SUM(I24,J24)</f>
        <v>1</v>
      </c>
      <c r="I24" s="12">
        <f>SUMIF('On The Board'!J$5:J$219,"&lt;="&amp;$B24,'On The Board'!$M$5:$M$219)-SUM(J24)</f>
        <v>0</v>
      </c>
      <c r="J24" s="12">
        <f>SUMIF('On The Board'!K$5:K$219,"&lt;="&amp;$B24,'On The Board'!$M$5:$M$219)</f>
        <v>19</v>
      </c>
      <c r="K24" s="10">
        <f t="shared" si="0"/>
        <v>23</v>
      </c>
      <c r="L24" s="10">
        <f ca="1">IF(TodaysDate&gt;=B24,SUM(F24:I24),NA())</f>
        <v>4</v>
      </c>
      <c r="M24" s="44">
        <f t="shared" ca="1" si="5"/>
        <v>5.6363636363636367</v>
      </c>
      <c r="N24" s="44">
        <f ca="1">IF(ISNUMBER(M24),(J24-J14)/NETWORKDAYS(B14,B24,BankHolidays),NA())</f>
        <v>1</v>
      </c>
      <c r="O24" s="44">
        <f t="shared" ca="1" si="4"/>
        <v>5.6363636363636367</v>
      </c>
      <c r="P24" s="53">
        <f t="shared" ca="1" si="6"/>
        <v>7.0375170284261195</v>
      </c>
      <c r="Q24" s="53">
        <f ca="1">IFERROR(DayByDayTable[[#This Row],[Lead Time]],"")</f>
        <v>5.6363636363636367</v>
      </c>
      <c r="R24" s="44">
        <f t="shared" ca="1" si="7"/>
        <v>9.6476190476190471</v>
      </c>
      <c r="S24" s="44">
        <f ca="1">ROUND(PERCENTILE(DayByDayTable[[#Data],[BlankLeadTime]],0.8),0)</f>
        <v>8</v>
      </c>
    </row>
    <row r="25" spans="1:19">
      <c r="A25" s="51">
        <f t="shared" si="2"/>
        <v>42439</v>
      </c>
      <c r="B25" s="11">
        <f t="shared" si="3"/>
        <v>42439</v>
      </c>
      <c r="C25" s="47">
        <f>SUMIFS('On The Board'!$M$5:$M$219,'On The Board'!F$5:F$219,"&lt;="&amp;$B25,'On The Board'!E$5:E$219,"="&amp;FutureWork)</f>
        <v>0</v>
      </c>
      <c r="D25" s="47">
        <f ca="1">IF(TodaysDate&gt;=B25,SUMIF('On The Board'!F$5:F$219,"&lt;="&amp;$B25,'On The Board'!$M$5:$M$219)-SUM(F25:J25),"")</f>
        <v>59</v>
      </c>
      <c r="E25" s="12">
        <f ca="1">IF(TodaysDate&gt;=B25,SUMIF('On The Board'!F$5:F$219,"&lt;="&amp;$B25,'On The Board'!$M$5:$M$219)-SUM(F25:J25),E24)</f>
        <v>59</v>
      </c>
      <c r="F25" s="12">
        <f>SUMIF('On The Board'!G$5:G$219,"&lt;="&amp;$B25,'On The Board'!$M$5:$M$219)-SUM(G25:J25)</f>
        <v>0</v>
      </c>
      <c r="G25" s="12">
        <f>SUMIF('On The Board'!H$5:H$219,"&lt;="&amp;$B25,'On The Board'!$M$5:$M$219)-SUM(H25:J25)</f>
        <v>3</v>
      </c>
      <c r="H25" s="12">
        <f>SUMIF('On The Board'!I$5:I$219,"&lt;="&amp;$B25,'On The Board'!$M$5:$M$219)-SUM(I25,J25)</f>
        <v>0</v>
      </c>
      <c r="I25" s="12">
        <f>SUMIF('On The Board'!J$5:J$219,"&lt;="&amp;$B25,'On The Board'!$M$5:$M$219)-SUM(J25)</f>
        <v>0</v>
      </c>
      <c r="J25" s="12">
        <f>SUMIF('On The Board'!K$5:K$219,"&lt;="&amp;$B25,'On The Board'!$M$5:$M$219)</f>
        <v>20</v>
      </c>
      <c r="K25" s="10">
        <f t="shared" si="0"/>
        <v>23</v>
      </c>
      <c r="L25" s="10">
        <f ca="1">IF(TodaysDate&gt;=B25,SUM(F25:I25),NA())</f>
        <v>3</v>
      </c>
      <c r="M25" s="44">
        <f t="shared" ca="1" si="5"/>
        <v>5.5454545454545459</v>
      </c>
      <c r="N25" s="44">
        <f ca="1">IF(ISNUMBER(M25),(J25-J15)/NETWORKDAYS(B15,B25,BankHolidays),NA())</f>
        <v>1.0909090909090908</v>
      </c>
      <c r="O25" s="44">
        <f t="shared" ca="1" si="4"/>
        <v>5.0833333333333339</v>
      </c>
      <c r="P25" s="53">
        <f t="shared" ca="1" si="6"/>
        <v>6.6814564223655131</v>
      </c>
      <c r="Q25" s="53">
        <f ca="1">IFERROR(DayByDayTable[[#This Row],[Lead Time]],"")</f>
        <v>5.0833333333333339</v>
      </c>
      <c r="R25" s="44">
        <f t="shared" ca="1" si="7"/>
        <v>9.4571428571428573</v>
      </c>
      <c r="S25" s="44">
        <f ca="1">ROUND(PERCENTILE(DayByDayTable[[#Data],[BlankLeadTime]],0.8),0)</f>
        <v>8</v>
      </c>
    </row>
    <row r="26" spans="1:19">
      <c r="A26" s="51">
        <f t="shared" si="2"/>
        <v>42440</v>
      </c>
      <c r="B26" s="11">
        <f t="shared" si="3"/>
        <v>42440</v>
      </c>
      <c r="C26" s="47">
        <f>SUMIFS('On The Board'!$M$5:$M$219,'On The Board'!F$5:F$219,"&lt;="&amp;$B26,'On The Board'!E$5:E$219,"="&amp;FutureWork)</f>
        <v>0</v>
      </c>
      <c r="D26" s="47">
        <f ca="1">IF(TodaysDate&gt;=B26,SUMIF('On The Board'!F$5:F$219,"&lt;="&amp;$B26,'On The Board'!$M$5:$M$219)-SUM(F26:J26),"")</f>
        <v>59</v>
      </c>
      <c r="E26" s="12">
        <f ca="1">IF(TodaysDate&gt;=B26,SUMIF('On The Board'!F$5:F$219,"&lt;="&amp;$B26,'On The Board'!$M$5:$M$219)-SUM(F26:J26),E25)</f>
        <v>59</v>
      </c>
      <c r="F26" s="12">
        <f>SUMIF('On The Board'!G$5:G$219,"&lt;="&amp;$B26,'On The Board'!$M$5:$M$219)-SUM(G26:J26)</f>
        <v>0</v>
      </c>
      <c r="G26" s="12">
        <f>SUMIF('On The Board'!H$5:H$219,"&lt;="&amp;$B26,'On The Board'!$M$5:$M$219)-SUM(H26:J26)</f>
        <v>3</v>
      </c>
      <c r="H26" s="12">
        <f>SUMIF('On The Board'!I$5:I$219,"&lt;="&amp;$B26,'On The Board'!$M$5:$M$219)-SUM(I26,J26)</f>
        <v>0</v>
      </c>
      <c r="I26" s="12">
        <f>SUMIF('On The Board'!J$5:J$219,"&lt;="&amp;$B26,'On The Board'!$M$5:$M$219)-SUM(J26)</f>
        <v>0</v>
      </c>
      <c r="J26" s="12">
        <f>SUMIF('On The Board'!K$5:K$219,"&lt;="&amp;$B26,'On The Board'!$M$5:$M$219)</f>
        <v>20</v>
      </c>
      <c r="K26" s="10">
        <f t="shared" si="0"/>
        <v>23</v>
      </c>
      <c r="L26" s="10">
        <f ca="1">IF(TodaysDate&gt;=B26,SUM(F26:I26),NA())</f>
        <v>3</v>
      </c>
      <c r="M26" s="44">
        <f t="shared" ca="1" si="5"/>
        <v>5.1818181818181817</v>
      </c>
      <c r="N26" s="44">
        <f ca="1">IF(ISNUMBER(M26),(J26-J16)/NETWORKDAYS(B16,B26,BankHolidays),NA())</f>
        <v>1.0909090909090908</v>
      </c>
      <c r="O26" s="44">
        <f t="shared" ca="1" si="4"/>
        <v>4.75</v>
      </c>
      <c r="P26" s="53">
        <f t="shared" ca="1" si="6"/>
        <v>6.2344867253958167</v>
      </c>
      <c r="Q26" s="53">
        <f ca="1">IFERROR(DayByDayTable[[#This Row],[Lead Time]],"")</f>
        <v>4.75</v>
      </c>
      <c r="R26" s="44">
        <f t="shared" ca="1" si="7"/>
        <v>9.002597402597404</v>
      </c>
      <c r="S26" s="44">
        <f ca="1">ROUND(PERCENTILE(DayByDayTable[[#Data],[BlankLeadTime]],0.8),0)</f>
        <v>8</v>
      </c>
    </row>
    <row r="27" spans="1:19">
      <c r="A27" s="51">
        <f t="shared" si="2"/>
        <v>42443</v>
      </c>
      <c r="B27" s="11">
        <f t="shared" si="3"/>
        <v>42443</v>
      </c>
      <c r="C27" s="47">
        <f>SUMIFS('On The Board'!$M$5:$M$219,'On The Board'!F$5:F$219,"&lt;="&amp;$B27,'On The Board'!E$5:E$219,"="&amp;FutureWork)</f>
        <v>0</v>
      </c>
      <c r="D27" s="47">
        <f ca="1">IF(TodaysDate&gt;=B27,SUMIF('On The Board'!F$5:F$219,"&lt;="&amp;$B27,'On The Board'!$M$5:$M$219)-SUM(F27:J27),"")</f>
        <v>58</v>
      </c>
      <c r="E27" s="12">
        <f ca="1">IF(TodaysDate&gt;=B27,SUMIF('On The Board'!F$5:F$219,"&lt;="&amp;$B27,'On The Board'!$M$5:$M$219)-SUM(F27:J27),E26)</f>
        <v>58</v>
      </c>
      <c r="F27" s="12">
        <f>SUMIF('On The Board'!G$5:G$219,"&lt;="&amp;$B27,'On The Board'!$M$5:$M$219)-SUM(G27:J27)</f>
        <v>0</v>
      </c>
      <c r="G27" s="12">
        <f>SUMIF('On The Board'!H$5:H$219,"&lt;="&amp;$B27,'On The Board'!$M$5:$M$219)-SUM(H27:J27)</f>
        <v>3</v>
      </c>
      <c r="H27" s="12">
        <f>SUMIF('On The Board'!I$5:I$219,"&lt;="&amp;$B27,'On The Board'!$M$5:$M$219)-SUM(I27,J27)</f>
        <v>0</v>
      </c>
      <c r="I27" s="12">
        <f>SUMIF('On The Board'!J$5:J$219,"&lt;="&amp;$B27,'On The Board'!$M$5:$M$219)-SUM(J27)</f>
        <v>0</v>
      </c>
      <c r="J27" s="12">
        <f>SUMIF('On The Board'!K$5:K$219,"&lt;="&amp;$B27,'On The Board'!$M$5:$M$219)</f>
        <v>21</v>
      </c>
      <c r="K27" s="10">
        <f t="shared" si="0"/>
        <v>24</v>
      </c>
      <c r="L27" s="10">
        <f ca="1">IF(TodaysDate&gt;=B27,SUM(F27:I27),NA())</f>
        <v>3</v>
      </c>
      <c r="M27" s="44">
        <f t="shared" ca="1" si="5"/>
        <v>4.8181818181818183</v>
      </c>
      <c r="N27" s="44">
        <f ca="1">IF(ISNUMBER(M27),(J27-J17)/NETWORKDAYS(B17,B27,BankHolidays),NA())</f>
        <v>1.0909090909090908</v>
      </c>
      <c r="O27" s="44">
        <f t="shared" ca="1" si="4"/>
        <v>4.416666666666667</v>
      </c>
      <c r="P27" s="53">
        <f t="shared" ca="1" si="6"/>
        <v>5.6966079375170287</v>
      </c>
      <c r="Q27" s="53">
        <f ca="1">IFERROR(DayByDayTable[[#This Row],[Lead Time]],"")</f>
        <v>4.416666666666667</v>
      </c>
      <c r="R27" s="44">
        <f t="shared" ca="1" si="7"/>
        <v>6.6727272727272728</v>
      </c>
      <c r="S27" s="44">
        <f ca="1">ROUND(PERCENTILE(DayByDayTable[[#Data],[BlankLeadTime]],0.8),0)</f>
        <v>8</v>
      </c>
    </row>
    <row r="28" spans="1:19">
      <c r="A28" s="51">
        <f t="shared" si="2"/>
        <v>42444</v>
      </c>
      <c r="B28" s="11">
        <f t="shared" si="3"/>
        <v>42444</v>
      </c>
      <c r="C28" s="47">
        <f>SUMIFS('On The Board'!$M$5:$M$219,'On The Board'!F$5:F$219,"&lt;="&amp;$B28,'On The Board'!E$5:E$219,"="&amp;FutureWork)</f>
        <v>0</v>
      </c>
      <c r="D28" s="47">
        <f ca="1">IF(TodaysDate&gt;=B28,SUMIF('On The Board'!F$5:F$219,"&lt;="&amp;$B28,'On The Board'!$M$5:$M$219)-SUM(F28:J28),"")</f>
        <v>57</v>
      </c>
      <c r="E28" s="12">
        <f ca="1">IF(TodaysDate&gt;=B28,SUMIF('On The Board'!F$5:F$219,"&lt;="&amp;$B28,'On The Board'!$M$5:$M$219)-SUM(F28:J28),E27)</f>
        <v>57</v>
      </c>
      <c r="F28" s="12">
        <f>SUMIF('On The Board'!G$5:G$219,"&lt;="&amp;$B28,'On The Board'!$M$5:$M$219)-SUM(G28:J28)</f>
        <v>0</v>
      </c>
      <c r="G28" s="12">
        <f>SUMIF('On The Board'!H$5:H$219,"&lt;="&amp;$B28,'On The Board'!$M$5:$M$219)-SUM(H28:J28)</f>
        <v>6</v>
      </c>
      <c r="H28" s="12">
        <f>SUMIF('On The Board'!I$5:I$219,"&lt;="&amp;$B28,'On The Board'!$M$5:$M$219)-SUM(I28,J28)</f>
        <v>0</v>
      </c>
      <c r="I28" s="12">
        <f>SUMIF('On The Board'!J$5:J$219,"&lt;="&amp;$B28,'On The Board'!$M$5:$M$219)-SUM(J28)</f>
        <v>0</v>
      </c>
      <c r="J28" s="12">
        <f>SUMIF('On The Board'!K$5:K$219,"&lt;="&amp;$B28,'On The Board'!$M$5:$M$219)</f>
        <v>21</v>
      </c>
      <c r="K28" s="10">
        <f t="shared" si="0"/>
        <v>27</v>
      </c>
      <c r="L28" s="10">
        <f ca="1">IF(TodaysDate&gt;=B28,SUM(F28:I28),NA())</f>
        <v>6</v>
      </c>
      <c r="M28" s="44">
        <f t="shared" ca="1" si="5"/>
        <v>4.6363636363636367</v>
      </c>
      <c r="N28" s="44">
        <f ca="1">IF(ISNUMBER(M28),(J28-J18)/NETWORKDAYS(B18,B28,BankHolidays),NA())</f>
        <v>0.72727272727272729</v>
      </c>
      <c r="O28" s="44">
        <f t="shared" ca="1" si="4"/>
        <v>6.375</v>
      </c>
      <c r="P28" s="53">
        <f t="shared" ca="1" si="6"/>
        <v>5.4060235219326129</v>
      </c>
      <c r="Q28" s="53">
        <f ca="1">IFERROR(DayByDayTable[[#This Row],[Lead Time]],"")</f>
        <v>6.375</v>
      </c>
      <c r="R28" s="44">
        <f t="shared" ca="1" si="7"/>
        <v>6.4386363636363635</v>
      </c>
      <c r="S28" s="44">
        <f ca="1">ROUND(PERCENTILE(DayByDayTable[[#Data],[BlankLeadTime]],0.8),0)</f>
        <v>8</v>
      </c>
    </row>
    <row r="29" spans="1:19">
      <c r="A29" s="51">
        <f t="shared" si="2"/>
        <v>42445</v>
      </c>
      <c r="B29" s="11">
        <f t="shared" si="3"/>
        <v>42445</v>
      </c>
      <c r="C29" s="47">
        <f>SUMIFS('On The Board'!$M$5:$M$219,'On The Board'!F$5:F$219,"&lt;="&amp;$B29,'On The Board'!E$5:E$219,"="&amp;FutureWork)</f>
        <v>0</v>
      </c>
      <c r="D29" s="47">
        <f ca="1">IF(TodaysDate&gt;=B29,SUMIF('On The Board'!F$5:F$219,"&lt;="&amp;$B29,'On The Board'!$M$5:$M$219)-SUM(F29:J29),"")</f>
        <v>56</v>
      </c>
      <c r="E29" s="12">
        <f ca="1">IF(TodaysDate&gt;=B29,SUMIF('On The Board'!F$5:F$219,"&lt;="&amp;$B29,'On The Board'!$M$5:$M$219)-SUM(F29:J29),E28)</f>
        <v>56</v>
      </c>
      <c r="F29" s="12">
        <f>SUMIF('On The Board'!G$5:G$219,"&lt;="&amp;$B29,'On The Board'!$M$5:$M$219)-SUM(G29:J29)</f>
        <v>0</v>
      </c>
      <c r="G29" s="12">
        <f>SUMIF('On The Board'!H$5:H$219,"&lt;="&amp;$B29,'On The Board'!$M$5:$M$219)-SUM(H29:J29)</f>
        <v>6</v>
      </c>
      <c r="H29" s="12">
        <f>SUMIF('On The Board'!I$5:I$219,"&lt;="&amp;$B29,'On The Board'!$M$5:$M$219)-SUM(I29,J29)</f>
        <v>0</v>
      </c>
      <c r="I29" s="12">
        <f>SUMIF('On The Board'!J$5:J$219,"&lt;="&amp;$B29,'On The Board'!$M$5:$M$219)-SUM(J29)</f>
        <v>0</v>
      </c>
      <c r="J29" s="12">
        <f>SUMIF('On The Board'!K$5:K$219,"&lt;="&amp;$B29,'On The Board'!$M$5:$M$219)</f>
        <v>22</v>
      </c>
      <c r="K29" s="10">
        <f t="shared" si="0"/>
        <v>28</v>
      </c>
      <c r="L29" s="10">
        <f ca="1">IF(TodaysDate&gt;=B29,SUM(F29:I29),NA())</f>
        <v>6</v>
      </c>
      <c r="M29" s="44">
        <f t="shared" ca="1" si="5"/>
        <v>4.5454545454545459</v>
      </c>
      <c r="N29" s="44">
        <f ca="1">IF(ISNUMBER(M29),(J29-J19)/NETWORKDAYS(B19,B29,BankHolidays),NA())</f>
        <v>0.81818181818181823</v>
      </c>
      <c r="O29" s="44">
        <f t="shared" ca="1" si="4"/>
        <v>5.5555555555555554</v>
      </c>
      <c r="P29" s="53">
        <f t="shared" ca="1" si="6"/>
        <v>5.3242971674789858</v>
      </c>
      <c r="Q29" s="53">
        <f ca="1">IFERROR(DayByDayTable[[#This Row],[Lead Time]],"")</f>
        <v>5.5555555555555554</v>
      </c>
      <c r="R29" s="44">
        <f t="shared" ca="1" si="7"/>
        <v>6.2272727272727275</v>
      </c>
      <c r="S29" s="44">
        <f ca="1">ROUND(PERCENTILE(DayByDayTable[[#Data],[BlankLeadTime]],0.8),0)</f>
        <v>8</v>
      </c>
    </row>
    <row r="30" spans="1:19">
      <c r="A30" s="51">
        <f t="shared" si="2"/>
        <v>42446</v>
      </c>
      <c r="B30" s="11">
        <f t="shared" si="3"/>
        <v>42446</v>
      </c>
      <c r="C30" s="47">
        <f>SUMIFS('On The Board'!$M$5:$M$219,'On The Board'!F$5:F$219,"&lt;="&amp;$B30,'On The Board'!E$5:E$219,"="&amp;FutureWork)</f>
        <v>0</v>
      </c>
      <c r="D30" s="47">
        <f ca="1">IF(TodaysDate&gt;=B30,SUMIF('On The Board'!F$5:F$219,"&lt;="&amp;$B30,'On The Board'!$M$5:$M$219)-SUM(F30:J30),"")</f>
        <v>56</v>
      </c>
      <c r="E30" s="12">
        <f ca="1">IF(TodaysDate&gt;=B30,SUMIF('On The Board'!F$5:F$219,"&lt;="&amp;$B30,'On The Board'!$M$5:$M$219)-SUM(F30:J30),E29)</f>
        <v>56</v>
      </c>
      <c r="F30" s="12">
        <f>SUMIF('On The Board'!G$5:G$219,"&lt;="&amp;$B30,'On The Board'!$M$5:$M$219)-SUM(G30:J30)</f>
        <v>0</v>
      </c>
      <c r="G30" s="12">
        <f>SUMIF('On The Board'!H$5:H$219,"&lt;="&amp;$B30,'On The Board'!$M$5:$M$219)-SUM(H30:J30)</f>
        <v>6</v>
      </c>
      <c r="H30" s="12">
        <f>SUMIF('On The Board'!I$5:I$219,"&lt;="&amp;$B30,'On The Board'!$M$5:$M$219)-SUM(I30,J30)</f>
        <v>0</v>
      </c>
      <c r="I30" s="12">
        <f>SUMIF('On The Board'!J$5:J$219,"&lt;="&amp;$B30,'On The Board'!$M$5:$M$219)-SUM(J30)</f>
        <v>0</v>
      </c>
      <c r="J30" s="12">
        <f>SUMIF('On The Board'!K$5:K$219,"&lt;="&amp;$B30,'On The Board'!$M$5:$M$219)</f>
        <v>22</v>
      </c>
      <c r="K30" s="10">
        <f t="shared" si="0"/>
        <v>28</v>
      </c>
      <c r="L30" s="10">
        <f ca="1">IF(TodaysDate&gt;=B30,SUM(F30:I30),NA())</f>
        <v>6</v>
      </c>
      <c r="M30" s="44">
        <f t="shared" ca="1" si="5"/>
        <v>4.4545454545454541</v>
      </c>
      <c r="N30" s="44">
        <f ca="1">IF(ISNUMBER(M30),(J30-J20)/NETWORKDAYS(B20,B30,BankHolidays),NA())</f>
        <v>0.54545454545454541</v>
      </c>
      <c r="O30" s="44">
        <f t="shared" ca="1" si="4"/>
        <v>8.1666666666666661</v>
      </c>
      <c r="P30" s="53">
        <f t="shared" ca="1" si="6"/>
        <v>5.4551511619693436</v>
      </c>
      <c r="Q30" s="53">
        <f ca="1">IFERROR(DayByDayTable[[#This Row],[Lead Time]],"")</f>
        <v>8.1666666666666661</v>
      </c>
      <c r="R30" s="44">
        <f t="shared" ca="1" si="7"/>
        <v>6.2272727272727275</v>
      </c>
      <c r="S30" s="44">
        <f ca="1">ROUND(PERCENTILE(DayByDayTable[[#Data],[BlankLeadTime]],0.8),0)</f>
        <v>8</v>
      </c>
    </row>
    <row r="31" spans="1:19">
      <c r="A31" s="51">
        <f t="shared" si="2"/>
        <v>42447</v>
      </c>
      <c r="B31" s="11">
        <f t="shared" si="3"/>
        <v>42447</v>
      </c>
      <c r="C31" s="47">
        <f>SUMIFS('On The Board'!$M$5:$M$219,'On The Board'!F$5:F$219,"&lt;="&amp;$B31,'On The Board'!E$5:E$219,"="&amp;FutureWork)</f>
        <v>0</v>
      </c>
      <c r="D31" s="47">
        <f ca="1">IF(TodaysDate&gt;=B31,SUMIF('On The Board'!F$5:F$219,"&lt;="&amp;$B31,'On The Board'!$M$5:$M$219)-SUM(F31:J31),"")</f>
        <v>56</v>
      </c>
      <c r="E31" s="12">
        <f ca="1">IF(TodaysDate&gt;=B31,SUMIF('On The Board'!F$5:F$219,"&lt;="&amp;$B31,'On The Board'!$M$5:$M$219)-SUM(F31:J31),E30)</f>
        <v>56</v>
      </c>
      <c r="F31" s="12">
        <f>SUMIF('On The Board'!G$5:G$219,"&lt;="&amp;$B31,'On The Board'!$M$5:$M$219)-SUM(G31:J31)</f>
        <v>0</v>
      </c>
      <c r="G31" s="12">
        <f>SUMIF('On The Board'!H$5:H$219,"&lt;="&amp;$B31,'On The Board'!$M$5:$M$219)-SUM(H31:J31)</f>
        <v>6</v>
      </c>
      <c r="H31" s="12">
        <f>SUMIF('On The Board'!I$5:I$219,"&lt;="&amp;$B31,'On The Board'!$M$5:$M$219)-SUM(I31,J31)</f>
        <v>0</v>
      </c>
      <c r="I31" s="12">
        <f>SUMIF('On The Board'!J$5:J$219,"&lt;="&amp;$B31,'On The Board'!$M$5:$M$219)-SUM(J31)</f>
        <v>0</v>
      </c>
      <c r="J31" s="12">
        <f>SUMIF('On The Board'!K$5:K$219,"&lt;="&amp;$B31,'On The Board'!$M$5:$M$219)</f>
        <v>22</v>
      </c>
      <c r="K31" s="10">
        <f t="shared" si="0"/>
        <v>28</v>
      </c>
      <c r="L31" s="10">
        <f ca="1">IF(TodaysDate&gt;=B31,SUM(F31:I31),NA())</f>
        <v>6</v>
      </c>
      <c r="M31" s="44">
        <f t="shared" ca="1" si="5"/>
        <v>4.5454545454545459</v>
      </c>
      <c r="N31" s="44">
        <f ca="1">IF(ISNUMBER(M31),(J31-J21)/NETWORKDAYS(B21,B31,BankHolidays),NA())</f>
        <v>0.54545454545454541</v>
      </c>
      <c r="O31" s="44">
        <f t="shared" ca="1" si="4"/>
        <v>8.3333333333333339</v>
      </c>
      <c r="P31" s="53">
        <f t="shared" ca="1" si="6"/>
        <v>5.732207439025621</v>
      </c>
      <c r="Q31" s="53">
        <f ca="1">IFERROR(DayByDayTable[[#This Row],[Lead Time]],"")</f>
        <v>8.3333333333333339</v>
      </c>
      <c r="R31" s="44">
        <f t="shared" ca="1" si="7"/>
        <v>6.2272727272727275</v>
      </c>
      <c r="S31" s="44">
        <f ca="1">ROUND(PERCENTILE(DayByDayTable[[#Data],[BlankLeadTime]],0.8),0)</f>
        <v>8</v>
      </c>
    </row>
    <row r="32" spans="1:19">
      <c r="A32" s="51">
        <f t="shared" si="2"/>
        <v>42450</v>
      </c>
      <c r="B32" s="11">
        <f t="shared" si="3"/>
        <v>42450</v>
      </c>
      <c r="C32" s="47">
        <f>SUMIFS('On The Board'!$M$5:$M$219,'On The Board'!F$5:F$219,"&lt;="&amp;$B32,'On The Board'!E$5:E$219,"="&amp;FutureWork)</f>
        <v>0</v>
      </c>
      <c r="D32" s="47">
        <f ca="1">IF(TodaysDate&gt;=B32,SUMIF('On The Board'!F$5:F$219,"&lt;="&amp;$B32,'On The Board'!$M$5:$M$219)-SUM(F32:J32),"")</f>
        <v>56</v>
      </c>
      <c r="E32" s="12">
        <f ca="1">IF(TodaysDate&gt;=B32,SUMIF('On The Board'!F$5:F$219,"&lt;="&amp;$B32,'On The Board'!$M$5:$M$219)-SUM(F32:J32),E31)</f>
        <v>56</v>
      </c>
      <c r="F32" s="12">
        <f>SUMIF('On The Board'!G$5:G$219,"&lt;="&amp;$B32,'On The Board'!$M$5:$M$219)-SUM(G32:J32)</f>
        <v>0</v>
      </c>
      <c r="G32" s="12">
        <f>SUMIF('On The Board'!H$5:H$219,"&lt;="&amp;$B32,'On The Board'!$M$5:$M$219)-SUM(H32:J32)</f>
        <v>3</v>
      </c>
      <c r="H32" s="12">
        <f>SUMIF('On The Board'!I$5:I$219,"&lt;="&amp;$B32,'On The Board'!$M$5:$M$219)-SUM(I32,J32)</f>
        <v>0</v>
      </c>
      <c r="I32" s="12">
        <f>SUMIF('On The Board'!J$5:J$219,"&lt;="&amp;$B32,'On The Board'!$M$5:$M$219)-SUM(J32)</f>
        <v>0</v>
      </c>
      <c r="J32" s="12">
        <f>SUMIF('On The Board'!K$5:K$219,"&lt;="&amp;$B32,'On The Board'!$M$5:$M$219)</f>
        <v>25</v>
      </c>
      <c r="K32" s="10">
        <f t="shared" si="0"/>
        <v>28</v>
      </c>
      <c r="L32" s="10">
        <f ca="1">IF(TodaysDate&gt;=B32,SUM(F32:I32),NA())</f>
        <v>3</v>
      </c>
      <c r="M32" s="44">
        <f t="shared" ca="1" si="5"/>
        <v>4.2727272727272725</v>
      </c>
      <c r="N32" s="44">
        <f ca="1">IF(ISNUMBER(M32),(J32-J22)/NETWORKDAYS(B22,B32,BankHolidays),NA())</f>
        <v>0.63636363636363635</v>
      </c>
      <c r="O32" s="44">
        <f t="shared" ca="1" si="4"/>
        <v>6.7142857142857144</v>
      </c>
      <c r="P32" s="53">
        <f t="shared" ca="1" si="6"/>
        <v>5.8685710753892577</v>
      </c>
      <c r="Q32" s="53">
        <f ca="1">IFERROR(DayByDayTable[[#This Row],[Lead Time]],"")</f>
        <v>6.7142857142857144</v>
      </c>
      <c r="R32" s="44">
        <f t="shared" ca="1" si="7"/>
        <v>6.6464285714285722</v>
      </c>
      <c r="S32" s="44">
        <f ca="1">ROUND(PERCENTILE(DayByDayTable[[#Data],[BlankLeadTime]],0.8),0)</f>
        <v>8</v>
      </c>
    </row>
    <row r="33" spans="1:19">
      <c r="A33" s="51">
        <f t="shared" si="2"/>
        <v>42451</v>
      </c>
      <c r="B33" s="11">
        <f t="shared" si="3"/>
        <v>42451</v>
      </c>
      <c r="C33" s="47">
        <f>SUMIFS('On The Board'!$M$5:$M$219,'On The Board'!F$5:F$219,"&lt;="&amp;$B33,'On The Board'!E$5:E$219,"="&amp;FutureWork)</f>
        <v>0</v>
      </c>
      <c r="D33" s="47">
        <f ca="1">IF(TodaysDate&gt;=B33,SUMIF('On The Board'!F$5:F$219,"&lt;="&amp;$B33,'On The Board'!$M$5:$M$219)-SUM(F33:J33),"")</f>
        <v>58</v>
      </c>
      <c r="E33" s="12">
        <f ca="1">IF(TodaysDate&gt;=B33,SUMIF('On The Board'!F$5:F$219,"&lt;="&amp;$B33,'On The Board'!$M$5:$M$219)-SUM(F33:J33),E32)</f>
        <v>58</v>
      </c>
      <c r="F33" s="12">
        <f>SUMIF('On The Board'!G$5:G$219,"&lt;="&amp;$B33,'On The Board'!$M$5:$M$219)-SUM(G33:J33)</f>
        <v>0</v>
      </c>
      <c r="G33" s="12">
        <f>SUMIF('On The Board'!H$5:H$219,"&lt;="&amp;$B33,'On The Board'!$M$5:$M$219)-SUM(H33:J33)</f>
        <v>2</v>
      </c>
      <c r="H33" s="12">
        <f>SUMIF('On The Board'!I$5:I$219,"&lt;="&amp;$B33,'On The Board'!$M$5:$M$219)-SUM(I33,J33)</f>
        <v>0</v>
      </c>
      <c r="I33" s="12">
        <f>SUMIF('On The Board'!J$5:J$219,"&lt;="&amp;$B33,'On The Board'!$M$5:$M$219)-SUM(J33)</f>
        <v>0</v>
      </c>
      <c r="J33" s="12">
        <f>SUMIF('On The Board'!K$5:K$219,"&lt;="&amp;$B33,'On The Board'!$M$5:$M$219)</f>
        <v>26</v>
      </c>
      <c r="K33" s="10">
        <f t="shared" si="0"/>
        <v>28</v>
      </c>
      <c r="L33" s="10">
        <f ca="1">IF(TodaysDate&gt;=B33,SUM(F33:I33),NA())</f>
        <v>2</v>
      </c>
      <c r="M33" s="44">
        <f t="shared" ca="1" si="5"/>
        <v>4.0909090909090908</v>
      </c>
      <c r="N33" s="44">
        <f ca="1">IF(ISNUMBER(M33),(J33-J23)/NETWORKDAYS(B23,B33,BankHolidays),NA())</f>
        <v>0.63636363636363635</v>
      </c>
      <c r="O33" s="44">
        <f t="shared" ca="1" si="4"/>
        <v>6.4285714285714288</v>
      </c>
      <c r="P33" s="53">
        <f t="shared" ca="1" si="6"/>
        <v>6.0348048416230231</v>
      </c>
      <c r="Q33" s="53">
        <f ca="1">IFERROR(DayByDayTable[[#This Row],[Lead Time]],"")</f>
        <v>6.4285714285714288</v>
      </c>
      <c r="R33" s="44">
        <f t="shared" ca="1" si="7"/>
        <v>6.6571428571428575</v>
      </c>
      <c r="S33" s="44">
        <f ca="1">ROUND(PERCENTILE(DayByDayTable[[#Data],[BlankLeadTime]],0.8),0)</f>
        <v>8</v>
      </c>
    </row>
    <row r="34" spans="1:19">
      <c r="A34" s="51">
        <f t="shared" si="2"/>
        <v>42452</v>
      </c>
      <c r="B34" s="11">
        <f t="shared" si="3"/>
        <v>42452</v>
      </c>
      <c r="C34" s="47">
        <f>SUMIFS('On The Board'!$M$5:$M$219,'On The Board'!F$5:F$219,"&lt;="&amp;$B34,'On The Board'!E$5:E$219,"="&amp;FutureWork)</f>
        <v>0</v>
      </c>
      <c r="D34" s="47">
        <f ca="1">IF(TodaysDate&gt;=B34,SUMIF('On The Board'!F$5:F$219,"&lt;="&amp;$B34,'On The Board'!$M$5:$M$219)-SUM(F34:J34),"")</f>
        <v>54</v>
      </c>
      <c r="E34" s="12">
        <f ca="1">IF(TodaysDate&gt;=B34,SUMIF('On The Board'!F$5:F$219,"&lt;="&amp;$B34,'On The Board'!$M$5:$M$219)-SUM(F34:J34),E33)</f>
        <v>54</v>
      </c>
      <c r="F34" s="12">
        <f>SUMIF('On The Board'!G$5:G$219,"&lt;="&amp;$B34,'On The Board'!$M$5:$M$219)-SUM(G34:J34)</f>
        <v>0</v>
      </c>
      <c r="G34" s="12">
        <f>SUMIF('On The Board'!H$5:H$219,"&lt;="&amp;$B34,'On The Board'!$M$5:$M$219)-SUM(H34:J34)</f>
        <v>5</v>
      </c>
      <c r="H34" s="12">
        <f>SUMIF('On The Board'!I$5:I$219,"&lt;="&amp;$B34,'On The Board'!$M$5:$M$219)-SUM(I34,J34)</f>
        <v>0</v>
      </c>
      <c r="I34" s="12">
        <f>SUMIF('On The Board'!J$5:J$219,"&lt;="&amp;$B34,'On The Board'!$M$5:$M$219)-SUM(J34)</f>
        <v>0</v>
      </c>
      <c r="J34" s="12">
        <f>SUMIF('On The Board'!K$5:K$219,"&lt;="&amp;$B34,'On The Board'!$M$5:$M$219)</f>
        <v>27</v>
      </c>
      <c r="K34" s="10">
        <f t="shared" si="0"/>
        <v>32</v>
      </c>
      <c r="L34" s="10">
        <f ca="1">IF(TodaysDate&gt;=B34,SUM(F34:I34),NA())</f>
        <v>5</v>
      </c>
      <c r="M34" s="44">
        <f t="shared" ca="1" si="5"/>
        <v>4.2727272727272725</v>
      </c>
      <c r="N34" s="44">
        <f ca="1">IF(ISNUMBER(M34),(J34-J24)/NETWORKDAYS(B24,B34,BankHolidays),NA())</f>
        <v>0.72727272727272729</v>
      </c>
      <c r="O34" s="44">
        <f t="shared" ca="1" si="4"/>
        <v>5.8749999999999991</v>
      </c>
      <c r="P34" s="53">
        <f t="shared" ca="1" si="6"/>
        <v>6.1213433031614848</v>
      </c>
      <c r="Q34" s="53">
        <f ca="1">IFERROR(DayByDayTable[[#This Row],[Lead Time]],"")</f>
        <v>5.8749999999999991</v>
      </c>
      <c r="R34" s="44">
        <f t="shared" ca="1" si="7"/>
        <v>6.6571428571428575</v>
      </c>
      <c r="S34" s="44">
        <f ca="1">ROUND(PERCENTILE(DayByDayTable[[#Data],[BlankLeadTime]],0.8),0)</f>
        <v>8</v>
      </c>
    </row>
    <row r="35" spans="1:19">
      <c r="A35" s="51">
        <f t="shared" si="2"/>
        <v>42453</v>
      </c>
      <c r="B35" s="11">
        <f t="shared" si="3"/>
        <v>42453</v>
      </c>
      <c r="C35" s="47">
        <f>SUMIFS('On The Board'!$M$5:$M$219,'On The Board'!F$5:F$219,"&lt;="&amp;$B35,'On The Board'!E$5:E$219,"="&amp;FutureWork)</f>
        <v>0</v>
      </c>
      <c r="D35" s="47">
        <f ca="1">IF(TodaysDate&gt;=B35,SUMIF('On The Board'!F$5:F$219,"&lt;="&amp;$B35,'On The Board'!$M$5:$M$219)-SUM(F35:J35),"")</f>
        <v>53</v>
      </c>
      <c r="E35" s="12">
        <f ca="1">IF(TodaysDate&gt;=B35,SUMIF('On The Board'!F$5:F$219,"&lt;="&amp;$B35,'On The Board'!$M$5:$M$219)-SUM(F35:J35),E34)</f>
        <v>53</v>
      </c>
      <c r="F35" s="12">
        <f>SUMIF('On The Board'!G$5:G$219,"&lt;="&amp;$B35,'On The Board'!$M$5:$M$219)-SUM(G35:J35)</f>
        <v>0</v>
      </c>
      <c r="G35" s="12">
        <f>SUMIF('On The Board'!H$5:H$219,"&lt;="&amp;$B35,'On The Board'!$M$5:$M$219)-SUM(H35:J35)</f>
        <v>5</v>
      </c>
      <c r="H35" s="12">
        <f>SUMIF('On The Board'!I$5:I$219,"&lt;="&amp;$B35,'On The Board'!$M$5:$M$219)-SUM(I35,J35)</f>
        <v>1</v>
      </c>
      <c r="I35" s="12">
        <f>SUMIF('On The Board'!J$5:J$219,"&lt;="&amp;$B35,'On The Board'!$M$5:$M$219)-SUM(J35)</f>
        <v>0</v>
      </c>
      <c r="J35" s="12">
        <f>SUMIF('On The Board'!K$5:K$219,"&lt;="&amp;$B35,'On The Board'!$M$5:$M$219)</f>
        <v>27</v>
      </c>
      <c r="K35" s="10">
        <f t="shared" si="0"/>
        <v>33</v>
      </c>
      <c r="L35" s="10">
        <f ca="1">IF(TodaysDate&gt;=B35,SUM(F35:I35),NA())</f>
        <v>6</v>
      </c>
      <c r="M35" s="44">
        <f t="shared" ca="1" si="5"/>
        <v>4.4545454545454541</v>
      </c>
      <c r="N35" s="44">
        <f ca="1">IF(ISNUMBER(M35),(J35-J25)/NETWORKDAYS(B25,B35,BankHolidays),NA())</f>
        <v>0.63636363636363635</v>
      </c>
      <c r="O35" s="44">
        <f t="shared" ca="1" si="4"/>
        <v>6.9999999999999991</v>
      </c>
      <c r="P35" s="53">
        <f t="shared" ca="1" si="6"/>
        <v>6.2453102453102449</v>
      </c>
      <c r="Q35" s="53">
        <f ca="1">IFERROR(DayByDayTable[[#This Row],[Lead Time]],"")</f>
        <v>6.9999999999999991</v>
      </c>
      <c r="R35" s="44">
        <f t="shared" ca="1" si="7"/>
        <v>6.9428571428571422</v>
      </c>
      <c r="S35" s="44">
        <f ca="1">ROUND(PERCENTILE(DayByDayTable[[#Data],[BlankLeadTime]],0.8),0)</f>
        <v>8</v>
      </c>
    </row>
    <row r="36" spans="1:19">
      <c r="A36" s="51">
        <f t="shared" si="2"/>
        <v>42458</v>
      </c>
      <c r="B36" s="11">
        <f t="shared" si="3"/>
        <v>42458</v>
      </c>
      <c r="C36" s="47">
        <f>SUMIFS('On The Board'!$M$5:$M$219,'On The Board'!F$5:F$219,"&lt;="&amp;$B36,'On The Board'!E$5:E$219,"="&amp;FutureWork)</f>
        <v>0</v>
      </c>
      <c r="D36" s="47">
        <f ca="1">IF(TodaysDate&gt;=B36,SUMIF('On The Board'!F$5:F$219,"&lt;="&amp;$B36,'On The Board'!$M$5:$M$219)-SUM(F36:J36),"")</f>
        <v>52</v>
      </c>
      <c r="E36" s="12">
        <f ca="1">IF(TodaysDate&gt;=B36,SUMIF('On The Board'!F$5:F$219,"&lt;="&amp;$B36,'On The Board'!$M$5:$M$219)-SUM(F36:J36),E35)</f>
        <v>52</v>
      </c>
      <c r="F36" s="12">
        <f>SUMIF('On The Board'!G$5:G$219,"&lt;="&amp;$B36,'On The Board'!$M$5:$M$219)-SUM(G36:J36)</f>
        <v>0</v>
      </c>
      <c r="G36" s="12">
        <f>SUMIF('On The Board'!H$5:H$219,"&lt;="&amp;$B36,'On The Board'!$M$5:$M$219)-SUM(H36:J36)</f>
        <v>4</v>
      </c>
      <c r="H36" s="12">
        <f>SUMIF('On The Board'!I$5:I$219,"&lt;="&amp;$B36,'On The Board'!$M$5:$M$219)-SUM(I36,J36)</f>
        <v>0</v>
      </c>
      <c r="I36" s="12">
        <f>SUMIF('On The Board'!J$5:J$219,"&lt;="&amp;$B36,'On The Board'!$M$5:$M$219)-SUM(J36)</f>
        <v>0</v>
      </c>
      <c r="J36" s="12">
        <f>SUMIF('On The Board'!K$5:K$219,"&lt;="&amp;$B36,'On The Board'!$M$5:$M$219)</f>
        <v>30</v>
      </c>
      <c r="K36" s="10">
        <f t="shared" si="0"/>
        <v>34</v>
      </c>
      <c r="L36" s="10">
        <f ca="1">IF(TodaysDate&gt;=B36,SUM(F36:I36),NA())</f>
        <v>4</v>
      </c>
      <c r="M36" s="44">
        <f t="shared" ca="1" si="5"/>
        <v>4.5454545454545459</v>
      </c>
      <c r="N36" s="44">
        <f ca="1">IF(ISNUMBER(M36),(J36-J26)/NETWORKDAYS(B26,B36,BankHolidays),NA())</f>
        <v>0.90909090909090906</v>
      </c>
      <c r="O36" s="44">
        <f t="shared" ca="1" si="4"/>
        <v>5.0000000000000009</v>
      </c>
      <c r="P36" s="53">
        <f t="shared" ca="1" si="6"/>
        <v>6.237734487734488</v>
      </c>
      <c r="Q36" s="53">
        <f ca="1">IFERROR(DayByDayTable[[#This Row],[Lead Time]],"")</f>
        <v>5.0000000000000009</v>
      </c>
      <c r="R36" s="44">
        <f t="shared" ca="1" si="7"/>
        <v>6.9428571428571422</v>
      </c>
      <c r="S36" s="44">
        <f ca="1">ROUND(PERCENTILE(DayByDayTable[[#Data],[BlankLeadTime]],0.8),0)</f>
        <v>8</v>
      </c>
    </row>
    <row r="37" spans="1:19">
      <c r="A37" s="51">
        <f t="shared" si="2"/>
        <v>42459</v>
      </c>
      <c r="B37" s="11">
        <f t="shared" si="3"/>
        <v>42459</v>
      </c>
      <c r="C37" s="47">
        <f>SUMIFS('On The Board'!$M$5:$M$219,'On The Board'!F$5:F$219,"&lt;="&amp;$B37,'On The Board'!E$5:E$219,"="&amp;FutureWork)</f>
        <v>0</v>
      </c>
      <c r="D37" s="47">
        <f ca="1">IF(TodaysDate&gt;=B37,SUMIF('On The Board'!F$5:F$219,"&lt;="&amp;$B37,'On The Board'!$M$5:$M$219)-SUM(F37:J37),"")</f>
        <v>51</v>
      </c>
      <c r="E37" s="12">
        <f ca="1">IF(TodaysDate&gt;=B37,SUMIF('On The Board'!F$5:F$219,"&lt;="&amp;$B37,'On The Board'!$M$5:$M$219)-SUM(F37:J37),E36)</f>
        <v>51</v>
      </c>
      <c r="F37" s="12">
        <f>SUMIF('On The Board'!G$5:G$219,"&lt;="&amp;$B37,'On The Board'!$M$5:$M$219)-SUM(G37:J37)</f>
        <v>0</v>
      </c>
      <c r="G37" s="12">
        <f>SUMIF('On The Board'!H$5:H$219,"&lt;="&amp;$B37,'On The Board'!$M$5:$M$219)-SUM(H37:J37)</f>
        <v>5</v>
      </c>
      <c r="H37" s="12">
        <f>SUMIF('On The Board'!I$5:I$219,"&lt;="&amp;$B37,'On The Board'!$M$5:$M$219)-SUM(I37,J37)</f>
        <v>0</v>
      </c>
      <c r="I37" s="12">
        <f>SUMIF('On The Board'!J$5:J$219,"&lt;="&amp;$B37,'On The Board'!$M$5:$M$219)-SUM(J37)</f>
        <v>0</v>
      </c>
      <c r="J37" s="12">
        <f>SUMIF('On The Board'!K$5:K$219,"&lt;="&amp;$B37,'On The Board'!$M$5:$M$219)</f>
        <v>30</v>
      </c>
      <c r="K37" s="10">
        <f t="shared" si="0"/>
        <v>35</v>
      </c>
      <c r="L37" s="10">
        <f ca="1">IF(TodaysDate&gt;=B37,SUM(F37:I37),NA())</f>
        <v>5</v>
      </c>
      <c r="M37" s="44">
        <f t="shared" ca="1" si="5"/>
        <v>4.7272727272727275</v>
      </c>
      <c r="N37" s="44">
        <f ca="1">IF(ISNUMBER(M37),(J37-J27)/NETWORKDAYS(B27,B37,BankHolidays),NA())</f>
        <v>0.81818181818181823</v>
      </c>
      <c r="O37" s="44">
        <f t="shared" ca="1" si="4"/>
        <v>5.7777777777777777</v>
      </c>
      <c r="P37" s="53">
        <f t="shared" ca="1" si="6"/>
        <v>6.3311688311688306</v>
      </c>
      <c r="Q37" s="53">
        <f ca="1">IFERROR(DayByDayTable[[#This Row],[Lead Time]],"")</f>
        <v>5.7777777777777777</v>
      </c>
      <c r="R37" s="44">
        <f t="shared" ca="1" si="7"/>
        <v>6.9428571428571422</v>
      </c>
      <c r="S37" s="44">
        <f ca="1">ROUND(PERCENTILE(DayByDayTable[[#Data],[BlankLeadTime]],0.8),0)</f>
        <v>8</v>
      </c>
    </row>
    <row r="38" spans="1:19">
      <c r="A38" s="51">
        <f t="shared" si="2"/>
        <v>42460</v>
      </c>
      <c r="B38" s="11">
        <f t="shared" si="3"/>
        <v>42460</v>
      </c>
      <c r="C38" s="47">
        <f>SUMIFS('On The Board'!$M$5:$M$219,'On The Board'!F$5:F$219,"&lt;="&amp;$B38,'On The Board'!E$5:E$219,"="&amp;FutureWork)</f>
        <v>0</v>
      </c>
      <c r="D38" s="47">
        <f ca="1">IF(TodaysDate&gt;=B38,SUMIF('On The Board'!F$5:F$219,"&lt;="&amp;$B38,'On The Board'!$M$5:$M$219)-SUM(F38:J38),"")</f>
        <v>51</v>
      </c>
      <c r="E38" s="12">
        <f ca="1">IF(TodaysDate&gt;=B38,SUMIF('On The Board'!F$5:F$219,"&lt;="&amp;$B38,'On The Board'!$M$5:$M$219)-SUM(F38:J38),E37)</f>
        <v>51</v>
      </c>
      <c r="F38" s="12">
        <f>SUMIF('On The Board'!G$5:G$219,"&lt;="&amp;$B38,'On The Board'!$M$5:$M$219)-SUM(G38:J38)</f>
        <v>0</v>
      </c>
      <c r="G38" s="12">
        <f>SUMIF('On The Board'!H$5:H$219,"&lt;="&amp;$B38,'On The Board'!$M$5:$M$219)-SUM(H38:J38)</f>
        <v>5</v>
      </c>
      <c r="H38" s="12">
        <f>SUMIF('On The Board'!I$5:I$219,"&lt;="&amp;$B38,'On The Board'!$M$5:$M$219)-SUM(I38,J38)</f>
        <v>0</v>
      </c>
      <c r="I38" s="12">
        <f>SUMIF('On The Board'!J$5:J$219,"&lt;="&amp;$B38,'On The Board'!$M$5:$M$219)-SUM(J38)</f>
        <v>0</v>
      </c>
      <c r="J38" s="12">
        <f>SUMIF('On The Board'!K$5:K$219,"&lt;="&amp;$B38,'On The Board'!$M$5:$M$219)</f>
        <v>30</v>
      </c>
      <c r="K38" s="10">
        <f t="shared" si="0"/>
        <v>35</v>
      </c>
      <c r="L38" s="10">
        <f ca="1">IF(TodaysDate&gt;=B38,SUM(F38:I38),NA())</f>
        <v>5</v>
      </c>
      <c r="M38" s="44">
        <f t="shared" ca="1" si="5"/>
        <v>4.9090909090909092</v>
      </c>
      <c r="N38" s="44">
        <f ca="1">IF(ISNUMBER(M38),(J38-J28)/NETWORKDAYS(B28,B38,BankHolidays),NA())</f>
        <v>0.81818181818181823</v>
      </c>
      <c r="O38" s="44">
        <f t="shared" ca="1" si="4"/>
        <v>6</v>
      </c>
      <c r="P38" s="53">
        <f t="shared" ca="1" si="6"/>
        <v>6.4751082251082259</v>
      </c>
      <c r="Q38" s="53">
        <f ca="1">IFERROR(DayByDayTable[[#This Row],[Lead Time]],"")</f>
        <v>6</v>
      </c>
      <c r="R38" s="44">
        <f t="shared" ca="1" si="7"/>
        <v>6.9428571428571422</v>
      </c>
      <c r="S38" s="44">
        <f ca="1">ROUND(PERCENTILE(DayByDayTable[[#Data],[BlankLeadTime]],0.8),0)</f>
        <v>8</v>
      </c>
    </row>
    <row r="39" spans="1:19">
      <c r="A39" s="51">
        <f t="shared" si="2"/>
        <v>42461</v>
      </c>
      <c r="B39" s="11">
        <f t="shared" si="3"/>
        <v>42461</v>
      </c>
      <c r="C39" s="47">
        <f>SUMIFS('On The Board'!$M$5:$M$219,'On The Board'!F$5:F$219,"&lt;="&amp;$B39,'On The Board'!E$5:E$219,"="&amp;FutureWork)</f>
        <v>0</v>
      </c>
      <c r="D39" s="47">
        <f ca="1">IF(TodaysDate&gt;=B39,SUMIF('On The Board'!F$5:F$219,"&lt;="&amp;$B39,'On The Board'!$M$5:$M$219)-SUM(F39:J39),"")</f>
        <v>51</v>
      </c>
      <c r="E39" s="12">
        <f ca="1">IF(TodaysDate&gt;=B39,SUMIF('On The Board'!F$5:F$219,"&lt;="&amp;$B39,'On The Board'!$M$5:$M$219)-SUM(F39:J39),E38)</f>
        <v>51</v>
      </c>
      <c r="F39" s="12">
        <f>SUMIF('On The Board'!G$5:G$219,"&lt;="&amp;$B39,'On The Board'!$M$5:$M$219)-SUM(G39:J39)</f>
        <v>0</v>
      </c>
      <c r="G39" s="12">
        <f>SUMIF('On The Board'!H$5:H$219,"&lt;="&amp;$B39,'On The Board'!$M$5:$M$219)-SUM(H39:J39)</f>
        <v>5</v>
      </c>
      <c r="H39" s="12">
        <f>SUMIF('On The Board'!I$5:I$219,"&lt;="&amp;$B39,'On The Board'!$M$5:$M$219)-SUM(I39,J39)</f>
        <v>0</v>
      </c>
      <c r="I39" s="12">
        <f>SUMIF('On The Board'!J$5:J$219,"&lt;="&amp;$B39,'On The Board'!$M$5:$M$219)-SUM(J39)</f>
        <v>0</v>
      </c>
      <c r="J39" s="12">
        <f>SUMIF('On The Board'!K$5:K$219,"&lt;="&amp;$B39,'On The Board'!$M$5:$M$219)</f>
        <v>31</v>
      </c>
      <c r="K39" s="10">
        <f t="shared" si="0"/>
        <v>36</v>
      </c>
      <c r="L39" s="10">
        <f ca="1">IF(TodaysDate&gt;=B39,SUM(F39:I39),NA())</f>
        <v>5</v>
      </c>
      <c r="M39" s="44">
        <f t="shared" ca="1" si="5"/>
        <v>4.8181818181818183</v>
      </c>
      <c r="N39" s="44">
        <f ca="1">IF(ISNUMBER(M39),(J39-J29)/NETWORKDAYS(B29,B39,BankHolidays),NA())</f>
        <v>0.81818181818181823</v>
      </c>
      <c r="O39" s="44">
        <f t="shared" ca="1" si="4"/>
        <v>5.8888888888888884</v>
      </c>
      <c r="P39" s="53">
        <f t="shared" ca="1" si="6"/>
        <v>6.4309163059163064</v>
      </c>
      <c r="Q39" s="53">
        <f ca="1">IFERROR(DayByDayTable[[#This Row],[Lead Time]],"")</f>
        <v>5.8888888888888884</v>
      </c>
      <c r="R39" s="44">
        <f t="shared" ca="1" si="7"/>
        <v>6.9428571428571422</v>
      </c>
      <c r="S39" s="44">
        <f ca="1">ROUND(PERCENTILE(DayByDayTable[[#Data],[BlankLeadTime]],0.8),0)</f>
        <v>8</v>
      </c>
    </row>
    <row r="40" spans="1:19">
      <c r="A40" s="51">
        <f t="shared" si="2"/>
        <v>42464</v>
      </c>
      <c r="B40" s="11">
        <f t="shared" si="3"/>
        <v>42464</v>
      </c>
      <c r="C40" s="47">
        <f>SUMIFS('On The Board'!$M$5:$M$219,'On The Board'!F$5:F$219,"&lt;="&amp;$B40,'On The Board'!E$5:E$219,"="&amp;FutureWork)</f>
        <v>0</v>
      </c>
      <c r="D40" s="47">
        <f ca="1">IF(TodaysDate&gt;=B40,SUMIF('On The Board'!F$5:F$219,"&lt;="&amp;$B40,'On The Board'!$M$5:$M$219)-SUM(F40:J40),"")</f>
        <v>51</v>
      </c>
      <c r="E40" s="12">
        <f ca="1">IF(TodaysDate&gt;=B40,SUMIF('On The Board'!F$5:F$219,"&lt;="&amp;$B40,'On The Board'!$M$5:$M$219)-SUM(F40:J40),E39)</f>
        <v>51</v>
      </c>
      <c r="F40" s="12">
        <f>SUMIF('On The Board'!G$5:G$219,"&lt;="&amp;$B40,'On The Board'!$M$5:$M$219)-SUM(G40:J40)</f>
        <v>0</v>
      </c>
      <c r="G40" s="12">
        <f>SUMIF('On The Board'!H$5:H$219,"&lt;="&amp;$B40,'On The Board'!$M$5:$M$219)-SUM(H40:J40)</f>
        <v>4</v>
      </c>
      <c r="H40" s="12">
        <f>SUMIF('On The Board'!I$5:I$219,"&lt;="&amp;$B40,'On The Board'!$M$5:$M$219)-SUM(I40,J40)</f>
        <v>0</v>
      </c>
      <c r="I40" s="12">
        <f>SUMIF('On The Board'!J$5:J$219,"&lt;="&amp;$B40,'On The Board'!$M$5:$M$219)-SUM(J40)</f>
        <v>0</v>
      </c>
      <c r="J40" s="12">
        <f>SUMIF('On The Board'!K$5:K$219,"&lt;="&amp;$B40,'On The Board'!$M$5:$M$219)</f>
        <v>32</v>
      </c>
      <c r="K40" s="10">
        <f t="shared" si="0"/>
        <v>36</v>
      </c>
      <c r="L40" s="10">
        <f ca="1">IF(TodaysDate&gt;=B40,SUM(F40:I40),NA())</f>
        <v>4</v>
      </c>
      <c r="M40" s="44">
        <f t="shared" ca="1" si="5"/>
        <v>4.6363636363636367</v>
      </c>
      <c r="N40" s="44">
        <f ca="1">IF(ISNUMBER(M40),(J40-J30)/NETWORKDAYS(B30,B40,BankHolidays),NA())</f>
        <v>0.90909090909090906</v>
      </c>
      <c r="O40" s="44">
        <f t="shared" ca="1" si="4"/>
        <v>5.1000000000000005</v>
      </c>
      <c r="P40" s="53">
        <f t="shared" ca="1" si="6"/>
        <v>6.3895021645021641</v>
      </c>
      <c r="Q40" s="53">
        <f ca="1">IFERROR(DayByDayTable[[#This Row],[Lead Time]],"")</f>
        <v>5.1000000000000005</v>
      </c>
      <c r="R40" s="44">
        <f t="shared" ca="1" si="7"/>
        <v>6.9428571428571422</v>
      </c>
      <c r="S40" s="44">
        <f ca="1">ROUND(PERCENTILE(DayByDayTable[[#Data],[BlankLeadTime]],0.8),0)</f>
        <v>8</v>
      </c>
    </row>
    <row r="41" spans="1:19">
      <c r="A41" s="51">
        <f t="shared" si="2"/>
        <v>42465</v>
      </c>
      <c r="B41" s="11">
        <f t="shared" si="3"/>
        <v>42465</v>
      </c>
      <c r="C41" s="47">
        <f>SUMIFS('On The Board'!$M$5:$M$219,'On The Board'!F$5:F$219,"&lt;="&amp;$B41,'On The Board'!E$5:E$219,"="&amp;FutureWork)</f>
        <v>0</v>
      </c>
      <c r="D41" s="47">
        <f ca="1">IF(TodaysDate&gt;=B41,SUMIF('On The Board'!F$5:F$219,"&lt;="&amp;$B41,'On The Board'!$M$5:$M$219)-SUM(F41:J41),"")</f>
        <v>51</v>
      </c>
      <c r="E41" s="12">
        <f ca="1">IF(TodaysDate&gt;=B41,SUMIF('On The Board'!F$5:F$219,"&lt;="&amp;$B41,'On The Board'!$M$5:$M$219)-SUM(F41:J41),E40)</f>
        <v>51</v>
      </c>
      <c r="F41" s="12">
        <f>SUMIF('On The Board'!G$5:G$219,"&lt;="&amp;$B41,'On The Board'!$M$5:$M$219)-SUM(G41:J41)</f>
        <v>0</v>
      </c>
      <c r="G41" s="12">
        <f>SUMIF('On The Board'!H$5:H$219,"&lt;="&amp;$B41,'On The Board'!$M$5:$M$219)-SUM(H41:J41)</f>
        <v>4</v>
      </c>
      <c r="H41" s="12">
        <f>SUMIF('On The Board'!I$5:I$219,"&lt;="&amp;$B41,'On The Board'!$M$5:$M$219)-SUM(I41,J41)</f>
        <v>0</v>
      </c>
      <c r="I41" s="12">
        <f>SUMIF('On The Board'!J$5:J$219,"&lt;="&amp;$B41,'On The Board'!$M$5:$M$219)-SUM(J41)</f>
        <v>0</v>
      </c>
      <c r="J41" s="12">
        <f>SUMIF('On The Board'!K$5:K$219,"&lt;="&amp;$B41,'On The Board'!$M$5:$M$219)</f>
        <v>32</v>
      </c>
      <c r="K41" s="10">
        <f t="shared" si="0"/>
        <v>36</v>
      </c>
      <c r="L41" s="10">
        <f ca="1">IF(TodaysDate&gt;=B41,SUM(F41:I41),NA())</f>
        <v>4</v>
      </c>
      <c r="M41" s="44">
        <f t="shared" ca="1" si="5"/>
        <v>4.4545454545454541</v>
      </c>
      <c r="N41" s="44">
        <f ca="1">IF(ISNUMBER(M41),(J41-J31)/NETWORKDAYS(B31,B41,BankHolidays),NA())</f>
        <v>0.90909090909090906</v>
      </c>
      <c r="O41" s="44">
        <f t="shared" ca="1" si="4"/>
        <v>4.8999999999999995</v>
      </c>
      <c r="P41" s="53">
        <f t="shared" ca="1" si="6"/>
        <v>6.0925324675324672</v>
      </c>
      <c r="Q41" s="53">
        <f ca="1">IFERROR(DayByDayTable[[#This Row],[Lead Time]],"")</f>
        <v>4.8999999999999995</v>
      </c>
      <c r="R41" s="44">
        <f t="shared" ca="1" si="7"/>
        <v>6.9428571428571422</v>
      </c>
      <c r="S41" s="44">
        <f ca="1">ROUND(PERCENTILE(DayByDayTable[[#Data],[BlankLeadTime]],0.8),0)</f>
        <v>8</v>
      </c>
    </row>
    <row r="42" spans="1:19">
      <c r="A42" s="51">
        <f t="shared" si="2"/>
        <v>42466</v>
      </c>
      <c r="B42" s="11">
        <f t="shared" si="3"/>
        <v>42466</v>
      </c>
      <c r="C42" s="47">
        <f>SUMIFS('On The Board'!$M$5:$M$219,'On The Board'!F$5:F$219,"&lt;="&amp;$B42,'On The Board'!E$5:E$219,"="&amp;FutureWork)</f>
        <v>0</v>
      </c>
      <c r="D42" s="47">
        <f ca="1">IF(TodaysDate&gt;=B42,SUMIF('On The Board'!F$5:F$219,"&lt;="&amp;$B42,'On The Board'!$M$5:$M$219)-SUM(F42:J42),"")</f>
        <v>50</v>
      </c>
      <c r="E42" s="12">
        <f ca="1">IF(TodaysDate&gt;=B42,SUMIF('On The Board'!F$5:F$219,"&lt;="&amp;$B42,'On The Board'!$M$5:$M$219)-SUM(F42:J42),E41)</f>
        <v>50</v>
      </c>
      <c r="F42" s="12">
        <f>SUMIF('On The Board'!G$5:G$219,"&lt;="&amp;$B42,'On The Board'!$M$5:$M$219)-SUM(G42:J42)</f>
        <v>0</v>
      </c>
      <c r="G42" s="12">
        <f>SUMIF('On The Board'!H$5:H$219,"&lt;="&amp;$B42,'On The Board'!$M$5:$M$219)-SUM(H42:J42)</f>
        <v>3</v>
      </c>
      <c r="H42" s="12">
        <f>SUMIF('On The Board'!I$5:I$219,"&lt;="&amp;$B42,'On The Board'!$M$5:$M$219)-SUM(I42,J42)</f>
        <v>0</v>
      </c>
      <c r="I42" s="12">
        <f>SUMIF('On The Board'!J$5:J$219,"&lt;="&amp;$B42,'On The Board'!$M$5:$M$219)-SUM(J42)</f>
        <v>0</v>
      </c>
      <c r="J42" s="12">
        <f>SUMIF('On The Board'!K$5:K$219,"&lt;="&amp;$B42,'On The Board'!$M$5:$M$219)</f>
        <v>34</v>
      </c>
      <c r="K42" s="10">
        <f t="shared" si="0"/>
        <v>37</v>
      </c>
      <c r="L42" s="10">
        <f ca="1">IF(TodaysDate&gt;=B42,SUM(F42:I42),NA())</f>
        <v>3</v>
      </c>
      <c r="M42" s="44">
        <f t="shared" ca="1" si="5"/>
        <v>4.1818181818181817</v>
      </c>
      <c r="N42" s="44">
        <f ca="1">IF(ISNUMBER(M42),(J42-J32)/NETWORKDAYS(B32,B42,BankHolidays),NA())</f>
        <v>0.81818181818181823</v>
      </c>
      <c r="O42" s="44">
        <f t="shared" ca="1" si="4"/>
        <v>5.1111111111111107</v>
      </c>
      <c r="P42" s="53">
        <f t="shared" ca="1" si="6"/>
        <v>5.799603174603174</v>
      </c>
      <c r="Q42" s="53">
        <f ca="1">IFERROR(DayByDayTable[[#This Row],[Lead Time]],"")</f>
        <v>5.1111111111111107</v>
      </c>
      <c r="R42" s="44">
        <f t="shared" ca="1" si="7"/>
        <v>6.6571428571428575</v>
      </c>
      <c r="S42" s="44">
        <f ca="1">ROUND(PERCENTILE(DayByDayTable[[#Data],[BlankLeadTime]],0.8),0)</f>
        <v>8</v>
      </c>
    </row>
    <row r="43" spans="1:19">
      <c r="A43" s="51">
        <f t="shared" si="2"/>
        <v>42467</v>
      </c>
      <c r="B43" s="11">
        <f t="shared" si="3"/>
        <v>42467</v>
      </c>
      <c r="C43" s="47">
        <f>SUMIFS('On The Board'!$M$5:$M$219,'On The Board'!F$5:F$219,"&lt;="&amp;$B43,'On The Board'!E$5:E$219,"="&amp;FutureWork)</f>
        <v>0</v>
      </c>
      <c r="D43" s="47">
        <f ca="1">IF(TodaysDate&gt;=B43,SUMIF('On The Board'!F$5:F$219,"&lt;="&amp;$B43,'On The Board'!$M$5:$M$219)-SUM(F43:J43),"")</f>
        <v>49</v>
      </c>
      <c r="E43" s="12">
        <f ca="1">IF(TodaysDate&gt;=B43,SUMIF('On The Board'!F$5:F$219,"&lt;="&amp;$B43,'On The Board'!$M$5:$M$219)-SUM(F43:J43),E42)</f>
        <v>49</v>
      </c>
      <c r="F43" s="12">
        <f>SUMIF('On The Board'!G$5:G$219,"&lt;="&amp;$B43,'On The Board'!$M$5:$M$219)-SUM(G43:J43)</f>
        <v>0</v>
      </c>
      <c r="G43" s="12">
        <f>SUMIF('On The Board'!H$5:H$219,"&lt;="&amp;$B43,'On The Board'!$M$5:$M$219)-SUM(H43:J43)</f>
        <v>4</v>
      </c>
      <c r="H43" s="12">
        <f>SUMIF('On The Board'!I$5:I$219,"&lt;="&amp;$B43,'On The Board'!$M$5:$M$219)-SUM(I43,J43)</f>
        <v>0</v>
      </c>
      <c r="I43" s="12">
        <f>SUMIF('On The Board'!J$5:J$219,"&lt;="&amp;$B43,'On The Board'!$M$5:$M$219)-SUM(J43)</f>
        <v>0</v>
      </c>
      <c r="J43" s="12">
        <f>SUMIF('On The Board'!K$5:K$219,"&lt;="&amp;$B43,'On The Board'!$M$5:$M$219)</f>
        <v>34</v>
      </c>
      <c r="K43" s="10">
        <f t="shared" si="0"/>
        <v>38</v>
      </c>
      <c r="L43" s="10">
        <f ca="1">IF(TodaysDate&gt;=B43,SUM(F43:I43),NA())</f>
        <v>4</v>
      </c>
      <c r="M43" s="44">
        <f t="shared" ca="1" si="5"/>
        <v>4.2727272727272725</v>
      </c>
      <c r="N43" s="44">
        <f ca="1">IF(ISNUMBER(M43),(J43-J33)/NETWORKDAYS(B33,B43,BankHolidays),NA())</f>
        <v>0.72727272727272729</v>
      </c>
      <c r="O43" s="44">
        <f t="shared" ca="1" si="4"/>
        <v>5.8749999999999991</v>
      </c>
      <c r="P43" s="53">
        <f t="shared" ca="1" si="6"/>
        <v>5.7233044733044727</v>
      </c>
      <c r="Q43" s="53">
        <f ca="1">IFERROR(DayByDayTable[[#This Row],[Lead Time]],"")</f>
        <v>5.8749999999999991</v>
      </c>
      <c r="R43" s="44">
        <f t="shared" ca="1" si="7"/>
        <v>6.3428571428571434</v>
      </c>
      <c r="S43" s="44">
        <f ca="1">ROUND(PERCENTILE(DayByDayTable[[#Data],[BlankLeadTime]],0.8),0)</f>
        <v>8</v>
      </c>
    </row>
    <row r="44" spans="1:19">
      <c r="A44" s="51">
        <f t="shared" si="2"/>
        <v>42468</v>
      </c>
      <c r="B44" s="11">
        <f t="shared" si="3"/>
        <v>42468</v>
      </c>
      <c r="C44" s="47">
        <f>SUMIFS('On The Board'!$M$5:$M$219,'On The Board'!F$5:F$219,"&lt;="&amp;$B44,'On The Board'!E$5:E$219,"="&amp;FutureWork)</f>
        <v>0</v>
      </c>
      <c r="D44" s="47">
        <f ca="1">IF(TodaysDate&gt;=B44,SUMIF('On The Board'!F$5:F$219,"&lt;="&amp;$B44,'On The Board'!$M$5:$M$219)-SUM(F44:J44),"")</f>
        <v>49</v>
      </c>
      <c r="E44" s="12">
        <f ca="1">IF(TodaysDate&gt;=B44,SUMIF('On The Board'!F$5:F$219,"&lt;="&amp;$B44,'On The Board'!$M$5:$M$219)-SUM(F44:J44),E43)</f>
        <v>49</v>
      </c>
      <c r="F44" s="12">
        <f>SUMIF('On The Board'!G$5:G$219,"&lt;="&amp;$B44,'On The Board'!$M$5:$M$219)-SUM(G44:J44)</f>
        <v>0</v>
      </c>
      <c r="G44" s="12">
        <f>SUMIF('On The Board'!H$5:H$219,"&lt;="&amp;$B44,'On The Board'!$M$5:$M$219)-SUM(H44:J44)</f>
        <v>4</v>
      </c>
      <c r="H44" s="12">
        <f>SUMIF('On The Board'!I$5:I$219,"&lt;="&amp;$B44,'On The Board'!$M$5:$M$219)-SUM(I44,J44)</f>
        <v>0</v>
      </c>
      <c r="I44" s="12">
        <f>SUMIF('On The Board'!J$5:J$219,"&lt;="&amp;$B44,'On The Board'!$M$5:$M$219)-SUM(J44)</f>
        <v>0</v>
      </c>
      <c r="J44" s="12">
        <f>SUMIF('On The Board'!K$5:K$219,"&lt;="&amp;$B44,'On The Board'!$M$5:$M$219)</f>
        <v>34</v>
      </c>
      <c r="K44" s="10">
        <f t="shared" si="0"/>
        <v>38</v>
      </c>
      <c r="L44" s="10">
        <f ca="1">IF(TodaysDate&gt;=B44,SUM(F44:I44),NA())</f>
        <v>4</v>
      </c>
      <c r="M44" s="44">
        <f t="shared" ca="1" si="5"/>
        <v>4.4545454545454541</v>
      </c>
      <c r="N44" s="44">
        <f ca="1">IF(ISNUMBER(M44),(J44-J34)/NETWORKDAYS(B34,B44,BankHolidays),NA())</f>
        <v>0.63636363636363635</v>
      </c>
      <c r="O44" s="44">
        <f t="shared" ca="1" si="4"/>
        <v>6.9999999999999991</v>
      </c>
      <c r="P44" s="53">
        <f t="shared" ca="1" si="6"/>
        <v>5.7752525252525251</v>
      </c>
      <c r="Q44" s="53">
        <f ca="1">IFERROR(DayByDayTable[[#This Row],[Lead Time]],"")</f>
        <v>6.9999999999999991</v>
      </c>
      <c r="R44" s="44">
        <f t="shared" ca="1" si="7"/>
        <v>6.3428571428571434</v>
      </c>
      <c r="S44" s="44">
        <f ca="1">ROUND(PERCENTILE(DayByDayTable[[#Data],[BlankLeadTime]],0.8),0)</f>
        <v>8</v>
      </c>
    </row>
    <row r="45" spans="1:19">
      <c r="A45" s="51">
        <f t="shared" si="2"/>
        <v>42471</v>
      </c>
      <c r="B45" s="11">
        <f t="shared" si="3"/>
        <v>42471</v>
      </c>
      <c r="C45" s="47">
        <f>SUMIFS('On The Board'!$M$5:$M$219,'On The Board'!F$5:F$219,"&lt;="&amp;$B45,'On The Board'!E$5:E$219,"="&amp;FutureWork)</f>
        <v>0</v>
      </c>
      <c r="D45" s="47">
        <f ca="1">IF(TodaysDate&gt;=B45,SUMIF('On The Board'!F$5:F$219,"&lt;="&amp;$B45,'On The Board'!$M$5:$M$219)-SUM(F45:J45),"")</f>
        <v>48</v>
      </c>
      <c r="E45" s="12">
        <f ca="1">IF(TodaysDate&gt;=B45,SUMIF('On The Board'!F$5:F$219,"&lt;="&amp;$B45,'On The Board'!$M$5:$M$219)-SUM(F45:J45),E44)</f>
        <v>48</v>
      </c>
      <c r="F45" s="12">
        <f>SUMIF('On The Board'!G$5:G$219,"&lt;="&amp;$B45,'On The Board'!$M$5:$M$219)-SUM(G45:J45)</f>
        <v>0</v>
      </c>
      <c r="G45" s="12">
        <f>SUMIF('On The Board'!H$5:H$219,"&lt;="&amp;$B45,'On The Board'!$M$5:$M$219)-SUM(H45:J45)</f>
        <v>5</v>
      </c>
      <c r="H45" s="12">
        <f>SUMIF('On The Board'!I$5:I$219,"&lt;="&amp;$B45,'On The Board'!$M$5:$M$219)-SUM(I45,J45)</f>
        <v>0</v>
      </c>
      <c r="I45" s="12">
        <f>SUMIF('On The Board'!J$5:J$219,"&lt;="&amp;$B45,'On The Board'!$M$5:$M$219)-SUM(J45)</f>
        <v>0</v>
      </c>
      <c r="J45" s="12">
        <f>SUMIF('On The Board'!K$5:K$219,"&lt;="&amp;$B45,'On The Board'!$M$5:$M$219)</f>
        <v>36</v>
      </c>
      <c r="K45" s="10">
        <f t="shared" si="0"/>
        <v>41</v>
      </c>
      <c r="L45" s="10">
        <f ca="1">IF(TodaysDate&gt;=B45,SUM(F45:I45),NA())</f>
        <v>5</v>
      </c>
      <c r="M45" s="44">
        <f t="shared" ca="1" si="5"/>
        <v>4.4545454545454541</v>
      </c>
      <c r="N45" s="44">
        <f ca="1">IF(ISNUMBER(M45),(J45-J35)/NETWORKDAYS(B35,B45,BankHolidays),NA())</f>
        <v>0.81818181818181823</v>
      </c>
      <c r="O45" s="44">
        <f t="shared" ca="1" si="4"/>
        <v>5.4444444444444438</v>
      </c>
      <c r="P45" s="53">
        <f t="shared" ca="1" si="6"/>
        <v>5.7361111111111107</v>
      </c>
      <c r="Q45" s="53">
        <f ca="1">IFERROR(DayByDayTable[[#This Row],[Lead Time]],"")</f>
        <v>5.4444444444444438</v>
      </c>
      <c r="R45" s="44">
        <f t="shared" ca="1" si="7"/>
        <v>5.9777777777777779</v>
      </c>
      <c r="S45" s="44">
        <f ca="1">ROUND(PERCENTILE(DayByDayTable[[#Data],[BlankLeadTime]],0.8),0)</f>
        <v>8</v>
      </c>
    </row>
    <row r="46" spans="1:19">
      <c r="A46" s="51">
        <f t="shared" si="2"/>
        <v>42472</v>
      </c>
      <c r="B46" s="11">
        <f t="shared" si="3"/>
        <v>42472</v>
      </c>
      <c r="C46" s="47">
        <f>SUMIFS('On The Board'!$M$5:$M$219,'On The Board'!F$5:F$219,"&lt;="&amp;$B46,'On The Board'!E$5:E$219,"="&amp;FutureWork)</f>
        <v>0</v>
      </c>
      <c r="D46" s="47">
        <f ca="1">IF(TodaysDate&gt;=B46,SUMIF('On The Board'!F$5:F$219,"&lt;="&amp;$B46,'On The Board'!$M$5:$M$219)-SUM(F46:J46),"")</f>
        <v>45</v>
      </c>
      <c r="E46" s="12">
        <f ca="1">IF(TodaysDate&gt;=B46,SUMIF('On The Board'!F$5:F$219,"&lt;="&amp;$B46,'On The Board'!$M$5:$M$219)-SUM(F46:J46),E45)</f>
        <v>45</v>
      </c>
      <c r="F46" s="12">
        <f>SUMIF('On The Board'!G$5:G$219,"&lt;="&amp;$B46,'On The Board'!$M$5:$M$219)-SUM(G46:J46)</f>
        <v>0</v>
      </c>
      <c r="G46" s="12">
        <f>SUMIF('On The Board'!H$5:H$219,"&lt;="&amp;$B46,'On The Board'!$M$5:$M$219)-SUM(H46:J46)</f>
        <v>8</v>
      </c>
      <c r="H46" s="12">
        <f>SUMIF('On The Board'!I$5:I$219,"&lt;="&amp;$B46,'On The Board'!$M$5:$M$219)-SUM(I46,J46)</f>
        <v>0</v>
      </c>
      <c r="I46" s="12">
        <f>SUMIF('On The Board'!J$5:J$219,"&lt;="&amp;$B46,'On The Board'!$M$5:$M$219)-SUM(J46)</f>
        <v>0</v>
      </c>
      <c r="J46" s="12">
        <f>SUMIF('On The Board'!K$5:K$219,"&lt;="&amp;$B46,'On The Board'!$M$5:$M$219)</f>
        <v>36</v>
      </c>
      <c r="K46" s="10">
        <f t="shared" si="0"/>
        <v>44</v>
      </c>
      <c r="L46" s="10">
        <f ca="1">IF(TodaysDate&gt;=B46,SUM(F46:I46),NA())</f>
        <v>8</v>
      </c>
      <c r="M46" s="44">
        <f t="shared" ca="1" si="5"/>
        <v>4.6363636363636367</v>
      </c>
      <c r="N46" s="44">
        <f ca="1">IF(ISNUMBER(M46),(J46-J36)/NETWORKDAYS(B36,B46,BankHolidays),NA())</f>
        <v>0.54545454545454541</v>
      </c>
      <c r="O46" s="44">
        <f t="shared" ca="1" si="4"/>
        <v>8.5000000000000018</v>
      </c>
      <c r="P46" s="53">
        <f t="shared" ca="1" si="6"/>
        <v>5.8724747474747483</v>
      </c>
      <c r="Q46" s="53">
        <f ca="1">IFERROR(DayByDayTable[[#This Row],[Lead Time]],"")</f>
        <v>8.5000000000000018</v>
      </c>
      <c r="R46" s="44">
        <f t="shared" ca="1" si="7"/>
        <v>6.8</v>
      </c>
      <c r="S46" s="44">
        <f ca="1">ROUND(PERCENTILE(DayByDayTable[[#Data],[BlankLeadTime]],0.8),0)</f>
        <v>8</v>
      </c>
    </row>
    <row r="47" spans="1:19">
      <c r="A47" s="51">
        <f t="shared" si="2"/>
        <v>42473</v>
      </c>
      <c r="B47" s="11">
        <f t="shared" si="3"/>
        <v>42473</v>
      </c>
      <c r="C47" s="47">
        <f>SUMIFS('On The Board'!$M$5:$M$219,'On The Board'!F$5:F$219,"&lt;="&amp;$B47,'On The Board'!E$5:E$219,"="&amp;FutureWork)</f>
        <v>0</v>
      </c>
      <c r="D47" s="47">
        <f ca="1">IF(TodaysDate&gt;=B47,SUMIF('On The Board'!F$5:F$219,"&lt;="&amp;$B47,'On The Board'!$M$5:$M$219)-SUM(F47:J47),"")</f>
        <v>45</v>
      </c>
      <c r="E47" s="12">
        <f ca="1">IF(TodaysDate&gt;=B47,SUMIF('On The Board'!F$5:F$219,"&lt;="&amp;$B47,'On The Board'!$M$5:$M$219)-SUM(F47:J47),E46)</f>
        <v>45</v>
      </c>
      <c r="F47" s="12">
        <f>SUMIF('On The Board'!G$5:G$219,"&lt;="&amp;$B47,'On The Board'!$M$5:$M$219)-SUM(G47:J47)</f>
        <v>0</v>
      </c>
      <c r="G47" s="12">
        <f>SUMIF('On The Board'!H$5:H$219,"&lt;="&amp;$B47,'On The Board'!$M$5:$M$219)-SUM(H47:J47)</f>
        <v>7</v>
      </c>
      <c r="H47" s="12">
        <f>SUMIF('On The Board'!I$5:I$219,"&lt;="&amp;$B47,'On The Board'!$M$5:$M$219)-SUM(I47,J47)</f>
        <v>0</v>
      </c>
      <c r="I47" s="12">
        <f>SUMIF('On The Board'!J$5:J$219,"&lt;="&amp;$B47,'On The Board'!$M$5:$M$219)-SUM(J47)</f>
        <v>1</v>
      </c>
      <c r="J47" s="12">
        <f>SUMIF('On The Board'!K$5:K$219,"&lt;="&amp;$B47,'On The Board'!$M$5:$M$219)</f>
        <v>36</v>
      </c>
      <c r="K47" s="10">
        <f t="shared" si="0"/>
        <v>44</v>
      </c>
      <c r="L47" s="10">
        <f ca="1">IF(TodaysDate&gt;=B47,SUM(F47:I47),NA())</f>
        <v>8</v>
      </c>
      <c r="M47" s="44">
        <f t="shared" ca="1" si="5"/>
        <v>5</v>
      </c>
      <c r="N47" s="44">
        <f ca="1">IF(ISNUMBER(M47),(J47-J37)/NETWORKDAYS(B37,B47,BankHolidays),NA())</f>
        <v>0.54545454545454541</v>
      </c>
      <c r="O47" s="44">
        <f t="shared" ca="1" si="4"/>
        <v>9.1666666666666679</v>
      </c>
      <c r="P47" s="53">
        <f t="shared" ca="1" si="6"/>
        <v>6.2512626262626263</v>
      </c>
      <c r="Q47" s="53">
        <f ca="1">IFERROR(DayByDayTable[[#This Row],[Lead Time]],"")</f>
        <v>9.1666666666666679</v>
      </c>
      <c r="R47" s="44">
        <f t="shared" ca="1" si="7"/>
        <v>6.8</v>
      </c>
      <c r="S47" s="44">
        <f ca="1">ROUND(PERCENTILE(DayByDayTable[[#Data],[BlankLeadTime]],0.8),0)</f>
        <v>8</v>
      </c>
    </row>
    <row r="48" spans="1:19">
      <c r="A48" s="51">
        <f t="shared" si="2"/>
        <v>42474</v>
      </c>
      <c r="B48" s="11">
        <f t="shared" si="3"/>
        <v>42474</v>
      </c>
      <c r="C48" s="47">
        <f>SUMIFS('On The Board'!$M$5:$M$219,'On The Board'!F$5:F$219,"&lt;="&amp;$B48,'On The Board'!E$5:E$219,"="&amp;FutureWork)</f>
        <v>0</v>
      </c>
      <c r="D48" s="47">
        <f ca="1">IF(TodaysDate&gt;=B48,SUMIF('On The Board'!F$5:F$219,"&lt;="&amp;$B48,'On The Board'!$M$5:$M$219)-SUM(F48:J48),"")</f>
        <v>45</v>
      </c>
      <c r="E48" s="12">
        <f ca="1">IF(TodaysDate&gt;=B48,SUMIF('On The Board'!F$5:F$219,"&lt;="&amp;$B48,'On The Board'!$M$5:$M$219)-SUM(F48:J48),E47)</f>
        <v>45</v>
      </c>
      <c r="F48" s="12">
        <f>SUMIF('On The Board'!G$5:G$219,"&lt;="&amp;$B48,'On The Board'!$M$5:$M$219)-SUM(G48:J48)</f>
        <v>0</v>
      </c>
      <c r="G48" s="12">
        <f>SUMIF('On The Board'!H$5:H$219,"&lt;="&amp;$B48,'On The Board'!$M$5:$M$219)-SUM(H48:J48)</f>
        <v>9</v>
      </c>
      <c r="H48" s="12">
        <f>SUMIF('On The Board'!I$5:I$219,"&lt;="&amp;$B48,'On The Board'!$M$5:$M$219)-SUM(I48,J48)</f>
        <v>0</v>
      </c>
      <c r="I48" s="12">
        <f>SUMIF('On The Board'!J$5:J$219,"&lt;="&amp;$B48,'On The Board'!$M$5:$M$219)-SUM(J48)</f>
        <v>1</v>
      </c>
      <c r="J48" s="12">
        <f>SUMIF('On The Board'!K$5:K$219,"&lt;="&amp;$B48,'On The Board'!$M$5:$M$219)</f>
        <v>36</v>
      </c>
      <c r="K48" s="10">
        <f t="shared" si="0"/>
        <v>46</v>
      </c>
      <c r="L48" s="10">
        <f ca="1">IF(TodaysDate&gt;=B48,SUM(F48:I48),NA())</f>
        <v>10</v>
      </c>
      <c r="M48" s="44">
        <f t="shared" ca="1" si="5"/>
        <v>5.4545454545454541</v>
      </c>
      <c r="N48" s="44">
        <f ca="1">IF(ISNUMBER(M48),(J48-J38)/NETWORKDAYS(B38,B48,BankHolidays),NA())</f>
        <v>0.54545454545454541</v>
      </c>
      <c r="O48" s="44">
        <f t="shared" ca="1" si="4"/>
        <v>10</v>
      </c>
      <c r="P48" s="53">
        <f t="shared" ca="1" si="6"/>
        <v>6.6351010101010104</v>
      </c>
      <c r="Q48" s="53">
        <f ca="1">IFERROR(DayByDayTable[[#This Row],[Lead Time]],"")</f>
        <v>10</v>
      </c>
      <c r="R48" s="44">
        <f t="shared" ca="1" si="7"/>
        <v>8.2000000000000028</v>
      </c>
      <c r="S48" s="44">
        <f ca="1">ROUND(PERCENTILE(DayByDayTable[[#Data],[BlankLeadTime]],0.8),0)</f>
        <v>8</v>
      </c>
    </row>
    <row r="49" spans="1:19">
      <c r="A49" s="51">
        <f t="shared" si="2"/>
        <v>42475</v>
      </c>
      <c r="B49" s="11">
        <f t="shared" si="3"/>
        <v>42475</v>
      </c>
      <c r="C49" s="47">
        <f>SUMIFS('On The Board'!$M$5:$M$219,'On The Board'!F$5:F$219,"&lt;="&amp;$B49,'On The Board'!E$5:E$219,"="&amp;FutureWork)</f>
        <v>0</v>
      </c>
      <c r="D49" s="47">
        <f ca="1">IF(TodaysDate&gt;=B49,SUMIF('On The Board'!F$5:F$219,"&lt;="&amp;$B49,'On The Board'!$M$5:$M$219)-SUM(F49:J49),"")</f>
        <v>45</v>
      </c>
      <c r="E49" s="12">
        <f ca="1">IF(TodaysDate&gt;=B49,SUMIF('On The Board'!F$5:F$219,"&lt;="&amp;$B49,'On The Board'!$M$5:$M$219)-SUM(F49:J49),E48)</f>
        <v>45</v>
      </c>
      <c r="F49" s="12">
        <f>SUMIF('On The Board'!G$5:G$219,"&lt;="&amp;$B49,'On The Board'!$M$5:$M$219)-SUM(G49:J49)</f>
        <v>0</v>
      </c>
      <c r="G49" s="12">
        <f>SUMIF('On The Board'!H$5:H$219,"&lt;="&amp;$B49,'On The Board'!$M$5:$M$219)-SUM(H49:J49)</f>
        <v>4</v>
      </c>
      <c r="H49" s="12">
        <f>SUMIF('On The Board'!I$5:I$219,"&lt;="&amp;$B49,'On The Board'!$M$5:$M$219)-SUM(I49,J49)</f>
        <v>0</v>
      </c>
      <c r="I49" s="12">
        <f>SUMIF('On The Board'!J$5:J$219,"&lt;="&amp;$B49,'On The Board'!$M$5:$M$219)-SUM(J49)</f>
        <v>1</v>
      </c>
      <c r="J49" s="12">
        <f>SUMIF('On The Board'!K$5:K$219,"&lt;="&amp;$B49,'On The Board'!$M$5:$M$219)</f>
        <v>41</v>
      </c>
      <c r="K49" s="10">
        <f t="shared" si="0"/>
        <v>46</v>
      </c>
      <c r="L49" s="10">
        <f ca="1">IF(TodaysDate&gt;=B49,SUM(F49:I49),NA())</f>
        <v>5</v>
      </c>
      <c r="M49" s="44">
        <f t="shared" ca="1" si="5"/>
        <v>5.4545454545454541</v>
      </c>
      <c r="N49" s="44">
        <f ca="1">IF(ISNUMBER(M49),(J49-J39)/NETWORKDAYS(B39,B49,BankHolidays),NA())</f>
        <v>0.90909090909090906</v>
      </c>
      <c r="O49" s="44">
        <f t="shared" ca="1" si="4"/>
        <v>6</v>
      </c>
      <c r="P49" s="53">
        <f t="shared" ca="1" si="6"/>
        <v>6.6351010101010104</v>
      </c>
      <c r="Q49" s="53">
        <f ca="1">IFERROR(DayByDayTable[[#This Row],[Lead Time]],"")</f>
        <v>6</v>
      </c>
      <c r="R49" s="44">
        <f t="shared" ca="1" si="7"/>
        <v>8.2000000000000028</v>
      </c>
      <c r="S49" s="44">
        <f ca="1">ROUND(PERCENTILE(DayByDayTable[[#Data],[BlankLeadTime]],0.8),0)</f>
        <v>8</v>
      </c>
    </row>
    <row r="50" spans="1:19">
      <c r="A50" s="51">
        <f t="shared" si="2"/>
        <v>42478</v>
      </c>
      <c r="B50" s="11">
        <f t="shared" si="3"/>
        <v>42478</v>
      </c>
      <c r="C50" s="47">
        <f>SUMIFS('On The Board'!$M$5:$M$219,'On The Board'!F$5:F$219,"&lt;="&amp;$B50,'On The Board'!E$5:E$219,"="&amp;FutureWork)</f>
        <v>0</v>
      </c>
      <c r="D50" s="47">
        <f ca="1">IF(TodaysDate&gt;=B50,SUMIF('On The Board'!F$5:F$219,"&lt;="&amp;$B50,'On The Board'!$M$5:$M$219)-SUM(F50:J50),"")</f>
        <v>45</v>
      </c>
      <c r="E50" s="12">
        <f ca="1">IF(TodaysDate&gt;=B50,SUMIF('On The Board'!F$5:F$219,"&lt;="&amp;$B50,'On The Board'!$M$5:$M$219)-SUM(F50:J50),E49)</f>
        <v>45</v>
      </c>
      <c r="F50" s="12">
        <f>SUMIF('On The Board'!G$5:G$219,"&lt;="&amp;$B50,'On The Board'!$M$5:$M$219)-SUM(G50:J50)</f>
        <v>0</v>
      </c>
      <c r="G50" s="12">
        <f>SUMIF('On The Board'!H$5:H$219,"&lt;="&amp;$B50,'On The Board'!$M$5:$M$219)-SUM(H50:J50)</f>
        <v>4</v>
      </c>
      <c r="H50" s="12">
        <f>SUMIF('On The Board'!I$5:I$219,"&lt;="&amp;$B50,'On The Board'!$M$5:$M$219)-SUM(I50,J50)</f>
        <v>0</v>
      </c>
      <c r="I50" s="12">
        <f>SUMIF('On The Board'!J$5:J$219,"&lt;="&amp;$B50,'On The Board'!$M$5:$M$219)-SUM(J50)</f>
        <v>1</v>
      </c>
      <c r="J50" s="12">
        <f>SUMIF('On The Board'!K$5:K$219,"&lt;="&amp;$B50,'On The Board'!$M$5:$M$219)</f>
        <v>41</v>
      </c>
      <c r="K50" s="10">
        <f t="shared" si="0"/>
        <v>46</v>
      </c>
      <c r="L50" s="10">
        <f ca="1">IF(TodaysDate&gt;=B50,SUM(F50:I50),NA())</f>
        <v>5</v>
      </c>
      <c r="M50" s="44">
        <f t="shared" ca="1" si="5"/>
        <v>5.4545454545454541</v>
      </c>
      <c r="N50" s="44">
        <f ca="1">IF(ISNUMBER(M50),(J50-J40)/NETWORKDAYS(B40,B50,BankHolidays),NA())</f>
        <v>0.81818181818181823</v>
      </c>
      <c r="O50" s="44">
        <f t="shared" ca="1" si="4"/>
        <v>6.6666666666666661</v>
      </c>
      <c r="P50" s="53">
        <f t="shared" ca="1" si="6"/>
        <v>6.7058080808080822</v>
      </c>
      <c r="Q50" s="53">
        <f ca="1">IFERROR(DayByDayTable[[#This Row],[Lead Time]],"")</f>
        <v>6.6666666666666661</v>
      </c>
      <c r="R50" s="44">
        <f t="shared" ca="1" si="7"/>
        <v>8.2000000000000028</v>
      </c>
      <c r="S50" s="44">
        <f ca="1">ROUND(PERCENTILE(DayByDayTable[[#Data],[BlankLeadTime]],0.8),0)</f>
        <v>8</v>
      </c>
    </row>
    <row r="51" spans="1:19">
      <c r="A51" s="51">
        <f t="shared" si="2"/>
        <v>42479</v>
      </c>
      <c r="B51" s="11">
        <f t="shared" si="3"/>
        <v>42479</v>
      </c>
      <c r="C51" s="47">
        <f>SUMIFS('On The Board'!$M$5:$M$219,'On The Board'!F$5:F$219,"&lt;="&amp;$B51,'On The Board'!E$5:E$219,"="&amp;FutureWork)</f>
        <v>0</v>
      </c>
      <c r="D51" s="47">
        <f ca="1">IF(TodaysDate&gt;=B51,SUMIF('On The Board'!F$5:F$219,"&lt;="&amp;$B51,'On The Board'!$M$5:$M$219)-SUM(F51:J51),"")</f>
        <v>45</v>
      </c>
      <c r="E51" s="12">
        <f ca="1">IF(TodaysDate&gt;=B51,SUMIF('On The Board'!F$5:F$219,"&lt;="&amp;$B51,'On The Board'!$M$5:$M$219)-SUM(F51:J51),E50)</f>
        <v>45</v>
      </c>
      <c r="F51" s="12">
        <f>SUMIF('On The Board'!G$5:G$219,"&lt;="&amp;$B51,'On The Board'!$M$5:$M$219)-SUM(G51:J51)</f>
        <v>0</v>
      </c>
      <c r="G51" s="12">
        <f>SUMIF('On The Board'!H$5:H$219,"&lt;="&amp;$B51,'On The Board'!$M$5:$M$219)-SUM(H51:J51)</f>
        <v>4</v>
      </c>
      <c r="H51" s="12">
        <f>SUMIF('On The Board'!I$5:I$219,"&lt;="&amp;$B51,'On The Board'!$M$5:$M$219)-SUM(I51,J51)</f>
        <v>0</v>
      </c>
      <c r="I51" s="12">
        <f>SUMIF('On The Board'!J$5:J$219,"&lt;="&amp;$B51,'On The Board'!$M$5:$M$219)-SUM(J51)</f>
        <v>1</v>
      </c>
      <c r="J51" s="12">
        <f>SUMIF('On The Board'!K$5:K$219,"&lt;="&amp;$B51,'On The Board'!$M$5:$M$219)</f>
        <v>41</v>
      </c>
      <c r="K51" s="10">
        <f t="shared" si="0"/>
        <v>46</v>
      </c>
      <c r="L51" s="10">
        <f ca="1">IF(TodaysDate&gt;=B51,SUM(F51:I51),NA())</f>
        <v>5</v>
      </c>
      <c r="M51" s="44">
        <f t="shared" ca="1" si="5"/>
        <v>5.5454545454545459</v>
      </c>
      <c r="N51" s="44">
        <f ca="1">IF(ISNUMBER(M51),(J51-J41)/NETWORKDAYS(B41,B51,BankHolidays),NA())</f>
        <v>0.81818181818181823</v>
      </c>
      <c r="O51" s="44">
        <f t="shared" ca="1" si="4"/>
        <v>6.7777777777777777</v>
      </c>
      <c r="P51" s="53">
        <f t="shared" ca="1" si="6"/>
        <v>6.8583333333333334</v>
      </c>
      <c r="Q51" s="53">
        <f ca="1">IFERROR(DayByDayTable[[#This Row],[Lead Time]],"")</f>
        <v>6.7777777777777777</v>
      </c>
      <c r="R51" s="44">
        <f t="shared" ca="1" si="7"/>
        <v>8.2000000000000028</v>
      </c>
      <c r="S51" s="44">
        <f ca="1">ROUND(PERCENTILE(DayByDayTable[[#Data],[BlankLeadTime]],0.8),0)</f>
        <v>8</v>
      </c>
    </row>
    <row r="52" spans="1:19">
      <c r="A52" s="51">
        <f t="shared" si="2"/>
        <v>42480</v>
      </c>
      <c r="B52" s="11">
        <f t="shared" si="3"/>
        <v>42480</v>
      </c>
      <c r="C52" s="47">
        <f>SUMIFS('On The Board'!$M$5:$M$219,'On The Board'!F$5:F$219,"&lt;="&amp;$B52,'On The Board'!E$5:E$219,"="&amp;FutureWork)</f>
        <v>0</v>
      </c>
      <c r="D52" s="47">
        <f ca="1">IF(TodaysDate&gt;=B52,SUMIF('On The Board'!F$5:F$219,"&lt;="&amp;$B52,'On The Board'!$M$5:$M$219)-SUM(F52:J52),"")</f>
        <v>44</v>
      </c>
      <c r="E52" s="12">
        <f ca="1">IF(TodaysDate&gt;=B52,SUMIF('On The Board'!F$5:F$219,"&lt;="&amp;$B52,'On The Board'!$M$5:$M$219)-SUM(F52:J52),E51)</f>
        <v>44</v>
      </c>
      <c r="F52" s="12">
        <f>SUMIF('On The Board'!G$5:G$219,"&lt;="&amp;$B52,'On The Board'!$M$5:$M$219)-SUM(G52:J52)</f>
        <v>0</v>
      </c>
      <c r="G52" s="12">
        <f>SUMIF('On The Board'!H$5:H$219,"&lt;="&amp;$B52,'On The Board'!$M$5:$M$219)-SUM(H52:J52)</f>
        <v>4</v>
      </c>
      <c r="H52" s="12">
        <f>SUMIF('On The Board'!I$5:I$219,"&lt;="&amp;$B52,'On The Board'!$M$5:$M$219)-SUM(I52,J52)</f>
        <v>0</v>
      </c>
      <c r="I52" s="12">
        <f>SUMIF('On The Board'!J$5:J$219,"&lt;="&amp;$B52,'On The Board'!$M$5:$M$219)-SUM(J52)</f>
        <v>1</v>
      </c>
      <c r="J52" s="12">
        <f>SUMIF('On The Board'!K$5:K$219,"&lt;="&amp;$B52,'On The Board'!$M$5:$M$219)</f>
        <v>42</v>
      </c>
      <c r="K52" s="10">
        <f t="shared" si="0"/>
        <v>47</v>
      </c>
      <c r="L52" s="10">
        <f ca="1">IF(TodaysDate&gt;=B52,SUM(F52:I52),NA())</f>
        <v>5</v>
      </c>
      <c r="M52" s="44">
        <f t="shared" ca="1" si="5"/>
        <v>5.6363636363636367</v>
      </c>
      <c r="N52" s="44">
        <f ca="1">IF(ISNUMBER(M52),(J52-J42)/NETWORKDAYS(B42,B52,BankHolidays),NA())</f>
        <v>0.72727272727272729</v>
      </c>
      <c r="O52" s="44">
        <f t="shared" ca="1" si="4"/>
        <v>7.75</v>
      </c>
      <c r="P52" s="53">
        <f t="shared" ca="1" si="6"/>
        <v>7.1174242424242431</v>
      </c>
      <c r="Q52" s="53">
        <f ca="1">IFERROR(DayByDayTable[[#This Row],[Lead Time]],"")</f>
        <v>7.75</v>
      </c>
      <c r="R52" s="44">
        <f t="shared" ca="1" si="7"/>
        <v>8.3500000000000014</v>
      </c>
      <c r="S52" s="44">
        <f ca="1">ROUND(PERCENTILE(DayByDayTable[[#Data],[BlankLeadTime]],0.8),0)</f>
        <v>8</v>
      </c>
    </row>
    <row r="53" spans="1:19">
      <c r="A53" s="51">
        <f t="shared" si="2"/>
        <v>42481</v>
      </c>
      <c r="B53" s="11">
        <f t="shared" si="3"/>
        <v>42481</v>
      </c>
      <c r="C53" s="47">
        <f>SUMIFS('On The Board'!$M$5:$M$219,'On The Board'!F$5:F$219,"&lt;="&amp;$B53,'On The Board'!E$5:E$219,"="&amp;FutureWork)</f>
        <v>0</v>
      </c>
      <c r="D53" s="47">
        <f ca="1">IF(TodaysDate&gt;=B53,SUMIF('On The Board'!F$5:F$219,"&lt;="&amp;$B53,'On The Board'!$M$5:$M$219)-SUM(F53:J53),"")</f>
        <v>45</v>
      </c>
      <c r="E53" s="12">
        <f ca="1">IF(TodaysDate&gt;=B53,SUMIF('On The Board'!F$5:F$219,"&lt;="&amp;$B53,'On The Board'!$M$5:$M$219)-SUM(F53:J53),E52)</f>
        <v>45</v>
      </c>
      <c r="F53" s="12">
        <f>SUMIF('On The Board'!G$5:G$219,"&lt;="&amp;$B53,'On The Board'!$M$5:$M$219)-SUM(G53:J53)</f>
        <v>0</v>
      </c>
      <c r="G53" s="12">
        <f>SUMIF('On The Board'!H$5:H$219,"&lt;="&amp;$B53,'On The Board'!$M$5:$M$219)-SUM(H53:J53)</f>
        <v>6</v>
      </c>
      <c r="H53" s="12">
        <f>SUMIF('On The Board'!I$5:I$219,"&lt;="&amp;$B53,'On The Board'!$M$5:$M$219)-SUM(I53,J53)</f>
        <v>0</v>
      </c>
      <c r="I53" s="12">
        <f>SUMIF('On The Board'!J$5:J$219,"&lt;="&amp;$B53,'On The Board'!$M$5:$M$219)-SUM(J53)</f>
        <v>0</v>
      </c>
      <c r="J53" s="12">
        <f>SUMIF('On The Board'!K$5:K$219,"&lt;="&amp;$B53,'On The Board'!$M$5:$M$219)</f>
        <v>43</v>
      </c>
      <c r="K53" s="10">
        <f t="shared" si="0"/>
        <v>49</v>
      </c>
      <c r="L53" s="10">
        <f ca="1">IF(TodaysDate&gt;=B53,SUM(F53:I53),NA())</f>
        <v>6</v>
      </c>
      <c r="M53" s="44">
        <f t="shared" ca="1" si="5"/>
        <v>5.9090909090909092</v>
      </c>
      <c r="N53" s="44">
        <f ca="1">IF(ISNUMBER(M53),(J53-J43)/NETWORKDAYS(B43,B53,BankHolidays),NA())</f>
        <v>0.81818181818181823</v>
      </c>
      <c r="O53" s="44">
        <f t="shared" ca="1" si="4"/>
        <v>7.2222222222222214</v>
      </c>
      <c r="P53" s="53">
        <f t="shared" ca="1" si="6"/>
        <v>7.3093434343434334</v>
      </c>
      <c r="Q53" s="53">
        <f ca="1">IFERROR(DayByDayTable[[#This Row],[Lead Time]],"")</f>
        <v>7.2222222222222214</v>
      </c>
      <c r="R53" s="44">
        <f t="shared" ca="1" si="7"/>
        <v>8.3500000000000014</v>
      </c>
      <c r="S53" s="44">
        <f ca="1">ROUND(PERCENTILE(DayByDayTable[[#Data],[BlankLeadTime]],0.8),0)</f>
        <v>8</v>
      </c>
    </row>
    <row r="54" spans="1:19">
      <c r="A54" s="51">
        <f t="shared" si="2"/>
        <v>42482</v>
      </c>
      <c r="B54" s="11">
        <f t="shared" si="3"/>
        <v>42482</v>
      </c>
      <c r="C54" s="47">
        <f>SUMIFS('On The Board'!$M$5:$M$219,'On The Board'!F$5:F$219,"&lt;="&amp;$B54,'On The Board'!E$5:E$219,"="&amp;FutureWork)</f>
        <v>0</v>
      </c>
      <c r="D54" s="47">
        <f ca="1">IF(TodaysDate&gt;=B54,SUMIF('On The Board'!F$5:F$219,"&lt;="&amp;$B54,'On The Board'!$M$5:$M$219)-SUM(F54:J54),"")</f>
        <v>44</v>
      </c>
      <c r="E54" s="12">
        <f ca="1">IF(TodaysDate&gt;=B54,SUMIF('On The Board'!F$5:F$219,"&lt;="&amp;$B54,'On The Board'!$M$5:$M$219)-SUM(F54:J54),E53)</f>
        <v>44</v>
      </c>
      <c r="F54" s="12">
        <f>SUMIF('On The Board'!G$5:G$219,"&lt;="&amp;$B54,'On The Board'!$M$5:$M$219)-SUM(G54:J54)</f>
        <v>0</v>
      </c>
      <c r="G54" s="12">
        <f>SUMIF('On The Board'!H$5:H$219,"&lt;="&amp;$B54,'On The Board'!$M$5:$M$219)-SUM(H54:J54)</f>
        <v>4</v>
      </c>
      <c r="H54" s="12">
        <f>SUMIF('On The Board'!I$5:I$219,"&lt;="&amp;$B54,'On The Board'!$M$5:$M$219)-SUM(I54,J54)</f>
        <v>0</v>
      </c>
      <c r="I54" s="12">
        <f>SUMIF('On The Board'!J$5:J$219,"&lt;="&amp;$B54,'On The Board'!$M$5:$M$219)-SUM(J54)</f>
        <v>0</v>
      </c>
      <c r="J54" s="12">
        <f>SUMIF('On The Board'!K$5:K$219,"&lt;="&amp;$B54,'On The Board'!$M$5:$M$219)</f>
        <v>48</v>
      </c>
      <c r="K54" s="10">
        <f t="shared" si="0"/>
        <v>52</v>
      </c>
      <c r="L54" s="10">
        <f ca="1">IF(TodaysDate&gt;=B54,SUM(F54:I54),NA())</f>
        <v>4</v>
      </c>
      <c r="M54" s="44">
        <f t="shared" ca="1" si="5"/>
        <v>5.9090909090909092</v>
      </c>
      <c r="N54" s="44">
        <f ca="1">IF(ISNUMBER(M54),(J54-J44)/NETWORKDAYS(B44,B54,BankHolidays),NA())</f>
        <v>1.2727272727272727</v>
      </c>
      <c r="O54" s="44">
        <f t="shared" ca="1" si="4"/>
        <v>4.6428571428571432</v>
      </c>
      <c r="P54" s="53">
        <f t="shared" ca="1" si="6"/>
        <v>7.1973304473304465</v>
      </c>
      <c r="Q54" s="53">
        <f ca="1">IFERROR(DayByDayTable[[#This Row],[Lead Time]],"")</f>
        <v>4.6428571428571432</v>
      </c>
      <c r="R54" s="44">
        <f t="shared" ca="1" si="7"/>
        <v>8.3500000000000014</v>
      </c>
      <c r="S54" s="44">
        <f ca="1">ROUND(PERCENTILE(DayByDayTable[[#Data],[BlankLeadTime]],0.8),0)</f>
        <v>8</v>
      </c>
    </row>
    <row r="55" spans="1:19">
      <c r="A55" s="51">
        <f t="shared" si="2"/>
        <v>42485</v>
      </c>
      <c r="B55" s="11">
        <f t="shared" si="3"/>
        <v>42485</v>
      </c>
      <c r="C55" s="47">
        <f>SUMIFS('On The Board'!$M$5:$M$219,'On The Board'!F$5:F$219,"&lt;="&amp;$B55,'On The Board'!E$5:E$219,"="&amp;FutureWork)</f>
        <v>0</v>
      </c>
      <c r="D55" s="47">
        <f ca="1">IF(TodaysDate&gt;=B55,SUMIF('On The Board'!F$5:F$219,"&lt;="&amp;$B55,'On The Board'!$M$5:$M$219)-SUM(F55:J55),"")</f>
        <v>44</v>
      </c>
      <c r="E55" s="12">
        <f ca="1">IF(TodaysDate&gt;=B55,SUMIF('On The Board'!F$5:F$219,"&lt;="&amp;$B55,'On The Board'!$M$5:$M$219)-SUM(F55:J55),E54)</f>
        <v>44</v>
      </c>
      <c r="F55" s="12">
        <f>SUMIF('On The Board'!G$5:G$219,"&lt;="&amp;$B55,'On The Board'!$M$5:$M$219)-SUM(G55:J55)</f>
        <v>0</v>
      </c>
      <c r="G55" s="12">
        <f>SUMIF('On The Board'!H$5:H$219,"&lt;="&amp;$B55,'On The Board'!$M$5:$M$219)-SUM(H55:J55)</f>
        <v>4</v>
      </c>
      <c r="H55" s="12">
        <f>SUMIF('On The Board'!I$5:I$219,"&lt;="&amp;$B55,'On The Board'!$M$5:$M$219)-SUM(I55,J55)</f>
        <v>0</v>
      </c>
      <c r="I55" s="12">
        <f>SUMIF('On The Board'!J$5:J$219,"&lt;="&amp;$B55,'On The Board'!$M$5:$M$219)-SUM(J55)</f>
        <v>0</v>
      </c>
      <c r="J55" s="12">
        <f>SUMIF('On The Board'!K$5:K$219,"&lt;="&amp;$B55,'On The Board'!$M$5:$M$219)</f>
        <v>48</v>
      </c>
      <c r="K55" s="10">
        <f t="shared" si="0"/>
        <v>52</v>
      </c>
      <c r="L55" s="10">
        <f ca="1">IF(TodaysDate&gt;=B55,SUM(F55:I55),NA())</f>
        <v>4</v>
      </c>
      <c r="M55" s="44">
        <f t="shared" ca="1" si="5"/>
        <v>5.9090909090909092</v>
      </c>
      <c r="N55" s="44">
        <f ca="1">IF(ISNUMBER(M55),(J55-J45)/NETWORKDAYS(B45,B55,BankHolidays),NA())</f>
        <v>1.0909090909090908</v>
      </c>
      <c r="O55" s="44">
        <f t="shared" ca="1" si="4"/>
        <v>5.416666666666667</v>
      </c>
      <c r="P55" s="53">
        <f t="shared" ca="1" si="6"/>
        <v>7.0533910533910529</v>
      </c>
      <c r="Q55" s="53">
        <f ca="1">IFERROR(DayByDayTable[[#This Row],[Lead Time]],"")</f>
        <v>5.416666666666667</v>
      </c>
      <c r="R55" s="44">
        <f t="shared" ca="1" si="7"/>
        <v>8.3500000000000014</v>
      </c>
      <c r="S55" s="44">
        <f ca="1">ROUND(PERCENTILE(DayByDayTable[[#Data],[BlankLeadTime]],0.8),0)</f>
        <v>8</v>
      </c>
    </row>
    <row r="56" spans="1:19">
      <c r="A56" s="51">
        <f t="shared" si="2"/>
        <v>42486</v>
      </c>
      <c r="B56" s="11">
        <f t="shared" si="3"/>
        <v>42486</v>
      </c>
      <c r="C56" s="47">
        <f>SUMIFS('On The Board'!$M$5:$M$219,'On The Board'!F$5:F$219,"&lt;="&amp;$B56,'On The Board'!E$5:E$219,"="&amp;FutureWork)</f>
        <v>0</v>
      </c>
      <c r="D56" s="47">
        <f ca="1">IF(TodaysDate&gt;=B56,SUMIF('On The Board'!F$5:F$219,"&lt;="&amp;$B56,'On The Board'!$M$5:$M$219)-SUM(F56:J56),"")</f>
        <v>44</v>
      </c>
      <c r="E56" s="12">
        <f ca="1">IF(TodaysDate&gt;=B56,SUMIF('On The Board'!F$5:F$219,"&lt;="&amp;$B56,'On The Board'!$M$5:$M$219)-SUM(F56:J56),E55)</f>
        <v>44</v>
      </c>
      <c r="F56" s="12">
        <f>SUMIF('On The Board'!G$5:G$219,"&lt;="&amp;$B56,'On The Board'!$M$5:$M$219)-SUM(G56:J56)</f>
        <v>0</v>
      </c>
      <c r="G56" s="12">
        <f>SUMIF('On The Board'!H$5:H$219,"&lt;="&amp;$B56,'On The Board'!$M$5:$M$219)-SUM(H56:J56)</f>
        <v>4</v>
      </c>
      <c r="H56" s="12">
        <f>SUMIF('On The Board'!I$5:I$219,"&lt;="&amp;$B56,'On The Board'!$M$5:$M$219)-SUM(I56,J56)</f>
        <v>0</v>
      </c>
      <c r="I56" s="12">
        <f>SUMIF('On The Board'!J$5:J$219,"&lt;="&amp;$B56,'On The Board'!$M$5:$M$219)-SUM(J56)</f>
        <v>0</v>
      </c>
      <c r="J56" s="12">
        <f>SUMIF('On The Board'!K$5:K$219,"&lt;="&amp;$B56,'On The Board'!$M$5:$M$219)</f>
        <v>49</v>
      </c>
      <c r="K56" s="10">
        <f t="shared" si="0"/>
        <v>53</v>
      </c>
      <c r="L56" s="10">
        <f ca="1">IF(TodaysDate&gt;=B56,SUM(F56:I56),NA())</f>
        <v>4</v>
      </c>
      <c r="M56" s="44">
        <f t="shared" ca="1" si="5"/>
        <v>5.8181818181818183</v>
      </c>
      <c r="N56" s="44">
        <f ca="1">IF(ISNUMBER(M56),(J56-J46)/NETWORKDAYS(B46,B56,BankHolidays),NA())</f>
        <v>1.1818181818181819</v>
      </c>
      <c r="O56" s="44">
        <f t="shared" ca="1" si="4"/>
        <v>4.9230769230769234</v>
      </c>
      <c r="P56" s="53">
        <f t="shared" ca="1" si="6"/>
        <v>7.0059940059940065</v>
      </c>
      <c r="Q56" s="53">
        <f ca="1">IFERROR(DayByDayTable[[#This Row],[Lead Time]],"")</f>
        <v>4.9230769230769234</v>
      </c>
      <c r="R56" s="44">
        <f t="shared" ca="1" si="7"/>
        <v>8.3500000000000014</v>
      </c>
      <c r="S56" s="44">
        <f ca="1">ROUND(PERCENTILE(DayByDayTable[[#Data],[BlankLeadTime]],0.8),0)</f>
        <v>8</v>
      </c>
    </row>
    <row r="57" spans="1:19">
      <c r="A57" s="51">
        <f t="shared" si="2"/>
        <v>42487</v>
      </c>
      <c r="B57" s="11">
        <f t="shared" si="3"/>
        <v>42487</v>
      </c>
      <c r="C57" s="47">
        <f>SUMIFS('On The Board'!$M$5:$M$219,'On The Board'!F$5:F$219,"&lt;="&amp;$B57,'On The Board'!E$5:E$219,"="&amp;FutureWork)</f>
        <v>0</v>
      </c>
      <c r="D57" s="47">
        <f ca="1">IF(TodaysDate&gt;=B57,SUMIF('On The Board'!F$5:F$219,"&lt;="&amp;$B57,'On The Board'!$M$5:$M$219)-SUM(F57:J57),"")</f>
        <v>44</v>
      </c>
      <c r="E57" s="12">
        <f ca="1">IF(TodaysDate&gt;=B57,SUMIF('On The Board'!F$5:F$219,"&lt;="&amp;$B57,'On The Board'!$M$5:$M$219)-SUM(F57:J57),E56)</f>
        <v>44</v>
      </c>
      <c r="F57" s="12">
        <f>SUMIF('On The Board'!G$5:G$219,"&lt;="&amp;$B57,'On The Board'!$M$5:$M$219)-SUM(G57:J57)</f>
        <v>0</v>
      </c>
      <c r="G57" s="12">
        <f>SUMIF('On The Board'!H$5:H$219,"&lt;="&amp;$B57,'On The Board'!$M$5:$M$219)-SUM(H57:J57)</f>
        <v>6</v>
      </c>
      <c r="H57" s="12">
        <f>SUMIF('On The Board'!I$5:I$219,"&lt;="&amp;$B57,'On The Board'!$M$5:$M$219)-SUM(I57,J57)</f>
        <v>0</v>
      </c>
      <c r="I57" s="12">
        <f>SUMIF('On The Board'!J$5:J$219,"&lt;="&amp;$B57,'On The Board'!$M$5:$M$219)-SUM(J57)</f>
        <v>0</v>
      </c>
      <c r="J57" s="12">
        <f>SUMIF('On The Board'!K$5:K$219,"&lt;="&amp;$B57,'On The Board'!$M$5:$M$219)</f>
        <v>49</v>
      </c>
      <c r="K57" s="10">
        <f t="shared" si="0"/>
        <v>55</v>
      </c>
      <c r="L57" s="10">
        <f ca="1">IF(TodaysDate&gt;=B57,SUM(F57:I57),NA())</f>
        <v>6</v>
      </c>
      <c r="M57" s="44">
        <f t="shared" ca="1" si="5"/>
        <v>5.6363636363636367</v>
      </c>
      <c r="N57" s="44">
        <f ca="1">IF(ISNUMBER(M57),(J57-J47)/NETWORKDAYS(B47,B57,BankHolidays),NA())</f>
        <v>1.1818181818181819</v>
      </c>
      <c r="O57" s="44">
        <f t="shared" ca="1" si="4"/>
        <v>4.7692307692307692</v>
      </c>
      <c r="P57" s="53">
        <f t="shared" ca="1" si="6"/>
        <v>6.6668331668331682</v>
      </c>
      <c r="Q57" s="53">
        <f ca="1">IFERROR(DayByDayTable[[#This Row],[Lead Time]],"")</f>
        <v>4.7692307692307692</v>
      </c>
      <c r="R57" s="44">
        <f t="shared" ca="1" si="7"/>
        <v>8.3500000000000014</v>
      </c>
      <c r="S57" s="44">
        <f ca="1">ROUND(PERCENTILE(DayByDayTable[[#Data],[BlankLeadTime]],0.8),0)</f>
        <v>8</v>
      </c>
    </row>
    <row r="58" spans="1:19">
      <c r="A58" s="51">
        <f t="shared" si="2"/>
        <v>42488</v>
      </c>
      <c r="B58" s="11">
        <f t="shared" si="3"/>
        <v>42488</v>
      </c>
      <c r="C58" s="47">
        <f>SUMIFS('On The Board'!$M$5:$M$219,'On The Board'!F$5:F$219,"&lt;="&amp;$B58,'On The Board'!E$5:E$219,"="&amp;FutureWork)</f>
        <v>0</v>
      </c>
      <c r="D58" s="47">
        <f ca="1">IF(TodaysDate&gt;=B58,SUMIF('On The Board'!F$5:F$219,"&lt;="&amp;$B58,'On The Board'!$M$5:$M$219)-SUM(F58:J58),"")</f>
        <v>44</v>
      </c>
      <c r="E58" s="12">
        <f ca="1">IF(TodaysDate&gt;=B58,SUMIF('On The Board'!F$5:F$219,"&lt;="&amp;$B58,'On The Board'!$M$5:$M$219)-SUM(F58:J58),E57)</f>
        <v>44</v>
      </c>
      <c r="F58" s="12">
        <f>SUMIF('On The Board'!G$5:G$219,"&lt;="&amp;$B58,'On The Board'!$M$5:$M$219)-SUM(G58:J58)</f>
        <v>0</v>
      </c>
      <c r="G58" s="12">
        <f>SUMIF('On The Board'!H$5:H$219,"&lt;="&amp;$B58,'On The Board'!$M$5:$M$219)-SUM(H58:J58)</f>
        <v>6</v>
      </c>
      <c r="H58" s="12">
        <f>SUMIF('On The Board'!I$5:I$219,"&lt;="&amp;$B58,'On The Board'!$M$5:$M$219)-SUM(I58,J58)</f>
        <v>0</v>
      </c>
      <c r="I58" s="12">
        <f>SUMIF('On The Board'!J$5:J$219,"&lt;="&amp;$B58,'On The Board'!$M$5:$M$219)-SUM(J58)</f>
        <v>0</v>
      </c>
      <c r="J58" s="12">
        <f>SUMIF('On The Board'!K$5:K$219,"&lt;="&amp;$B58,'On The Board'!$M$5:$M$219)</f>
        <v>50</v>
      </c>
      <c r="K58" s="10">
        <f t="shared" si="0"/>
        <v>56</v>
      </c>
      <c r="L58" s="10">
        <f ca="1">IF(TodaysDate&gt;=B58,SUM(F58:I58),NA())</f>
        <v>6</v>
      </c>
      <c r="M58" s="44">
        <f t="shared" ca="1" si="5"/>
        <v>5.4545454545454541</v>
      </c>
      <c r="N58" s="44">
        <f ca="1">IF(ISNUMBER(M58),(J58-J48)/NETWORKDAYS(B48,B58,BankHolidays),NA())</f>
        <v>1.2727272727272727</v>
      </c>
      <c r="O58" s="44">
        <f t="shared" ca="1" si="4"/>
        <v>4.2857142857142856</v>
      </c>
      <c r="P58" s="53">
        <f t="shared" ca="1" si="6"/>
        <v>6.2231102231102247</v>
      </c>
      <c r="Q58" s="53">
        <f ca="1">IFERROR(DayByDayTable[[#This Row],[Lead Time]],"")</f>
        <v>4.2857142857142856</v>
      </c>
      <c r="R58" s="44">
        <f t="shared" ca="1" si="7"/>
        <v>7.6444444444444448</v>
      </c>
      <c r="S58" s="44">
        <f ca="1">ROUND(PERCENTILE(DayByDayTable[[#Data],[BlankLeadTime]],0.8),0)</f>
        <v>8</v>
      </c>
    </row>
    <row r="59" spans="1:19">
      <c r="A59" s="51">
        <f t="shared" si="2"/>
        <v>42489</v>
      </c>
      <c r="B59" s="11">
        <f t="shared" si="3"/>
        <v>42489</v>
      </c>
      <c r="C59" s="47">
        <f>SUMIFS('On The Board'!$M$5:$M$219,'On The Board'!F$5:F$219,"&lt;="&amp;$B59,'On The Board'!E$5:E$219,"="&amp;FutureWork)</f>
        <v>0</v>
      </c>
      <c r="D59" s="47">
        <f ca="1">IF(TodaysDate&gt;=B59,SUMIF('On The Board'!F$5:F$219,"&lt;="&amp;$B59,'On The Board'!$M$5:$M$219)-SUM(F59:J59),"")</f>
        <v>44</v>
      </c>
      <c r="E59" s="12">
        <f ca="1">IF(TodaysDate&gt;=B59,SUMIF('On The Board'!F$5:F$219,"&lt;="&amp;$B59,'On The Board'!$M$5:$M$219)-SUM(F59:J59),E58)</f>
        <v>44</v>
      </c>
      <c r="F59" s="12">
        <f>SUMIF('On The Board'!G$5:G$219,"&lt;="&amp;$B59,'On The Board'!$M$5:$M$219)-SUM(G59:J59)</f>
        <v>0</v>
      </c>
      <c r="G59" s="12">
        <f>SUMIF('On The Board'!H$5:H$219,"&lt;="&amp;$B59,'On The Board'!$M$5:$M$219)-SUM(H59:J59)</f>
        <v>6</v>
      </c>
      <c r="H59" s="12">
        <f>SUMIF('On The Board'!I$5:I$219,"&lt;="&amp;$B59,'On The Board'!$M$5:$M$219)-SUM(I59,J59)</f>
        <v>0</v>
      </c>
      <c r="I59" s="12">
        <f>SUMIF('On The Board'!J$5:J$219,"&lt;="&amp;$B59,'On The Board'!$M$5:$M$219)-SUM(J59)</f>
        <v>0</v>
      </c>
      <c r="J59" s="12">
        <f>SUMIF('On The Board'!K$5:K$219,"&lt;="&amp;$B59,'On The Board'!$M$5:$M$219)</f>
        <v>50</v>
      </c>
      <c r="K59" s="10">
        <f t="shared" si="0"/>
        <v>56</v>
      </c>
      <c r="L59" s="10">
        <f ca="1">IF(TodaysDate&gt;=B59,SUM(F59:I59),NA())</f>
        <v>6</v>
      </c>
      <c r="M59" s="44">
        <f t="shared" ca="1" si="5"/>
        <v>5.0909090909090908</v>
      </c>
      <c r="N59" s="44">
        <f ca="1">IF(ISNUMBER(M59),(J59-J49)/NETWORKDAYS(B49,B59,BankHolidays),NA())</f>
        <v>0.81818181818181823</v>
      </c>
      <c r="O59" s="44">
        <f t="shared" ca="1" si="4"/>
        <v>6.2222222222222214</v>
      </c>
      <c r="P59" s="53">
        <f t="shared" ca="1" si="6"/>
        <v>5.8796758796758786</v>
      </c>
      <c r="Q59" s="53">
        <f ca="1">IFERROR(DayByDayTable[[#This Row],[Lead Time]],"")</f>
        <v>6.2222222222222214</v>
      </c>
      <c r="R59" s="44">
        <f t="shared" ca="1" si="7"/>
        <v>7.1333333333333329</v>
      </c>
      <c r="S59" s="44">
        <f ca="1">ROUND(PERCENTILE(DayByDayTable[[#Data],[BlankLeadTime]],0.8),0)</f>
        <v>8</v>
      </c>
    </row>
    <row r="60" spans="1:19">
      <c r="A60" s="51">
        <f t="shared" si="2"/>
        <v>42493</v>
      </c>
      <c r="B60" s="11">
        <f t="shared" si="3"/>
        <v>42493</v>
      </c>
      <c r="C60" s="47">
        <f>SUMIFS('On The Board'!$M$5:$M$219,'On The Board'!F$5:F$219,"&lt;="&amp;$B60,'On The Board'!E$5:E$219,"="&amp;FutureWork)</f>
        <v>0</v>
      </c>
      <c r="D60" s="47">
        <f ca="1">IF(TodaysDate&gt;=B60,SUMIF('On The Board'!F$5:F$219,"&lt;="&amp;$B60,'On The Board'!$M$5:$M$219)-SUM(F60:J60),"")</f>
        <v>44</v>
      </c>
      <c r="E60" s="12">
        <f ca="1">IF(TodaysDate&gt;=B60,SUMIF('On The Board'!F$5:F$219,"&lt;="&amp;$B60,'On The Board'!$M$5:$M$219)-SUM(F60:J60),E59)</f>
        <v>44</v>
      </c>
      <c r="F60" s="12">
        <f>SUMIF('On The Board'!G$5:G$219,"&lt;="&amp;$B60,'On The Board'!$M$5:$M$219)-SUM(G60:J60)</f>
        <v>0</v>
      </c>
      <c r="G60" s="12">
        <f>SUMIF('On The Board'!H$5:H$219,"&lt;="&amp;$B60,'On The Board'!$M$5:$M$219)-SUM(H60:J60)</f>
        <v>6</v>
      </c>
      <c r="H60" s="12">
        <f>SUMIF('On The Board'!I$5:I$219,"&lt;="&amp;$B60,'On The Board'!$M$5:$M$219)-SUM(I60,J60)</f>
        <v>0</v>
      </c>
      <c r="I60" s="12">
        <f>SUMIF('On The Board'!J$5:J$219,"&lt;="&amp;$B60,'On The Board'!$M$5:$M$219)-SUM(J60)</f>
        <v>0</v>
      </c>
      <c r="J60" s="12">
        <f>SUMIF('On The Board'!K$5:K$219,"&lt;="&amp;$B60,'On The Board'!$M$5:$M$219)</f>
        <v>50</v>
      </c>
      <c r="K60" s="10">
        <f t="shared" si="0"/>
        <v>56</v>
      </c>
      <c r="L60" s="10">
        <f ca="1">IF(TodaysDate&gt;=B60,SUM(F60:I60),NA())</f>
        <v>6</v>
      </c>
      <c r="M60" s="44">
        <f t="shared" ca="1" si="5"/>
        <v>5.1818181818181817</v>
      </c>
      <c r="N60" s="44">
        <f ca="1">IF(ISNUMBER(M60),(J60-J50)/NETWORKDAYS(B50,B60,BankHolidays),NA())</f>
        <v>0.81818181818181823</v>
      </c>
      <c r="O60" s="44">
        <f t="shared" ca="1" si="4"/>
        <v>6.333333333333333</v>
      </c>
      <c r="P60" s="53">
        <f t="shared" ca="1" si="6"/>
        <v>5.9099789099789097</v>
      </c>
      <c r="Q60" s="53">
        <f ca="1">IFERROR(DayByDayTable[[#This Row],[Lead Time]],"")</f>
        <v>6.333333333333333</v>
      </c>
      <c r="R60" s="44">
        <f t="shared" ca="1" si="7"/>
        <v>6.7555555555555555</v>
      </c>
      <c r="S60" s="44">
        <f ca="1">ROUND(PERCENTILE(DayByDayTable[[#Data],[BlankLeadTime]],0.8),0)</f>
        <v>8</v>
      </c>
    </row>
    <row r="61" spans="1:19">
      <c r="A61" s="51">
        <f t="shared" si="2"/>
        <v>42494</v>
      </c>
      <c r="B61" s="11">
        <f t="shared" si="3"/>
        <v>42494</v>
      </c>
      <c r="C61" s="47">
        <f>SUMIFS('On The Board'!$M$5:$M$219,'On The Board'!F$5:F$219,"&lt;="&amp;$B61,'On The Board'!E$5:E$219,"="&amp;FutureWork)</f>
        <v>0</v>
      </c>
      <c r="D61" s="47">
        <f ca="1">IF(TodaysDate&gt;=B61,SUMIF('On The Board'!F$5:F$219,"&lt;="&amp;$B61,'On The Board'!$M$5:$M$219)-SUM(F61:J61),"")</f>
        <v>44</v>
      </c>
      <c r="E61" s="12">
        <f ca="1">IF(TodaysDate&gt;=B61,SUMIF('On The Board'!F$5:F$219,"&lt;="&amp;$B61,'On The Board'!$M$5:$M$219)-SUM(F61:J61),E60)</f>
        <v>44</v>
      </c>
      <c r="F61" s="12">
        <f>SUMIF('On The Board'!G$5:G$219,"&lt;="&amp;$B61,'On The Board'!$M$5:$M$219)-SUM(G61:J61)</f>
        <v>0</v>
      </c>
      <c r="G61" s="12">
        <f>SUMIF('On The Board'!H$5:H$219,"&lt;="&amp;$B61,'On The Board'!$M$5:$M$219)-SUM(H61:J61)</f>
        <v>7</v>
      </c>
      <c r="H61" s="12">
        <f>SUMIF('On The Board'!I$5:I$219,"&lt;="&amp;$B61,'On The Board'!$M$5:$M$219)-SUM(I61,J61)</f>
        <v>0</v>
      </c>
      <c r="I61" s="12">
        <f>SUMIF('On The Board'!J$5:J$219,"&lt;="&amp;$B61,'On The Board'!$M$5:$M$219)-SUM(J61)</f>
        <v>0</v>
      </c>
      <c r="J61" s="12">
        <f>SUMIF('On The Board'!K$5:K$219,"&lt;="&amp;$B61,'On The Board'!$M$5:$M$219)</f>
        <v>50</v>
      </c>
      <c r="K61" s="10">
        <f t="shared" si="0"/>
        <v>57</v>
      </c>
      <c r="L61" s="10">
        <f ca="1">IF(TodaysDate&gt;=B61,SUM(F61:I61),NA())</f>
        <v>7</v>
      </c>
      <c r="M61" s="44">
        <f t="shared" ca="1" si="5"/>
        <v>5.3636363636363633</v>
      </c>
      <c r="N61" s="44">
        <f ca="1">IF(ISNUMBER(M61),(J61-J51)/NETWORKDAYS(B51,B61,BankHolidays),NA())</f>
        <v>0.81818181818181823</v>
      </c>
      <c r="O61" s="44">
        <f t="shared" ca="1" si="4"/>
        <v>6.5555555555555545</v>
      </c>
      <c r="P61" s="53">
        <f t="shared" ca="1" si="6"/>
        <v>5.8998778998778993</v>
      </c>
      <c r="Q61" s="53">
        <f ca="1">IFERROR(DayByDayTable[[#This Row],[Lead Time]],"")</f>
        <v>6.5555555555555545</v>
      </c>
      <c r="R61" s="44">
        <f t="shared" ca="1" si="7"/>
        <v>6.7555555555555555</v>
      </c>
      <c r="S61" s="44">
        <f ca="1">ROUND(PERCENTILE(DayByDayTable[[#Data],[BlankLeadTime]],0.8),0)</f>
        <v>8</v>
      </c>
    </row>
    <row r="62" spans="1:19">
      <c r="A62" s="51">
        <f t="shared" si="2"/>
        <v>42495</v>
      </c>
      <c r="B62" s="11">
        <f t="shared" si="3"/>
        <v>42495</v>
      </c>
      <c r="C62" s="47">
        <f>SUMIFS('On The Board'!$M$5:$M$219,'On The Board'!F$5:F$219,"&lt;="&amp;$B62,'On The Board'!E$5:E$219,"="&amp;FutureWork)</f>
        <v>0</v>
      </c>
      <c r="D62" s="47">
        <f ca="1">IF(TodaysDate&gt;=B62,SUMIF('On The Board'!F$5:F$219,"&lt;="&amp;$B62,'On The Board'!$M$5:$M$219)-SUM(F62:J62),"")</f>
        <v>44</v>
      </c>
      <c r="E62" s="12">
        <f ca="1">IF(TodaysDate&gt;=B62,SUMIF('On The Board'!F$5:F$219,"&lt;="&amp;$B62,'On The Board'!$M$5:$M$219)-SUM(F62:J62),E61)</f>
        <v>44</v>
      </c>
      <c r="F62" s="12">
        <f>SUMIF('On The Board'!G$5:G$219,"&lt;="&amp;$B62,'On The Board'!$M$5:$M$219)-SUM(G62:J62)</f>
        <v>0</v>
      </c>
      <c r="G62" s="12">
        <f>SUMIF('On The Board'!H$5:H$219,"&lt;="&amp;$B62,'On The Board'!$M$5:$M$219)-SUM(H62:J62)</f>
        <v>8</v>
      </c>
      <c r="H62" s="12">
        <f>SUMIF('On The Board'!I$5:I$219,"&lt;="&amp;$B62,'On The Board'!$M$5:$M$219)-SUM(I62,J62)</f>
        <v>0</v>
      </c>
      <c r="I62" s="12">
        <f>SUMIF('On The Board'!J$5:J$219,"&lt;="&amp;$B62,'On The Board'!$M$5:$M$219)-SUM(J62)</f>
        <v>0</v>
      </c>
      <c r="J62" s="12">
        <f>SUMIF('On The Board'!K$5:K$219,"&lt;="&amp;$B62,'On The Board'!$M$5:$M$219)</f>
        <v>50</v>
      </c>
      <c r="K62" s="10">
        <f t="shared" si="0"/>
        <v>58</v>
      </c>
      <c r="L62" s="10">
        <f ca="1">IF(TodaysDate&gt;=B62,SUM(F62:I62),NA())</f>
        <v>8</v>
      </c>
      <c r="M62" s="44">
        <f t="shared" ca="1" si="5"/>
        <v>5.6363636363636367</v>
      </c>
      <c r="N62" s="44">
        <f ca="1">IF(ISNUMBER(M62),(J62-J52)/NETWORKDAYS(B52,B62,BankHolidays),NA())</f>
        <v>0.72727272727272729</v>
      </c>
      <c r="O62" s="44">
        <f t="shared" ca="1" si="4"/>
        <v>7.75</v>
      </c>
      <c r="P62" s="53">
        <f t="shared" ca="1" si="6"/>
        <v>5.9882617382617385</v>
      </c>
      <c r="Q62" s="53">
        <f ca="1">IFERROR(DayByDayTable[[#This Row],[Lead Time]],"")</f>
        <v>7.75</v>
      </c>
      <c r="R62" s="44">
        <f t="shared" ca="1" si="7"/>
        <v>7.1333333333333329</v>
      </c>
      <c r="S62" s="44">
        <f ca="1">ROUND(PERCENTILE(DayByDayTable[[#Data],[BlankLeadTime]],0.8),0)</f>
        <v>8</v>
      </c>
    </row>
    <row r="63" spans="1:19">
      <c r="A63" s="51">
        <f t="shared" si="2"/>
        <v>42496</v>
      </c>
      <c r="B63" s="11">
        <f t="shared" si="3"/>
        <v>42496</v>
      </c>
      <c r="C63" s="47">
        <f>SUMIFS('On The Board'!$M$5:$M$219,'On The Board'!F$5:F$219,"&lt;="&amp;$B63,'On The Board'!E$5:E$219,"="&amp;FutureWork)</f>
        <v>0</v>
      </c>
      <c r="D63" s="47">
        <f ca="1">IF(TodaysDate&gt;=B63,SUMIF('On The Board'!F$5:F$219,"&lt;="&amp;$B63,'On The Board'!$M$5:$M$219)-SUM(F63:J63),"")</f>
        <v>44</v>
      </c>
      <c r="E63" s="12">
        <f ca="1">IF(TodaysDate&gt;=B63,SUMIF('On The Board'!F$5:F$219,"&lt;="&amp;$B63,'On The Board'!$M$5:$M$219)-SUM(F63:J63),E62)</f>
        <v>44</v>
      </c>
      <c r="F63" s="12">
        <f>SUMIF('On The Board'!G$5:G$219,"&lt;="&amp;$B63,'On The Board'!$M$5:$M$219)-SUM(G63:J63)</f>
        <v>0</v>
      </c>
      <c r="G63" s="12">
        <f>SUMIF('On The Board'!H$5:H$219,"&lt;="&amp;$B63,'On The Board'!$M$5:$M$219)-SUM(H63:J63)</f>
        <v>4</v>
      </c>
      <c r="H63" s="12">
        <f>SUMIF('On The Board'!I$5:I$219,"&lt;="&amp;$B63,'On The Board'!$M$5:$M$219)-SUM(I63,J63)</f>
        <v>0</v>
      </c>
      <c r="I63" s="12">
        <f>SUMIF('On The Board'!J$5:J$219,"&lt;="&amp;$B63,'On The Board'!$M$5:$M$219)-SUM(J63)</f>
        <v>0</v>
      </c>
      <c r="J63" s="12">
        <f>SUMIF('On The Board'!K$5:K$219,"&lt;="&amp;$B63,'On The Board'!$M$5:$M$219)</f>
        <v>54</v>
      </c>
      <c r="K63" s="10">
        <f t="shared" si="0"/>
        <v>58</v>
      </c>
      <c r="L63" s="10">
        <f ca="1">IF(TodaysDate&gt;=B63,SUM(F63:I63),NA())</f>
        <v>4</v>
      </c>
      <c r="M63" s="44">
        <f t="shared" ca="1" si="5"/>
        <v>5.5454545454545459</v>
      </c>
      <c r="N63" s="44">
        <f ca="1">IF(ISNUMBER(M63),(J63-J53)/NETWORKDAYS(B53,B63,BankHolidays),NA())</f>
        <v>1</v>
      </c>
      <c r="O63" s="44">
        <f t="shared" ca="1" si="4"/>
        <v>5.5454545454545459</v>
      </c>
      <c r="P63" s="53">
        <f t="shared" ca="1" si="6"/>
        <v>5.7878485151212429</v>
      </c>
      <c r="Q63" s="53">
        <f ca="1">IFERROR(DayByDayTable[[#This Row],[Lead Time]],"")</f>
        <v>5.5454545454545459</v>
      </c>
      <c r="R63" s="44">
        <f t="shared" ca="1" si="7"/>
        <v>7.0888888888888886</v>
      </c>
      <c r="S63" s="44">
        <f ca="1">ROUND(PERCENTILE(DayByDayTable[[#Data],[BlankLeadTime]],0.8),0)</f>
        <v>8</v>
      </c>
    </row>
    <row r="64" spans="1:19">
      <c r="A64" s="51">
        <f t="shared" si="2"/>
        <v>42499</v>
      </c>
      <c r="B64" s="11">
        <f t="shared" si="3"/>
        <v>42499</v>
      </c>
      <c r="C64" s="47">
        <f>SUMIFS('On The Board'!$M$5:$M$219,'On The Board'!F$5:F$219,"&lt;="&amp;$B64,'On The Board'!E$5:E$219,"="&amp;FutureWork)</f>
        <v>0</v>
      </c>
      <c r="D64" s="47">
        <f ca="1">IF(TodaysDate&gt;=B64,SUMIF('On The Board'!F$5:F$219,"&lt;="&amp;$B64,'On The Board'!$M$5:$M$219)-SUM(F64:J64),"")</f>
        <v>49</v>
      </c>
      <c r="E64" s="12">
        <f ca="1">IF(TodaysDate&gt;=B64,SUMIF('On The Board'!F$5:F$219,"&lt;="&amp;$B64,'On The Board'!$M$5:$M$219)-SUM(F64:J64),E63)</f>
        <v>49</v>
      </c>
      <c r="F64" s="12">
        <f>SUMIF('On The Board'!G$5:G$219,"&lt;="&amp;$B64,'On The Board'!$M$5:$M$219)-SUM(G64:J64)</f>
        <v>0</v>
      </c>
      <c r="G64" s="12">
        <f>SUMIF('On The Board'!H$5:H$219,"&lt;="&amp;$B64,'On The Board'!$M$5:$M$219)-SUM(H64:J64)</f>
        <v>2</v>
      </c>
      <c r="H64" s="12">
        <f>SUMIF('On The Board'!I$5:I$219,"&lt;="&amp;$B64,'On The Board'!$M$5:$M$219)-SUM(I64,J64)</f>
        <v>0</v>
      </c>
      <c r="I64" s="12">
        <f>SUMIF('On The Board'!J$5:J$219,"&lt;="&amp;$B64,'On The Board'!$M$5:$M$219)-SUM(J64)</f>
        <v>0</v>
      </c>
      <c r="J64" s="12">
        <f>SUMIF('On The Board'!K$5:K$219,"&lt;="&amp;$B64,'On The Board'!$M$5:$M$219)</f>
        <v>56</v>
      </c>
      <c r="K64" s="10">
        <f t="shared" si="0"/>
        <v>58</v>
      </c>
      <c r="L64" s="10">
        <f ca="1">IF(TodaysDate&gt;=B64,SUM(F64:I64),NA())</f>
        <v>2</v>
      </c>
      <c r="M64" s="44">
        <f t="shared" ca="1" si="5"/>
        <v>5.1818181818181817</v>
      </c>
      <c r="N64" s="44">
        <f ca="1">IF(ISNUMBER(M64),(J64-J54)/NETWORKDAYS(B54,B64,BankHolidays),NA())</f>
        <v>0.72727272727272729</v>
      </c>
      <c r="O64" s="44">
        <f t="shared" ca="1" si="4"/>
        <v>7.125</v>
      </c>
      <c r="P64" s="53">
        <f t="shared" ca="1" si="6"/>
        <v>5.7790101312828588</v>
      </c>
      <c r="Q64" s="53">
        <f ca="1">IFERROR(DayByDayTable[[#This Row],[Lead Time]],"")</f>
        <v>7.125</v>
      </c>
      <c r="R64" s="44">
        <f t="shared" ca="1" si="7"/>
        <v>7.0111111111111111</v>
      </c>
      <c r="S64" s="44">
        <f ca="1">ROUND(PERCENTILE(DayByDayTable[[#Data],[BlankLeadTime]],0.8),0)</f>
        <v>8</v>
      </c>
    </row>
    <row r="65" spans="1:19">
      <c r="A65" s="51">
        <f t="shared" si="2"/>
        <v>42500</v>
      </c>
      <c r="B65" s="11">
        <f t="shared" si="3"/>
        <v>42500</v>
      </c>
      <c r="C65" s="47">
        <f>SUMIFS('On The Board'!$M$5:$M$219,'On The Board'!F$5:F$219,"&lt;="&amp;$B65,'On The Board'!E$5:E$219,"="&amp;FutureWork)</f>
        <v>0</v>
      </c>
      <c r="D65" s="47">
        <f ca="1">IF(TodaysDate&gt;=B65,SUMIF('On The Board'!F$5:F$219,"&lt;="&amp;$B65,'On The Board'!$M$5:$M$219)-SUM(F65:J65),"")</f>
        <v>48</v>
      </c>
      <c r="E65" s="12">
        <f ca="1">IF(TodaysDate&gt;=B65,SUMIF('On The Board'!F$5:F$219,"&lt;="&amp;$B65,'On The Board'!$M$5:$M$219)-SUM(F65:J65),E64)</f>
        <v>48</v>
      </c>
      <c r="F65" s="12">
        <f>SUMIF('On The Board'!G$5:G$219,"&lt;="&amp;$B65,'On The Board'!$M$5:$M$219)-SUM(G65:J65)</f>
        <v>0</v>
      </c>
      <c r="G65" s="12">
        <f>SUMIF('On The Board'!H$5:H$219,"&lt;="&amp;$B65,'On The Board'!$M$5:$M$219)-SUM(H65:J65)</f>
        <v>5</v>
      </c>
      <c r="H65" s="12">
        <f>SUMIF('On The Board'!I$5:I$219,"&lt;="&amp;$B65,'On The Board'!$M$5:$M$219)-SUM(I65,J65)</f>
        <v>0</v>
      </c>
      <c r="I65" s="12">
        <f>SUMIF('On The Board'!J$5:J$219,"&lt;="&amp;$B65,'On The Board'!$M$5:$M$219)-SUM(J65)</f>
        <v>0</v>
      </c>
      <c r="J65" s="12">
        <f>SUMIF('On The Board'!K$5:K$219,"&lt;="&amp;$B65,'On The Board'!$M$5:$M$219)</f>
        <v>56</v>
      </c>
      <c r="K65" s="10">
        <f t="shared" si="0"/>
        <v>61</v>
      </c>
      <c r="L65" s="10">
        <f ca="1">IF(TodaysDate&gt;=B65,SUM(F65:I65),NA())</f>
        <v>5</v>
      </c>
      <c r="M65" s="44">
        <f t="shared" ca="1" si="5"/>
        <v>5.2727272727272725</v>
      </c>
      <c r="N65" s="44">
        <f ca="1">IF(ISNUMBER(M65),(J65-J55)/NETWORKDAYS(B55,B65,BankHolidays),NA())</f>
        <v>0.72727272727272729</v>
      </c>
      <c r="O65" s="44">
        <f t="shared" ca="1" si="4"/>
        <v>7.2499999999999991</v>
      </c>
      <c r="P65" s="53">
        <f t="shared" ca="1" si="6"/>
        <v>6.0160231182958457</v>
      </c>
      <c r="Q65" s="53">
        <f ca="1">IFERROR(DayByDayTable[[#This Row],[Lead Time]],"")</f>
        <v>7.2499999999999991</v>
      </c>
      <c r="R65" s="44">
        <f t="shared" ca="1" si="7"/>
        <v>7.0111111111111111</v>
      </c>
      <c r="S65" s="44">
        <f ca="1">ROUND(PERCENTILE(DayByDayTable[[#Data],[BlankLeadTime]],0.8),0)</f>
        <v>8</v>
      </c>
    </row>
    <row r="66" spans="1:19">
      <c r="A66" s="51">
        <f t="shared" ref="A66:A129" si="8">B66</f>
        <v>42501</v>
      </c>
      <c r="B66" s="11">
        <f t="shared" si="3"/>
        <v>42501</v>
      </c>
      <c r="C66" s="47">
        <f>SUMIFS('On The Board'!$M$5:$M$219,'On The Board'!F$5:F$219,"&lt;="&amp;$B66,'On The Board'!E$5:E$219,"="&amp;FutureWork)</f>
        <v>0</v>
      </c>
      <c r="D66" s="47">
        <f ca="1">IF(TodaysDate&gt;=B66,SUMIF('On The Board'!F$5:F$219,"&lt;="&amp;$B66,'On The Board'!$M$5:$M$219)-SUM(F66:J66),"")</f>
        <v>47</v>
      </c>
      <c r="E66" s="12">
        <f ca="1">IF(TodaysDate&gt;=B66,SUMIF('On The Board'!F$5:F$219,"&lt;="&amp;$B66,'On The Board'!$M$5:$M$219)-SUM(F66:J66),E65)</f>
        <v>47</v>
      </c>
      <c r="F66" s="12">
        <f>SUMIF('On The Board'!G$5:G$219,"&lt;="&amp;$B66,'On The Board'!$M$5:$M$219)-SUM(G66:J66)</f>
        <v>0</v>
      </c>
      <c r="G66" s="12">
        <f>SUMIF('On The Board'!H$5:H$219,"&lt;="&amp;$B66,'On The Board'!$M$5:$M$219)-SUM(H66:J66)</f>
        <v>6</v>
      </c>
      <c r="H66" s="12">
        <f>SUMIF('On The Board'!I$5:I$219,"&lt;="&amp;$B66,'On The Board'!$M$5:$M$219)-SUM(I66,J66)</f>
        <v>0</v>
      </c>
      <c r="I66" s="12">
        <f>SUMIF('On The Board'!J$5:J$219,"&lt;="&amp;$B66,'On The Board'!$M$5:$M$219)-SUM(J66)</f>
        <v>0</v>
      </c>
      <c r="J66" s="12">
        <f>SUMIF('On The Board'!K$5:K$219,"&lt;="&amp;$B66,'On The Board'!$M$5:$M$219)</f>
        <v>59</v>
      </c>
      <c r="K66" s="10">
        <f t="shared" ref="K66:K129" si="9">SUM(F66:J66)</f>
        <v>65</v>
      </c>
      <c r="L66" s="10">
        <f ca="1">IF(TodaysDate&gt;=B66,SUM(F66:I66),NA())</f>
        <v>6</v>
      </c>
      <c r="M66" s="44">
        <f t="shared" ca="1" si="5"/>
        <v>5.4545454545454541</v>
      </c>
      <c r="N66" s="44">
        <f ca="1">IF(ISNUMBER(M66),(J66-J56)/NETWORKDAYS(B56,B66,BankHolidays),NA())</f>
        <v>0.90909090909090906</v>
      </c>
      <c r="O66" s="44">
        <f t="shared" ca="1" si="4"/>
        <v>6</v>
      </c>
      <c r="P66" s="53">
        <f t="shared" ca="1" si="6"/>
        <v>6.0690534213261484</v>
      </c>
      <c r="Q66" s="53">
        <f ca="1">IFERROR(DayByDayTable[[#This Row],[Lead Time]],"")</f>
        <v>6</v>
      </c>
      <c r="R66" s="44">
        <f t="shared" ca="1" si="7"/>
        <v>7.0111111111111111</v>
      </c>
      <c r="S66" s="44">
        <f ca="1">ROUND(PERCENTILE(DayByDayTable[[#Data],[BlankLeadTime]],0.8),0)</f>
        <v>8</v>
      </c>
    </row>
    <row r="67" spans="1:19">
      <c r="A67" s="51">
        <f t="shared" si="8"/>
        <v>42502</v>
      </c>
      <c r="B67" s="11">
        <f t="shared" ref="B67:B130" si="10">IF(NETWORKDAYS(B66,B66+1,BankHolidays)=2,B66+1,IF(NETWORKDAYS(B66,B66+2,BankHolidays)=2,B66+2,IF(NETWORKDAYS(B66,B66+3,BankHolidays)=2,B66+3,IF(NETWORKDAYS(B66,B66+4,BankHolidays)=2,B66+4,IF(NETWORKDAYS(B66,B66+5,BankHolidays)=2,B66+5,NA())))))</f>
        <v>42502</v>
      </c>
      <c r="C67" s="47">
        <f>SUMIFS('On The Board'!$M$5:$M$219,'On The Board'!F$5:F$219,"&lt;="&amp;$B67,'On The Board'!E$5:E$219,"="&amp;FutureWork)</f>
        <v>0</v>
      </c>
      <c r="D67" s="47">
        <f ca="1">IF(TodaysDate&gt;=B67,SUMIF('On The Board'!F$5:F$219,"&lt;="&amp;$B67,'On The Board'!$M$5:$M$219)-SUM(F67:J67),"")</f>
        <v>47</v>
      </c>
      <c r="E67" s="12">
        <f ca="1">IF(TodaysDate&gt;=B67,SUMIF('On The Board'!F$5:F$219,"&lt;="&amp;$B67,'On The Board'!$M$5:$M$219)-SUM(F67:J67),E66)</f>
        <v>47</v>
      </c>
      <c r="F67" s="12">
        <f>SUMIF('On The Board'!G$5:G$219,"&lt;="&amp;$B67,'On The Board'!$M$5:$M$219)-SUM(G67:J67)</f>
        <v>0</v>
      </c>
      <c r="G67" s="12">
        <f>SUMIF('On The Board'!H$5:H$219,"&lt;="&amp;$B67,'On The Board'!$M$5:$M$219)-SUM(H67:J67)</f>
        <v>6</v>
      </c>
      <c r="H67" s="12">
        <f>SUMIF('On The Board'!I$5:I$219,"&lt;="&amp;$B67,'On The Board'!$M$5:$M$219)-SUM(I67,J67)</f>
        <v>0</v>
      </c>
      <c r="I67" s="12">
        <f>SUMIF('On The Board'!J$5:J$219,"&lt;="&amp;$B67,'On The Board'!$M$5:$M$219)-SUM(J67)</f>
        <v>0</v>
      </c>
      <c r="J67" s="12">
        <f>SUMIF('On The Board'!K$5:K$219,"&lt;="&amp;$B67,'On The Board'!$M$5:$M$219)</f>
        <v>60</v>
      </c>
      <c r="K67" s="10">
        <f t="shared" si="9"/>
        <v>66</v>
      </c>
      <c r="L67" s="10">
        <f ca="1">IF(TodaysDate&gt;=B67,SUM(F67:I67),NA())</f>
        <v>6</v>
      </c>
      <c r="M67" s="44">
        <f t="shared" ca="1" si="5"/>
        <v>5.6363636363636367</v>
      </c>
      <c r="N67" s="44">
        <f ca="1">IF(ISNUMBER(M67),(J67-J57)/NETWORKDAYS(B57,B67,BankHolidays),NA())</f>
        <v>1</v>
      </c>
      <c r="O67" s="44">
        <f t="shared" ref="O67:O130" ca="1" si="11">IF(N67&gt;0,M67/N67,NA())</f>
        <v>5.6363636363636367</v>
      </c>
      <c r="P67" s="53">
        <f t="shared" ca="1" si="6"/>
        <v>6.1338976679885775</v>
      </c>
      <c r="Q67" s="53">
        <f ca="1">IFERROR(DayByDayTable[[#This Row],[Lead Time]],"")</f>
        <v>5.6363636363636367</v>
      </c>
      <c r="R67" s="44">
        <f t="shared" ca="1" si="7"/>
        <v>7.0111111111111111</v>
      </c>
      <c r="S67" s="44">
        <f ca="1">ROUND(PERCENTILE(DayByDayTable[[#Data],[BlankLeadTime]],0.8),0)</f>
        <v>8</v>
      </c>
    </row>
    <row r="68" spans="1:19">
      <c r="A68" s="51">
        <f t="shared" si="8"/>
        <v>42503</v>
      </c>
      <c r="B68" s="11">
        <f t="shared" si="10"/>
        <v>42503</v>
      </c>
      <c r="C68" s="47">
        <f>SUMIFS('On The Board'!$M$5:$M$219,'On The Board'!F$5:F$219,"&lt;="&amp;$B68,'On The Board'!E$5:E$219,"="&amp;FutureWork)</f>
        <v>0</v>
      </c>
      <c r="D68" s="47">
        <f ca="1">IF(TodaysDate&gt;=B68,SUMIF('On The Board'!F$5:F$219,"&lt;="&amp;$B68,'On The Board'!$M$5:$M$219)-SUM(F68:J68),"")</f>
        <v>48</v>
      </c>
      <c r="E68" s="12">
        <f ca="1">IF(TodaysDate&gt;=B68,SUMIF('On The Board'!F$5:F$219,"&lt;="&amp;$B68,'On The Board'!$M$5:$M$219)-SUM(F68:J68),E67)</f>
        <v>48</v>
      </c>
      <c r="F68" s="12">
        <f>SUMIF('On The Board'!G$5:G$219,"&lt;="&amp;$B68,'On The Board'!$M$5:$M$219)-SUM(G68:J68)</f>
        <v>0</v>
      </c>
      <c r="G68" s="12">
        <f>SUMIF('On The Board'!H$5:H$219,"&lt;="&amp;$B68,'On The Board'!$M$5:$M$219)-SUM(H68:J68)</f>
        <v>5</v>
      </c>
      <c r="H68" s="12">
        <f>SUMIF('On The Board'!I$5:I$219,"&lt;="&amp;$B68,'On The Board'!$M$5:$M$219)-SUM(I68,J68)</f>
        <v>1</v>
      </c>
      <c r="I68" s="12">
        <f>SUMIF('On The Board'!J$5:J$219,"&lt;="&amp;$B68,'On The Board'!$M$5:$M$219)-SUM(J68)</f>
        <v>0</v>
      </c>
      <c r="J68" s="12">
        <f>SUMIF('On The Board'!K$5:K$219,"&lt;="&amp;$B68,'On The Board'!$M$5:$M$219)</f>
        <v>60</v>
      </c>
      <c r="K68" s="10">
        <f t="shared" si="9"/>
        <v>66</v>
      </c>
      <c r="L68" s="10">
        <f ca="1">IF(TodaysDate&gt;=B68,SUM(F68:I68),NA())</f>
        <v>6</v>
      </c>
      <c r="M68" s="44">
        <f t="shared" ca="1" si="5"/>
        <v>5.6363636363636367</v>
      </c>
      <c r="N68" s="44">
        <f ca="1">IF(ISNUMBER(M68),(J68-J58)/NETWORKDAYS(B58,B68,BankHolidays),NA())</f>
        <v>0.90909090909090906</v>
      </c>
      <c r="O68" s="44">
        <f t="shared" ca="1" si="11"/>
        <v>6.2</v>
      </c>
      <c r="P68" s="53">
        <f t="shared" ca="1" si="6"/>
        <v>6.2639675980585077</v>
      </c>
      <c r="Q68" s="53">
        <f ca="1">IFERROR(DayByDayTable[[#This Row],[Lead Time]],"")</f>
        <v>6.2</v>
      </c>
      <c r="R68" s="44">
        <f t="shared" ca="1" si="7"/>
        <v>7.0111111111111111</v>
      </c>
      <c r="S68" s="44">
        <f ca="1">ROUND(PERCENTILE(DayByDayTable[[#Data],[BlankLeadTime]],0.8),0)</f>
        <v>8</v>
      </c>
    </row>
    <row r="69" spans="1:19">
      <c r="A69" s="51">
        <f t="shared" si="8"/>
        <v>42506</v>
      </c>
      <c r="B69" s="11">
        <f t="shared" si="10"/>
        <v>42506</v>
      </c>
      <c r="C69" s="47">
        <f>SUMIFS('On The Board'!$M$5:$M$219,'On The Board'!F$5:F$219,"&lt;="&amp;$B69,'On The Board'!E$5:E$219,"="&amp;FutureWork)</f>
        <v>0</v>
      </c>
      <c r="D69" s="47">
        <f ca="1">IF(TodaysDate&gt;=B69,SUMIF('On The Board'!F$5:F$219,"&lt;="&amp;$B69,'On The Board'!$M$5:$M$219)-SUM(F69:J69),"")</f>
        <v>47</v>
      </c>
      <c r="E69" s="12">
        <f ca="1">IF(TodaysDate&gt;=B69,SUMIF('On The Board'!F$5:F$219,"&lt;="&amp;$B69,'On The Board'!$M$5:$M$219)-SUM(F69:J69),E68)</f>
        <v>47</v>
      </c>
      <c r="F69" s="12">
        <f>SUMIF('On The Board'!G$5:G$219,"&lt;="&amp;$B69,'On The Board'!$M$5:$M$219)-SUM(G69:J69)</f>
        <v>0</v>
      </c>
      <c r="G69" s="12">
        <f>SUMIF('On The Board'!H$5:H$219,"&lt;="&amp;$B69,'On The Board'!$M$5:$M$219)-SUM(H69:J69)</f>
        <v>6</v>
      </c>
      <c r="H69" s="12">
        <f>SUMIF('On The Board'!I$5:I$219,"&lt;="&amp;$B69,'On The Board'!$M$5:$M$219)-SUM(I69,J69)</f>
        <v>2</v>
      </c>
      <c r="I69" s="12">
        <f>SUMIF('On The Board'!J$5:J$219,"&lt;="&amp;$B69,'On The Board'!$M$5:$M$219)-SUM(J69)</f>
        <v>0</v>
      </c>
      <c r="J69" s="12">
        <f>SUMIF('On The Board'!K$5:K$219,"&lt;="&amp;$B69,'On The Board'!$M$5:$M$219)</f>
        <v>60</v>
      </c>
      <c r="K69" s="10">
        <f t="shared" si="9"/>
        <v>68</v>
      </c>
      <c r="L69" s="10">
        <f ca="1">IF(TodaysDate&gt;=B69,SUM(F69:I69),NA())</f>
        <v>8</v>
      </c>
      <c r="M69" s="44">
        <f t="shared" ca="1" si="5"/>
        <v>5.8181818181818183</v>
      </c>
      <c r="N69" s="44">
        <f ca="1">IF(ISNUMBER(M69),(J69-J59)/NETWORKDAYS(B59,B69,BankHolidays),NA())</f>
        <v>0.90909090909090906</v>
      </c>
      <c r="O69" s="44">
        <f t="shared" ca="1" si="11"/>
        <v>6.4</v>
      </c>
      <c r="P69" s="53">
        <f t="shared" ca="1" si="6"/>
        <v>6.4561753902662993</v>
      </c>
      <c r="Q69" s="53">
        <f ca="1">IFERROR(DayByDayTable[[#This Row],[Lead Time]],"")</f>
        <v>6.4</v>
      </c>
      <c r="R69" s="44">
        <f t="shared" ca="1" si="7"/>
        <v>7.0111111111111111</v>
      </c>
      <c r="S69" s="44">
        <f ca="1">ROUND(PERCENTILE(DayByDayTable[[#Data],[BlankLeadTime]],0.8),0)</f>
        <v>8</v>
      </c>
    </row>
    <row r="70" spans="1:19">
      <c r="A70" s="51">
        <f t="shared" si="8"/>
        <v>42507</v>
      </c>
      <c r="B70" s="11">
        <f t="shared" si="10"/>
        <v>42507</v>
      </c>
      <c r="C70" s="47">
        <f>SUMIFS('On The Board'!$M$5:$M$219,'On The Board'!F$5:F$219,"&lt;="&amp;$B70,'On The Board'!E$5:E$219,"="&amp;FutureWork)</f>
        <v>0</v>
      </c>
      <c r="D70" s="47">
        <f ca="1">IF(TodaysDate&gt;=B70,SUMIF('On The Board'!F$5:F$219,"&lt;="&amp;$B70,'On The Board'!$M$5:$M$219)-SUM(F70:J70),"")</f>
        <v>47</v>
      </c>
      <c r="E70" s="12">
        <f ca="1">IF(TodaysDate&gt;=B70,SUMIF('On The Board'!F$5:F$219,"&lt;="&amp;$B70,'On The Board'!$M$5:$M$219)-SUM(F70:J70),E69)</f>
        <v>47</v>
      </c>
      <c r="F70" s="12">
        <f>SUMIF('On The Board'!G$5:G$219,"&lt;="&amp;$B70,'On The Board'!$M$5:$M$219)-SUM(G70:J70)</f>
        <v>0</v>
      </c>
      <c r="G70" s="12">
        <f>SUMIF('On The Board'!H$5:H$219,"&lt;="&amp;$B70,'On The Board'!$M$5:$M$219)-SUM(H70:J70)</f>
        <v>7</v>
      </c>
      <c r="H70" s="12">
        <f>SUMIF('On The Board'!I$5:I$219,"&lt;="&amp;$B70,'On The Board'!$M$5:$M$219)-SUM(I70,J70)</f>
        <v>1</v>
      </c>
      <c r="I70" s="12">
        <f>SUMIF('On The Board'!J$5:J$219,"&lt;="&amp;$B70,'On The Board'!$M$5:$M$219)-SUM(J70)</f>
        <v>0</v>
      </c>
      <c r="J70" s="12">
        <f>SUMIF('On The Board'!K$5:K$219,"&lt;="&amp;$B70,'On The Board'!$M$5:$M$219)</f>
        <v>61</v>
      </c>
      <c r="K70" s="10">
        <f t="shared" si="9"/>
        <v>69</v>
      </c>
      <c r="L70" s="10">
        <f ca="1">IF(TodaysDate&gt;=B70,SUM(F70:I70),NA())</f>
        <v>8</v>
      </c>
      <c r="M70" s="44">
        <f t="shared" ca="1" si="5"/>
        <v>6</v>
      </c>
      <c r="N70" s="44">
        <f ca="1">IF(ISNUMBER(M70),(J70-J60)/NETWORKDAYS(B60,B70,BankHolidays),NA())</f>
        <v>1</v>
      </c>
      <c r="O70" s="44">
        <f t="shared" ca="1" si="11"/>
        <v>6</v>
      </c>
      <c r="P70" s="53">
        <f t="shared" ca="1" si="6"/>
        <v>6.4359733700642803</v>
      </c>
      <c r="Q70" s="53">
        <f ca="1">IFERROR(DayByDayTable[[#This Row],[Lead Time]],"")</f>
        <v>6</v>
      </c>
      <c r="R70" s="44">
        <f t="shared" ca="1" si="7"/>
        <v>7.0111111111111111</v>
      </c>
      <c r="S70" s="44">
        <f ca="1">ROUND(PERCENTILE(DayByDayTable[[#Data],[BlankLeadTime]],0.8),0)</f>
        <v>8</v>
      </c>
    </row>
    <row r="71" spans="1:19">
      <c r="A71" s="51">
        <f t="shared" si="8"/>
        <v>42508</v>
      </c>
      <c r="B71" s="11">
        <f t="shared" si="10"/>
        <v>42508</v>
      </c>
      <c r="C71" s="47">
        <f>SUMIFS('On The Board'!$M$5:$M$219,'On The Board'!F$5:F$219,"&lt;="&amp;$B71,'On The Board'!E$5:E$219,"="&amp;FutureWork)</f>
        <v>0</v>
      </c>
      <c r="D71" s="47">
        <f ca="1">IF(TodaysDate&gt;=B71,SUMIF('On The Board'!F$5:F$219,"&lt;="&amp;$B71,'On The Board'!$M$5:$M$219)-SUM(F71:J71),"")</f>
        <v>47</v>
      </c>
      <c r="E71" s="12">
        <f ca="1">IF(TodaysDate&gt;=B71,SUMIF('On The Board'!F$5:F$219,"&lt;="&amp;$B71,'On The Board'!$M$5:$M$219)-SUM(F71:J71),E70)</f>
        <v>47</v>
      </c>
      <c r="F71" s="12">
        <f>SUMIF('On The Board'!G$5:G$219,"&lt;="&amp;$B71,'On The Board'!$M$5:$M$219)-SUM(G71:J71)</f>
        <v>0</v>
      </c>
      <c r="G71" s="12">
        <f>SUMIF('On The Board'!H$5:H$219,"&lt;="&amp;$B71,'On The Board'!$M$5:$M$219)-SUM(H71:J71)</f>
        <v>7</v>
      </c>
      <c r="H71" s="12">
        <f>SUMIF('On The Board'!I$5:I$219,"&lt;="&amp;$B71,'On The Board'!$M$5:$M$219)-SUM(I71,J71)</f>
        <v>1</v>
      </c>
      <c r="I71" s="12">
        <f>SUMIF('On The Board'!J$5:J$219,"&lt;="&amp;$B71,'On The Board'!$M$5:$M$219)-SUM(J71)</f>
        <v>0</v>
      </c>
      <c r="J71" s="12">
        <f>SUMIF('On The Board'!K$5:K$219,"&lt;="&amp;$B71,'On The Board'!$M$5:$M$219)</f>
        <v>61</v>
      </c>
      <c r="K71" s="10">
        <f t="shared" si="9"/>
        <v>69</v>
      </c>
      <c r="L71" s="10">
        <f ca="1">IF(TodaysDate&gt;=B71,SUM(F71:I71),NA())</f>
        <v>8</v>
      </c>
      <c r="M71" s="44">
        <f t="shared" ca="1" si="5"/>
        <v>6.1818181818181817</v>
      </c>
      <c r="N71" s="44">
        <f ca="1">IF(ISNUMBER(M71),(J71-J61)/NETWORKDAYS(B61,B71,BankHolidays),NA())</f>
        <v>1</v>
      </c>
      <c r="O71" s="44">
        <f t="shared" ca="1" si="11"/>
        <v>6.1818181818181817</v>
      </c>
      <c r="P71" s="53">
        <f t="shared" ca="1" si="6"/>
        <v>6.4221992653810824</v>
      </c>
      <c r="Q71" s="53">
        <f ca="1">IFERROR(DayByDayTable[[#This Row],[Lead Time]],"")</f>
        <v>6.1818181818181817</v>
      </c>
      <c r="R71" s="44">
        <f t="shared" ca="1" si="7"/>
        <v>7.0111111111111111</v>
      </c>
      <c r="S71" s="44">
        <f ca="1">ROUND(PERCENTILE(DayByDayTable[[#Data],[BlankLeadTime]],0.8),0)</f>
        <v>8</v>
      </c>
    </row>
    <row r="72" spans="1:19">
      <c r="A72" s="51">
        <f t="shared" si="8"/>
        <v>42509</v>
      </c>
      <c r="B72" s="11">
        <f t="shared" si="10"/>
        <v>42509</v>
      </c>
      <c r="C72" s="47">
        <f>SUMIFS('On The Board'!$M$5:$M$219,'On The Board'!F$5:F$219,"&lt;="&amp;$B72,'On The Board'!E$5:E$219,"="&amp;FutureWork)</f>
        <v>0</v>
      </c>
      <c r="D72" s="47">
        <f ca="1">IF(TodaysDate&gt;=B72,SUMIF('On The Board'!F$5:F$219,"&lt;="&amp;$B72,'On The Board'!$M$5:$M$219)-SUM(F72:J72),"")</f>
        <v>47</v>
      </c>
      <c r="E72" s="12">
        <f ca="1">IF(TodaysDate&gt;=B72,SUMIF('On The Board'!F$5:F$219,"&lt;="&amp;$B72,'On The Board'!$M$5:$M$219)-SUM(F72:J72),E71)</f>
        <v>47</v>
      </c>
      <c r="F72" s="12">
        <f>SUMIF('On The Board'!G$5:G$219,"&lt;="&amp;$B72,'On The Board'!$M$5:$M$219)-SUM(G72:J72)</f>
        <v>0</v>
      </c>
      <c r="G72" s="12">
        <f>SUMIF('On The Board'!H$5:H$219,"&lt;="&amp;$B72,'On The Board'!$M$5:$M$219)-SUM(H72:J72)</f>
        <v>7</v>
      </c>
      <c r="H72" s="12">
        <f>SUMIF('On The Board'!I$5:I$219,"&lt;="&amp;$B72,'On The Board'!$M$5:$M$219)-SUM(I72,J72)</f>
        <v>0</v>
      </c>
      <c r="I72" s="12">
        <f>SUMIF('On The Board'!J$5:J$219,"&lt;="&amp;$B72,'On The Board'!$M$5:$M$219)-SUM(J72)</f>
        <v>0</v>
      </c>
      <c r="J72" s="12">
        <f>SUMIF('On The Board'!K$5:K$219,"&lt;="&amp;$B72,'On The Board'!$M$5:$M$219)</f>
        <v>62</v>
      </c>
      <c r="K72" s="10">
        <f t="shared" si="9"/>
        <v>69</v>
      </c>
      <c r="L72" s="10">
        <f ca="1">IF(TodaysDate&gt;=B72,SUM(F72:I72),NA())</f>
        <v>7</v>
      </c>
      <c r="M72" s="44">
        <f t="shared" ca="1" si="5"/>
        <v>6.1818181818181817</v>
      </c>
      <c r="N72" s="44">
        <f ca="1">IF(ISNUMBER(M72),(J72-J62)/NETWORKDAYS(B62,B72,BankHolidays),NA())</f>
        <v>1.0909090909090908</v>
      </c>
      <c r="O72" s="44">
        <f t="shared" ca="1" si="11"/>
        <v>5.666666666666667</v>
      </c>
      <c r="P72" s="53">
        <f t="shared" ca="1" si="6"/>
        <v>6.3413911845730038</v>
      </c>
      <c r="Q72" s="53">
        <f ca="1">IFERROR(DayByDayTable[[#This Row],[Lead Time]],"")</f>
        <v>5.666666666666667</v>
      </c>
      <c r="R72" s="44">
        <f t="shared" ca="1" si="7"/>
        <v>7.0111111111111111</v>
      </c>
      <c r="S72" s="44">
        <f ca="1">ROUND(PERCENTILE(DayByDayTable[[#Data],[BlankLeadTime]],0.8),0)</f>
        <v>8</v>
      </c>
    </row>
    <row r="73" spans="1:19">
      <c r="A73" s="51">
        <f t="shared" si="8"/>
        <v>42510</v>
      </c>
      <c r="B73" s="11">
        <f t="shared" si="10"/>
        <v>42510</v>
      </c>
      <c r="C73" s="47">
        <f>SUMIFS('On The Board'!$M$5:$M$219,'On The Board'!F$5:F$219,"&lt;="&amp;$B73,'On The Board'!E$5:E$219,"="&amp;FutureWork)</f>
        <v>0</v>
      </c>
      <c r="D73" s="47">
        <f ca="1">IF(TodaysDate&gt;=B73,SUMIF('On The Board'!F$5:F$219,"&lt;="&amp;$B73,'On The Board'!$M$5:$M$219)-SUM(F73:J73),"")</f>
        <v>48</v>
      </c>
      <c r="E73" s="12">
        <f ca="1">IF(TodaysDate&gt;=B73,SUMIF('On The Board'!F$5:F$219,"&lt;="&amp;$B73,'On The Board'!$M$5:$M$219)-SUM(F73:J73),E72)</f>
        <v>48</v>
      </c>
      <c r="F73" s="12">
        <f>SUMIF('On The Board'!G$5:G$219,"&lt;="&amp;$B73,'On The Board'!$M$5:$M$219)-SUM(G73:J73)</f>
        <v>0</v>
      </c>
      <c r="G73" s="12">
        <f>SUMIF('On The Board'!H$5:H$219,"&lt;="&amp;$B73,'On The Board'!$M$5:$M$219)-SUM(H73:J73)</f>
        <v>6</v>
      </c>
      <c r="H73" s="12">
        <f>SUMIF('On The Board'!I$5:I$219,"&lt;="&amp;$B73,'On The Board'!$M$5:$M$219)-SUM(I73,J73)</f>
        <v>0</v>
      </c>
      <c r="I73" s="12">
        <f>SUMIF('On The Board'!J$5:J$219,"&lt;="&amp;$B73,'On The Board'!$M$5:$M$219)-SUM(J73)</f>
        <v>0</v>
      </c>
      <c r="J73" s="12">
        <f>SUMIF('On The Board'!K$5:K$219,"&lt;="&amp;$B73,'On The Board'!$M$5:$M$219)</f>
        <v>65</v>
      </c>
      <c r="K73" s="10">
        <f t="shared" si="9"/>
        <v>71</v>
      </c>
      <c r="L73" s="10">
        <f ca="1">IF(TodaysDate&gt;=B73,SUM(F73:I73),NA())</f>
        <v>6</v>
      </c>
      <c r="M73" s="44">
        <f t="shared" ca="1" si="5"/>
        <v>6</v>
      </c>
      <c r="N73" s="44">
        <f ca="1">IF(ISNUMBER(M73),(J73-J63)/NETWORKDAYS(B63,B73,BankHolidays),NA())</f>
        <v>1</v>
      </c>
      <c r="O73" s="44">
        <f t="shared" ca="1" si="11"/>
        <v>6</v>
      </c>
      <c r="P73" s="53">
        <f t="shared" ca="1" si="6"/>
        <v>6.1823002754820928</v>
      </c>
      <c r="Q73" s="53">
        <f ca="1">IFERROR(DayByDayTable[[#This Row],[Lead Time]],"")</f>
        <v>6</v>
      </c>
      <c r="R73" s="44">
        <f t="shared" ca="1" si="7"/>
        <v>6.98</v>
      </c>
      <c r="S73" s="44">
        <f ca="1">ROUND(PERCENTILE(DayByDayTable[[#Data],[BlankLeadTime]],0.8),0)</f>
        <v>8</v>
      </c>
    </row>
    <row r="74" spans="1:19">
      <c r="A74" s="51">
        <f t="shared" si="8"/>
        <v>42513</v>
      </c>
      <c r="B74" s="11">
        <f t="shared" si="10"/>
        <v>42513</v>
      </c>
      <c r="C74" s="47">
        <f>SUMIFS('On The Board'!$M$5:$M$219,'On The Board'!F$5:F$219,"&lt;="&amp;$B74,'On The Board'!E$5:E$219,"="&amp;FutureWork)</f>
        <v>0</v>
      </c>
      <c r="D74" s="47">
        <f ca="1">IF(TodaysDate&gt;=B74,SUMIF('On The Board'!F$5:F$219,"&lt;="&amp;$B74,'On The Board'!$M$5:$M$219)-SUM(F74:J74),"")</f>
        <v>48</v>
      </c>
      <c r="E74" s="12">
        <f ca="1">IF(TodaysDate&gt;=B74,SUMIF('On The Board'!F$5:F$219,"&lt;="&amp;$B74,'On The Board'!$M$5:$M$219)-SUM(F74:J74),E73)</f>
        <v>48</v>
      </c>
      <c r="F74" s="12">
        <f>SUMIF('On The Board'!G$5:G$219,"&lt;="&amp;$B74,'On The Board'!$M$5:$M$219)-SUM(G74:J74)</f>
        <v>0</v>
      </c>
      <c r="G74" s="12">
        <f>SUMIF('On The Board'!H$5:H$219,"&lt;="&amp;$B74,'On The Board'!$M$5:$M$219)-SUM(H74:J74)</f>
        <v>5</v>
      </c>
      <c r="H74" s="12">
        <f>SUMIF('On The Board'!I$5:I$219,"&lt;="&amp;$B74,'On The Board'!$M$5:$M$219)-SUM(I74,J74)</f>
        <v>0</v>
      </c>
      <c r="I74" s="12">
        <f>SUMIF('On The Board'!J$5:J$219,"&lt;="&amp;$B74,'On The Board'!$M$5:$M$219)-SUM(J74)</f>
        <v>0</v>
      </c>
      <c r="J74" s="12">
        <f>SUMIF('On The Board'!K$5:K$219,"&lt;="&amp;$B74,'On The Board'!$M$5:$M$219)</f>
        <v>66</v>
      </c>
      <c r="K74" s="10">
        <f t="shared" si="9"/>
        <v>71</v>
      </c>
      <c r="L74" s="10">
        <f ca="1">IF(TodaysDate&gt;=B74,SUM(F74:I74),NA())</f>
        <v>5</v>
      </c>
      <c r="M74" s="44">
        <f t="shared" ca="1" si="5"/>
        <v>6.0909090909090908</v>
      </c>
      <c r="N74" s="44">
        <f ca="1">IF(ISNUMBER(M74),(J74-J64)/NETWORKDAYS(B64,B74,BankHolidays),NA())</f>
        <v>0.90909090909090906</v>
      </c>
      <c r="O74" s="44">
        <f t="shared" ca="1" si="11"/>
        <v>6.7</v>
      </c>
      <c r="P74" s="53">
        <f t="shared" ca="1" si="6"/>
        <v>6.2872589531680436</v>
      </c>
      <c r="Q74" s="53">
        <f ca="1">IFERROR(DayByDayTable[[#This Row],[Lead Time]],"")</f>
        <v>6.7</v>
      </c>
      <c r="R74" s="44">
        <f t="shared" ca="1" si="7"/>
        <v>6.6400000000000006</v>
      </c>
      <c r="S74" s="44">
        <f ca="1">ROUND(PERCENTILE(DayByDayTable[[#Data],[BlankLeadTime]],0.8),0)</f>
        <v>8</v>
      </c>
    </row>
    <row r="75" spans="1:19">
      <c r="A75" s="51">
        <f t="shared" si="8"/>
        <v>42514</v>
      </c>
      <c r="B75" s="11">
        <f t="shared" si="10"/>
        <v>42514</v>
      </c>
      <c r="C75" s="47">
        <f>SUMIFS('On The Board'!$M$5:$M$219,'On The Board'!F$5:F$219,"&lt;="&amp;$B75,'On The Board'!E$5:E$219,"="&amp;FutureWork)</f>
        <v>0</v>
      </c>
      <c r="D75" s="47">
        <f ca="1">IF(TodaysDate&gt;=B75,SUMIF('On The Board'!F$5:F$219,"&lt;="&amp;$B75,'On The Board'!$M$5:$M$219)-SUM(F75:J75),"")</f>
        <v>47</v>
      </c>
      <c r="E75" s="12">
        <f ca="1">IF(TodaysDate&gt;=B75,SUMIF('On The Board'!F$5:F$219,"&lt;="&amp;$B75,'On The Board'!$M$5:$M$219)-SUM(F75:J75),E74)</f>
        <v>47</v>
      </c>
      <c r="F75" s="12">
        <f>SUMIF('On The Board'!G$5:G$219,"&lt;="&amp;$B75,'On The Board'!$M$5:$M$219)-SUM(G75:J75)</f>
        <v>0</v>
      </c>
      <c r="G75" s="12">
        <f>SUMIF('On The Board'!H$5:H$219,"&lt;="&amp;$B75,'On The Board'!$M$5:$M$219)-SUM(H75:J75)</f>
        <v>6</v>
      </c>
      <c r="H75" s="12">
        <f>SUMIF('On The Board'!I$5:I$219,"&lt;="&amp;$B75,'On The Board'!$M$5:$M$219)-SUM(I75,J75)</f>
        <v>0</v>
      </c>
      <c r="I75" s="12">
        <f>SUMIF('On The Board'!J$5:J$219,"&lt;="&amp;$B75,'On The Board'!$M$5:$M$219)-SUM(J75)</f>
        <v>0</v>
      </c>
      <c r="J75" s="12">
        <f>SUMIF('On The Board'!K$5:K$219,"&lt;="&amp;$B75,'On The Board'!$M$5:$M$219)</f>
        <v>66</v>
      </c>
      <c r="K75" s="10">
        <f t="shared" si="9"/>
        <v>72</v>
      </c>
      <c r="L75" s="10">
        <f ca="1">IF(TodaysDate&gt;=B75,SUM(F75:I75),NA())</f>
        <v>6</v>
      </c>
      <c r="M75" s="44">
        <f t="shared" ca="1" si="5"/>
        <v>6.4545454545454541</v>
      </c>
      <c r="N75" s="44">
        <f ca="1">IF(ISNUMBER(M75),(J75-J65)/NETWORKDAYS(B65,B75,BankHolidays),NA())</f>
        <v>0.90909090909090906</v>
      </c>
      <c r="O75" s="44">
        <f t="shared" ca="1" si="11"/>
        <v>7.1</v>
      </c>
      <c r="P75" s="53">
        <f t="shared" ca="1" si="6"/>
        <v>6.2849862258953157</v>
      </c>
      <c r="Q75" s="53">
        <f ca="1">IFERROR(DayByDayTable[[#This Row],[Lead Time]],"")</f>
        <v>7.1</v>
      </c>
      <c r="R75" s="44">
        <f t="shared" ca="1" si="7"/>
        <v>7.02</v>
      </c>
      <c r="S75" s="44">
        <f ca="1">ROUND(PERCENTILE(DayByDayTable[[#Data],[BlankLeadTime]],0.8),0)</f>
        <v>8</v>
      </c>
    </row>
    <row r="76" spans="1:19">
      <c r="A76" s="51">
        <f t="shared" si="8"/>
        <v>42515</v>
      </c>
      <c r="B76" s="11">
        <f t="shared" si="10"/>
        <v>42515</v>
      </c>
      <c r="C76" s="47">
        <f>SUMIFS('On The Board'!$M$5:$M$219,'On The Board'!F$5:F$219,"&lt;="&amp;$B76,'On The Board'!E$5:E$219,"="&amp;FutureWork)</f>
        <v>0</v>
      </c>
      <c r="D76" s="47">
        <f ca="1">IF(TodaysDate&gt;=B76,SUMIF('On The Board'!F$5:F$219,"&lt;="&amp;$B76,'On The Board'!$M$5:$M$219)-SUM(F76:J76),"")</f>
        <v>48</v>
      </c>
      <c r="E76" s="12">
        <f ca="1">IF(TodaysDate&gt;=B76,SUMIF('On The Board'!F$5:F$219,"&lt;="&amp;$B76,'On The Board'!$M$5:$M$219)-SUM(F76:J76),E75)</f>
        <v>48</v>
      </c>
      <c r="F76" s="12">
        <f>SUMIF('On The Board'!G$5:G$219,"&lt;="&amp;$B76,'On The Board'!$M$5:$M$219)-SUM(G76:J76)</f>
        <v>0</v>
      </c>
      <c r="G76" s="12">
        <f>SUMIF('On The Board'!H$5:H$219,"&lt;="&amp;$B76,'On The Board'!$M$5:$M$219)-SUM(H76:J76)</f>
        <v>6</v>
      </c>
      <c r="H76" s="12">
        <f>SUMIF('On The Board'!I$5:I$219,"&lt;="&amp;$B76,'On The Board'!$M$5:$M$219)-SUM(I76,J76)</f>
        <v>0</v>
      </c>
      <c r="I76" s="12">
        <f>SUMIF('On The Board'!J$5:J$219,"&lt;="&amp;$B76,'On The Board'!$M$5:$M$219)-SUM(J76)</f>
        <v>0</v>
      </c>
      <c r="J76" s="12">
        <f>SUMIF('On The Board'!K$5:K$219,"&lt;="&amp;$B76,'On The Board'!$M$5:$M$219)</f>
        <v>67</v>
      </c>
      <c r="K76" s="10">
        <f t="shared" si="9"/>
        <v>73</v>
      </c>
      <c r="L76" s="10">
        <f ca="1">IF(TodaysDate&gt;=B76,SUM(F76:I76),NA())</f>
        <v>6</v>
      </c>
      <c r="M76" s="44">
        <f t="shared" ca="1" si="5"/>
        <v>6.5454545454545459</v>
      </c>
      <c r="N76" s="44">
        <f ca="1">IF(ISNUMBER(M76),(J76-J66)/NETWORKDAYS(B66,B76,BankHolidays),NA())</f>
        <v>0.72727272727272729</v>
      </c>
      <c r="O76" s="44">
        <f t="shared" ca="1" si="11"/>
        <v>9</v>
      </c>
      <c r="P76" s="53">
        <f t="shared" ca="1" si="6"/>
        <v>6.4440771349862249</v>
      </c>
      <c r="Q76" s="53">
        <f ca="1">IFERROR(DayByDayTable[[#This Row],[Lead Time]],"")</f>
        <v>9</v>
      </c>
      <c r="R76" s="44">
        <f t="shared" ca="1" si="7"/>
        <v>7.02</v>
      </c>
      <c r="S76" s="44">
        <f ca="1">ROUND(PERCENTILE(DayByDayTable[[#Data],[BlankLeadTime]],0.8),0)</f>
        <v>8</v>
      </c>
    </row>
    <row r="77" spans="1:19">
      <c r="A77" s="51">
        <f t="shared" si="8"/>
        <v>42516</v>
      </c>
      <c r="B77" s="11">
        <f t="shared" si="10"/>
        <v>42516</v>
      </c>
      <c r="C77" s="47">
        <f>SUMIFS('On The Board'!$M$5:$M$219,'On The Board'!F$5:F$219,"&lt;="&amp;$B77,'On The Board'!E$5:E$219,"="&amp;FutureWork)</f>
        <v>0</v>
      </c>
      <c r="D77" s="47">
        <f ca="1">IF(TodaysDate&gt;=B77,SUMIF('On The Board'!F$5:F$219,"&lt;="&amp;$B77,'On The Board'!$M$5:$M$219)-SUM(F77:J77),"")</f>
        <v>47</v>
      </c>
      <c r="E77" s="12">
        <f ca="1">IF(TodaysDate&gt;=B77,SUMIF('On The Board'!F$5:F$219,"&lt;="&amp;$B77,'On The Board'!$M$5:$M$219)-SUM(F77:J77),E76)</f>
        <v>47</v>
      </c>
      <c r="F77" s="12">
        <f>SUMIF('On The Board'!G$5:G$219,"&lt;="&amp;$B77,'On The Board'!$M$5:$M$219)-SUM(G77:J77)</f>
        <v>0</v>
      </c>
      <c r="G77" s="12">
        <f>SUMIF('On The Board'!H$5:H$219,"&lt;="&amp;$B77,'On The Board'!$M$5:$M$219)-SUM(H77:J77)</f>
        <v>6</v>
      </c>
      <c r="H77" s="12">
        <f>SUMIF('On The Board'!I$5:I$219,"&lt;="&amp;$B77,'On The Board'!$M$5:$M$219)-SUM(I77,J77)</f>
        <v>1</v>
      </c>
      <c r="I77" s="12">
        <f>SUMIF('On The Board'!J$5:J$219,"&lt;="&amp;$B77,'On The Board'!$M$5:$M$219)-SUM(J77)</f>
        <v>0</v>
      </c>
      <c r="J77" s="12">
        <f>SUMIF('On The Board'!K$5:K$219,"&lt;="&amp;$B77,'On The Board'!$M$5:$M$219)</f>
        <v>68</v>
      </c>
      <c r="K77" s="10">
        <f t="shared" si="9"/>
        <v>75</v>
      </c>
      <c r="L77" s="10">
        <f ca="1">IF(TodaysDate&gt;=B77,SUM(F77:I77),NA())</f>
        <v>7</v>
      </c>
      <c r="M77" s="44">
        <f t="shared" ref="M77:M140" ca="1" si="12">AVERAGE(L67:L77)</f>
        <v>6.6363636363636367</v>
      </c>
      <c r="N77" s="44">
        <f ca="1">IF(ISNUMBER(M77),(J77-J67)/NETWORKDAYS(B67,B77,BankHolidays),NA())</f>
        <v>0.72727272727272729</v>
      </c>
      <c r="O77" s="44">
        <f t="shared" ca="1" si="11"/>
        <v>9.125</v>
      </c>
      <c r="P77" s="53">
        <f t="shared" ref="P77:P140" ca="1" si="13">AVERAGE(O67:O77)</f>
        <v>6.7281680440771341</v>
      </c>
      <c r="Q77" s="53">
        <f ca="1">IFERROR(DayByDayTable[[#This Row],[Lead Time]],"")</f>
        <v>9.125</v>
      </c>
      <c r="R77" s="44">
        <f t="shared" ca="1" si="7"/>
        <v>7.02</v>
      </c>
      <c r="S77" s="44">
        <f ca="1">ROUND(PERCENTILE(DayByDayTable[[#Data],[BlankLeadTime]],0.8),0)</f>
        <v>8</v>
      </c>
    </row>
    <row r="78" spans="1:19">
      <c r="A78" s="51">
        <f t="shared" si="8"/>
        <v>42517</v>
      </c>
      <c r="B78" s="11">
        <f t="shared" si="10"/>
        <v>42517</v>
      </c>
      <c r="C78" s="47">
        <f>SUMIFS('On The Board'!$M$5:$M$219,'On The Board'!F$5:F$219,"&lt;="&amp;$B78,'On The Board'!E$5:E$219,"="&amp;FutureWork)</f>
        <v>0</v>
      </c>
      <c r="D78" s="47">
        <f ca="1">IF(TodaysDate&gt;=B78,SUMIF('On The Board'!F$5:F$219,"&lt;="&amp;$B78,'On The Board'!$M$5:$M$219)-SUM(F78:J78),"")</f>
        <v>47</v>
      </c>
      <c r="E78" s="12">
        <f ca="1">IF(TodaysDate&gt;=B78,SUMIF('On The Board'!F$5:F$219,"&lt;="&amp;$B78,'On The Board'!$M$5:$M$219)-SUM(F78:J78),E77)</f>
        <v>47</v>
      </c>
      <c r="F78" s="12">
        <f>SUMIF('On The Board'!G$5:G$219,"&lt;="&amp;$B78,'On The Board'!$M$5:$M$219)-SUM(G78:J78)</f>
        <v>0</v>
      </c>
      <c r="G78" s="12">
        <f>SUMIF('On The Board'!H$5:H$219,"&lt;="&amp;$B78,'On The Board'!$M$5:$M$219)-SUM(H78:J78)</f>
        <v>6</v>
      </c>
      <c r="H78" s="12">
        <f>SUMIF('On The Board'!I$5:I$219,"&lt;="&amp;$B78,'On The Board'!$M$5:$M$219)-SUM(I78,J78)</f>
        <v>1</v>
      </c>
      <c r="I78" s="12">
        <f>SUMIF('On The Board'!J$5:J$219,"&lt;="&amp;$B78,'On The Board'!$M$5:$M$219)-SUM(J78)</f>
        <v>0</v>
      </c>
      <c r="J78" s="12">
        <f>SUMIF('On The Board'!K$5:K$219,"&lt;="&amp;$B78,'On The Board'!$M$5:$M$219)</f>
        <v>69</v>
      </c>
      <c r="K78" s="10">
        <f t="shared" si="9"/>
        <v>76</v>
      </c>
      <c r="L78" s="10">
        <f ca="1">IF(TodaysDate&gt;=B78,SUM(F78:I78),NA())</f>
        <v>7</v>
      </c>
      <c r="M78" s="44">
        <f t="shared" ca="1" si="12"/>
        <v>6.7272727272727275</v>
      </c>
      <c r="N78" s="44">
        <f ca="1">IF(ISNUMBER(M78),(J78-J68)/NETWORKDAYS(B68,B78,BankHolidays),NA())</f>
        <v>0.81818181818181823</v>
      </c>
      <c r="O78" s="44">
        <f t="shared" ca="1" si="11"/>
        <v>8.2222222222222214</v>
      </c>
      <c r="P78" s="53">
        <f t="shared" ca="1" si="13"/>
        <v>6.9632460973370067</v>
      </c>
      <c r="Q78" s="53">
        <f ca="1">IFERROR(DayByDayTable[[#This Row],[Lead Time]],"")</f>
        <v>8.2222222222222214</v>
      </c>
      <c r="R78" s="44">
        <f t="shared" ca="1" si="7"/>
        <v>7.9977777777777774</v>
      </c>
      <c r="S78" s="44">
        <f ca="1">ROUND(PERCENTILE(DayByDayTable[[#Data],[BlankLeadTime]],0.8),0)</f>
        <v>8</v>
      </c>
    </row>
    <row r="79" spans="1:19">
      <c r="A79" s="51">
        <f t="shared" si="8"/>
        <v>42521</v>
      </c>
      <c r="B79" s="11">
        <f t="shared" si="10"/>
        <v>42521</v>
      </c>
      <c r="C79" s="47">
        <f>SUMIFS('On The Board'!$M$5:$M$219,'On The Board'!F$5:F$219,"&lt;="&amp;$B79,'On The Board'!E$5:E$219,"="&amp;FutureWork)</f>
        <v>0</v>
      </c>
      <c r="D79" s="47">
        <f ca="1">IF(TodaysDate&gt;=B79,SUMIF('On The Board'!F$5:F$219,"&lt;="&amp;$B79,'On The Board'!$M$5:$M$219)-SUM(F79:J79),"")</f>
        <v>47</v>
      </c>
      <c r="E79" s="12">
        <f ca="1">IF(TodaysDate&gt;=B79,SUMIF('On The Board'!F$5:F$219,"&lt;="&amp;$B79,'On The Board'!$M$5:$M$219)-SUM(F79:J79),E78)</f>
        <v>47</v>
      </c>
      <c r="F79" s="12">
        <f>SUMIF('On The Board'!G$5:G$219,"&lt;="&amp;$B79,'On The Board'!$M$5:$M$219)-SUM(G79:J79)</f>
        <v>0</v>
      </c>
      <c r="G79" s="12">
        <f>SUMIF('On The Board'!H$5:H$219,"&lt;="&amp;$B79,'On The Board'!$M$5:$M$219)-SUM(H79:J79)</f>
        <v>6</v>
      </c>
      <c r="H79" s="12">
        <f>SUMIF('On The Board'!I$5:I$219,"&lt;="&amp;$B79,'On The Board'!$M$5:$M$219)-SUM(I79,J79)</f>
        <v>1</v>
      </c>
      <c r="I79" s="12">
        <f>SUMIF('On The Board'!J$5:J$219,"&lt;="&amp;$B79,'On The Board'!$M$5:$M$219)-SUM(J79)</f>
        <v>0</v>
      </c>
      <c r="J79" s="12">
        <f>SUMIF('On The Board'!K$5:K$219,"&lt;="&amp;$B79,'On The Board'!$M$5:$M$219)</f>
        <v>69</v>
      </c>
      <c r="K79" s="10">
        <f t="shared" si="9"/>
        <v>76</v>
      </c>
      <c r="L79" s="10">
        <f ca="1">IF(TodaysDate&gt;=B79,SUM(F79:I79),NA())</f>
        <v>7</v>
      </c>
      <c r="M79" s="44">
        <f t="shared" ca="1" si="12"/>
        <v>6.8181818181818183</v>
      </c>
      <c r="N79" s="44">
        <f ca="1">IF(ISNUMBER(M79),(J79-J69)/NETWORKDAYS(B69,B79,BankHolidays),NA())</f>
        <v>0.81818181818181823</v>
      </c>
      <c r="O79" s="44">
        <f t="shared" ca="1" si="11"/>
        <v>8.3333333333333321</v>
      </c>
      <c r="P79" s="53">
        <f t="shared" ca="1" si="13"/>
        <v>7.1571854912764001</v>
      </c>
      <c r="Q79" s="53">
        <f ca="1">IFERROR(DayByDayTable[[#This Row],[Lead Time]],"")</f>
        <v>8.3333333333333321</v>
      </c>
      <c r="R79" s="44">
        <f t="shared" ca="1" si="7"/>
        <v>8.31111111111111</v>
      </c>
      <c r="S79" s="44">
        <f ca="1">ROUND(PERCENTILE(DayByDayTable[[#Data],[BlankLeadTime]],0.8),0)</f>
        <v>8</v>
      </c>
    </row>
    <row r="80" spans="1:19">
      <c r="A80" s="51">
        <f t="shared" si="8"/>
        <v>42522</v>
      </c>
      <c r="B80" s="11">
        <f t="shared" si="10"/>
        <v>42522</v>
      </c>
      <c r="C80" s="47">
        <f>SUMIFS('On The Board'!$M$5:$M$219,'On The Board'!F$5:F$219,"&lt;="&amp;$B80,'On The Board'!E$5:E$219,"="&amp;FutureWork)</f>
        <v>0</v>
      </c>
      <c r="D80" s="47">
        <f ca="1">IF(TodaysDate&gt;=B80,SUMIF('On The Board'!F$5:F$219,"&lt;="&amp;$B80,'On The Board'!$M$5:$M$219)-SUM(F80:J80),"")</f>
        <v>47</v>
      </c>
      <c r="E80" s="12">
        <f ca="1">IF(TodaysDate&gt;=B80,SUMIF('On The Board'!F$5:F$219,"&lt;="&amp;$B80,'On The Board'!$M$5:$M$219)-SUM(F80:J80),E79)</f>
        <v>47</v>
      </c>
      <c r="F80" s="12">
        <f>SUMIF('On The Board'!G$5:G$219,"&lt;="&amp;$B80,'On The Board'!$M$5:$M$219)-SUM(G80:J80)</f>
        <v>0</v>
      </c>
      <c r="G80" s="12">
        <f>SUMIF('On The Board'!H$5:H$219,"&lt;="&amp;$B80,'On The Board'!$M$5:$M$219)-SUM(H80:J80)</f>
        <v>6</v>
      </c>
      <c r="H80" s="12">
        <f>SUMIF('On The Board'!I$5:I$219,"&lt;="&amp;$B80,'On The Board'!$M$5:$M$219)-SUM(I80,J80)</f>
        <v>1</v>
      </c>
      <c r="I80" s="12">
        <f>SUMIF('On The Board'!J$5:J$219,"&lt;="&amp;$B80,'On The Board'!$M$5:$M$219)-SUM(J80)</f>
        <v>0</v>
      </c>
      <c r="J80" s="12">
        <f>SUMIF('On The Board'!K$5:K$219,"&lt;="&amp;$B80,'On The Board'!$M$5:$M$219)</f>
        <v>70</v>
      </c>
      <c r="K80" s="10">
        <f t="shared" si="9"/>
        <v>77</v>
      </c>
      <c r="L80" s="10">
        <f ca="1">IF(TodaysDate&gt;=B80,SUM(F80:I80),NA())</f>
        <v>7</v>
      </c>
      <c r="M80" s="44">
        <f t="shared" ca="1" si="12"/>
        <v>6.7272727272727275</v>
      </c>
      <c r="N80" s="44">
        <f ca="1">IF(ISNUMBER(M80),(J80-J70)/NETWORKDAYS(B70,B80,BankHolidays),NA())</f>
        <v>0.81818181818181823</v>
      </c>
      <c r="O80" s="44">
        <f t="shared" ca="1" si="11"/>
        <v>8.2222222222222214</v>
      </c>
      <c r="P80" s="53">
        <f t="shared" ca="1" si="13"/>
        <v>7.3228420569329664</v>
      </c>
      <c r="Q80" s="53">
        <f ca="1">IFERROR(DayByDayTable[[#This Row],[Lead Time]],"")</f>
        <v>8.2222222222222214</v>
      </c>
      <c r="R80" s="44">
        <f t="shared" ref="R80:R143" ca="1" si="14">PERCENTILE(O69:O80,0.8)</f>
        <v>8.31111111111111</v>
      </c>
      <c r="S80" s="44">
        <f ca="1">ROUND(PERCENTILE(DayByDayTable[[#Data],[BlankLeadTime]],0.8),0)</f>
        <v>8</v>
      </c>
    </row>
    <row r="81" spans="1:19">
      <c r="A81" s="51">
        <f t="shared" si="8"/>
        <v>42523</v>
      </c>
      <c r="B81" s="11">
        <f t="shared" si="10"/>
        <v>42523</v>
      </c>
      <c r="C81" s="47">
        <f>SUMIFS('On The Board'!$M$5:$M$219,'On The Board'!F$5:F$219,"&lt;="&amp;$B81,'On The Board'!E$5:E$219,"="&amp;FutureWork)</f>
        <v>0</v>
      </c>
      <c r="D81" s="47" t="str">
        <f ca="1">IF(TodaysDate&gt;=B81,SUMIF('On The Board'!F$5:F$219,"&lt;="&amp;$B81,'On The Board'!$M$5:$M$219)-SUM(F81:J81),"")</f>
        <v/>
      </c>
      <c r="E81" s="12">
        <f ca="1">IF(TodaysDate&gt;=B81,SUMIF('On The Board'!F$5:F$219,"&lt;="&amp;$B81,'On The Board'!$M$5:$M$219)-SUM(F81:J81),E80)</f>
        <v>47</v>
      </c>
      <c r="F81" s="12">
        <f>SUMIF('On The Board'!G$5:G$219,"&lt;="&amp;$B81,'On The Board'!$M$5:$M$219)-SUM(G81:J81)</f>
        <v>0</v>
      </c>
      <c r="G81" s="12">
        <f>SUMIF('On The Board'!H$5:H$219,"&lt;="&amp;$B81,'On The Board'!$M$5:$M$219)-SUM(H81:J81)</f>
        <v>6</v>
      </c>
      <c r="H81" s="12">
        <f>SUMIF('On The Board'!I$5:I$219,"&lt;="&amp;$B81,'On The Board'!$M$5:$M$219)-SUM(I81,J81)</f>
        <v>1</v>
      </c>
      <c r="I81" s="12">
        <f>SUMIF('On The Board'!J$5:J$219,"&lt;="&amp;$B81,'On The Board'!$M$5:$M$219)-SUM(J81)</f>
        <v>0</v>
      </c>
      <c r="J81" s="12">
        <f>SUMIF('On The Board'!K$5:K$219,"&lt;="&amp;$B81,'On The Board'!$M$5:$M$219)</f>
        <v>70</v>
      </c>
      <c r="K81" s="10">
        <f t="shared" si="9"/>
        <v>77</v>
      </c>
      <c r="L81" s="10" t="e">
        <f ca="1">IF(TodaysDate&gt;=B81,SUM(F81:I81),NA())</f>
        <v>#N/A</v>
      </c>
      <c r="M81" s="44" t="e">
        <f t="shared" ca="1" si="12"/>
        <v>#N/A</v>
      </c>
      <c r="N81" s="44" t="e">
        <f ca="1">IF(ISNUMBER(M81),(J81-J71)/NETWORKDAYS(B71,B81,BankHolidays),NA())</f>
        <v>#N/A</v>
      </c>
      <c r="O81" s="44" t="e">
        <f t="shared" ca="1" si="11"/>
        <v>#N/A</v>
      </c>
      <c r="P81" s="53" t="e">
        <f t="shared" ca="1" si="13"/>
        <v>#N/A</v>
      </c>
      <c r="Q81" s="53" t="str">
        <f ca="1">IFERROR(DayByDayTable[[#This Row],[Lead Time]],"")</f>
        <v/>
      </c>
      <c r="R81" s="44" t="e">
        <f t="shared" ca="1" si="14"/>
        <v>#N/A</v>
      </c>
      <c r="S81" s="44">
        <f ca="1">ROUND(PERCENTILE(DayByDayTable[[#Data],[BlankLeadTime]],0.8),0)</f>
        <v>8</v>
      </c>
    </row>
    <row r="82" spans="1:19">
      <c r="A82" s="51">
        <f t="shared" si="8"/>
        <v>42524</v>
      </c>
      <c r="B82" s="11">
        <f t="shared" si="10"/>
        <v>42524</v>
      </c>
      <c r="C82" s="47">
        <f>SUMIFS('On The Board'!$M$5:$M$219,'On The Board'!F$5:F$219,"&lt;="&amp;$B82,'On The Board'!E$5:E$219,"="&amp;FutureWork)</f>
        <v>0</v>
      </c>
      <c r="D82" s="47" t="str">
        <f ca="1">IF(TodaysDate&gt;=B82,SUMIF('On The Board'!F$5:F$219,"&lt;="&amp;$B82,'On The Board'!$M$5:$M$219)-SUM(F82:J82),"")</f>
        <v/>
      </c>
      <c r="E82" s="12">
        <f ca="1">IF(TodaysDate&gt;=B82,SUMIF('On The Board'!F$5:F$219,"&lt;="&amp;$B82,'On The Board'!$M$5:$M$219)-SUM(F82:J82),E81)</f>
        <v>47</v>
      </c>
      <c r="F82" s="12">
        <f>SUMIF('On The Board'!G$5:G$219,"&lt;="&amp;$B82,'On The Board'!$M$5:$M$219)-SUM(G82:J82)</f>
        <v>0</v>
      </c>
      <c r="G82" s="12">
        <f>SUMIF('On The Board'!H$5:H$219,"&lt;="&amp;$B82,'On The Board'!$M$5:$M$219)-SUM(H82:J82)</f>
        <v>5</v>
      </c>
      <c r="H82" s="12">
        <f>SUMIF('On The Board'!I$5:I$219,"&lt;="&amp;$B82,'On The Board'!$M$5:$M$219)-SUM(I82,J82)</f>
        <v>2</v>
      </c>
      <c r="I82" s="12">
        <f>SUMIF('On The Board'!J$5:J$219,"&lt;="&amp;$B82,'On The Board'!$M$5:$M$219)-SUM(J82)</f>
        <v>0</v>
      </c>
      <c r="J82" s="12">
        <f>SUMIF('On The Board'!K$5:K$219,"&lt;="&amp;$B82,'On The Board'!$M$5:$M$219)</f>
        <v>70</v>
      </c>
      <c r="K82" s="10">
        <f t="shared" si="9"/>
        <v>77</v>
      </c>
      <c r="L82" s="10" t="e">
        <f ca="1">IF(TodaysDate&gt;=B82,SUM(F82:I82),NA())</f>
        <v>#N/A</v>
      </c>
      <c r="M82" s="44" t="e">
        <f t="shared" ca="1" si="12"/>
        <v>#N/A</v>
      </c>
      <c r="N82" s="44" t="e">
        <f ca="1">IF(ISNUMBER(M82),(J82-J72)/NETWORKDAYS(B72,B82,BankHolidays),NA())</f>
        <v>#N/A</v>
      </c>
      <c r="O82" s="44" t="e">
        <f t="shared" ca="1" si="11"/>
        <v>#N/A</v>
      </c>
      <c r="P82" s="53" t="e">
        <f t="shared" ca="1" si="13"/>
        <v>#N/A</v>
      </c>
      <c r="Q82" s="53" t="str">
        <f ca="1">IFERROR(DayByDayTable[[#This Row],[Lead Time]],"")</f>
        <v/>
      </c>
      <c r="R82" s="44" t="e">
        <f t="shared" ca="1" si="14"/>
        <v>#N/A</v>
      </c>
      <c r="S82" s="44">
        <f ca="1">ROUND(PERCENTILE(DayByDayTable[[#Data],[BlankLeadTime]],0.8),0)</f>
        <v>8</v>
      </c>
    </row>
    <row r="83" spans="1:19">
      <c r="A83" s="51">
        <f t="shared" si="8"/>
        <v>42527</v>
      </c>
      <c r="B83" s="11">
        <f t="shared" si="10"/>
        <v>42527</v>
      </c>
      <c r="C83" s="47">
        <f>SUMIFS('On The Board'!$M$5:$M$219,'On The Board'!F$5:F$219,"&lt;="&amp;$B83,'On The Board'!E$5:E$219,"="&amp;FutureWork)</f>
        <v>0</v>
      </c>
      <c r="D83" s="47" t="str">
        <f ca="1">IF(TodaysDate&gt;=B83,SUMIF('On The Board'!F$5:F$219,"&lt;="&amp;$B83,'On The Board'!$M$5:$M$219)-SUM(F83:J83),"")</f>
        <v/>
      </c>
      <c r="E83" s="12">
        <f ca="1">IF(TodaysDate&gt;=B83,SUMIF('On The Board'!F$5:F$219,"&lt;="&amp;$B83,'On The Board'!$M$5:$M$219)-SUM(F83:J83),E82)</f>
        <v>47</v>
      </c>
      <c r="F83" s="12">
        <f>SUMIF('On The Board'!G$5:G$219,"&lt;="&amp;$B83,'On The Board'!$M$5:$M$219)-SUM(G83:J83)</f>
        <v>0</v>
      </c>
      <c r="G83" s="12">
        <f>SUMIF('On The Board'!H$5:H$219,"&lt;="&amp;$B83,'On The Board'!$M$5:$M$219)-SUM(H83:J83)</f>
        <v>5</v>
      </c>
      <c r="H83" s="12">
        <f>SUMIF('On The Board'!I$5:I$219,"&lt;="&amp;$B83,'On The Board'!$M$5:$M$219)-SUM(I83,J83)</f>
        <v>2</v>
      </c>
      <c r="I83" s="12">
        <f>SUMIF('On The Board'!J$5:J$219,"&lt;="&amp;$B83,'On The Board'!$M$5:$M$219)-SUM(J83)</f>
        <v>0</v>
      </c>
      <c r="J83" s="12">
        <f>SUMIF('On The Board'!K$5:K$219,"&lt;="&amp;$B83,'On The Board'!$M$5:$M$219)</f>
        <v>70</v>
      </c>
      <c r="K83" s="10">
        <f t="shared" si="9"/>
        <v>77</v>
      </c>
      <c r="L83" s="10" t="e">
        <f ca="1">IF(TodaysDate&gt;=B83,SUM(F83:I83),NA())</f>
        <v>#N/A</v>
      </c>
      <c r="M83" s="44" t="e">
        <f t="shared" ca="1" si="12"/>
        <v>#N/A</v>
      </c>
      <c r="N83" s="44" t="e">
        <f ca="1">IF(ISNUMBER(M83),(J83-J73)/NETWORKDAYS(B73,B83,BankHolidays),NA())</f>
        <v>#N/A</v>
      </c>
      <c r="O83" s="44" t="e">
        <f t="shared" ca="1" si="11"/>
        <v>#N/A</v>
      </c>
      <c r="P83" s="53" t="e">
        <f t="shared" ca="1" si="13"/>
        <v>#N/A</v>
      </c>
      <c r="Q83" s="53" t="str">
        <f ca="1">IFERROR(DayByDayTable[[#This Row],[Lead Time]],"")</f>
        <v/>
      </c>
      <c r="R83" s="44" t="e">
        <f t="shared" ca="1" si="14"/>
        <v>#N/A</v>
      </c>
      <c r="S83" s="44">
        <f ca="1">ROUND(PERCENTILE(DayByDayTable[[#Data],[BlankLeadTime]],0.8),0)</f>
        <v>8</v>
      </c>
    </row>
    <row r="84" spans="1:19">
      <c r="A84" s="51">
        <f t="shared" si="8"/>
        <v>42528</v>
      </c>
      <c r="B84" s="11">
        <f t="shared" si="10"/>
        <v>42528</v>
      </c>
      <c r="C84" s="47">
        <f>SUMIFS('On The Board'!$M$5:$M$219,'On The Board'!F$5:F$219,"&lt;="&amp;$B84,'On The Board'!E$5:E$219,"="&amp;FutureWork)</f>
        <v>0</v>
      </c>
      <c r="D84" s="47" t="str">
        <f ca="1">IF(TodaysDate&gt;=B84,SUMIF('On The Board'!F$5:F$219,"&lt;="&amp;$B84,'On The Board'!$M$5:$M$219)-SUM(F84:J84),"")</f>
        <v/>
      </c>
      <c r="E84" s="12">
        <f ca="1">IF(TodaysDate&gt;=B84,SUMIF('On The Board'!F$5:F$219,"&lt;="&amp;$B84,'On The Board'!$M$5:$M$219)-SUM(F84:J84),E83)</f>
        <v>47</v>
      </c>
      <c r="F84" s="12">
        <f>SUMIF('On The Board'!G$5:G$219,"&lt;="&amp;$B84,'On The Board'!$M$5:$M$219)-SUM(G84:J84)</f>
        <v>0</v>
      </c>
      <c r="G84" s="12">
        <f>SUMIF('On The Board'!H$5:H$219,"&lt;="&amp;$B84,'On The Board'!$M$5:$M$219)-SUM(H84:J84)</f>
        <v>5</v>
      </c>
      <c r="H84" s="12">
        <f>SUMIF('On The Board'!I$5:I$219,"&lt;="&amp;$B84,'On The Board'!$M$5:$M$219)-SUM(I84,J84)</f>
        <v>2</v>
      </c>
      <c r="I84" s="12">
        <f>SUMIF('On The Board'!J$5:J$219,"&lt;="&amp;$B84,'On The Board'!$M$5:$M$219)-SUM(J84)</f>
        <v>0</v>
      </c>
      <c r="J84" s="12">
        <f>SUMIF('On The Board'!K$5:K$219,"&lt;="&amp;$B84,'On The Board'!$M$5:$M$219)</f>
        <v>70</v>
      </c>
      <c r="K84" s="10">
        <f t="shared" si="9"/>
        <v>77</v>
      </c>
      <c r="L84" s="10" t="e">
        <f ca="1">IF(TodaysDate&gt;=B84,SUM(F84:I84),NA())</f>
        <v>#N/A</v>
      </c>
      <c r="M84" s="44" t="e">
        <f t="shared" ca="1" si="12"/>
        <v>#N/A</v>
      </c>
      <c r="N84" s="44" t="e">
        <f ca="1">IF(ISNUMBER(M84),(J84-J74)/NETWORKDAYS(B74,B84,BankHolidays),NA())</f>
        <v>#N/A</v>
      </c>
      <c r="O84" s="44" t="e">
        <f t="shared" ca="1" si="11"/>
        <v>#N/A</v>
      </c>
      <c r="P84" s="53" t="e">
        <f t="shared" ca="1" si="13"/>
        <v>#N/A</v>
      </c>
      <c r="Q84" s="53" t="str">
        <f ca="1">IFERROR(DayByDayTable[[#This Row],[Lead Time]],"")</f>
        <v/>
      </c>
      <c r="R84" s="44" t="e">
        <f t="shared" ca="1" si="14"/>
        <v>#N/A</v>
      </c>
      <c r="S84" s="44">
        <f ca="1">ROUND(PERCENTILE(DayByDayTable[[#Data],[BlankLeadTime]],0.8),0)</f>
        <v>8</v>
      </c>
    </row>
    <row r="85" spans="1:19">
      <c r="A85" s="51">
        <f t="shared" si="8"/>
        <v>42529</v>
      </c>
      <c r="B85" s="11">
        <f t="shared" si="10"/>
        <v>42529</v>
      </c>
      <c r="C85" s="47">
        <f>SUMIFS('On The Board'!$M$5:$M$219,'On The Board'!F$5:F$219,"&lt;="&amp;$B85,'On The Board'!E$5:E$219,"="&amp;FutureWork)</f>
        <v>0</v>
      </c>
      <c r="D85" s="47" t="str">
        <f ca="1">IF(TodaysDate&gt;=B85,SUMIF('On The Board'!F$5:F$219,"&lt;="&amp;$B85,'On The Board'!$M$5:$M$219)-SUM(F85:J85),"")</f>
        <v/>
      </c>
      <c r="E85" s="12">
        <f ca="1">IF(TodaysDate&gt;=B85,SUMIF('On The Board'!F$5:F$219,"&lt;="&amp;$B85,'On The Board'!$M$5:$M$219)-SUM(F85:J85),E84)</f>
        <v>47</v>
      </c>
      <c r="F85" s="12">
        <f>SUMIF('On The Board'!G$5:G$219,"&lt;="&amp;$B85,'On The Board'!$M$5:$M$219)-SUM(G85:J85)</f>
        <v>0</v>
      </c>
      <c r="G85" s="12">
        <f>SUMIF('On The Board'!H$5:H$219,"&lt;="&amp;$B85,'On The Board'!$M$5:$M$219)-SUM(H85:J85)</f>
        <v>5</v>
      </c>
      <c r="H85" s="12">
        <f>SUMIF('On The Board'!I$5:I$219,"&lt;="&amp;$B85,'On The Board'!$M$5:$M$219)-SUM(I85,J85)</f>
        <v>2</v>
      </c>
      <c r="I85" s="12">
        <f>SUMIF('On The Board'!J$5:J$219,"&lt;="&amp;$B85,'On The Board'!$M$5:$M$219)-SUM(J85)</f>
        <v>0</v>
      </c>
      <c r="J85" s="12">
        <f>SUMIF('On The Board'!K$5:K$219,"&lt;="&amp;$B85,'On The Board'!$M$5:$M$219)</f>
        <v>70</v>
      </c>
      <c r="K85" s="10">
        <f t="shared" si="9"/>
        <v>77</v>
      </c>
      <c r="L85" s="10" t="e">
        <f ca="1">IF(TodaysDate&gt;=B85,SUM(F85:I85),NA())</f>
        <v>#N/A</v>
      </c>
      <c r="M85" s="44" t="e">
        <f t="shared" ca="1" si="12"/>
        <v>#N/A</v>
      </c>
      <c r="N85" s="44" t="e">
        <f ca="1">IF(ISNUMBER(M85),(J85-J75)/NETWORKDAYS(B75,B85,BankHolidays),NA())</f>
        <v>#N/A</v>
      </c>
      <c r="O85" s="44" t="e">
        <f t="shared" ca="1" si="11"/>
        <v>#N/A</v>
      </c>
      <c r="P85" s="53" t="e">
        <f t="shared" ca="1" si="13"/>
        <v>#N/A</v>
      </c>
      <c r="Q85" s="53" t="str">
        <f ca="1">IFERROR(DayByDayTable[[#This Row],[Lead Time]],"")</f>
        <v/>
      </c>
      <c r="R85" s="44" t="e">
        <f t="shared" ca="1" si="14"/>
        <v>#N/A</v>
      </c>
      <c r="S85" s="44">
        <f ca="1">ROUND(PERCENTILE(DayByDayTable[[#Data],[BlankLeadTime]],0.8),0)</f>
        <v>8</v>
      </c>
    </row>
    <row r="86" spans="1:19">
      <c r="A86" s="51">
        <f t="shared" si="8"/>
        <v>42530</v>
      </c>
      <c r="B86" s="11">
        <f t="shared" si="10"/>
        <v>42530</v>
      </c>
      <c r="C86" s="47">
        <f>SUMIFS('On The Board'!$M$5:$M$219,'On The Board'!F$5:F$219,"&lt;="&amp;$B86,'On The Board'!E$5:E$219,"="&amp;FutureWork)</f>
        <v>0</v>
      </c>
      <c r="D86" s="47" t="str">
        <f ca="1">IF(TodaysDate&gt;=B86,SUMIF('On The Board'!F$5:F$219,"&lt;="&amp;$B86,'On The Board'!$M$5:$M$219)-SUM(F86:J86),"")</f>
        <v/>
      </c>
      <c r="E86" s="12">
        <f ca="1">IF(TodaysDate&gt;=B86,SUMIF('On The Board'!F$5:F$219,"&lt;="&amp;$B86,'On The Board'!$M$5:$M$219)-SUM(F86:J86),E85)</f>
        <v>47</v>
      </c>
      <c r="F86" s="12">
        <f>SUMIF('On The Board'!G$5:G$219,"&lt;="&amp;$B86,'On The Board'!$M$5:$M$219)-SUM(G86:J86)</f>
        <v>0</v>
      </c>
      <c r="G86" s="12">
        <f>SUMIF('On The Board'!H$5:H$219,"&lt;="&amp;$B86,'On The Board'!$M$5:$M$219)-SUM(H86:J86)</f>
        <v>5</v>
      </c>
      <c r="H86" s="12">
        <f>SUMIF('On The Board'!I$5:I$219,"&lt;="&amp;$B86,'On The Board'!$M$5:$M$219)-SUM(I86,J86)</f>
        <v>2</v>
      </c>
      <c r="I86" s="12">
        <f>SUMIF('On The Board'!J$5:J$219,"&lt;="&amp;$B86,'On The Board'!$M$5:$M$219)-SUM(J86)</f>
        <v>0</v>
      </c>
      <c r="J86" s="12">
        <f>SUMIF('On The Board'!K$5:K$219,"&lt;="&amp;$B86,'On The Board'!$M$5:$M$219)</f>
        <v>70</v>
      </c>
      <c r="K86" s="10">
        <f t="shared" si="9"/>
        <v>77</v>
      </c>
      <c r="L86" s="10" t="e">
        <f ca="1">IF(TodaysDate&gt;=B86,SUM(F86:I86),NA())</f>
        <v>#N/A</v>
      </c>
      <c r="M86" s="44" t="e">
        <f t="shared" ca="1" si="12"/>
        <v>#N/A</v>
      </c>
      <c r="N86" s="44" t="e">
        <f ca="1">IF(ISNUMBER(M86),(J86-J76)/NETWORKDAYS(B76,B86,BankHolidays),NA())</f>
        <v>#N/A</v>
      </c>
      <c r="O86" s="44" t="e">
        <f t="shared" ca="1" si="11"/>
        <v>#N/A</v>
      </c>
      <c r="P86" s="53" t="e">
        <f t="shared" ca="1" si="13"/>
        <v>#N/A</v>
      </c>
      <c r="Q86" s="53" t="str">
        <f ca="1">IFERROR(DayByDayTable[[#This Row],[Lead Time]],"")</f>
        <v/>
      </c>
      <c r="R86" s="44" t="e">
        <f t="shared" ca="1" si="14"/>
        <v>#N/A</v>
      </c>
      <c r="S86" s="44">
        <f ca="1">ROUND(PERCENTILE(DayByDayTable[[#Data],[BlankLeadTime]],0.8),0)</f>
        <v>8</v>
      </c>
    </row>
    <row r="87" spans="1:19">
      <c r="A87" s="51">
        <f t="shared" si="8"/>
        <v>42531</v>
      </c>
      <c r="B87" s="11">
        <f t="shared" si="10"/>
        <v>42531</v>
      </c>
      <c r="C87" s="47">
        <f>SUMIFS('On The Board'!$M$5:$M$219,'On The Board'!F$5:F$219,"&lt;="&amp;$B87,'On The Board'!E$5:E$219,"="&amp;FutureWork)</f>
        <v>0</v>
      </c>
      <c r="D87" s="47" t="str">
        <f ca="1">IF(TodaysDate&gt;=B87,SUMIF('On The Board'!F$5:F$219,"&lt;="&amp;$B87,'On The Board'!$M$5:$M$219)-SUM(F87:J87),"")</f>
        <v/>
      </c>
      <c r="E87" s="12">
        <f ca="1">IF(TodaysDate&gt;=B87,SUMIF('On The Board'!F$5:F$219,"&lt;="&amp;$B87,'On The Board'!$M$5:$M$219)-SUM(F87:J87),E86)</f>
        <v>47</v>
      </c>
      <c r="F87" s="12">
        <f>SUMIF('On The Board'!G$5:G$219,"&lt;="&amp;$B87,'On The Board'!$M$5:$M$219)-SUM(G87:J87)</f>
        <v>0</v>
      </c>
      <c r="G87" s="12">
        <f>SUMIF('On The Board'!H$5:H$219,"&lt;="&amp;$B87,'On The Board'!$M$5:$M$219)-SUM(H87:J87)</f>
        <v>5</v>
      </c>
      <c r="H87" s="12">
        <f>SUMIF('On The Board'!I$5:I$219,"&lt;="&amp;$B87,'On The Board'!$M$5:$M$219)-SUM(I87,J87)</f>
        <v>2</v>
      </c>
      <c r="I87" s="12">
        <f>SUMIF('On The Board'!J$5:J$219,"&lt;="&amp;$B87,'On The Board'!$M$5:$M$219)-SUM(J87)</f>
        <v>0</v>
      </c>
      <c r="J87" s="12">
        <f>SUMIF('On The Board'!K$5:K$219,"&lt;="&amp;$B87,'On The Board'!$M$5:$M$219)</f>
        <v>70</v>
      </c>
      <c r="K87" s="10">
        <f t="shared" si="9"/>
        <v>77</v>
      </c>
      <c r="L87" s="10" t="e">
        <f ca="1">IF(TodaysDate&gt;=B87,SUM(F87:I87),NA())</f>
        <v>#N/A</v>
      </c>
      <c r="M87" s="44" t="e">
        <f t="shared" ca="1" si="12"/>
        <v>#N/A</v>
      </c>
      <c r="N87" s="44" t="e">
        <f ca="1">IF(ISNUMBER(M87),(J87-J77)/NETWORKDAYS(B77,B87,BankHolidays),NA())</f>
        <v>#N/A</v>
      </c>
      <c r="O87" s="44" t="e">
        <f t="shared" ca="1" si="11"/>
        <v>#N/A</v>
      </c>
      <c r="P87" s="53" t="e">
        <f t="shared" ca="1" si="13"/>
        <v>#N/A</v>
      </c>
      <c r="Q87" s="53" t="str">
        <f ca="1">IFERROR(DayByDayTable[[#This Row],[Lead Time]],"")</f>
        <v/>
      </c>
      <c r="R87" s="44" t="e">
        <f t="shared" ca="1" si="14"/>
        <v>#N/A</v>
      </c>
      <c r="S87" s="44">
        <f ca="1">ROUND(PERCENTILE(DayByDayTable[[#Data],[BlankLeadTime]],0.8),0)</f>
        <v>8</v>
      </c>
    </row>
    <row r="88" spans="1:19">
      <c r="A88" s="51">
        <f t="shared" si="8"/>
        <v>42534</v>
      </c>
      <c r="B88" s="11">
        <f t="shared" si="10"/>
        <v>42534</v>
      </c>
      <c r="C88" s="47">
        <f>SUMIFS('On The Board'!$M$5:$M$219,'On The Board'!F$5:F$219,"&lt;="&amp;$B88,'On The Board'!E$5:E$219,"="&amp;FutureWork)</f>
        <v>0</v>
      </c>
      <c r="D88" s="47" t="str">
        <f ca="1">IF(TodaysDate&gt;=B88,SUMIF('On The Board'!F$5:F$219,"&lt;="&amp;$B88,'On The Board'!$M$5:$M$219)-SUM(F88:J88),"")</f>
        <v/>
      </c>
      <c r="E88" s="12">
        <f ca="1">IF(TodaysDate&gt;=B88,SUMIF('On The Board'!F$5:F$219,"&lt;="&amp;$B88,'On The Board'!$M$5:$M$219)-SUM(F88:J88),E87)</f>
        <v>47</v>
      </c>
      <c r="F88" s="12">
        <f>SUMIF('On The Board'!G$5:G$219,"&lt;="&amp;$B88,'On The Board'!$M$5:$M$219)-SUM(G88:J88)</f>
        <v>0</v>
      </c>
      <c r="G88" s="12">
        <f>SUMIF('On The Board'!H$5:H$219,"&lt;="&amp;$B88,'On The Board'!$M$5:$M$219)-SUM(H88:J88)</f>
        <v>5</v>
      </c>
      <c r="H88" s="12">
        <f>SUMIF('On The Board'!I$5:I$219,"&lt;="&amp;$B88,'On The Board'!$M$5:$M$219)-SUM(I88,J88)</f>
        <v>2</v>
      </c>
      <c r="I88" s="12">
        <f>SUMIF('On The Board'!J$5:J$219,"&lt;="&amp;$B88,'On The Board'!$M$5:$M$219)-SUM(J88)</f>
        <v>0</v>
      </c>
      <c r="J88" s="12">
        <f>SUMIF('On The Board'!K$5:K$219,"&lt;="&amp;$B88,'On The Board'!$M$5:$M$219)</f>
        <v>70</v>
      </c>
      <c r="K88" s="10">
        <f t="shared" si="9"/>
        <v>77</v>
      </c>
      <c r="L88" s="10" t="e">
        <f ca="1">IF(TodaysDate&gt;=B88,SUM(F88:I88),NA())</f>
        <v>#N/A</v>
      </c>
      <c r="M88" s="44" t="e">
        <f t="shared" ca="1" si="12"/>
        <v>#N/A</v>
      </c>
      <c r="N88" s="44" t="e">
        <f ca="1">IF(ISNUMBER(M88),(J88-J78)/NETWORKDAYS(B78,B88,BankHolidays),NA())</f>
        <v>#N/A</v>
      </c>
      <c r="O88" s="44" t="e">
        <f t="shared" ca="1" si="11"/>
        <v>#N/A</v>
      </c>
      <c r="P88" s="53" t="e">
        <f t="shared" ca="1" si="13"/>
        <v>#N/A</v>
      </c>
      <c r="Q88" s="53" t="str">
        <f ca="1">IFERROR(DayByDayTable[[#This Row],[Lead Time]],"")</f>
        <v/>
      </c>
      <c r="R88" s="44" t="e">
        <f t="shared" ca="1" si="14"/>
        <v>#N/A</v>
      </c>
      <c r="S88" s="44">
        <f ca="1">ROUND(PERCENTILE(DayByDayTable[[#Data],[BlankLeadTime]],0.8),0)</f>
        <v>8</v>
      </c>
    </row>
    <row r="89" spans="1:19">
      <c r="A89" s="51">
        <f t="shared" si="8"/>
        <v>42535</v>
      </c>
      <c r="B89" s="11">
        <f t="shared" si="10"/>
        <v>42535</v>
      </c>
      <c r="C89" s="47">
        <f>SUMIFS('On The Board'!$M$5:$M$219,'On The Board'!F$5:F$219,"&lt;="&amp;$B89,'On The Board'!E$5:E$219,"="&amp;FutureWork)</f>
        <v>0</v>
      </c>
      <c r="D89" s="47" t="str">
        <f ca="1">IF(TodaysDate&gt;=B89,SUMIF('On The Board'!F$5:F$219,"&lt;="&amp;$B89,'On The Board'!$M$5:$M$219)-SUM(F89:J89),"")</f>
        <v/>
      </c>
      <c r="E89" s="12">
        <f ca="1">IF(TodaysDate&gt;=B89,SUMIF('On The Board'!F$5:F$219,"&lt;="&amp;$B89,'On The Board'!$M$5:$M$219)-SUM(F89:J89),E88)</f>
        <v>47</v>
      </c>
      <c r="F89" s="12">
        <f>SUMIF('On The Board'!G$5:G$219,"&lt;="&amp;$B89,'On The Board'!$M$5:$M$219)-SUM(G89:J89)</f>
        <v>0</v>
      </c>
      <c r="G89" s="12">
        <f>SUMIF('On The Board'!H$5:H$219,"&lt;="&amp;$B89,'On The Board'!$M$5:$M$219)-SUM(H89:J89)</f>
        <v>5</v>
      </c>
      <c r="H89" s="12">
        <f>SUMIF('On The Board'!I$5:I$219,"&lt;="&amp;$B89,'On The Board'!$M$5:$M$219)-SUM(I89,J89)</f>
        <v>2</v>
      </c>
      <c r="I89" s="12">
        <f>SUMIF('On The Board'!J$5:J$219,"&lt;="&amp;$B89,'On The Board'!$M$5:$M$219)-SUM(J89)</f>
        <v>0</v>
      </c>
      <c r="J89" s="12">
        <f>SUMIF('On The Board'!K$5:K$219,"&lt;="&amp;$B89,'On The Board'!$M$5:$M$219)</f>
        <v>70</v>
      </c>
      <c r="K89" s="10">
        <f t="shared" si="9"/>
        <v>77</v>
      </c>
      <c r="L89" s="10" t="e">
        <f ca="1">IF(TodaysDate&gt;=B89,SUM(F89:I89),NA())</f>
        <v>#N/A</v>
      </c>
      <c r="M89" s="44" t="e">
        <f t="shared" ca="1" si="12"/>
        <v>#N/A</v>
      </c>
      <c r="N89" s="44" t="e">
        <f ca="1">IF(ISNUMBER(M89),(J89-J79)/NETWORKDAYS(B79,B89,BankHolidays),NA())</f>
        <v>#N/A</v>
      </c>
      <c r="O89" s="44" t="e">
        <f t="shared" ca="1" si="11"/>
        <v>#N/A</v>
      </c>
      <c r="P89" s="53" t="e">
        <f t="shared" ca="1" si="13"/>
        <v>#N/A</v>
      </c>
      <c r="Q89" s="53" t="str">
        <f ca="1">IFERROR(DayByDayTable[[#This Row],[Lead Time]],"")</f>
        <v/>
      </c>
      <c r="R89" s="44" t="e">
        <f t="shared" ca="1" si="14"/>
        <v>#N/A</v>
      </c>
      <c r="S89" s="44">
        <f ca="1">ROUND(PERCENTILE(DayByDayTable[[#Data],[BlankLeadTime]],0.8),0)</f>
        <v>8</v>
      </c>
    </row>
    <row r="90" spans="1:19">
      <c r="A90" s="51">
        <f t="shared" si="8"/>
        <v>42536</v>
      </c>
      <c r="B90" s="11">
        <f t="shared" si="10"/>
        <v>42536</v>
      </c>
      <c r="C90" s="47">
        <f>SUMIFS('On The Board'!$M$5:$M$219,'On The Board'!F$5:F$219,"&lt;="&amp;$B90,'On The Board'!E$5:E$219,"="&amp;FutureWork)</f>
        <v>0</v>
      </c>
      <c r="D90" s="47" t="str">
        <f ca="1">IF(TodaysDate&gt;=B90,SUMIF('On The Board'!F$5:F$219,"&lt;="&amp;$B90,'On The Board'!$M$5:$M$219)-SUM(F90:J90),"")</f>
        <v/>
      </c>
      <c r="E90" s="12">
        <f ca="1">IF(TodaysDate&gt;=B90,SUMIF('On The Board'!F$5:F$219,"&lt;="&amp;$B90,'On The Board'!$M$5:$M$219)-SUM(F90:J90),E89)</f>
        <v>47</v>
      </c>
      <c r="F90" s="12">
        <f>SUMIF('On The Board'!G$5:G$219,"&lt;="&amp;$B90,'On The Board'!$M$5:$M$219)-SUM(G90:J90)</f>
        <v>0</v>
      </c>
      <c r="G90" s="12">
        <f>SUMIF('On The Board'!H$5:H$219,"&lt;="&amp;$B90,'On The Board'!$M$5:$M$219)-SUM(H90:J90)</f>
        <v>5</v>
      </c>
      <c r="H90" s="12">
        <f>SUMIF('On The Board'!I$5:I$219,"&lt;="&amp;$B90,'On The Board'!$M$5:$M$219)-SUM(I90,J90)</f>
        <v>2</v>
      </c>
      <c r="I90" s="12">
        <f>SUMIF('On The Board'!J$5:J$219,"&lt;="&amp;$B90,'On The Board'!$M$5:$M$219)-SUM(J90)</f>
        <v>0</v>
      </c>
      <c r="J90" s="12">
        <f>SUMIF('On The Board'!K$5:K$219,"&lt;="&amp;$B90,'On The Board'!$M$5:$M$219)</f>
        <v>70</v>
      </c>
      <c r="K90" s="10">
        <f t="shared" si="9"/>
        <v>77</v>
      </c>
      <c r="L90" s="10" t="e">
        <f ca="1">IF(TodaysDate&gt;=B90,SUM(F90:I90),NA())</f>
        <v>#N/A</v>
      </c>
      <c r="M90" s="44" t="e">
        <f t="shared" ca="1" si="12"/>
        <v>#N/A</v>
      </c>
      <c r="N90" s="44" t="e">
        <f ca="1">IF(ISNUMBER(M90),(J90-J80)/NETWORKDAYS(B80,B90,BankHolidays),NA())</f>
        <v>#N/A</v>
      </c>
      <c r="O90" s="44" t="e">
        <f t="shared" ca="1" si="11"/>
        <v>#N/A</v>
      </c>
      <c r="P90" s="53" t="e">
        <f t="shared" ca="1" si="13"/>
        <v>#N/A</v>
      </c>
      <c r="Q90" s="53" t="str">
        <f ca="1">IFERROR(DayByDayTable[[#This Row],[Lead Time]],"")</f>
        <v/>
      </c>
      <c r="R90" s="44" t="e">
        <f t="shared" ca="1" si="14"/>
        <v>#N/A</v>
      </c>
      <c r="S90" s="44">
        <f ca="1">ROUND(PERCENTILE(DayByDayTable[[#Data],[BlankLeadTime]],0.8),0)</f>
        <v>8</v>
      </c>
    </row>
    <row r="91" spans="1:19">
      <c r="A91" s="51">
        <f t="shared" si="8"/>
        <v>42537</v>
      </c>
      <c r="B91" s="11">
        <f t="shared" si="10"/>
        <v>42537</v>
      </c>
      <c r="C91" s="47">
        <f>SUMIFS('On The Board'!$M$5:$M$219,'On The Board'!F$5:F$219,"&lt;="&amp;$B91,'On The Board'!E$5:E$219,"="&amp;FutureWork)</f>
        <v>0</v>
      </c>
      <c r="D91" s="47" t="str">
        <f ca="1">IF(TodaysDate&gt;=B91,SUMIF('On The Board'!F$5:F$219,"&lt;="&amp;$B91,'On The Board'!$M$5:$M$219)-SUM(F91:J91),"")</f>
        <v/>
      </c>
      <c r="E91" s="12">
        <f ca="1">IF(TodaysDate&gt;=B91,SUMIF('On The Board'!F$5:F$219,"&lt;="&amp;$B91,'On The Board'!$M$5:$M$219)-SUM(F91:J91),E90)</f>
        <v>47</v>
      </c>
      <c r="F91" s="12">
        <f>SUMIF('On The Board'!G$5:G$219,"&lt;="&amp;$B91,'On The Board'!$M$5:$M$219)-SUM(G91:J91)</f>
        <v>0</v>
      </c>
      <c r="G91" s="12">
        <f>SUMIF('On The Board'!H$5:H$219,"&lt;="&amp;$B91,'On The Board'!$M$5:$M$219)-SUM(H91:J91)</f>
        <v>5</v>
      </c>
      <c r="H91" s="12">
        <f>SUMIF('On The Board'!I$5:I$219,"&lt;="&amp;$B91,'On The Board'!$M$5:$M$219)-SUM(I91,J91)</f>
        <v>2</v>
      </c>
      <c r="I91" s="12">
        <f>SUMIF('On The Board'!J$5:J$219,"&lt;="&amp;$B91,'On The Board'!$M$5:$M$219)-SUM(J91)</f>
        <v>0</v>
      </c>
      <c r="J91" s="12">
        <f>SUMIF('On The Board'!K$5:K$219,"&lt;="&amp;$B91,'On The Board'!$M$5:$M$219)</f>
        <v>70</v>
      </c>
      <c r="K91" s="10">
        <f t="shared" si="9"/>
        <v>77</v>
      </c>
      <c r="L91" s="10" t="e">
        <f ca="1">IF(TodaysDate&gt;=B91,SUM(F91:I91),NA())</f>
        <v>#N/A</v>
      </c>
      <c r="M91" s="44" t="e">
        <f t="shared" ca="1" si="12"/>
        <v>#N/A</v>
      </c>
      <c r="N91" s="44" t="e">
        <f ca="1">IF(ISNUMBER(M91),(J91-J81)/NETWORKDAYS(B81,B91,BankHolidays),NA())</f>
        <v>#N/A</v>
      </c>
      <c r="O91" s="44" t="e">
        <f t="shared" ca="1" si="11"/>
        <v>#N/A</v>
      </c>
      <c r="P91" s="53" t="e">
        <f t="shared" ca="1" si="13"/>
        <v>#N/A</v>
      </c>
      <c r="Q91" s="53" t="str">
        <f ca="1">IFERROR(DayByDayTable[[#This Row],[Lead Time]],"")</f>
        <v/>
      </c>
      <c r="R91" s="44" t="e">
        <f t="shared" ca="1" si="14"/>
        <v>#N/A</v>
      </c>
      <c r="S91" s="44">
        <f ca="1">ROUND(PERCENTILE(DayByDayTable[[#Data],[BlankLeadTime]],0.8),0)</f>
        <v>8</v>
      </c>
    </row>
    <row r="92" spans="1:19">
      <c r="A92" s="51">
        <f t="shared" si="8"/>
        <v>42538</v>
      </c>
      <c r="B92" s="11">
        <f t="shared" si="10"/>
        <v>42538</v>
      </c>
      <c r="C92" s="47">
        <f>SUMIFS('On The Board'!$M$5:$M$219,'On The Board'!F$5:F$219,"&lt;="&amp;$B92,'On The Board'!E$5:E$219,"="&amp;FutureWork)</f>
        <v>0</v>
      </c>
      <c r="D92" s="47" t="str">
        <f ca="1">IF(TodaysDate&gt;=B92,SUMIF('On The Board'!F$5:F$219,"&lt;="&amp;$B92,'On The Board'!$M$5:$M$219)-SUM(F92:J92),"")</f>
        <v/>
      </c>
      <c r="E92" s="12">
        <f ca="1">IF(TodaysDate&gt;=B92,SUMIF('On The Board'!F$5:F$219,"&lt;="&amp;$B92,'On The Board'!$M$5:$M$219)-SUM(F92:J92),E91)</f>
        <v>47</v>
      </c>
      <c r="F92" s="12">
        <f>SUMIF('On The Board'!G$5:G$219,"&lt;="&amp;$B92,'On The Board'!$M$5:$M$219)-SUM(G92:J92)</f>
        <v>0</v>
      </c>
      <c r="G92" s="12">
        <f>SUMIF('On The Board'!H$5:H$219,"&lt;="&amp;$B92,'On The Board'!$M$5:$M$219)-SUM(H92:J92)</f>
        <v>5</v>
      </c>
      <c r="H92" s="12">
        <f>SUMIF('On The Board'!I$5:I$219,"&lt;="&amp;$B92,'On The Board'!$M$5:$M$219)-SUM(I92,J92)</f>
        <v>2</v>
      </c>
      <c r="I92" s="12">
        <f>SUMIF('On The Board'!J$5:J$219,"&lt;="&amp;$B92,'On The Board'!$M$5:$M$219)-SUM(J92)</f>
        <v>0</v>
      </c>
      <c r="J92" s="12">
        <f>SUMIF('On The Board'!K$5:K$219,"&lt;="&amp;$B92,'On The Board'!$M$5:$M$219)</f>
        <v>70</v>
      </c>
      <c r="K92" s="10">
        <f t="shared" si="9"/>
        <v>77</v>
      </c>
      <c r="L92" s="10" t="e">
        <f ca="1">IF(TodaysDate&gt;=B92,SUM(F92:I92),NA())</f>
        <v>#N/A</v>
      </c>
      <c r="M92" s="44" t="e">
        <f t="shared" ca="1" si="12"/>
        <v>#N/A</v>
      </c>
      <c r="N92" s="44" t="e">
        <f ca="1">IF(ISNUMBER(M92),(J92-J82)/NETWORKDAYS(B82,B92,BankHolidays),NA())</f>
        <v>#N/A</v>
      </c>
      <c r="O92" s="44" t="e">
        <f t="shared" ca="1" si="11"/>
        <v>#N/A</v>
      </c>
      <c r="P92" s="53" t="e">
        <f t="shared" ca="1" si="13"/>
        <v>#N/A</v>
      </c>
      <c r="Q92" s="53" t="str">
        <f ca="1">IFERROR(DayByDayTable[[#This Row],[Lead Time]],"")</f>
        <v/>
      </c>
      <c r="R92" s="44" t="e">
        <f t="shared" ca="1" si="14"/>
        <v>#N/A</v>
      </c>
      <c r="S92" s="44">
        <f ca="1">ROUND(PERCENTILE(DayByDayTable[[#Data],[BlankLeadTime]],0.8),0)</f>
        <v>8</v>
      </c>
    </row>
    <row r="93" spans="1:19">
      <c r="A93" s="51">
        <f t="shared" si="8"/>
        <v>42541</v>
      </c>
      <c r="B93" s="11">
        <f t="shared" si="10"/>
        <v>42541</v>
      </c>
      <c r="C93" s="47">
        <f>SUMIFS('On The Board'!$M$5:$M$219,'On The Board'!F$5:F$219,"&lt;="&amp;$B93,'On The Board'!E$5:E$219,"="&amp;FutureWork)</f>
        <v>0</v>
      </c>
      <c r="D93" s="47" t="str">
        <f ca="1">IF(TodaysDate&gt;=B93,SUMIF('On The Board'!F$5:F$219,"&lt;="&amp;$B93,'On The Board'!$M$5:$M$219)-SUM(F93:J93),"")</f>
        <v/>
      </c>
      <c r="E93" s="12">
        <f ca="1">IF(TodaysDate&gt;=B93,SUMIF('On The Board'!F$5:F$219,"&lt;="&amp;$B93,'On The Board'!$M$5:$M$219)-SUM(F93:J93),E92)</f>
        <v>47</v>
      </c>
      <c r="F93" s="12">
        <f>SUMIF('On The Board'!G$5:G$219,"&lt;="&amp;$B93,'On The Board'!$M$5:$M$219)-SUM(G93:J93)</f>
        <v>0</v>
      </c>
      <c r="G93" s="12">
        <f>SUMIF('On The Board'!H$5:H$219,"&lt;="&amp;$B93,'On The Board'!$M$5:$M$219)-SUM(H93:J93)</f>
        <v>5</v>
      </c>
      <c r="H93" s="12">
        <f>SUMIF('On The Board'!I$5:I$219,"&lt;="&amp;$B93,'On The Board'!$M$5:$M$219)-SUM(I93,J93)</f>
        <v>2</v>
      </c>
      <c r="I93" s="12">
        <f>SUMIF('On The Board'!J$5:J$219,"&lt;="&amp;$B93,'On The Board'!$M$5:$M$219)-SUM(J93)</f>
        <v>0</v>
      </c>
      <c r="J93" s="12">
        <f>SUMIF('On The Board'!K$5:K$219,"&lt;="&amp;$B93,'On The Board'!$M$5:$M$219)</f>
        <v>70</v>
      </c>
      <c r="K93" s="10">
        <f t="shared" si="9"/>
        <v>77</v>
      </c>
      <c r="L93" s="10" t="e">
        <f ca="1">IF(TodaysDate&gt;=B93,SUM(F93:I93),NA())</f>
        <v>#N/A</v>
      </c>
      <c r="M93" s="44" t="e">
        <f t="shared" ca="1" si="12"/>
        <v>#N/A</v>
      </c>
      <c r="N93" s="44" t="e">
        <f ca="1">IF(ISNUMBER(M93),(J93-J83)/NETWORKDAYS(B83,B93,BankHolidays),NA())</f>
        <v>#N/A</v>
      </c>
      <c r="O93" s="44" t="e">
        <f t="shared" ca="1" si="11"/>
        <v>#N/A</v>
      </c>
      <c r="P93" s="53" t="e">
        <f t="shared" ca="1" si="13"/>
        <v>#N/A</v>
      </c>
      <c r="Q93" s="53" t="str">
        <f ca="1">IFERROR(DayByDayTable[[#This Row],[Lead Time]],"")</f>
        <v/>
      </c>
      <c r="R93" s="44" t="e">
        <f t="shared" ca="1" si="14"/>
        <v>#N/A</v>
      </c>
      <c r="S93" s="44">
        <f ca="1">ROUND(PERCENTILE(DayByDayTable[[#Data],[BlankLeadTime]],0.8),0)</f>
        <v>8</v>
      </c>
    </row>
    <row r="94" spans="1:19">
      <c r="A94" s="51">
        <f t="shared" si="8"/>
        <v>42542</v>
      </c>
      <c r="B94" s="11">
        <f t="shared" si="10"/>
        <v>42542</v>
      </c>
      <c r="C94" s="47">
        <f>SUMIFS('On The Board'!$M$5:$M$219,'On The Board'!F$5:F$219,"&lt;="&amp;$B94,'On The Board'!E$5:E$219,"="&amp;FutureWork)</f>
        <v>0</v>
      </c>
      <c r="D94" s="47" t="str">
        <f ca="1">IF(TodaysDate&gt;=B94,SUMIF('On The Board'!F$5:F$219,"&lt;="&amp;$B94,'On The Board'!$M$5:$M$219)-SUM(F94:J94),"")</f>
        <v/>
      </c>
      <c r="E94" s="12">
        <f ca="1">IF(TodaysDate&gt;=B94,SUMIF('On The Board'!F$5:F$219,"&lt;="&amp;$B94,'On The Board'!$M$5:$M$219)-SUM(F94:J94),E93)</f>
        <v>47</v>
      </c>
      <c r="F94" s="12">
        <f>SUMIF('On The Board'!G$5:G$219,"&lt;="&amp;$B94,'On The Board'!$M$5:$M$219)-SUM(G94:J94)</f>
        <v>0</v>
      </c>
      <c r="G94" s="12">
        <f>SUMIF('On The Board'!H$5:H$219,"&lt;="&amp;$B94,'On The Board'!$M$5:$M$219)-SUM(H94:J94)</f>
        <v>5</v>
      </c>
      <c r="H94" s="12">
        <f>SUMIF('On The Board'!I$5:I$219,"&lt;="&amp;$B94,'On The Board'!$M$5:$M$219)-SUM(I94,J94)</f>
        <v>2</v>
      </c>
      <c r="I94" s="12">
        <f>SUMIF('On The Board'!J$5:J$219,"&lt;="&amp;$B94,'On The Board'!$M$5:$M$219)-SUM(J94)</f>
        <v>0</v>
      </c>
      <c r="J94" s="12">
        <f>SUMIF('On The Board'!K$5:K$219,"&lt;="&amp;$B94,'On The Board'!$M$5:$M$219)</f>
        <v>70</v>
      </c>
      <c r="K94" s="10">
        <f t="shared" si="9"/>
        <v>77</v>
      </c>
      <c r="L94" s="10" t="e">
        <f ca="1">IF(TodaysDate&gt;=B94,SUM(F94:I94),NA())</f>
        <v>#N/A</v>
      </c>
      <c r="M94" s="44" t="e">
        <f t="shared" ca="1" si="12"/>
        <v>#N/A</v>
      </c>
      <c r="N94" s="44" t="e">
        <f ca="1">IF(ISNUMBER(M94),(J94-J84)/NETWORKDAYS(B84,B94,BankHolidays),NA())</f>
        <v>#N/A</v>
      </c>
      <c r="O94" s="44" t="e">
        <f t="shared" ca="1" si="11"/>
        <v>#N/A</v>
      </c>
      <c r="P94" s="53" t="e">
        <f t="shared" ca="1" si="13"/>
        <v>#N/A</v>
      </c>
      <c r="Q94" s="53" t="str">
        <f ca="1">IFERROR(DayByDayTable[[#This Row],[Lead Time]],"")</f>
        <v/>
      </c>
      <c r="R94" s="44" t="e">
        <f t="shared" ca="1" si="14"/>
        <v>#N/A</v>
      </c>
      <c r="S94" s="44">
        <f ca="1">ROUND(PERCENTILE(DayByDayTable[[#Data],[BlankLeadTime]],0.8),0)</f>
        <v>8</v>
      </c>
    </row>
    <row r="95" spans="1:19">
      <c r="A95" s="51">
        <f t="shared" si="8"/>
        <v>42543</v>
      </c>
      <c r="B95" s="11">
        <f t="shared" si="10"/>
        <v>42543</v>
      </c>
      <c r="C95" s="47">
        <f>SUMIFS('On The Board'!$M$5:$M$219,'On The Board'!F$5:F$219,"&lt;="&amp;$B95,'On The Board'!E$5:E$219,"="&amp;FutureWork)</f>
        <v>0</v>
      </c>
      <c r="D95" s="47" t="str">
        <f ca="1">IF(TodaysDate&gt;=B95,SUMIF('On The Board'!F$5:F$219,"&lt;="&amp;$B95,'On The Board'!$M$5:$M$219)-SUM(F95:J95),"")</f>
        <v/>
      </c>
      <c r="E95" s="12">
        <f ca="1">IF(TodaysDate&gt;=B95,SUMIF('On The Board'!F$5:F$219,"&lt;="&amp;$B95,'On The Board'!$M$5:$M$219)-SUM(F95:J95),E94)</f>
        <v>47</v>
      </c>
      <c r="F95" s="12">
        <f>SUMIF('On The Board'!G$5:G$219,"&lt;="&amp;$B95,'On The Board'!$M$5:$M$219)-SUM(G95:J95)</f>
        <v>0</v>
      </c>
      <c r="G95" s="12">
        <f>SUMIF('On The Board'!H$5:H$219,"&lt;="&amp;$B95,'On The Board'!$M$5:$M$219)-SUM(H95:J95)</f>
        <v>5</v>
      </c>
      <c r="H95" s="12">
        <f>SUMIF('On The Board'!I$5:I$219,"&lt;="&amp;$B95,'On The Board'!$M$5:$M$219)-SUM(I95,J95)</f>
        <v>2</v>
      </c>
      <c r="I95" s="12">
        <f>SUMIF('On The Board'!J$5:J$219,"&lt;="&amp;$B95,'On The Board'!$M$5:$M$219)-SUM(J95)</f>
        <v>0</v>
      </c>
      <c r="J95" s="12">
        <f>SUMIF('On The Board'!K$5:K$219,"&lt;="&amp;$B95,'On The Board'!$M$5:$M$219)</f>
        <v>70</v>
      </c>
      <c r="K95" s="10">
        <f t="shared" si="9"/>
        <v>77</v>
      </c>
      <c r="L95" s="10" t="e">
        <f ca="1">IF(TodaysDate&gt;=B95,SUM(F95:I95),NA())</f>
        <v>#N/A</v>
      </c>
      <c r="M95" s="44" t="e">
        <f t="shared" ca="1" si="12"/>
        <v>#N/A</v>
      </c>
      <c r="N95" s="44" t="e">
        <f ca="1">IF(ISNUMBER(M95),(J95-J85)/NETWORKDAYS(B85,B95,BankHolidays),NA())</f>
        <v>#N/A</v>
      </c>
      <c r="O95" s="44" t="e">
        <f t="shared" ca="1" si="11"/>
        <v>#N/A</v>
      </c>
      <c r="P95" s="53" t="e">
        <f t="shared" ca="1" si="13"/>
        <v>#N/A</v>
      </c>
      <c r="Q95" s="53" t="str">
        <f ca="1">IFERROR(DayByDayTable[[#This Row],[Lead Time]],"")</f>
        <v/>
      </c>
      <c r="R95" s="44" t="e">
        <f t="shared" ca="1" si="14"/>
        <v>#N/A</v>
      </c>
      <c r="S95" s="44">
        <f ca="1">ROUND(PERCENTILE(DayByDayTable[[#Data],[BlankLeadTime]],0.8),0)</f>
        <v>8</v>
      </c>
    </row>
    <row r="96" spans="1:19">
      <c r="A96" s="51">
        <f t="shared" si="8"/>
        <v>42544</v>
      </c>
      <c r="B96" s="11">
        <f t="shared" si="10"/>
        <v>42544</v>
      </c>
      <c r="C96" s="47">
        <f>SUMIFS('On The Board'!$M$5:$M$219,'On The Board'!F$5:F$219,"&lt;="&amp;$B96,'On The Board'!E$5:E$219,"="&amp;FutureWork)</f>
        <v>0</v>
      </c>
      <c r="D96" s="47" t="str">
        <f ca="1">IF(TodaysDate&gt;=B96,SUMIF('On The Board'!F$5:F$219,"&lt;="&amp;$B96,'On The Board'!$M$5:$M$219)-SUM(F96:J96),"")</f>
        <v/>
      </c>
      <c r="E96" s="12">
        <f ca="1">IF(TodaysDate&gt;=B96,SUMIF('On The Board'!F$5:F$219,"&lt;="&amp;$B96,'On The Board'!$M$5:$M$219)-SUM(F96:J96),E95)</f>
        <v>47</v>
      </c>
      <c r="F96" s="12">
        <f>SUMIF('On The Board'!G$5:G$219,"&lt;="&amp;$B96,'On The Board'!$M$5:$M$219)-SUM(G96:J96)</f>
        <v>0</v>
      </c>
      <c r="G96" s="12">
        <f>SUMIF('On The Board'!H$5:H$219,"&lt;="&amp;$B96,'On The Board'!$M$5:$M$219)-SUM(H96:J96)</f>
        <v>5</v>
      </c>
      <c r="H96" s="12">
        <f>SUMIF('On The Board'!I$5:I$219,"&lt;="&amp;$B96,'On The Board'!$M$5:$M$219)-SUM(I96,J96)</f>
        <v>2</v>
      </c>
      <c r="I96" s="12">
        <f>SUMIF('On The Board'!J$5:J$219,"&lt;="&amp;$B96,'On The Board'!$M$5:$M$219)-SUM(J96)</f>
        <v>0</v>
      </c>
      <c r="J96" s="12">
        <f>SUMIF('On The Board'!K$5:K$219,"&lt;="&amp;$B96,'On The Board'!$M$5:$M$219)</f>
        <v>70</v>
      </c>
      <c r="K96" s="10">
        <f t="shared" si="9"/>
        <v>77</v>
      </c>
      <c r="L96" s="10" t="e">
        <f ca="1">IF(TodaysDate&gt;=B96,SUM(F96:I96),NA())</f>
        <v>#N/A</v>
      </c>
      <c r="M96" s="44" t="e">
        <f t="shared" ca="1" si="12"/>
        <v>#N/A</v>
      </c>
      <c r="N96" s="44" t="e">
        <f ca="1">IF(ISNUMBER(M96),(J96-J86)/NETWORKDAYS(B86,B96,BankHolidays),NA())</f>
        <v>#N/A</v>
      </c>
      <c r="O96" s="44" t="e">
        <f t="shared" ca="1" si="11"/>
        <v>#N/A</v>
      </c>
      <c r="P96" s="53" t="e">
        <f t="shared" ca="1" si="13"/>
        <v>#N/A</v>
      </c>
      <c r="Q96" s="53" t="str">
        <f ca="1">IFERROR(DayByDayTable[[#This Row],[Lead Time]],"")</f>
        <v/>
      </c>
      <c r="R96" s="44" t="e">
        <f t="shared" ca="1" si="14"/>
        <v>#N/A</v>
      </c>
      <c r="S96" s="44">
        <f ca="1">ROUND(PERCENTILE(DayByDayTable[[#Data],[BlankLeadTime]],0.8),0)</f>
        <v>8</v>
      </c>
    </row>
    <row r="97" spans="1:19">
      <c r="A97" s="51">
        <f t="shared" si="8"/>
        <v>42545</v>
      </c>
      <c r="B97" s="11">
        <f t="shared" si="10"/>
        <v>42545</v>
      </c>
      <c r="C97" s="47">
        <f>SUMIFS('On The Board'!$M$5:$M$219,'On The Board'!F$5:F$219,"&lt;="&amp;$B97,'On The Board'!E$5:E$219,"="&amp;FutureWork)</f>
        <v>0</v>
      </c>
      <c r="D97" s="47" t="str">
        <f ca="1">IF(TodaysDate&gt;=B97,SUMIF('On The Board'!F$5:F$219,"&lt;="&amp;$B97,'On The Board'!$M$5:$M$219)-SUM(F97:J97),"")</f>
        <v/>
      </c>
      <c r="E97" s="12">
        <f ca="1">IF(TodaysDate&gt;=B97,SUMIF('On The Board'!F$5:F$219,"&lt;="&amp;$B97,'On The Board'!$M$5:$M$219)-SUM(F97:J97),E96)</f>
        <v>47</v>
      </c>
      <c r="F97" s="12">
        <f>SUMIF('On The Board'!G$5:G$219,"&lt;="&amp;$B97,'On The Board'!$M$5:$M$219)-SUM(G97:J97)</f>
        <v>0</v>
      </c>
      <c r="G97" s="12">
        <f>SUMIF('On The Board'!H$5:H$219,"&lt;="&amp;$B97,'On The Board'!$M$5:$M$219)-SUM(H97:J97)</f>
        <v>5</v>
      </c>
      <c r="H97" s="12">
        <f>SUMIF('On The Board'!I$5:I$219,"&lt;="&amp;$B97,'On The Board'!$M$5:$M$219)-SUM(I97,J97)</f>
        <v>2</v>
      </c>
      <c r="I97" s="12">
        <f>SUMIF('On The Board'!J$5:J$219,"&lt;="&amp;$B97,'On The Board'!$M$5:$M$219)-SUM(J97)</f>
        <v>0</v>
      </c>
      <c r="J97" s="12">
        <f>SUMIF('On The Board'!K$5:K$219,"&lt;="&amp;$B97,'On The Board'!$M$5:$M$219)</f>
        <v>70</v>
      </c>
      <c r="K97" s="10">
        <f t="shared" si="9"/>
        <v>77</v>
      </c>
      <c r="L97" s="10" t="e">
        <f ca="1">IF(TodaysDate&gt;=B97,SUM(F97:I97),NA())</f>
        <v>#N/A</v>
      </c>
      <c r="M97" s="44" t="e">
        <f t="shared" ca="1" si="12"/>
        <v>#N/A</v>
      </c>
      <c r="N97" s="44" t="e">
        <f ca="1">IF(ISNUMBER(M97),(J97-J87)/NETWORKDAYS(B87,B97,BankHolidays),NA())</f>
        <v>#N/A</v>
      </c>
      <c r="O97" s="44" t="e">
        <f t="shared" ca="1" si="11"/>
        <v>#N/A</v>
      </c>
      <c r="P97" s="53" t="e">
        <f t="shared" ca="1" si="13"/>
        <v>#N/A</v>
      </c>
      <c r="Q97" s="53" t="str">
        <f ca="1">IFERROR(DayByDayTable[[#This Row],[Lead Time]],"")</f>
        <v/>
      </c>
      <c r="R97" s="44" t="e">
        <f t="shared" ca="1" si="14"/>
        <v>#N/A</v>
      </c>
      <c r="S97" s="44">
        <f ca="1">ROUND(PERCENTILE(DayByDayTable[[#Data],[BlankLeadTime]],0.8),0)</f>
        <v>8</v>
      </c>
    </row>
    <row r="98" spans="1:19">
      <c r="A98" s="51">
        <f t="shared" si="8"/>
        <v>42548</v>
      </c>
      <c r="B98" s="11">
        <f t="shared" si="10"/>
        <v>42548</v>
      </c>
      <c r="C98" s="47">
        <f>SUMIFS('On The Board'!$M$5:$M$219,'On The Board'!F$5:F$219,"&lt;="&amp;$B98,'On The Board'!E$5:E$219,"="&amp;FutureWork)</f>
        <v>0</v>
      </c>
      <c r="D98" s="47" t="str">
        <f ca="1">IF(TodaysDate&gt;=B98,SUMIF('On The Board'!F$5:F$219,"&lt;="&amp;$B98,'On The Board'!$M$5:$M$219)-SUM(F98:J98),"")</f>
        <v/>
      </c>
      <c r="E98" s="12">
        <f ca="1">IF(TodaysDate&gt;=B98,SUMIF('On The Board'!F$5:F$219,"&lt;="&amp;$B98,'On The Board'!$M$5:$M$219)-SUM(F98:J98),E97)</f>
        <v>47</v>
      </c>
      <c r="F98" s="12">
        <f>SUMIF('On The Board'!G$5:G$219,"&lt;="&amp;$B98,'On The Board'!$M$5:$M$219)-SUM(G98:J98)</f>
        <v>0</v>
      </c>
      <c r="G98" s="12">
        <f>SUMIF('On The Board'!H$5:H$219,"&lt;="&amp;$B98,'On The Board'!$M$5:$M$219)-SUM(H98:J98)</f>
        <v>5</v>
      </c>
      <c r="H98" s="12">
        <f>SUMIF('On The Board'!I$5:I$219,"&lt;="&amp;$B98,'On The Board'!$M$5:$M$219)-SUM(I98,J98)</f>
        <v>2</v>
      </c>
      <c r="I98" s="12">
        <f>SUMIF('On The Board'!J$5:J$219,"&lt;="&amp;$B98,'On The Board'!$M$5:$M$219)-SUM(J98)</f>
        <v>0</v>
      </c>
      <c r="J98" s="12">
        <f>SUMIF('On The Board'!K$5:K$219,"&lt;="&amp;$B98,'On The Board'!$M$5:$M$219)</f>
        <v>70</v>
      </c>
      <c r="K98" s="10">
        <f t="shared" si="9"/>
        <v>77</v>
      </c>
      <c r="L98" s="10" t="e">
        <f ca="1">IF(TodaysDate&gt;=B98,SUM(F98:I98),NA())</f>
        <v>#N/A</v>
      </c>
      <c r="M98" s="44" t="e">
        <f t="shared" ca="1" si="12"/>
        <v>#N/A</v>
      </c>
      <c r="N98" s="44" t="e">
        <f ca="1">IF(ISNUMBER(M98),(J98-J88)/NETWORKDAYS(B88,B98,BankHolidays),NA())</f>
        <v>#N/A</v>
      </c>
      <c r="O98" s="44" t="e">
        <f t="shared" ca="1" si="11"/>
        <v>#N/A</v>
      </c>
      <c r="P98" s="53" t="e">
        <f t="shared" ca="1" si="13"/>
        <v>#N/A</v>
      </c>
      <c r="Q98" s="53" t="str">
        <f ca="1">IFERROR(DayByDayTable[[#This Row],[Lead Time]],"")</f>
        <v/>
      </c>
      <c r="R98" s="44" t="e">
        <f t="shared" ca="1" si="14"/>
        <v>#N/A</v>
      </c>
      <c r="S98" s="44">
        <f ca="1">ROUND(PERCENTILE(DayByDayTable[[#Data],[BlankLeadTime]],0.8),0)</f>
        <v>8</v>
      </c>
    </row>
    <row r="99" spans="1:19">
      <c r="A99" s="51">
        <f t="shared" si="8"/>
        <v>42549</v>
      </c>
      <c r="B99" s="11">
        <f t="shared" si="10"/>
        <v>42549</v>
      </c>
      <c r="C99" s="47">
        <f>SUMIFS('On The Board'!$M$5:$M$219,'On The Board'!F$5:F$219,"&lt;="&amp;$B99,'On The Board'!E$5:E$219,"="&amp;FutureWork)</f>
        <v>0</v>
      </c>
      <c r="D99" s="47" t="str">
        <f ca="1">IF(TodaysDate&gt;=B99,SUMIF('On The Board'!F$5:F$219,"&lt;="&amp;$B99,'On The Board'!$M$5:$M$219)-SUM(F99:J99),"")</f>
        <v/>
      </c>
      <c r="E99" s="12">
        <f ca="1">IF(TodaysDate&gt;=B99,SUMIF('On The Board'!F$5:F$219,"&lt;="&amp;$B99,'On The Board'!$M$5:$M$219)-SUM(F99:J99),E98)</f>
        <v>47</v>
      </c>
      <c r="F99" s="12">
        <f>SUMIF('On The Board'!G$5:G$219,"&lt;="&amp;$B99,'On The Board'!$M$5:$M$219)-SUM(G99:J99)</f>
        <v>0</v>
      </c>
      <c r="G99" s="12">
        <f>SUMIF('On The Board'!H$5:H$219,"&lt;="&amp;$B99,'On The Board'!$M$5:$M$219)-SUM(H99:J99)</f>
        <v>5</v>
      </c>
      <c r="H99" s="12">
        <f>SUMIF('On The Board'!I$5:I$219,"&lt;="&amp;$B99,'On The Board'!$M$5:$M$219)-SUM(I99,J99)</f>
        <v>2</v>
      </c>
      <c r="I99" s="12">
        <f>SUMIF('On The Board'!J$5:J$219,"&lt;="&amp;$B99,'On The Board'!$M$5:$M$219)-SUM(J99)</f>
        <v>0</v>
      </c>
      <c r="J99" s="12">
        <f>SUMIF('On The Board'!K$5:K$219,"&lt;="&amp;$B99,'On The Board'!$M$5:$M$219)</f>
        <v>70</v>
      </c>
      <c r="K99" s="10">
        <f t="shared" si="9"/>
        <v>77</v>
      </c>
      <c r="L99" s="10" t="e">
        <f ca="1">IF(TodaysDate&gt;=B99,SUM(F99:I99),NA())</f>
        <v>#N/A</v>
      </c>
      <c r="M99" s="44" t="e">
        <f t="shared" ca="1" si="12"/>
        <v>#N/A</v>
      </c>
      <c r="N99" s="44" t="e">
        <f ca="1">IF(ISNUMBER(M99),(J99-J89)/NETWORKDAYS(B89,B99,BankHolidays),NA())</f>
        <v>#N/A</v>
      </c>
      <c r="O99" s="44" t="e">
        <f t="shared" ca="1" si="11"/>
        <v>#N/A</v>
      </c>
      <c r="P99" s="53" t="e">
        <f t="shared" ca="1" si="13"/>
        <v>#N/A</v>
      </c>
      <c r="Q99" s="53" t="str">
        <f ca="1">IFERROR(DayByDayTable[[#This Row],[Lead Time]],"")</f>
        <v/>
      </c>
      <c r="R99" s="44" t="e">
        <f t="shared" ca="1" si="14"/>
        <v>#N/A</v>
      </c>
      <c r="S99" s="44">
        <f ca="1">ROUND(PERCENTILE(DayByDayTable[[#Data],[BlankLeadTime]],0.8),0)</f>
        <v>8</v>
      </c>
    </row>
    <row r="100" spans="1:19">
      <c r="A100" s="51">
        <f t="shared" si="8"/>
        <v>42550</v>
      </c>
      <c r="B100" s="11">
        <f t="shared" si="10"/>
        <v>42550</v>
      </c>
      <c r="C100" s="47">
        <f>SUMIFS('On The Board'!$M$5:$M$219,'On The Board'!F$5:F$219,"&lt;="&amp;$B100,'On The Board'!E$5:E$219,"="&amp;FutureWork)</f>
        <v>0</v>
      </c>
      <c r="D100" s="47" t="str">
        <f ca="1">IF(TodaysDate&gt;=B100,SUMIF('On The Board'!F$5:F$219,"&lt;="&amp;$B100,'On The Board'!$M$5:$M$219)-SUM(F100:J100),"")</f>
        <v/>
      </c>
      <c r="E100" s="12">
        <f ca="1">IF(TodaysDate&gt;=B100,SUMIF('On The Board'!F$5:F$219,"&lt;="&amp;$B100,'On The Board'!$M$5:$M$219)-SUM(F100:J100),E99)</f>
        <v>47</v>
      </c>
      <c r="F100" s="12">
        <f>SUMIF('On The Board'!G$5:G$219,"&lt;="&amp;$B100,'On The Board'!$M$5:$M$219)-SUM(G100:J100)</f>
        <v>0</v>
      </c>
      <c r="G100" s="12">
        <f>SUMIF('On The Board'!H$5:H$219,"&lt;="&amp;$B100,'On The Board'!$M$5:$M$219)-SUM(H100:J100)</f>
        <v>5</v>
      </c>
      <c r="H100" s="12">
        <f>SUMIF('On The Board'!I$5:I$219,"&lt;="&amp;$B100,'On The Board'!$M$5:$M$219)-SUM(I100,J100)</f>
        <v>2</v>
      </c>
      <c r="I100" s="12">
        <f>SUMIF('On The Board'!J$5:J$219,"&lt;="&amp;$B100,'On The Board'!$M$5:$M$219)-SUM(J100)</f>
        <v>0</v>
      </c>
      <c r="J100" s="12">
        <f>SUMIF('On The Board'!K$5:K$219,"&lt;="&amp;$B100,'On The Board'!$M$5:$M$219)</f>
        <v>70</v>
      </c>
      <c r="K100" s="10">
        <f t="shared" si="9"/>
        <v>77</v>
      </c>
      <c r="L100" s="10" t="e">
        <f ca="1">IF(TodaysDate&gt;=B100,SUM(F100:I100),NA())</f>
        <v>#N/A</v>
      </c>
      <c r="M100" s="44" t="e">
        <f t="shared" ca="1" si="12"/>
        <v>#N/A</v>
      </c>
      <c r="N100" s="44" t="e">
        <f ca="1">IF(ISNUMBER(M100),(J100-J90)/NETWORKDAYS(B90,B100,BankHolidays),NA())</f>
        <v>#N/A</v>
      </c>
      <c r="O100" s="44" t="e">
        <f t="shared" ca="1" si="11"/>
        <v>#N/A</v>
      </c>
      <c r="P100" s="53" t="e">
        <f t="shared" ca="1" si="13"/>
        <v>#N/A</v>
      </c>
      <c r="Q100" s="53" t="str">
        <f ca="1">IFERROR(DayByDayTable[[#This Row],[Lead Time]],"")</f>
        <v/>
      </c>
      <c r="R100" s="44" t="e">
        <f t="shared" ca="1" si="14"/>
        <v>#N/A</v>
      </c>
      <c r="S100" s="44">
        <f ca="1">ROUND(PERCENTILE(DayByDayTable[[#Data],[BlankLeadTime]],0.8),0)</f>
        <v>8</v>
      </c>
    </row>
    <row r="101" spans="1:19">
      <c r="A101" s="51">
        <f t="shared" si="8"/>
        <v>42551</v>
      </c>
      <c r="B101" s="11">
        <f t="shared" si="10"/>
        <v>42551</v>
      </c>
      <c r="C101" s="47">
        <f>SUMIFS('On The Board'!$M$5:$M$219,'On The Board'!F$5:F$219,"&lt;="&amp;$B101,'On The Board'!E$5:E$219,"="&amp;FutureWork)</f>
        <v>0</v>
      </c>
      <c r="D101" s="47" t="str">
        <f ca="1">IF(TodaysDate&gt;=B101,SUMIF('On The Board'!F$5:F$219,"&lt;="&amp;$B101,'On The Board'!$M$5:$M$219)-SUM(F101:J101),"")</f>
        <v/>
      </c>
      <c r="E101" s="12">
        <f ca="1">IF(TodaysDate&gt;=B101,SUMIF('On The Board'!F$5:F$219,"&lt;="&amp;$B101,'On The Board'!$M$5:$M$219)-SUM(F101:J101),E100)</f>
        <v>47</v>
      </c>
      <c r="F101" s="12">
        <f>SUMIF('On The Board'!G$5:G$219,"&lt;="&amp;$B101,'On The Board'!$M$5:$M$219)-SUM(G101:J101)</f>
        <v>0</v>
      </c>
      <c r="G101" s="12">
        <f>SUMIF('On The Board'!H$5:H$219,"&lt;="&amp;$B101,'On The Board'!$M$5:$M$219)-SUM(H101:J101)</f>
        <v>5</v>
      </c>
      <c r="H101" s="12">
        <f>SUMIF('On The Board'!I$5:I$219,"&lt;="&amp;$B101,'On The Board'!$M$5:$M$219)-SUM(I101,J101)</f>
        <v>2</v>
      </c>
      <c r="I101" s="12">
        <f>SUMIF('On The Board'!J$5:J$219,"&lt;="&amp;$B101,'On The Board'!$M$5:$M$219)-SUM(J101)</f>
        <v>0</v>
      </c>
      <c r="J101" s="12">
        <f>SUMIF('On The Board'!K$5:K$219,"&lt;="&amp;$B101,'On The Board'!$M$5:$M$219)</f>
        <v>70</v>
      </c>
      <c r="K101" s="10">
        <f t="shared" si="9"/>
        <v>77</v>
      </c>
      <c r="L101" s="10" t="e">
        <f ca="1">IF(TodaysDate&gt;=B101,SUM(F101:I101),NA())</f>
        <v>#N/A</v>
      </c>
      <c r="M101" s="44" t="e">
        <f t="shared" ca="1" si="12"/>
        <v>#N/A</v>
      </c>
      <c r="N101" s="44" t="e">
        <f ca="1">IF(ISNUMBER(M101),(J101-J91)/NETWORKDAYS(B91,B101,BankHolidays),NA())</f>
        <v>#N/A</v>
      </c>
      <c r="O101" s="44" t="e">
        <f t="shared" ca="1" si="11"/>
        <v>#N/A</v>
      </c>
      <c r="P101" s="53" t="e">
        <f t="shared" ca="1" si="13"/>
        <v>#N/A</v>
      </c>
      <c r="Q101" s="53" t="str">
        <f ca="1">IFERROR(DayByDayTable[[#This Row],[Lead Time]],"")</f>
        <v/>
      </c>
      <c r="R101" s="44" t="e">
        <f t="shared" ca="1" si="14"/>
        <v>#N/A</v>
      </c>
      <c r="S101" s="44">
        <f ca="1">ROUND(PERCENTILE(DayByDayTable[[#Data],[BlankLeadTime]],0.8),0)</f>
        <v>8</v>
      </c>
    </row>
    <row r="102" spans="1:19">
      <c r="A102" s="51">
        <f t="shared" si="8"/>
        <v>42552</v>
      </c>
      <c r="B102" s="11">
        <f t="shared" si="10"/>
        <v>42552</v>
      </c>
      <c r="C102" s="47">
        <f>SUMIFS('On The Board'!$M$5:$M$219,'On The Board'!F$5:F$219,"&lt;="&amp;$B102,'On The Board'!E$5:E$219,"="&amp;FutureWork)</f>
        <v>0</v>
      </c>
      <c r="D102" s="47" t="str">
        <f ca="1">IF(TodaysDate&gt;=B102,SUMIF('On The Board'!F$5:F$219,"&lt;="&amp;$B102,'On The Board'!$M$5:$M$219)-SUM(F102:J102),"")</f>
        <v/>
      </c>
      <c r="E102" s="12">
        <f ca="1">IF(TodaysDate&gt;=B102,SUMIF('On The Board'!F$5:F$219,"&lt;="&amp;$B102,'On The Board'!$M$5:$M$219)-SUM(F102:J102),E101)</f>
        <v>47</v>
      </c>
      <c r="F102" s="12">
        <f>SUMIF('On The Board'!G$5:G$219,"&lt;="&amp;$B102,'On The Board'!$M$5:$M$219)-SUM(G102:J102)</f>
        <v>0</v>
      </c>
      <c r="G102" s="12">
        <f>SUMIF('On The Board'!H$5:H$219,"&lt;="&amp;$B102,'On The Board'!$M$5:$M$219)-SUM(H102:J102)</f>
        <v>5</v>
      </c>
      <c r="H102" s="12">
        <f>SUMIF('On The Board'!I$5:I$219,"&lt;="&amp;$B102,'On The Board'!$M$5:$M$219)-SUM(I102,J102)</f>
        <v>2</v>
      </c>
      <c r="I102" s="12">
        <f>SUMIF('On The Board'!J$5:J$219,"&lt;="&amp;$B102,'On The Board'!$M$5:$M$219)-SUM(J102)</f>
        <v>0</v>
      </c>
      <c r="J102" s="12">
        <f>SUMIF('On The Board'!K$5:K$219,"&lt;="&amp;$B102,'On The Board'!$M$5:$M$219)</f>
        <v>70</v>
      </c>
      <c r="K102" s="10">
        <f t="shared" si="9"/>
        <v>77</v>
      </c>
      <c r="L102" s="10" t="e">
        <f ca="1">IF(TodaysDate&gt;=B102,SUM(F102:I102),NA())</f>
        <v>#N/A</v>
      </c>
      <c r="M102" s="44" t="e">
        <f t="shared" ca="1" si="12"/>
        <v>#N/A</v>
      </c>
      <c r="N102" s="44" t="e">
        <f ca="1">IF(ISNUMBER(M102),(J102-J92)/NETWORKDAYS(B92,B102,BankHolidays),NA())</f>
        <v>#N/A</v>
      </c>
      <c r="O102" s="44" t="e">
        <f t="shared" ca="1" si="11"/>
        <v>#N/A</v>
      </c>
      <c r="P102" s="53" t="e">
        <f t="shared" ca="1" si="13"/>
        <v>#N/A</v>
      </c>
      <c r="Q102" s="53" t="str">
        <f ca="1">IFERROR(DayByDayTable[[#This Row],[Lead Time]],"")</f>
        <v/>
      </c>
      <c r="R102" s="44" t="e">
        <f t="shared" ca="1" si="14"/>
        <v>#N/A</v>
      </c>
      <c r="S102" s="44">
        <f ca="1">ROUND(PERCENTILE(DayByDayTable[[#Data],[BlankLeadTime]],0.8),0)</f>
        <v>8</v>
      </c>
    </row>
    <row r="103" spans="1:19">
      <c r="A103" s="51">
        <f t="shared" si="8"/>
        <v>42555</v>
      </c>
      <c r="B103" s="11">
        <f t="shared" si="10"/>
        <v>42555</v>
      </c>
      <c r="C103" s="47">
        <f>SUMIFS('On The Board'!$M$5:$M$219,'On The Board'!F$5:F$219,"&lt;="&amp;$B103,'On The Board'!E$5:E$219,"="&amp;FutureWork)</f>
        <v>0</v>
      </c>
      <c r="D103" s="47" t="str">
        <f ca="1">IF(TodaysDate&gt;=B103,SUMIF('On The Board'!F$5:F$219,"&lt;="&amp;$B103,'On The Board'!$M$5:$M$219)-SUM(F103:J103),"")</f>
        <v/>
      </c>
      <c r="E103" s="12">
        <f ca="1">IF(TodaysDate&gt;=B103,SUMIF('On The Board'!F$5:F$219,"&lt;="&amp;$B103,'On The Board'!$M$5:$M$219)-SUM(F103:J103),E102)</f>
        <v>47</v>
      </c>
      <c r="F103" s="12">
        <f>SUMIF('On The Board'!G$5:G$219,"&lt;="&amp;$B103,'On The Board'!$M$5:$M$219)-SUM(G103:J103)</f>
        <v>0</v>
      </c>
      <c r="G103" s="12">
        <f>SUMIF('On The Board'!H$5:H$219,"&lt;="&amp;$B103,'On The Board'!$M$5:$M$219)-SUM(H103:J103)</f>
        <v>5</v>
      </c>
      <c r="H103" s="12">
        <f>SUMIF('On The Board'!I$5:I$219,"&lt;="&amp;$B103,'On The Board'!$M$5:$M$219)-SUM(I103,J103)</f>
        <v>2</v>
      </c>
      <c r="I103" s="12">
        <f>SUMIF('On The Board'!J$5:J$219,"&lt;="&amp;$B103,'On The Board'!$M$5:$M$219)-SUM(J103)</f>
        <v>0</v>
      </c>
      <c r="J103" s="12">
        <f>SUMIF('On The Board'!K$5:K$219,"&lt;="&amp;$B103,'On The Board'!$M$5:$M$219)</f>
        <v>70</v>
      </c>
      <c r="K103" s="10">
        <f t="shared" si="9"/>
        <v>77</v>
      </c>
      <c r="L103" s="10" t="e">
        <f ca="1">IF(TodaysDate&gt;=B103,SUM(F103:I103),NA())</f>
        <v>#N/A</v>
      </c>
      <c r="M103" s="44" t="e">
        <f t="shared" ca="1" si="12"/>
        <v>#N/A</v>
      </c>
      <c r="N103" s="44" t="e">
        <f ca="1">IF(ISNUMBER(M103),(J103-J93)/NETWORKDAYS(B93,B103,BankHolidays),NA())</f>
        <v>#N/A</v>
      </c>
      <c r="O103" s="44" t="e">
        <f t="shared" ca="1" si="11"/>
        <v>#N/A</v>
      </c>
      <c r="P103" s="53" t="e">
        <f t="shared" ca="1" si="13"/>
        <v>#N/A</v>
      </c>
      <c r="Q103" s="53" t="str">
        <f ca="1">IFERROR(DayByDayTable[[#This Row],[Lead Time]],"")</f>
        <v/>
      </c>
      <c r="R103" s="44" t="e">
        <f t="shared" ca="1" si="14"/>
        <v>#N/A</v>
      </c>
      <c r="S103" s="44">
        <f ca="1">ROUND(PERCENTILE(DayByDayTable[[#Data],[BlankLeadTime]],0.8),0)</f>
        <v>8</v>
      </c>
    </row>
    <row r="104" spans="1:19">
      <c r="A104" s="51">
        <f t="shared" si="8"/>
        <v>42556</v>
      </c>
      <c r="B104" s="11">
        <f t="shared" si="10"/>
        <v>42556</v>
      </c>
      <c r="C104" s="47">
        <f>SUMIFS('On The Board'!$M$5:$M$219,'On The Board'!F$5:F$219,"&lt;="&amp;$B104,'On The Board'!E$5:E$219,"="&amp;FutureWork)</f>
        <v>0</v>
      </c>
      <c r="D104" s="47" t="str">
        <f ca="1">IF(TodaysDate&gt;=B104,SUMIF('On The Board'!F$5:F$219,"&lt;="&amp;$B104,'On The Board'!$M$5:$M$219)-SUM(F104:J104),"")</f>
        <v/>
      </c>
      <c r="E104" s="12">
        <f ca="1">IF(TodaysDate&gt;=B104,SUMIF('On The Board'!F$5:F$219,"&lt;="&amp;$B104,'On The Board'!$M$5:$M$219)-SUM(F104:J104),E103)</f>
        <v>47</v>
      </c>
      <c r="F104" s="12">
        <f>SUMIF('On The Board'!G$5:G$219,"&lt;="&amp;$B104,'On The Board'!$M$5:$M$219)-SUM(G104:J104)</f>
        <v>0</v>
      </c>
      <c r="G104" s="12">
        <f>SUMIF('On The Board'!H$5:H$219,"&lt;="&amp;$B104,'On The Board'!$M$5:$M$219)-SUM(H104:J104)</f>
        <v>5</v>
      </c>
      <c r="H104" s="12">
        <f>SUMIF('On The Board'!I$5:I$219,"&lt;="&amp;$B104,'On The Board'!$M$5:$M$219)-SUM(I104,J104)</f>
        <v>2</v>
      </c>
      <c r="I104" s="12">
        <f>SUMIF('On The Board'!J$5:J$219,"&lt;="&amp;$B104,'On The Board'!$M$5:$M$219)-SUM(J104)</f>
        <v>0</v>
      </c>
      <c r="J104" s="12">
        <f>SUMIF('On The Board'!K$5:K$219,"&lt;="&amp;$B104,'On The Board'!$M$5:$M$219)</f>
        <v>70</v>
      </c>
      <c r="K104" s="10">
        <f t="shared" si="9"/>
        <v>77</v>
      </c>
      <c r="L104" s="10" t="e">
        <f ca="1">IF(TodaysDate&gt;=B104,SUM(F104:I104),NA())</f>
        <v>#N/A</v>
      </c>
      <c r="M104" s="44" t="e">
        <f t="shared" ca="1" si="12"/>
        <v>#N/A</v>
      </c>
      <c r="N104" s="44" t="e">
        <f ca="1">IF(ISNUMBER(M104),(J104-J94)/NETWORKDAYS(B94,B104,BankHolidays),NA())</f>
        <v>#N/A</v>
      </c>
      <c r="O104" s="44" t="e">
        <f t="shared" ca="1" si="11"/>
        <v>#N/A</v>
      </c>
      <c r="P104" s="53" t="e">
        <f t="shared" ca="1" si="13"/>
        <v>#N/A</v>
      </c>
      <c r="Q104" s="53" t="str">
        <f ca="1">IFERROR(DayByDayTable[[#This Row],[Lead Time]],"")</f>
        <v/>
      </c>
      <c r="R104" s="44" t="e">
        <f t="shared" ca="1" si="14"/>
        <v>#N/A</v>
      </c>
      <c r="S104" s="44">
        <f ca="1">ROUND(PERCENTILE(DayByDayTable[[#Data],[BlankLeadTime]],0.8),0)</f>
        <v>8</v>
      </c>
    </row>
    <row r="105" spans="1:19">
      <c r="A105" s="51">
        <f t="shared" si="8"/>
        <v>42557</v>
      </c>
      <c r="B105" s="11">
        <f t="shared" si="10"/>
        <v>42557</v>
      </c>
      <c r="C105" s="47">
        <f>SUMIFS('On The Board'!$M$5:$M$219,'On The Board'!F$5:F$219,"&lt;="&amp;$B105,'On The Board'!E$5:E$219,"="&amp;FutureWork)</f>
        <v>0</v>
      </c>
      <c r="D105" s="47" t="str">
        <f ca="1">IF(TodaysDate&gt;=B105,SUMIF('On The Board'!F$5:F$219,"&lt;="&amp;$B105,'On The Board'!$M$5:$M$219)-SUM(F105:J105),"")</f>
        <v/>
      </c>
      <c r="E105" s="12">
        <f ca="1">IF(TodaysDate&gt;=B105,SUMIF('On The Board'!F$5:F$219,"&lt;="&amp;$B105,'On The Board'!$M$5:$M$219)-SUM(F105:J105),E104)</f>
        <v>47</v>
      </c>
      <c r="F105" s="12">
        <f>SUMIF('On The Board'!G$5:G$219,"&lt;="&amp;$B105,'On The Board'!$M$5:$M$219)-SUM(G105:J105)</f>
        <v>0</v>
      </c>
      <c r="G105" s="12">
        <f>SUMIF('On The Board'!H$5:H$219,"&lt;="&amp;$B105,'On The Board'!$M$5:$M$219)-SUM(H105:J105)</f>
        <v>5</v>
      </c>
      <c r="H105" s="12">
        <f>SUMIF('On The Board'!I$5:I$219,"&lt;="&amp;$B105,'On The Board'!$M$5:$M$219)-SUM(I105,J105)</f>
        <v>2</v>
      </c>
      <c r="I105" s="12">
        <f>SUMIF('On The Board'!J$5:J$219,"&lt;="&amp;$B105,'On The Board'!$M$5:$M$219)-SUM(J105)</f>
        <v>0</v>
      </c>
      <c r="J105" s="12">
        <f>SUMIF('On The Board'!K$5:K$219,"&lt;="&amp;$B105,'On The Board'!$M$5:$M$219)</f>
        <v>70</v>
      </c>
      <c r="K105" s="10">
        <f t="shared" si="9"/>
        <v>77</v>
      </c>
      <c r="L105" s="10" t="e">
        <f ca="1">IF(TodaysDate&gt;=B105,SUM(F105:I105),NA())</f>
        <v>#N/A</v>
      </c>
      <c r="M105" s="44" t="e">
        <f t="shared" ca="1" si="12"/>
        <v>#N/A</v>
      </c>
      <c r="N105" s="44" t="e">
        <f ca="1">IF(ISNUMBER(M105),(J105-J95)/NETWORKDAYS(B95,B105,BankHolidays),NA())</f>
        <v>#N/A</v>
      </c>
      <c r="O105" s="44" t="e">
        <f t="shared" ca="1" si="11"/>
        <v>#N/A</v>
      </c>
      <c r="P105" s="53" t="e">
        <f t="shared" ca="1" si="13"/>
        <v>#N/A</v>
      </c>
      <c r="Q105" s="53" t="str">
        <f ca="1">IFERROR(DayByDayTable[[#This Row],[Lead Time]],"")</f>
        <v/>
      </c>
      <c r="R105" s="44" t="e">
        <f t="shared" ca="1" si="14"/>
        <v>#N/A</v>
      </c>
      <c r="S105" s="44">
        <f ca="1">ROUND(PERCENTILE(DayByDayTable[[#Data],[BlankLeadTime]],0.8),0)</f>
        <v>8</v>
      </c>
    </row>
    <row r="106" spans="1:19">
      <c r="A106" s="51">
        <f t="shared" si="8"/>
        <v>42558</v>
      </c>
      <c r="B106" s="11">
        <f t="shared" si="10"/>
        <v>42558</v>
      </c>
      <c r="C106" s="47">
        <f>SUMIFS('On The Board'!$M$5:$M$219,'On The Board'!F$5:F$219,"&lt;="&amp;$B106,'On The Board'!E$5:E$219,"="&amp;FutureWork)</f>
        <v>0</v>
      </c>
      <c r="D106" s="47" t="str">
        <f ca="1">IF(TodaysDate&gt;=B106,SUMIF('On The Board'!F$5:F$219,"&lt;="&amp;$B106,'On The Board'!$M$5:$M$219)-SUM(F106:J106),"")</f>
        <v/>
      </c>
      <c r="E106" s="12">
        <f ca="1">IF(TodaysDate&gt;=B106,SUMIF('On The Board'!F$5:F$219,"&lt;="&amp;$B106,'On The Board'!$M$5:$M$219)-SUM(F106:J106),E105)</f>
        <v>47</v>
      </c>
      <c r="F106" s="12">
        <f>SUMIF('On The Board'!G$5:G$219,"&lt;="&amp;$B106,'On The Board'!$M$5:$M$219)-SUM(G106:J106)</f>
        <v>0</v>
      </c>
      <c r="G106" s="12">
        <f>SUMIF('On The Board'!H$5:H$219,"&lt;="&amp;$B106,'On The Board'!$M$5:$M$219)-SUM(H106:J106)</f>
        <v>5</v>
      </c>
      <c r="H106" s="12">
        <f>SUMIF('On The Board'!I$5:I$219,"&lt;="&amp;$B106,'On The Board'!$M$5:$M$219)-SUM(I106,J106)</f>
        <v>2</v>
      </c>
      <c r="I106" s="12">
        <f>SUMIF('On The Board'!J$5:J$219,"&lt;="&amp;$B106,'On The Board'!$M$5:$M$219)-SUM(J106)</f>
        <v>0</v>
      </c>
      <c r="J106" s="12">
        <f>SUMIF('On The Board'!K$5:K$219,"&lt;="&amp;$B106,'On The Board'!$M$5:$M$219)</f>
        <v>70</v>
      </c>
      <c r="K106" s="10">
        <f t="shared" si="9"/>
        <v>77</v>
      </c>
      <c r="L106" s="10" t="e">
        <f ca="1">IF(TodaysDate&gt;=B106,SUM(F106:I106),NA())</f>
        <v>#N/A</v>
      </c>
      <c r="M106" s="44" t="e">
        <f t="shared" ca="1" si="12"/>
        <v>#N/A</v>
      </c>
      <c r="N106" s="44" t="e">
        <f ca="1">IF(ISNUMBER(M106),(J106-J96)/NETWORKDAYS(B96,B106,BankHolidays),NA())</f>
        <v>#N/A</v>
      </c>
      <c r="O106" s="44" t="e">
        <f t="shared" ca="1" si="11"/>
        <v>#N/A</v>
      </c>
      <c r="P106" s="53" t="e">
        <f t="shared" ca="1" si="13"/>
        <v>#N/A</v>
      </c>
      <c r="Q106" s="53" t="str">
        <f ca="1">IFERROR(DayByDayTable[[#This Row],[Lead Time]],"")</f>
        <v/>
      </c>
      <c r="R106" s="44" t="e">
        <f t="shared" ca="1" si="14"/>
        <v>#N/A</v>
      </c>
      <c r="S106" s="44">
        <f ca="1">ROUND(PERCENTILE(DayByDayTable[[#Data],[BlankLeadTime]],0.8),0)</f>
        <v>8</v>
      </c>
    </row>
    <row r="107" spans="1:19">
      <c r="A107" s="51">
        <f t="shared" si="8"/>
        <v>42559</v>
      </c>
      <c r="B107" s="11">
        <f t="shared" si="10"/>
        <v>42559</v>
      </c>
      <c r="C107" s="47">
        <f>SUMIFS('On The Board'!$M$5:$M$219,'On The Board'!F$5:F$219,"&lt;="&amp;$B107,'On The Board'!E$5:E$219,"="&amp;FutureWork)</f>
        <v>0</v>
      </c>
      <c r="D107" s="47" t="str">
        <f ca="1">IF(TodaysDate&gt;=B107,SUMIF('On The Board'!F$5:F$219,"&lt;="&amp;$B107,'On The Board'!$M$5:$M$219)-SUM(F107:J107),"")</f>
        <v/>
      </c>
      <c r="E107" s="12">
        <f ca="1">IF(TodaysDate&gt;=B107,SUMIF('On The Board'!F$5:F$219,"&lt;="&amp;$B107,'On The Board'!$M$5:$M$219)-SUM(F107:J107),E106)</f>
        <v>47</v>
      </c>
      <c r="F107" s="12">
        <f>SUMIF('On The Board'!G$5:G$219,"&lt;="&amp;$B107,'On The Board'!$M$5:$M$219)-SUM(G107:J107)</f>
        <v>0</v>
      </c>
      <c r="G107" s="12">
        <f>SUMIF('On The Board'!H$5:H$219,"&lt;="&amp;$B107,'On The Board'!$M$5:$M$219)-SUM(H107:J107)</f>
        <v>5</v>
      </c>
      <c r="H107" s="12">
        <f>SUMIF('On The Board'!I$5:I$219,"&lt;="&amp;$B107,'On The Board'!$M$5:$M$219)-SUM(I107,J107)</f>
        <v>2</v>
      </c>
      <c r="I107" s="12">
        <f>SUMIF('On The Board'!J$5:J$219,"&lt;="&amp;$B107,'On The Board'!$M$5:$M$219)-SUM(J107)</f>
        <v>0</v>
      </c>
      <c r="J107" s="12">
        <f>SUMIF('On The Board'!K$5:K$219,"&lt;="&amp;$B107,'On The Board'!$M$5:$M$219)</f>
        <v>70</v>
      </c>
      <c r="K107" s="10">
        <f t="shared" si="9"/>
        <v>77</v>
      </c>
      <c r="L107" s="10" t="e">
        <f ca="1">IF(TodaysDate&gt;=B107,SUM(F107:I107),NA())</f>
        <v>#N/A</v>
      </c>
      <c r="M107" s="44" t="e">
        <f t="shared" ca="1" si="12"/>
        <v>#N/A</v>
      </c>
      <c r="N107" s="44" t="e">
        <f ca="1">IF(ISNUMBER(M107),(J107-J97)/NETWORKDAYS(B97,B107,BankHolidays),NA())</f>
        <v>#N/A</v>
      </c>
      <c r="O107" s="44" t="e">
        <f t="shared" ca="1" si="11"/>
        <v>#N/A</v>
      </c>
      <c r="P107" s="53" t="e">
        <f t="shared" ca="1" si="13"/>
        <v>#N/A</v>
      </c>
      <c r="Q107" s="53" t="str">
        <f ca="1">IFERROR(DayByDayTable[[#This Row],[Lead Time]],"")</f>
        <v/>
      </c>
      <c r="R107" s="44" t="e">
        <f t="shared" ca="1" si="14"/>
        <v>#N/A</v>
      </c>
      <c r="S107" s="44">
        <f ca="1">ROUND(PERCENTILE(DayByDayTable[[#Data],[BlankLeadTime]],0.8),0)</f>
        <v>8</v>
      </c>
    </row>
    <row r="108" spans="1:19">
      <c r="A108" s="51">
        <f t="shared" si="8"/>
        <v>42562</v>
      </c>
      <c r="B108" s="11">
        <f t="shared" si="10"/>
        <v>42562</v>
      </c>
      <c r="C108" s="47">
        <f>SUMIFS('On The Board'!$M$5:$M$219,'On The Board'!F$5:F$219,"&lt;="&amp;$B108,'On The Board'!E$5:E$219,"="&amp;FutureWork)</f>
        <v>0</v>
      </c>
      <c r="D108" s="47" t="str">
        <f ca="1">IF(TodaysDate&gt;=B108,SUMIF('On The Board'!F$5:F$219,"&lt;="&amp;$B108,'On The Board'!$M$5:$M$219)-SUM(F108:J108),"")</f>
        <v/>
      </c>
      <c r="E108" s="12">
        <f ca="1">IF(TodaysDate&gt;=B108,SUMIF('On The Board'!F$5:F$219,"&lt;="&amp;$B108,'On The Board'!$M$5:$M$219)-SUM(F108:J108),E107)</f>
        <v>47</v>
      </c>
      <c r="F108" s="12">
        <f>SUMIF('On The Board'!G$5:G$219,"&lt;="&amp;$B108,'On The Board'!$M$5:$M$219)-SUM(G108:J108)</f>
        <v>0</v>
      </c>
      <c r="G108" s="12">
        <f>SUMIF('On The Board'!H$5:H$219,"&lt;="&amp;$B108,'On The Board'!$M$5:$M$219)-SUM(H108:J108)</f>
        <v>5</v>
      </c>
      <c r="H108" s="12">
        <f>SUMIF('On The Board'!I$5:I$219,"&lt;="&amp;$B108,'On The Board'!$M$5:$M$219)-SUM(I108,J108)</f>
        <v>2</v>
      </c>
      <c r="I108" s="12">
        <f>SUMIF('On The Board'!J$5:J$219,"&lt;="&amp;$B108,'On The Board'!$M$5:$M$219)-SUM(J108)</f>
        <v>0</v>
      </c>
      <c r="J108" s="12">
        <f>SUMIF('On The Board'!K$5:K$219,"&lt;="&amp;$B108,'On The Board'!$M$5:$M$219)</f>
        <v>70</v>
      </c>
      <c r="K108" s="10">
        <f t="shared" si="9"/>
        <v>77</v>
      </c>
      <c r="L108" s="10" t="e">
        <f ca="1">IF(TodaysDate&gt;=B108,SUM(F108:I108),NA())</f>
        <v>#N/A</v>
      </c>
      <c r="M108" s="44" t="e">
        <f t="shared" ca="1" si="12"/>
        <v>#N/A</v>
      </c>
      <c r="N108" s="44" t="e">
        <f ca="1">IF(ISNUMBER(M108),(J108-J98)/NETWORKDAYS(B98,B108,BankHolidays),NA())</f>
        <v>#N/A</v>
      </c>
      <c r="O108" s="44" t="e">
        <f t="shared" ca="1" si="11"/>
        <v>#N/A</v>
      </c>
      <c r="P108" s="53" t="e">
        <f t="shared" ca="1" si="13"/>
        <v>#N/A</v>
      </c>
      <c r="Q108" s="53" t="str">
        <f ca="1">IFERROR(DayByDayTable[[#This Row],[Lead Time]],"")</f>
        <v/>
      </c>
      <c r="R108" s="44" t="e">
        <f t="shared" ca="1" si="14"/>
        <v>#N/A</v>
      </c>
      <c r="S108" s="44">
        <f ca="1">ROUND(PERCENTILE(DayByDayTable[[#Data],[BlankLeadTime]],0.8),0)</f>
        <v>8</v>
      </c>
    </row>
    <row r="109" spans="1:19">
      <c r="A109" s="51">
        <f t="shared" si="8"/>
        <v>42563</v>
      </c>
      <c r="B109" s="11">
        <f t="shared" si="10"/>
        <v>42563</v>
      </c>
      <c r="C109" s="47">
        <f>SUMIFS('On The Board'!$M$5:$M$219,'On The Board'!F$5:F$219,"&lt;="&amp;$B109,'On The Board'!E$5:E$219,"="&amp;FutureWork)</f>
        <v>0</v>
      </c>
      <c r="D109" s="47" t="str">
        <f ca="1">IF(TodaysDate&gt;=B109,SUMIF('On The Board'!F$5:F$219,"&lt;="&amp;$B109,'On The Board'!$M$5:$M$219)-SUM(F109:J109),"")</f>
        <v/>
      </c>
      <c r="E109" s="12">
        <f ca="1">IF(TodaysDate&gt;=B109,SUMIF('On The Board'!F$5:F$219,"&lt;="&amp;$B109,'On The Board'!$M$5:$M$219)-SUM(F109:J109),E108)</f>
        <v>47</v>
      </c>
      <c r="F109" s="12">
        <f>SUMIF('On The Board'!G$5:G$219,"&lt;="&amp;$B109,'On The Board'!$M$5:$M$219)-SUM(G109:J109)</f>
        <v>0</v>
      </c>
      <c r="G109" s="12">
        <f>SUMIF('On The Board'!H$5:H$219,"&lt;="&amp;$B109,'On The Board'!$M$5:$M$219)-SUM(H109:J109)</f>
        <v>5</v>
      </c>
      <c r="H109" s="12">
        <f>SUMIF('On The Board'!I$5:I$219,"&lt;="&amp;$B109,'On The Board'!$M$5:$M$219)-SUM(I109,J109)</f>
        <v>2</v>
      </c>
      <c r="I109" s="12">
        <f>SUMIF('On The Board'!J$5:J$219,"&lt;="&amp;$B109,'On The Board'!$M$5:$M$219)-SUM(J109)</f>
        <v>0</v>
      </c>
      <c r="J109" s="12">
        <f>SUMIF('On The Board'!K$5:K$219,"&lt;="&amp;$B109,'On The Board'!$M$5:$M$219)</f>
        <v>70</v>
      </c>
      <c r="K109" s="10">
        <f t="shared" si="9"/>
        <v>77</v>
      </c>
      <c r="L109" s="10" t="e">
        <f ca="1">IF(TodaysDate&gt;=B109,SUM(F109:I109),NA())</f>
        <v>#N/A</v>
      </c>
      <c r="M109" s="44" t="e">
        <f t="shared" ca="1" si="12"/>
        <v>#N/A</v>
      </c>
      <c r="N109" s="44" t="e">
        <f ca="1">IF(ISNUMBER(M109),(J109-J99)/NETWORKDAYS(B99,B109,BankHolidays),NA())</f>
        <v>#N/A</v>
      </c>
      <c r="O109" s="44" t="e">
        <f t="shared" ca="1" si="11"/>
        <v>#N/A</v>
      </c>
      <c r="P109" s="53" t="e">
        <f t="shared" ca="1" si="13"/>
        <v>#N/A</v>
      </c>
      <c r="Q109" s="53" t="str">
        <f ca="1">IFERROR(DayByDayTable[[#This Row],[Lead Time]],"")</f>
        <v/>
      </c>
      <c r="R109" s="44" t="e">
        <f t="shared" ca="1" si="14"/>
        <v>#N/A</v>
      </c>
      <c r="S109" s="44">
        <f ca="1">ROUND(PERCENTILE(DayByDayTable[[#Data],[BlankLeadTime]],0.8),0)</f>
        <v>8</v>
      </c>
    </row>
    <row r="110" spans="1:19">
      <c r="A110" s="51">
        <f t="shared" si="8"/>
        <v>42564</v>
      </c>
      <c r="B110" s="11">
        <f t="shared" si="10"/>
        <v>42564</v>
      </c>
      <c r="C110" s="47">
        <f>SUMIFS('On The Board'!$M$5:$M$219,'On The Board'!F$5:F$219,"&lt;="&amp;$B110,'On The Board'!E$5:E$219,"="&amp;FutureWork)</f>
        <v>0</v>
      </c>
      <c r="D110" s="47" t="str">
        <f ca="1">IF(TodaysDate&gt;=B110,SUMIF('On The Board'!F$5:F$219,"&lt;="&amp;$B110,'On The Board'!$M$5:$M$219)-SUM(F110:J110),"")</f>
        <v/>
      </c>
      <c r="E110" s="12">
        <f ca="1">IF(TodaysDate&gt;=B110,SUMIF('On The Board'!F$5:F$219,"&lt;="&amp;$B110,'On The Board'!$M$5:$M$219)-SUM(F110:J110),E109)</f>
        <v>47</v>
      </c>
      <c r="F110" s="12">
        <f>SUMIF('On The Board'!G$5:G$219,"&lt;="&amp;$B110,'On The Board'!$M$5:$M$219)-SUM(G110:J110)</f>
        <v>0</v>
      </c>
      <c r="G110" s="12">
        <f>SUMIF('On The Board'!H$5:H$219,"&lt;="&amp;$B110,'On The Board'!$M$5:$M$219)-SUM(H110:J110)</f>
        <v>5</v>
      </c>
      <c r="H110" s="12">
        <f>SUMIF('On The Board'!I$5:I$219,"&lt;="&amp;$B110,'On The Board'!$M$5:$M$219)-SUM(I110,J110)</f>
        <v>2</v>
      </c>
      <c r="I110" s="12">
        <f>SUMIF('On The Board'!J$5:J$219,"&lt;="&amp;$B110,'On The Board'!$M$5:$M$219)-SUM(J110)</f>
        <v>0</v>
      </c>
      <c r="J110" s="12">
        <f>SUMIF('On The Board'!K$5:K$219,"&lt;="&amp;$B110,'On The Board'!$M$5:$M$219)</f>
        <v>70</v>
      </c>
      <c r="K110" s="10">
        <f t="shared" si="9"/>
        <v>77</v>
      </c>
      <c r="L110" s="10" t="e">
        <f ca="1">IF(TodaysDate&gt;=B110,SUM(F110:I110),NA())</f>
        <v>#N/A</v>
      </c>
      <c r="M110" s="44" t="e">
        <f t="shared" ca="1" si="12"/>
        <v>#N/A</v>
      </c>
      <c r="N110" s="44" t="e">
        <f ca="1">IF(ISNUMBER(M110),(J110-J100)/NETWORKDAYS(B100,B110,BankHolidays),NA())</f>
        <v>#N/A</v>
      </c>
      <c r="O110" s="44" t="e">
        <f t="shared" ca="1" si="11"/>
        <v>#N/A</v>
      </c>
      <c r="P110" s="53" t="e">
        <f t="shared" ca="1" si="13"/>
        <v>#N/A</v>
      </c>
      <c r="Q110" s="53" t="str">
        <f ca="1">IFERROR(DayByDayTable[[#This Row],[Lead Time]],"")</f>
        <v/>
      </c>
      <c r="R110" s="44" t="e">
        <f t="shared" ca="1" si="14"/>
        <v>#N/A</v>
      </c>
      <c r="S110" s="44">
        <f ca="1">ROUND(PERCENTILE(DayByDayTable[[#Data],[BlankLeadTime]],0.8),0)</f>
        <v>8</v>
      </c>
    </row>
    <row r="111" spans="1:19">
      <c r="A111" s="51">
        <f t="shared" si="8"/>
        <v>42565</v>
      </c>
      <c r="B111" s="11">
        <f t="shared" si="10"/>
        <v>42565</v>
      </c>
      <c r="C111" s="47">
        <f>SUMIFS('On The Board'!$M$5:$M$219,'On The Board'!F$5:F$219,"&lt;="&amp;$B111,'On The Board'!E$5:E$219,"="&amp;FutureWork)</f>
        <v>0</v>
      </c>
      <c r="D111" s="47" t="str">
        <f ca="1">IF(TodaysDate&gt;=B111,SUMIF('On The Board'!F$5:F$219,"&lt;="&amp;$B111,'On The Board'!$M$5:$M$219)-SUM(F111:J111),"")</f>
        <v/>
      </c>
      <c r="E111" s="12">
        <f ca="1">IF(TodaysDate&gt;=B111,SUMIF('On The Board'!F$5:F$219,"&lt;="&amp;$B111,'On The Board'!$M$5:$M$219)-SUM(F111:J111),E110)</f>
        <v>47</v>
      </c>
      <c r="F111" s="12">
        <f>SUMIF('On The Board'!G$5:G$219,"&lt;="&amp;$B111,'On The Board'!$M$5:$M$219)-SUM(G111:J111)</f>
        <v>0</v>
      </c>
      <c r="G111" s="12">
        <f>SUMIF('On The Board'!H$5:H$219,"&lt;="&amp;$B111,'On The Board'!$M$5:$M$219)-SUM(H111:J111)</f>
        <v>5</v>
      </c>
      <c r="H111" s="12">
        <f>SUMIF('On The Board'!I$5:I$219,"&lt;="&amp;$B111,'On The Board'!$M$5:$M$219)-SUM(I111,J111)</f>
        <v>2</v>
      </c>
      <c r="I111" s="12">
        <f>SUMIF('On The Board'!J$5:J$219,"&lt;="&amp;$B111,'On The Board'!$M$5:$M$219)-SUM(J111)</f>
        <v>0</v>
      </c>
      <c r="J111" s="12">
        <f>SUMIF('On The Board'!K$5:K$219,"&lt;="&amp;$B111,'On The Board'!$M$5:$M$219)</f>
        <v>70</v>
      </c>
      <c r="K111" s="10">
        <f t="shared" si="9"/>
        <v>77</v>
      </c>
      <c r="L111" s="10" t="e">
        <f ca="1">IF(TodaysDate&gt;=B111,SUM(F111:I111),NA())</f>
        <v>#N/A</v>
      </c>
      <c r="M111" s="44" t="e">
        <f t="shared" ca="1" si="12"/>
        <v>#N/A</v>
      </c>
      <c r="N111" s="44" t="e">
        <f ca="1">IF(ISNUMBER(M111),(J111-J101)/NETWORKDAYS(B101,B111,BankHolidays),NA())</f>
        <v>#N/A</v>
      </c>
      <c r="O111" s="44" t="e">
        <f t="shared" ca="1" si="11"/>
        <v>#N/A</v>
      </c>
      <c r="P111" s="53" t="e">
        <f t="shared" ca="1" si="13"/>
        <v>#N/A</v>
      </c>
      <c r="Q111" s="53" t="str">
        <f ca="1">IFERROR(DayByDayTable[[#This Row],[Lead Time]],"")</f>
        <v/>
      </c>
      <c r="R111" s="44" t="e">
        <f t="shared" ca="1" si="14"/>
        <v>#N/A</v>
      </c>
      <c r="S111" s="44">
        <f ca="1">ROUND(PERCENTILE(DayByDayTable[[#Data],[BlankLeadTime]],0.8),0)</f>
        <v>8</v>
      </c>
    </row>
    <row r="112" spans="1:19">
      <c r="A112" s="51">
        <f t="shared" si="8"/>
        <v>42566</v>
      </c>
      <c r="B112" s="11">
        <f t="shared" si="10"/>
        <v>42566</v>
      </c>
      <c r="C112" s="47">
        <f>SUMIFS('On The Board'!$M$5:$M$219,'On The Board'!F$5:F$219,"&lt;="&amp;$B112,'On The Board'!E$5:E$219,"="&amp;FutureWork)</f>
        <v>0</v>
      </c>
      <c r="D112" s="47" t="str">
        <f ca="1">IF(TodaysDate&gt;=B112,SUMIF('On The Board'!F$5:F$219,"&lt;="&amp;$B112,'On The Board'!$M$5:$M$219)-SUM(F112:J112),"")</f>
        <v/>
      </c>
      <c r="E112" s="12">
        <f ca="1">IF(TodaysDate&gt;=B112,SUMIF('On The Board'!F$5:F$219,"&lt;="&amp;$B112,'On The Board'!$M$5:$M$219)-SUM(F112:J112),E111)</f>
        <v>47</v>
      </c>
      <c r="F112" s="12">
        <f>SUMIF('On The Board'!G$5:G$219,"&lt;="&amp;$B112,'On The Board'!$M$5:$M$219)-SUM(G112:J112)</f>
        <v>0</v>
      </c>
      <c r="G112" s="12">
        <f>SUMIF('On The Board'!H$5:H$219,"&lt;="&amp;$B112,'On The Board'!$M$5:$M$219)-SUM(H112:J112)</f>
        <v>5</v>
      </c>
      <c r="H112" s="12">
        <f>SUMIF('On The Board'!I$5:I$219,"&lt;="&amp;$B112,'On The Board'!$M$5:$M$219)-SUM(I112,J112)</f>
        <v>2</v>
      </c>
      <c r="I112" s="12">
        <f>SUMIF('On The Board'!J$5:J$219,"&lt;="&amp;$B112,'On The Board'!$M$5:$M$219)-SUM(J112)</f>
        <v>0</v>
      </c>
      <c r="J112" s="12">
        <f>SUMIF('On The Board'!K$5:K$219,"&lt;="&amp;$B112,'On The Board'!$M$5:$M$219)</f>
        <v>70</v>
      </c>
      <c r="K112" s="10">
        <f t="shared" si="9"/>
        <v>77</v>
      </c>
      <c r="L112" s="10" t="e">
        <f ca="1">IF(TodaysDate&gt;=B112,SUM(F112:I112),NA())</f>
        <v>#N/A</v>
      </c>
      <c r="M112" s="44" t="e">
        <f t="shared" ca="1" si="12"/>
        <v>#N/A</v>
      </c>
      <c r="N112" s="44" t="e">
        <f ca="1">IF(ISNUMBER(M112),(J112-J102)/NETWORKDAYS(B102,B112,BankHolidays),NA())</f>
        <v>#N/A</v>
      </c>
      <c r="O112" s="44" t="e">
        <f t="shared" ca="1" si="11"/>
        <v>#N/A</v>
      </c>
      <c r="P112" s="53" t="e">
        <f t="shared" ca="1" si="13"/>
        <v>#N/A</v>
      </c>
      <c r="Q112" s="53" t="str">
        <f ca="1">IFERROR(DayByDayTable[[#This Row],[Lead Time]],"")</f>
        <v/>
      </c>
      <c r="R112" s="44" t="e">
        <f t="shared" ca="1" si="14"/>
        <v>#N/A</v>
      </c>
      <c r="S112" s="44">
        <f ca="1">ROUND(PERCENTILE(DayByDayTable[[#Data],[BlankLeadTime]],0.8),0)</f>
        <v>8</v>
      </c>
    </row>
    <row r="113" spans="1:19">
      <c r="A113" s="51">
        <f t="shared" si="8"/>
        <v>42569</v>
      </c>
      <c r="B113" s="11">
        <f t="shared" si="10"/>
        <v>42569</v>
      </c>
      <c r="C113" s="47">
        <f>SUMIFS('On The Board'!$M$5:$M$219,'On The Board'!F$5:F$219,"&lt;="&amp;$B113,'On The Board'!E$5:E$219,"="&amp;FutureWork)</f>
        <v>0</v>
      </c>
      <c r="D113" s="47" t="str">
        <f ca="1">IF(TodaysDate&gt;=B113,SUMIF('On The Board'!F$5:F$219,"&lt;="&amp;$B113,'On The Board'!$M$5:$M$219)-SUM(F113:J113),"")</f>
        <v/>
      </c>
      <c r="E113" s="12">
        <f ca="1">IF(TodaysDate&gt;=B113,SUMIF('On The Board'!F$5:F$219,"&lt;="&amp;$B113,'On The Board'!$M$5:$M$219)-SUM(F113:J113),E112)</f>
        <v>47</v>
      </c>
      <c r="F113" s="12">
        <f>SUMIF('On The Board'!G$5:G$219,"&lt;="&amp;$B113,'On The Board'!$M$5:$M$219)-SUM(G113:J113)</f>
        <v>0</v>
      </c>
      <c r="G113" s="12">
        <f>SUMIF('On The Board'!H$5:H$219,"&lt;="&amp;$B113,'On The Board'!$M$5:$M$219)-SUM(H113:J113)</f>
        <v>5</v>
      </c>
      <c r="H113" s="12">
        <f>SUMIF('On The Board'!I$5:I$219,"&lt;="&amp;$B113,'On The Board'!$M$5:$M$219)-SUM(I113,J113)</f>
        <v>2</v>
      </c>
      <c r="I113" s="12">
        <f>SUMIF('On The Board'!J$5:J$219,"&lt;="&amp;$B113,'On The Board'!$M$5:$M$219)-SUM(J113)</f>
        <v>0</v>
      </c>
      <c r="J113" s="12">
        <f>SUMIF('On The Board'!K$5:K$219,"&lt;="&amp;$B113,'On The Board'!$M$5:$M$219)</f>
        <v>70</v>
      </c>
      <c r="K113" s="10">
        <f t="shared" si="9"/>
        <v>77</v>
      </c>
      <c r="L113" s="10" t="e">
        <f ca="1">IF(TodaysDate&gt;=B113,SUM(F113:I113),NA())</f>
        <v>#N/A</v>
      </c>
      <c r="M113" s="44" t="e">
        <f t="shared" ca="1" si="12"/>
        <v>#N/A</v>
      </c>
      <c r="N113" s="44" t="e">
        <f ca="1">IF(ISNUMBER(M113),(J113-J103)/NETWORKDAYS(B103,B113,BankHolidays),NA())</f>
        <v>#N/A</v>
      </c>
      <c r="O113" s="44" t="e">
        <f t="shared" ca="1" si="11"/>
        <v>#N/A</v>
      </c>
      <c r="P113" s="53" t="e">
        <f t="shared" ca="1" si="13"/>
        <v>#N/A</v>
      </c>
      <c r="Q113" s="53" t="str">
        <f ca="1">IFERROR(DayByDayTable[[#This Row],[Lead Time]],"")</f>
        <v/>
      </c>
      <c r="R113" s="44" t="e">
        <f t="shared" ca="1" si="14"/>
        <v>#N/A</v>
      </c>
      <c r="S113" s="44">
        <f ca="1">ROUND(PERCENTILE(DayByDayTable[[#Data],[BlankLeadTime]],0.8),0)</f>
        <v>8</v>
      </c>
    </row>
    <row r="114" spans="1:19">
      <c r="A114" s="51">
        <f t="shared" si="8"/>
        <v>42570</v>
      </c>
      <c r="B114" s="11">
        <f t="shared" si="10"/>
        <v>42570</v>
      </c>
      <c r="C114" s="47">
        <f>SUMIFS('On The Board'!$M$5:$M$219,'On The Board'!F$5:F$219,"&lt;="&amp;$B114,'On The Board'!E$5:E$219,"="&amp;FutureWork)</f>
        <v>0</v>
      </c>
      <c r="D114" s="47" t="str">
        <f ca="1">IF(TodaysDate&gt;=B114,SUMIF('On The Board'!F$5:F$219,"&lt;="&amp;$B114,'On The Board'!$M$5:$M$219)-SUM(F114:J114),"")</f>
        <v/>
      </c>
      <c r="E114" s="12">
        <f ca="1">IF(TodaysDate&gt;=B114,SUMIF('On The Board'!F$5:F$219,"&lt;="&amp;$B114,'On The Board'!$M$5:$M$219)-SUM(F114:J114),E113)</f>
        <v>47</v>
      </c>
      <c r="F114" s="12">
        <f>SUMIF('On The Board'!G$5:G$219,"&lt;="&amp;$B114,'On The Board'!$M$5:$M$219)-SUM(G114:J114)</f>
        <v>0</v>
      </c>
      <c r="G114" s="12">
        <f>SUMIF('On The Board'!H$5:H$219,"&lt;="&amp;$B114,'On The Board'!$M$5:$M$219)-SUM(H114:J114)</f>
        <v>5</v>
      </c>
      <c r="H114" s="12">
        <f>SUMIF('On The Board'!I$5:I$219,"&lt;="&amp;$B114,'On The Board'!$M$5:$M$219)-SUM(I114,J114)</f>
        <v>2</v>
      </c>
      <c r="I114" s="12">
        <f>SUMIF('On The Board'!J$5:J$219,"&lt;="&amp;$B114,'On The Board'!$M$5:$M$219)-SUM(J114)</f>
        <v>0</v>
      </c>
      <c r="J114" s="12">
        <f>SUMIF('On The Board'!K$5:K$219,"&lt;="&amp;$B114,'On The Board'!$M$5:$M$219)</f>
        <v>70</v>
      </c>
      <c r="K114" s="10">
        <f t="shared" si="9"/>
        <v>77</v>
      </c>
      <c r="L114" s="10" t="e">
        <f ca="1">IF(TodaysDate&gt;=B114,SUM(F114:I114),NA())</f>
        <v>#N/A</v>
      </c>
      <c r="M114" s="44" t="e">
        <f t="shared" ca="1" si="12"/>
        <v>#N/A</v>
      </c>
      <c r="N114" s="44" t="e">
        <f ca="1">IF(ISNUMBER(M114),(J114-J104)/NETWORKDAYS(B104,B114,BankHolidays),NA())</f>
        <v>#N/A</v>
      </c>
      <c r="O114" s="44" t="e">
        <f t="shared" ca="1" si="11"/>
        <v>#N/A</v>
      </c>
      <c r="P114" s="53" t="e">
        <f t="shared" ca="1" si="13"/>
        <v>#N/A</v>
      </c>
      <c r="Q114" s="53" t="str">
        <f ca="1">IFERROR(DayByDayTable[[#This Row],[Lead Time]],"")</f>
        <v/>
      </c>
      <c r="R114" s="44" t="e">
        <f t="shared" ca="1" si="14"/>
        <v>#N/A</v>
      </c>
      <c r="S114" s="44">
        <f ca="1">ROUND(PERCENTILE(DayByDayTable[[#Data],[BlankLeadTime]],0.8),0)</f>
        <v>8</v>
      </c>
    </row>
    <row r="115" spans="1:19">
      <c r="A115" s="51">
        <f t="shared" si="8"/>
        <v>42571</v>
      </c>
      <c r="B115" s="11">
        <f t="shared" si="10"/>
        <v>42571</v>
      </c>
      <c r="C115" s="47">
        <f>SUMIFS('On The Board'!$M$5:$M$219,'On The Board'!F$5:F$219,"&lt;="&amp;$B115,'On The Board'!E$5:E$219,"="&amp;FutureWork)</f>
        <v>0</v>
      </c>
      <c r="D115" s="47" t="str">
        <f ca="1">IF(TodaysDate&gt;=B115,SUMIF('On The Board'!F$5:F$219,"&lt;="&amp;$B115,'On The Board'!$M$5:$M$219)-SUM(F115:J115),"")</f>
        <v/>
      </c>
      <c r="E115" s="12">
        <f ca="1">IF(TodaysDate&gt;=B115,SUMIF('On The Board'!F$5:F$219,"&lt;="&amp;$B115,'On The Board'!$M$5:$M$219)-SUM(F115:J115),E114)</f>
        <v>47</v>
      </c>
      <c r="F115" s="12">
        <f>SUMIF('On The Board'!G$5:G$219,"&lt;="&amp;$B115,'On The Board'!$M$5:$M$219)-SUM(G115:J115)</f>
        <v>0</v>
      </c>
      <c r="G115" s="12">
        <f>SUMIF('On The Board'!H$5:H$219,"&lt;="&amp;$B115,'On The Board'!$M$5:$M$219)-SUM(H115:J115)</f>
        <v>5</v>
      </c>
      <c r="H115" s="12">
        <f>SUMIF('On The Board'!I$5:I$219,"&lt;="&amp;$B115,'On The Board'!$M$5:$M$219)-SUM(I115,J115)</f>
        <v>2</v>
      </c>
      <c r="I115" s="12">
        <f>SUMIF('On The Board'!J$5:J$219,"&lt;="&amp;$B115,'On The Board'!$M$5:$M$219)-SUM(J115)</f>
        <v>0</v>
      </c>
      <c r="J115" s="12">
        <f>SUMIF('On The Board'!K$5:K$219,"&lt;="&amp;$B115,'On The Board'!$M$5:$M$219)</f>
        <v>70</v>
      </c>
      <c r="K115" s="10">
        <f t="shared" si="9"/>
        <v>77</v>
      </c>
      <c r="L115" s="10" t="e">
        <f ca="1">IF(TodaysDate&gt;=B115,SUM(F115:I115),NA())</f>
        <v>#N/A</v>
      </c>
      <c r="M115" s="44" t="e">
        <f t="shared" ca="1" si="12"/>
        <v>#N/A</v>
      </c>
      <c r="N115" s="44" t="e">
        <f ca="1">IF(ISNUMBER(M115),(J115-J105)/NETWORKDAYS(B105,B115,BankHolidays),NA())</f>
        <v>#N/A</v>
      </c>
      <c r="O115" s="44" t="e">
        <f t="shared" ca="1" si="11"/>
        <v>#N/A</v>
      </c>
      <c r="P115" s="53" t="e">
        <f t="shared" ca="1" si="13"/>
        <v>#N/A</v>
      </c>
      <c r="Q115" s="53" t="str">
        <f ca="1">IFERROR(DayByDayTable[[#This Row],[Lead Time]],"")</f>
        <v/>
      </c>
      <c r="R115" s="44" t="e">
        <f t="shared" ca="1" si="14"/>
        <v>#N/A</v>
      </c>
      <c r="S115" s="44">
        <f ca="1">ROUND(PERCENTILE(DayByDayTable[[#Data],[BlankLeadTime]],0.8),0)</f>
        <v>8</v>
      </c>
    </row>
    <row r="116" spans="1:19">
      <c r="A116" s="51">
        <f t="shared" si="8"/>
        <v>42572</v>
      </c>
      <c r="B116" s="11">
        <f t="shared" si="10"/>
        <v>42572</v>
      </c>
      <c r="C116" s="47">
        <f>SUMIFS('On The Board'!$M$5:$M$219,'On The Board'!F$5:F$219,"&lt;="&amp;$B116,'On The Board'!E$5:E$219,"="&amp;FutureWork)</f>
        <v>0</v>
      </c>
      <c r="D116" s="47" t="str">
        <f ca="1">IF(TodaysDate&gt;=B116,SUMIF('On The Board'!F$5:F$219,"&lt;="&amp;$B116,'On The Board'!$M$5:$M$219)-SUM(F116:J116),"")</f>
        <v/>
      </c>
      <c r="E116" s="12">
        <f ca="1">IF(TodaysDate&gt;=B116,SUMIF('On The Board'!F$5:F$219,"&lt;="&amp;$B116,'On The Board'!$M$5:$M$219)-SUM(F116:J116),E115)</f>
        <v>47</v>
      </c>
      <c r="F116" s="12">
        <f>SUMIF('On The Board'!G$5:G$219,"&lt;="&amp;$B116,'On The Board'!$M$5:$M$219)-SUM(G116:J116)</f>
        <v>0</v>
      </c>
      <c r="G116" s="12">
        <f>SUMIF('On The Board'!H$5:H$219,"&lt;="&amp;$B116,'On The Board'!$M$5:$M$219)-SUM(H116:J116)</f>
        <v>5</v>
      </c>
      <c r="H116" s="12">
        <f>SUMIF('On The Board'!I$5:I$219,"&lt;="&amp;$B116,'On The Board'!$M$5:$M$219)-SUM(I116,J116)</f>
        <v>2</v>
      </c>
      <c r="I116" s="12">
        <f>SUMIF('On The Board'!J$5:J$219,"&lt;="&amp;$B116,'On The Board'!$M$5:$M$219)-SUM(J116)</f>
        <v>0</v>
      </c>
      <c r="J116" s="12">
        <f>SUMIF('On The Board'!K$5:K$219,"&lt;="&amp;$B116,'On The Board'!$M$5:$M$219)</f>
        <v>70</v>
      </c>
      <c r="K116" s="10">
        <f t="shared" si="9"/>
        <v>77</v>
      </c>
      <c r="L116" s="10" t="e">
        <f ca="1">IF(TodaysDate&gt;=B116,SUM(F116:I116),NA())</f>
        <v>#N/A</v>
      </c>
      <c r="M116" s="44" t="e">
        <f t="shared" ca="1" si="12"/>
        <v>#N/A</v>
      </c>
      <c r="N116" s="44" t="e">
        <f ca="1">IF(ISNUMBER(M116),(J116-J106)/NETWORKDAYS(B106,B116,BankHolidays),NA())</f>
        <v>#N/A</v>
      </c>
      <c r="O116" s="44" t="e">
        <f t="shared" ca="1" si="11"/>
        <v>#N/A</v>
      </c>
      <c r="P116" s="53" t="e">
        <f t="shared" ca="1" si="13"/>
        <v>#N/A</v>
      </c>
      <c r="Q116" s="53" t="str">
        <f ca="1">IFERROR(DayByDayTable[[#This Row],[Lead Time]],"")</f>
        <v/>
      </c>
      <c r="R116" s="44" t="e">
        <f t="shared" ca="1" si="14"/>
        <v>#N/A</v>
      </c>
      <c r="S116" s="44">
        <f ca="1">ROUND(PERCENTILE(DayByDayTable[[#Data],[BlankLeadTime]],0.8),0)</f>
        <v>8</v>
      </c>
    </row>
    <row r="117" spans="1:19">
      <c r="A117" s="51">
        <f t="shared" si="8"/>
        <v>42573</v>
      </c>
      <c r="B117" s="11">
        <f t="shared" si="10"/>
        <v>42573</v>
      </c>
      <c r="C117" s="47">
        <f>SUMIFS('On The Board'!$M$5:$M$219,'On The Board'!F$5:F$219,"&lt;="&amp;$B117,'On The Board'!E$5:E$219,"="&amp;FutureWork)</f>
        <v>0</v>
      </c>
      <c r="D117" s="47" t="str">
        <f ca="1">IF(TodaysDate&gt;=B117,SUMIF('On The Board'!F$5:F$219,"&lt;="&amp;$B117,'On The Board'!$M$5:$M$219)-SUM(F117:J117),"")</f>
        <v/>
      </c>
      <c r="E117" s="12">
        <f ca="1">IF(TodaysDate&gt;=B117,SUMIF('On The Board'!F$5:F$219,"&lt;="&amp;$B117,'On The Board'!$M$5:$M$219)-SUM(F117:J117),E116)</f>
        <v>47</v>
      </c>
      <c r="F117" s="12">
        <f>SUMIF('On The Board'!G$5:G$219,"&lt;="&amp;$B117,'On The Board'!$M$5:$M$219)-SUM(G117:J117)</f>
        <v>0</v>
      </c>
      <c r="G117" s="12">
        <f>SUMIF('On The Board'!H$5:H$219,"&lt;="&amp;$B117,'On The Board'!$M$5:$M$219)-SUM(H117:J117)</f>
        <v>5</v>
      </c>
      <c r="H117" s="12">
        <f>SUMIF('On The Board'!I$5:I$219,"&lt;="&amp;$B117,'On The Board'!$M$5:$M$219)-SUM(I117,J117)</f>
        <v>2</v>
      </c>
      <c r="I117" s="12">
        <f>SUMIF('On The Board'!J$5:J$219,"&lt;="&amp;$B117,'On The Board'!$M$5:$M$219)-SUM(J117)</f>
        <v>0</v>
      </c>
      <c r="J117" s="12">
        <f>SUMIF('On The Board'!K$5:K$219,"&lt;="&amp;$B117,'On The Board'!$M$5:$M$219)</f>
        <v>70</v>
      </c>
      <c r="K117" s="10">
        <f t="shared" si="9"/>
        <v>77</v>
      </c>
      <c r="L117" s="10" t="e">
        <f ca="1">IF(TodaysDate&gt;=B117,SUM(F117:I117),NA())</f>
        <v>#N/A</v>
      </c>
      <c r="M117" s="44" t="e">
        <f t="shared" ca="1" si="12"/>
        <v>#N/A</v>
      </c>
      <c r="N117" s="44" t="e">
        <f ca="1">IF(ISNUMBER(M117),(J117-J107)/NETWORKDAYS(B107,B117,BankHolidays),NA())</f>
        <v>#N/A</v>
      </c>
      <c r="O117" s="44" t="e">
        <f t="shared" ca="1" si="11"/>
        <v>#N/A</v>
      </c>
      <c r="P117" s="53" t="e">
        <f t="shared" ca="1" si="13"/>
        <v>#N/A</v>
      </c>
      <c r="Q117" s="53" t="str">
        <f ca="1">IFERROR(DayByDayTable[[#This Row],[Lead Time]],"")</f>
        <v/>
      </c>
      <c r="R117" s="44" t="e">
        <f t="shared" ca="1" si="14"/>
        <v>#N/A</v>
      </c>
      <c r="S117" s="44">
        <f ca="1">ROUND(PERCENTILE(DayByDayTable[[#Data],[BlankLeadTime]],0.8),0)</f>
        <v>8</v>
      </c>
    </row>
    <row r="118" spans="1:19">
      <c r="A118" s="51">
        <f t="shared" si="8"/>
        <v>42576</v>
      </c>
      <c r="B118" s="11">
        <f t="shared" si="10"/>
        <v>42576</v>
      </c>
      <c r="C118" s="47">
        <f>SUMIFS('On The Board'!$M$5:$M$219,'On The Board'!F$5:F$219,"&lt;="&amp;$B118,'On The Board'!E$5:E$219,"="&amp;FutureWork)</f>
        <v>0</v>
      </c>
      <c r="D118" s="47" t="str">
        <f ca="1">IF(TodaysDate&gt;=B118,SUMIF('On The Board'!F$5:F$219,"&lt;="&amp;$B118,'On The Board'!$M$5:$M$219)-SUM(F118:J118),"")</f>
        <v/>
      </c>
      <c r="E118" s="12">
        <f ca="1">IF(TodaysDate&gt;=B118,SUMIF('On The Board'!F$5:F$219,"&lt;="&amp;$B118,'On The Board'!$M$5:$M$219)-SUM(F118:J118),E117)</f>
        <v>47</v>
      </c>
      <c r="F118" s="12">
        <f>SUMIF('On The Board'!G$5:G$219,"&lt;="&amp;$B118,'On The Board'!$M$5:$M$219)-SUM(G118:J118)</f>
        <v>0</v>
      </c>
      <c r="G118" s="12">
        <f>SUMIF('On The Board'!H$5:H$219,"&lt;="&amp;$B118,'On The Board'!$M$5:$M$219)-SUM(H118:J118)</f>
        <v>5</v>
      </c>
      <c r="H118" s="12">
        <f>SUMIF('On The Board'!I$5:I$219,"&lt;="&amp;$B118,'On The Board'!$M$5:$M$219)-SUM(I118,J118)</f>
        <v>2</v>
      </c>
      <c r="I118" s="12">
        <f>SUMIF('On The Board'!J$5:J$219,"&lt;="&amp;$B118,'On The Board'!$M$5:$M$219)-SUM(J118)</f>
        <v>0</v>
      </c>
      <c r="J118" s="12">
        <f>SUMIF('On The Board'!K$5:K$219,"&lt;="&amp;$B118,'On The Board'!$M$5:$M$219)</f>
        <v>70</v>
      </c>
      <c r="K118" s="10">
        <f t="shared" si="9"/>
        <v>77</v>
      </c>
      <c r="L118" s="10" t="e">
        <f ca="1">IF(TodaysDate&gt;=B118,SUM(F118:I118),NA())</f>
        <v>#N/A</v>
      </c>
      <c r="M118" s="44" t="e">
        <f t="shared" ca="1" si="12"/>
        <v>#N/A</v>
      </c>
      <c r="N118" s="44" t="e">
        <f ca="1">IF(ISNUMBER(M118),(J118-J108)/NETWORKDAYS(B108,B118,BankHolidays),NA())</f>
        <v>#N/A</v>
      </c>
      <c r="O118" s="44" t="e">
        <f t="shared" ca="1" si="11"/>
        <v>#N/A</v>
      </c>
      <c r="P118" s="53" t="e">
        <f t="shared" ca="1" si="13"/>
        <v>#N/A</v>
      </c>
      <c r="Q118" s="53" t="str">
        <f ca="1">IFERROR(DayByDayTable[[#This Row],[Lead Time]],"")</f>
        <v/>
      </c>
      <c r="R118" s="44" t="e">
        <f t="shared" ca="1" si="14"/>
        <v>#N/A</v>
      </c>
      <c r="S118" s="44">
        <f ca="1">ROUND(PERCENTILE(DayByDayTable[[#Data],[BlankLeadTime]],0.8),0)</f>
        <v>8</v>
      </c>
    </row>
    <row r="119" spans="1:19">
      <c r="A119" s="51">
        <f t="shared" si="8"/>
        <v>42577</v>
      </c>
      <c r="B119" s="11">
        <f t="shared" si="10"/>
        <v>42577</v>
      </c>
      <c r="C119" s="47">
        <f>SUMIFS('On The Board'!$M$5:$M$219,'On The Board'!F$5:F$219,"&lt;="&amp;$B119,'On The Board'!E$5:E$219,"="&amp;FutureWork)</f>
        <v>0</v>
      </c>
      <c r="D119" s="47" t="str">
        <f ca="1">IF(TodaysDate&gt;=B119,SUMIF('On The Board'!F$5:F$219,"&lt;="&amp;$B119,'On The Board'!$M$5:$M$219)-SUM(F119:J119),"")</f>
        <v/>
      </c>
      <c r="E119" s="12">
        <f ca="1">IF(TodaysDate&gt;=B119,SUMIF('On The Board'!F$5:F$219,"&lt;="&amp;$B119,'On The Board'!$M$5:$M$219)-SUM(F119:J119),E118)</f>
        <v>47</v>
      </c>
      <c r="F119" s="12">
        <f>SUMIF('On The Board'!G$5:G$219,"&lt;="&amp;$B119,'On The Board'!$M$5:$M$219)-SUM(G119:J119)</f>
        <v>0</v>
      </c>
      <c r="G119" s="12">
        <f>SUMIF('On The Board'!H$5:H$219,"&lt;="&amp;$B119,'On The Board'!$M$5:$M$219)-SUM(H119:J119)</f>
        <v>5</v>
      </c>
      <c r="H119" s="12">
        <f>SUMIF('On The Board'!I$5:I$219,"&lt;="&amp;$B119,'On The Board'!$M$5:$M$219)-SUM(I119,J119)</f>
        <v>2</v>
      </c>
      <c r="I119" s="12">
        <f>SUMIF('On The Board'!J$5:J$219,"&lt;="&amp;$B119,'On The Board'!$M$5:$M$219)-SUM(J119)</f>
        <v>0</v>
      </c>
      <c r="J119" s="12">
        <f>SUMIF('On The Board'!K$5:K$219,"&lt;="&amp;$B119,'On The Board'!$M$5:$M$219)</f>
        <v>70</v>
      </c>
      <c r="K119" s="10">
        <f t="shared" si="9"/>
        <v>77</v>
      </c>
      <c r="L119" s="10" t="e">
        <f ca="1">IF(TodaysDate&gt;=B119,SUM(F119:I119),NA())</f>
        <v>#N/A</v>
      </c>
      <c r="M119" s="44" t="e">
        <f t="shared" ca="1" si="12"/>
        <v>#N/A</v>
      </c>
      <c r="N119" s="44" t="e">
        <f ca="1">IF(ISNUMBER(M119),(J119-J109)/NETWORKDAYS(B109,B119,BankHolidays),NA())</f>
        <v>#N/A</v>
      </c>
      <c r="O119" s="44" t="e">
        <f t="shared" ca="1" si="11"/>
        <v>#N/A</v>
      </c>
      <c r="P119" s="53" t="e">
        <f t="shared" ca="1" si="13"/>
        <v>#N/A</v>
      </c>
      <c r="Q119" s="53" t="str">
        <f ca="1">IFERROR(DayByDayTable[[#This Row],[Lead Time]],"")</f>
        <v/>
      </c>
      <c r="R119" s="44" t="e">
        <f t="shared" ca="1" si="14"/>
        <v>#N/A</v>
      </c>
      <c r="S119" s="44">
        <f ca="1">ROUND(PERCENTILE(DayByDayTable[[#Data],[BlankLeadTime]],0.8),0)</f>
        <v>8</v>
      </c>
    </row>
    <row r="120" spans="1:19">
      <c r="A120" s="51">
        <f t="shared" si="8"/>
        <v>42578</v>
      </c>
      <c r="B120" s="11">
        <f t="shared" si="10"/>
        <v>42578</v>
      </c>
      <c r="C120" s="47">
        <f>SUMIFS('On The Board'!$M$5:$M$219,'On The Board'!F$5:F$219,"&lt;="&amp;$B120,'On The Board'!E$5:E$219,"="&amp;FutureWork)</f>
        <v>0</v>
      </c>
      <c r="D120" s="47" t="str">
        <f ca="1">IF(TodaysDate&gt;=B120,SUMIF('On The Board'!F$5:F$219,"&lt;="&amp;$B120,'On The Board'!$M$5:$M$219)-SUM(F120:J120),"")</f>
        <v/>
      </c>
      <c r="E120" s="12">
        <f ca="1">IF(TodaysDate&gt;=B120,SUMIF('On The Board'!F$5:F$219,"&lt;="&amp;$B120,'On The Board'!$M$5:$M$219)-SUM(F120:J120),E119)</f>
        <v>47</v>
      </c>
      <c r="F120" s="12">
        <f>SUMIF('On The Board'!G$5:G$219,"&lt;="&amp;$B120,'On The Board'!$M$5:$M$219)-SUM(G120:J120)</f>
        <v>0</v>
      </c>
      <c r="G120" s="12">
        <f>SUMIF('On The Board'!H$5:H$219,"&lt;="&amp;$B120,'On The Board'!$M$5:$M$219)-SUM(H120:J120)</f>
        <v>5</v>
      </c>
      <c r="H120" s="12">
        <f>SUMIF('On The Board'!I$5:I$219,"&lt;="&amp;$B120,'On The Board'!$M$5:$M$219)-SUM(I120,J120)</f>
        <v>2</v>
      </c>
      <c r="I120" s="12">
        <f>SUMIF('On The Board'!J$5:J$219,"&lt;="&amp;$B120,'On The Board'!$M$5:$M$219)-SUM(J120)</f>
        <v>0</v>
      </c>
      <c r="J120" s="12">
        <f>SUMIF('On The Board'!K$5:K$219,"&lt;="&amp;$B120,'On The Board'!$M$5:$M$219)</f>
        <v>70</v>
      </c>
      <c r="K120" s="10">
        <f t="shared" si="9"/>
        <v>77</v>
      </c>
      <c r="L120" s="10" t="e">
        <f ca="1">IF(TodaysDate&gt;=B120,SUM(F120:I120),NA())</f>
        <v>#N/A</v>
      </c>
      <c r="M120" s="44" t="e">
        <f t="shared" ca="1" si="12"/>
        <v>#N/A</v>
      </c>
      <c r="N120" s="44" t="e">
        <f ca="1">IF(ISNUMBER(M120),(J120-J110)/NETWORKDAYS(B110,B120,BankHolidays),NA())</f>
        <v>#N/A</v>
      </c>
      <c r="O120" s="44" t="e">
        <f t="shared" ca="1" si="11"/>
        <v>#N/A</v>
      </c>
      <c r="P120" s="53" t="e">
        <f t="shared" ca="1" si="13"/>
        <v>#N/A</v>
      </c>
      <c r="Q120" s="53" t="str">
        <f ca="1">IFERROR(DayByDayTable[[#This Row],[Lead Time]],"")</f>
        <v/>
      </c>
      <c r="R120" s="44" t="e">
        <f t="shared" ca="1" si="14"/>
        <v>#N/A</v>
      </c>
      <c r="S120" s="44">
        <f ca="1">ROUND(PERCENTILE(DayByDayTable[[#Data],[BlankLeadTime]],0.8),0)</f>
        <v>8</v>
      </c>
    </row>
    <row r="121" spans="1:19">
      <c r="A121" s="51">
        <f t="shared" si="8"/>
        <v>42579</v>
      </c>
      <c r="B121" s="11">
        <f t="shared" si="10"/>
        <v>42579</v>
      </c>
      <c r="C121" s="47">
        <f>SUMIFS('On The Board'!$M$5:$M$219,'On The Board'!F$5:F$219,"&lt;="&amp;$B121,'On The Board'!E$5:E$219,"="&amp;FutureWork)</f>
        <v>0</v>
      </c>
      <c r="D121" s="47" t="str">
        <f ca="1">IF(TodaysDate&gt;=B121,SUMIF('On The Board'!F$5:F$219,"&lt;="&amp;$B121,'On The Board'!$M$5:$M$219)-SUM(F121:J121),"")</f>
        <v/>
      </c>
      <c r="E121" s="12">
        <f ca="1">IF(TodaysDate&gt;=B121,SUMIF('On The Board'!F$5:F$219,"&lt;="&amp;$B121,'On The Board'!$M$5:$M$219)-SUM(F121:J121),E120)</f>
        <v>47</v>
      </c>
      <c r="F121" s="12">
        <f>SUMIF('On The Board'!G$5:G$219,"&lt;="&amp;$B121,'On The Board'!$M$5:$M$219)-SUM(G121:J121)</f>
        <v>0</v>
      </c>
      <c r="G121" s="12">
        <f>SUMIF('On The Board'!H$5:H$219,"&lt;="&amp;$B121,'On The Board'!$M$5:$M$219)-SUM(H121:J121)</f>
        <v>5</v>
      </c>
      <c r="H121" s="12">
        <f>SUMIF('On The Board'!I$5:I$219,"&lt;="&amp;$B121,'On The Board'!$M$5:$M$219)-SUM(I121,J121)</f>
        <v>2</v>
      </c>
      <c r="I121" s="12">
        <f>SUMIF('On The Board'!J$5:J$219,"&lt;="&amp;$B121,'On The Board'!$M$5:$M$219)-SUM(J121)</f>
        <v>0</v>
      </c>
      <c r="J121" s="12">
        <f>SUMIF('On The Board'!K$5:K$219,"&lt;="&amp;$B121,'On The Board'!$M$5:$M$219)</f>
        <v>70</v>
      </c>
      <c r="K121" s="10">
        <f t="shared" si="9"/>
        <v>77</v>
      </c>
      <c r="L121" s="10" t="e">
        <f ca="1">IF(TodaysDate&gt;=B121,SUM(F121:I121),NA())</f>
        <v>#N/A</v>
      </c>
      <c r="M121" s="44" t="e">
        <f t="shared" ca="1" si="12"/>
        <v>#N/A</v>
      </c>
      <c r="N121" s="44" t="e">
        <f ca="1">IF(ISNUMBER(M121),(J121-J111)/NETWORKDAYS(B111,B121,BankHolidays),NA())</f>
        <v>#N/A</v>
      </c>
      <c r="O121" s="44" t="e">
        <f t="shared" ca="1" si="11"/>
        <v>#N/A</v>
      </c>
      <c r="P121" s="53" t="e">
        <f t="shared" ca="1" si="13"/>
        <v>#N/A</v>
      </c>
      <c r="Q121" s="53" t="str">
        <f ca="1">IFERROR(DayByDayTable[[#This Row],[Lead Time]],"")</f>
        <v/>
      </c>
      <c r="R121" s="44" t="e">
        <f t="shared" ca="1" si="14"/>
        <v>#N/A</v>
      </c>
      <c r="S121" s="44">
        <f ca="1">ROUND(PERCENTILE(DayByDayTable[[#Data],[BlankLeadTime]],0.8),0)</f>
        <v>8</v>
      </c>
    </row>
    <row r="122" spans="1:19">
      <c r="A122" s="51">
        <f t="shared" si="8"/>
        <v>42580</v>
      </c>
      <c r="B122" s="11">
        <f t="shared" si="10"/>
        <v>42580</v>
      </c>
      <c r="C122" s="47">
        <f>SUMIFS('On The Board'!$M$5:$M$219,'On The Board'!F$5:F$219,"&lt;="&amp;$B122,'On The Board'!E$5:E$219,"="&amp;FutureWork)</f>
        <v>0</v>
      </c>
      <c r="D122" s="47" t="str">
        <f ca="1">IF(TodaysDate&gt;=B122,SUMIF('On The Board'!F$5:F$219,"&lt;="&amp;$B122,'On The Board'!$M$5:$M$219)-SUM(F122:J122),"")</f>
        <v/>
      </c>
      <c r="E122" s="12">
        <f ca="1">IF(TodaysDate&gt;=B122,SUMIF('On The Board'!F$5:F$219,"&lt;="&amp;$B122,'On The Board'!$M$5:$M$219)-SUM(F122:J122),E121)</f>
        <v>47</v>
      </c>
      <c r="F122" s="12">
        <f>SUMIF('On The Board'!G$5:G$219,"&lt;="&amp;$B122,'On The Board'!$M$5:$M$219)-SUM(G122:J122)</f>
        <v>0</v>
      </c>
      <c r="G122" s="12">
        <f>SUMIF('On The Board'!H$5:H$219,"&lt;="&amp;$B122,'On The Board'!$M$5:$M$219)-SUM(H122:J122)</f>
        <v>5</v>
      </c>
      <c r="H122" s="12">
        <f>SUMIF('On The Board'!I$5:I$219,"&lt;="&amp;$B122,'On The Board'!$M$5:$M$219)-SUM(I122,J122)</f>
        <v>2</v>
      </c>
      <c r="I122" s="12">
        <f>SUMIF('On The Board'!J$5:J$219,"&lt;="&amp;$B122,'On The Board'!$M$5:$M$219)-SUM(J122)</f>
        <v>0</v>
      </c>
      <c r="J122" s="12">
        <f>SUMIF('On The Board'!K$5:K$219,"&lt;="&amp;$B122,'On The Board'!$M$5:$M$219)</f>
        <v>70</v>
      </c>
      <c r="K122" s="10">
        <f t="shared" si="9"/>
        <v>77</v>
      </c>
      <c r="L122" s="10" t="e">
        <f ca="1">IF(TodaysDate&gt;=B122,SUM(F122:I122),NA())</f>
        <v>#N/A</v>
      </c>
      <c r="M122" s="44" t="e">
        <f t="shared" ca="1" si="12"/>
        <v>#N/A</v>
      </c>
      <c r="N122" s="44" t="e">
        <f ca="1">IF(ISNUMBER(M122),(J122-J112)/NETWORKDAYS(B112,B122,BankHolidays),NA())</f>
        <v>#N/A</v>
      </c>
      <c r="O122" s="44" t="e">
        <f t="shared" ca="1" si="11"/>
        <v>#N/A</v>
      </c>
      <c r="P122" s="53" t="e">
        <f t="shared" ca="1" si="13"/>
        <v>#N/A</v>
      </c>
      <c r="Q122" s="53" t="str">
        <f ca="1">IFERROR(DayByDayTable[[#This Row],[Lead Time]],"")</f>
        <v/>
      </c>
      <c r="R122" s="44" t="e">
        <f t="shared" ca="1" si="14"/>
        <v>#N/A</v>
      </c>
      <c r="S122" s="44">
        <f ca="1">ROUND(PERCENTILE(DayByDayTable[[#Data],[BlankLeadTime]],0.8),0)</f>
        <v>8</v>
      </c>
    </row>
    <row r="123" spans="1:19">
      <c r="A123" s="51">
        <f t="shared" si="8"/>
        <v>42583</v>
      </c>
      <c r="B123" s="11">
        <f t="shared" si="10"/>
        <v>42583</v>
      </c>
      <c r="C123" s="47">
        <f>SUMIFS('On The Board'!$M$5:$M$219,'On The Board'!F$5:F$219,"&lt;="&amp;$B123,'On The Board'!E$5:E$219,"="&amp;FutureWork)</f>
        <v>0</v>
      </c>
      <c r="D123" s="47" t="str">
        <f ca="1">IF(TodaysDate&gt;=B123,SUMIF('On The Board'!F$5:F$219,"&lt;="&amp;$B123,'On The Board'!$M$5:$M$219)-SUM(F123:J123),"")</f>
        <v/>
      </c>
      <c r="E123" s="12">
        <f ca="1">IF(TodaysDate&gt;=B123,SUMIF('On The Board'!F$5:F$219,"&lt;="&amp;$B123,'On The Board'!$M$5:$M$219)-SUM(F123:J123),E122)</f>
        <v>47</v>
      </c>
      <c r="F123" s="12">
        <f>SUMIF('On The Board'!G$5:G$219,"&lt;="&amp;$B123,'On The Board'!$M$5:$M$219)-SUM(G123:J123)</f>
        <v>0</v>
      </c>
      <c r="G123" s="12">
        <f>SUMIF('On The Board'!H$5:H$219,"&lt;="&amp;$B123,'On The Board'!$M$5:$M$219)-SUM(H123:J123)</f>
        <v>5</v>
      </c>
      <c r="H123" s="12">
        <f>SUMIF('On The Board'!I$5:I$219,"&lt;="&amp;$B123,'On The Board'!$M$5:$M$219)-SUM(I123,J123)</f>
        <v>2</v>
      </c>
      <c r="I123" s="12">
        <f>SUMIF('On The Board'!J$5:J$219,"&lt;="&amp;$B123,'On The Board'!$M$5:$M$219)-SUM(J123)</f>
        <v>0</v>
      </c>
      <c r="J123" s="12">
        <f>SUMIF('On The Board'!K$5:K$219,"&lt;="&amp;$B123,'On The Board'!$M$5:$M$219)</f>
        <v>70</v>
      </c>
      <c r="K123" s="10">
        <f t="shared" si="9"/>
        <v>77</v>
      </c>
      <c r="L123" s="10" t="e">
        <f ca="1">IF(TodaysDate&gt;=B123,SUM(F123:I123),NA())</f>
        <v>#N/A</v>
      </c>
      <c r="M123" s="44" t="e">
        <f t="shared" ca="1" si="12"/>
        <v>#N/A</v>
      </c>
      <c r="N123" s="44" t="e">
        <f ca="1">IF(ISNUMBER(M123),(J123-J113)/NETWORKDAYS(B113,B123,BankHolidays),NA())</f>
        <v>#N/A</v>
      </c>
      <c r="O123" s="44" t="e">
        <f t="shared" ca="1" si="11"/>
        <v>#N/A</v>
      </c>
      <c r="P123" s="53" t="e">
        <f t="shared" ca="1" si="13"/>
        <v>#N/A</v>
      </c>
      <c r="Q123" s="53" t="str">
        <f ca="1">IFERROR(DayByDayTable[[#This Row],[Lead Time]],"")</f>
        <v/>
      </c>
      <c r="R123" s="44" t="e">
        <f t="shared" ca="1" si="14"/>
        <v>#N/A</v>
      </c>
      <c r="S123" s="44">
        <f ca="1">ROUND(PERCENTILE(DayByDayTable[[#Data],[BlankLeadTime]],0.8),0)</f>
        <v>8</v>
      </c>
    </row>
    <row r="124" spans="1:19">
      <c r="A124" s="51">
        <f t="shared" si="8"/>
        <v>42584</v>
      </c>
      <c r="B124" s="11">
        <f t="shared" si="10"/>
        <v>42584</v>
      </c>
      <c r="C124" s="47">
        <f>SUMIFS('On The Board'!$M$5:$M$219,'On The Board'!F$5:F$219,"&lt;="&amp;$B124,'On The Board'!E$5:E$219,"="&amp;FutureWork)</f>
        <v>0</v>
      </c>
      <c r="D124" s="47" t="str">
        <f ca="1">IF(TodaysDate&gt;=B124,SUMIF('On The Board'!F$5:F$219,"&lt;="&amp;$B124,'On The Board'!$M$5:$M$219)-SUM(F124:J124),"")</f>
        <v/>
      </c>
      <c r="E124" s="12">
        <f ca="1">IF(TodaysDate&gt;=B124,SUMIF('On The Board'!F$5:F$219,"&lt;="&amp;$B124,'On The Board'!$M$5:$M$219)-SUM(F124:J124),E123)</f>
        <v>47</v>
      </c>
      <c r="F124" s="12">
        <f>SUMIF('On The Board'!G$5:G$219,"&lt;="&amp;$B124,'On The Board'!$M$5:$M$219)-SUM(G124:J124)</f>
        <v>0</v>
      </c>
      <c r="G124" s="12">
        <f>SUMIF('On The Board'!H$5:H$219,"&lt;="&amp;$B124,'On The Board'!$M$5:$M$219)-SUM(H124:J124)</f>
        <v>5</v>
      </c>
      <c r="H124" s="12">
        <f>SUMIF('On The Board'!I$5:I$219,"&lt;="&amp;$B124,'On The Board'!$M$5:$M$219)-SUM(I124,J124)</f>
        <v>2</v>
      </c>
      <c r="I124" s="12">
        <f>SUMIF('On The Board'!J$5:J$219,"&lt;="&amp;$B124,'On The Board'!$M$5:$M$219)-SUM(J124)</f>
        <v>0</v>
      </c>
      <c r="J124" s="12">
        <f>SUMIF('On The Board'!K$5:K$219,"&lt;="&amp;$B124,'On The Board'!$M$5:$M$219)</f>
        <v>70</v>
      </c>
      <c r="K124" s="10">
        <f t="shared" si="9"/>
        <v>77</v>
      </c>
      <c r="L124" s="10" t="e">
        <f ca="1">IF(TodaysDate&gt;=B124,SUM(F124:I124),NA())</f>
        <v>#N/A</v>
      </c>
      <c r="M124" s="44" t="e">
        <f t="shared" ca="1" si="12"/>
        <v>#N/A</v>
      </c>
      <c r="N124" s="44" t="e">
        <f ca="1">IF(ISNUMBER(M124),(J124-J114)/NETWORKDAYS(B114,B124,BankHolidays),NA())</f>
        <v>#N/A</v>
      </c>
      <c r="O124" s="44" t="e">
        <f t="shared" ca="1" si="11"/>
        <v>#N/A</v>
      </c>
      <c r="P124" s="53" t="e">
        <f t="shared" ca="1" si="13"/>
        <v>#N/A</v>
      </c>
      <c r="Q124" s="53" t="str">
        <f ca="1">IFERROR(DayByDayTable[[#This Row],[Lead Time]],"")</f>
        <v/>
      </c>
      <c r="R124" s="44" t="e">
        <f t="shared" ca="1" si="14"/>
        <v>#N/A</v>
      </c>
      <c r="S124" s="44">
        <f ca="1">ROUND(PERCENTILE(DayByDayTable[[#Data],[BlankLeadTime]],0.8),0)</f>
        <v>8</v>
      </c>
    </row>
    <row r="125" spans="1:19">
      <c r="A125" s="51">
        <f t="shared" si="8"/>
        <v>42585</v>
      </c>
      <c r="B125" s="11">
        <f t="shared" si="10"/>
        <v>42585</v>
      </c>
      <c r="C125" s="47">
        <f>SUMIFS('On The Board'!$M$5:$M$219,'On The Board'!F$5:F$219,"&lt;="&amp;$B125,'On The Board'!E$5:E$219,"="&amp;FutureWork)</f>
        <v>0</v>
      </c>
      <c r="D125" s="47" t="str">
        <f ca="1">IF(TodaysDate&gt;=B125,SUMIF('On The Board'!F$5:F$219,"&lt;="&amp;$B125,'On The Board'!$M$5:$M$219)-SUM(F125:J125),"")</f>
        <v/>
      </c>
      <c r="E125" s="12">
        <f ca="1">IF(TodaysDate&gt;=B125,SUMIF('On The Board'!F$5:F$219,"&lt;="&amp;$B125,'On The Board'!$M$5:$M$219)-SUM(F125:J125),E124)</f>
        <v>47</v>
      </c>
      <c r="F125" s="12">
        <f>SUMIF('On The Board'!G$5:G$219,"&lt;="&amp;$B125,'On The Board'!$M$5:$M$219)-SUM(G125:J125)</f>
        <v>0</v>
      </c>
      <c r="G125" s="12">
        <f>SUMIF('On The Board'!H$5:H$219,"&lt;="&amp;$B125,'On The Board'!$M$5:$M$219)-SUM(H125:J125)</f>
        <v>5</v>
      </c>
      <c r="H125" s="12">
        <f>SUMIF('On The Board'!I$5:I$219,"&lt;="&amp;$B125,'On The Board'!$M$5:$M$219)-SUM(I125,J125)</f>
        <v>2</v>
      </c>
      <c r="I125" s="12">
        <f>SUMIF('On The Board'!J$5:J$219,"&lt;="&amp;$B125,'On The Board'!$M$5:$M$219)-SUM(J125)</f>
        <v>0</v>
      </c>
      <c r="J125" s="12">
        <f>SUMIF('On The Board'!K$5:K$219,"&lt;="&amp;$B125,'On The Board'!$M$5:$M$219)</f>
        <v>70</v>
      </c>
      <c r="K125" s="10">
        <f t="shared" si="9"/>
        <v>77</v>
      </c>
      <c r="L125" s="10" t="e">
        <f ca="1">IF(TodaysDate&gt;=B125,SUM(F125:I125),NA())</f>
        <v>#N/A</v>
      </c>
      <c r="M125" s="44" t="e">
        <f t="shared" ca="1" si="12"/>
        <v>#N/A</v>
      </c>
      <c r="N125" s="44" t="e">
        <f ca="1">IF(ISNUMBER(M125),(J125-J115)/NETWORKDAYS(B115,B125,BankHolidays),NA())</f>
        <v>#N/A</v>
      </c>
      <c r="O125" s="44" t="e">
        <f t="shared" ca="1" si="11"/>
        <v>#N/A</v>
      </c>
      <c r="P125" s="53" t="e">
        <f t="shared" ca="1" si="13"/>
        <v>#N/A</v>
      </c>
      <c r="Q125" s="53" t="str">
        <f ca="1">IFERROR(DayByDayTable[[#This Row],[Lead Time]],"")</f>
        <v/>
      </c>
      <c r="R125" s="44" t="e">
        <f t="shared" ca="1" si="14"/>
        <v>#N/A</v>
      </c>
      <c r="S125" s="44">
        <f ca="1">ROUND(PERCENTILE(DayByDayTable[[#Data],[BlankLeadTime]],0.8),0)</f>
        <v>8</v>
      </c>
    </row>
    <row r="126" spans="1:19">
      <c r="A126" s="51">
        <f t="shared" si="8"/>
        <v>42586</v>
      </c>
      <c r="B126" s="11">
        <f t="shared" si="10"/>
        <v>42586</v>
      </c>
      <c r="C126" s="47">
        <f>SUMIFS('On The Board'!$M$5:$M$219,'On The Board'!F$5:F$219,"&lt;="&amp;$B126,'On The Board'!E$5:E$219,"="&amp;FutureWork)</f>
        <v>0</v>
      </c>
      <c r="D126" s="47" t="str">
        <f ca="1">IF(TodaysDate&gt;=B126,SUMIF('On The Board'!F$5:F$219,"&lt;="&amp;$B126,'On The Board'!$M$5:$M$219)-SUM(F126:J126),"")</f>
        <v/>
      </c>
      <c r="E126" s="12">
        <f ca="1">IF(TodaysDate&gt;=B126,SUMIF('On The Board'!F$5:F$219,"&lt;="&amp;$B126,'On The Board'!$M$5:$M$219)-SUM(F126:J126),E125)</f>
        <v>47</v>
      </c>
      <c r="F126" s="12">
        <f>SUMIF('On The Board'!G$5:G$219,"&lt;="&amp;$B126,'On The Board'!$M$5:$M$219)-SUM(G126:J126)</f>
        <v>0</v>
      </c>
      <c r="G126" s="12">
        <f>SUMIF('On The Board'!H$5:H$219,"&lt;="&amp;$B126,'On The Board'!$M$5:$M$219)-SUM(H126:J126)</f>
        <v>5</v>
      </c>
      <c r="H126" s="12">
        <f>SUMIF('On The Board'!I$5:I$219,"&lt;="&amp;$B126,'On The Board'!$M$5:$M$219)-SUM(I126,J126)</f>
        <v>2</v>
      </c>
      <c r="I126" s="12">
        <f>SUMIF('On The Board'!J$5:J$219,"&lt;="&amp;$B126,'On The Board'!$M$5:$M$219)-SUM(J126)</f>
        <v>0</v>
      </c>
      <c r="J126" s="12">
        <f>SUMIF('On The Board'!K$5:K$219,"&lt;="&amp;$B126,'On The Board'!$M$5:$M$219)</f>
        <v>70</v>
      </c>
      <c r="K126" s="10">
        <f t="shared" si="9"/>
        <v>77</v>
      </c>
      <c r="L126" s="10" t="e">
        <f ca="1">IF(TodaysDate&gt;=B126,SUM(F126:I126),NA())</f>
        <v>#N/A</v>
      </c>
      <c r="M126" s="44" t="e">
        <f t="shared" ca="1" si="12"/>
        <v>#N/A</v>
      </c>
      <c r="N126" s="44" t="e">
        <f ca="1">IF(ISNUMBER(M126),(J126-J116)/NETWORKDAYS(B116,B126,BankHolidays),NA())</f>
        <v>#N/A</v>
      </c>
      <c r="O126" s="44" t="e">
        <f t="shared" ca="1" si="11"/>
        <v>#N/A</v>
      </c>
      <c r="P126" s="53" t="e">
        <f t="shared" ca="1" si="13"/>
        <v>#N/A</v>
      </c>
      <c r="Q126" s="53" t="str">
        <f ca="1">IFERROR(DayByDayTable[[#This Row],[Lead Time]],"")</f>
        <v/>
      </c>
      <c r="R126" s="44" t="e">
        <f t="shared" ca="1" si="14"/>
        <v>#N/A</v>
      </c>
      <c r="S126" s="44">
        <f ca="1">ROUND(PERCENTILE(DayByDayTable[[#Data],[BlankLeadTime]],0.8),0)</f>
        <v>8</v>
      </c>
    </row>
    <row r="127" spans="1:19">
      <c r="A127" s="51">
        <f t="shared" si="8"/>
        <v>42587</v>
      </c>
      <c r="B127" s="11">
        <f t="shared" si="10"/>
        <v>42587</v>
      </c>
      <c r="C127" s="47">
        <f>SUMIFS('On The Board'!$M$5:$M$219,'On The Board'!F$5:F$219,"&lt;="&amp;$B127,'On The Board'!E$5:E$219,"="&amp;FutureWork)</f>
        <v>0</v>
      </c>
      <c r="D127" s="47" t="str">
        <f ca="1">IF(TodaysDate&gt;=B127,SUMIF('On The Board'!F$5:F$219,"&lt;="&amp;$B127,'On The Board'!$M$5:$M$219)-SUM(F127:J127),"")</f>
        <v/>
      </c>
      <c r="E127" s="12">
        <f ca="1">IF(TodaysDate&gt;=B127,SUMIF('On The Board'!F$5:F$219,"&lt;="&amp;$B127,'On The Board'!$M$5:$M$219)-SUM(F127:J127),E126)</f>
        <v>47</v>
      </c>
      <c r="F127" s="12">
        <f>SUMIF('On The Board'!G$5:G$219,"&lt;="&amp;$B127,'On The Board'!$M$5:$M$219)-SUM(G127:J127)</f>
        <v>0</v>
      </c>
      <c r="G127" s="12">
        <f>SUMIF('On The Board'!H$5:H$219,"&lt;="&amp;$B127,'On The Board'!$M$5:$M$219)-SUM(H127:J127)</f>
        <v>5</v>
      </c>
      <c r="H127" s="12">
        <f>SUMIF('On The Board'!I$5:I$219,"&lt;="&amp;$B127,'On The Board'!$M$5:$M$219)-SUM(I127,J127)</f>
        <v>2</v>
      </c>
      <c r="I127" s="12">
        <f>SUMIF('On The Board'!J$5:J$219,"&lt;="&amp;$B127,'On The Board'!$M$5:$M$219)-SUM(J127)</f>
        <v>0</v>
      </c>
      <c r="J127" s="12">
        <f>SUMIF('On The Board'!K$5:K$219,"&lt;="&amp;$B127,'On The Board'!$M$5:$M$219)</f>
        <v>70</v>
      </c>
      <c r="K127" s="10">
        <f t="shared" si="9"/>
        <v>77</v>
      </c>
      <c r="L127" s="10" t="e">
        <f ca="1">IF(TodaysDate&gt;=B127,SUM(F127:I127),NA())</f>
        <v>#N/A</v>
      </c>
      <c r="M127" s="44" t="e">
        <f t="shared" ca="1" si="12"/>
        <v>#N/A</v>
      </c>
      <c r="N127" s="44" t="e">
        <f ca="1">IF(ISNUMBER(M127),(J127-J117)/NETWORKDAYS(B117,B127,BankHolidays),NA())</f>
        <v>#N/A</v>
      </c>
      <c r="O127" s="44" t="e">
        <f t="shared" ca="1" si="11"/>
        <v>#N/A</v>
      </c>
      <c r="P127" s="53" t="e">
        <f t="shared" ca="1" si="13"/>
        <v>#N/A</v>
      </c>
      <c r="Q127" s="53" t="str">
        <f ca="1">IFERROR(DayByDayTable[[#This Row],[Lead Time]],"")</f>
        <v/>
      </c>
      <c r="R127" s="44" t="e">
        <f t="shared" ca="1" si="14"/>
        <v>#N/A</v>
      </c>
      <c r="S127" s="44">
        <f ca="1">ROUND(PERCENTILE(DayByDayTable[[#Data],[BlankLeadTime]],0.8),0)</f>
        <v>8</v>
      </c>
    </row>
    <row r="128" spans="1:19">
      <c r="A128" s="51">
        <f t="shared" si="8"/>
        <v>42590</v>
      </c>
      <c r="B128" s="11">
        <f t="shared" si="10"/>
        <v>42590</v>
      </c>
      <c r="C128" s="47">
        <f>SUMIFS('On The Board'!$M$5:$M$219,'On The Board'!F$5:F$219,"&lt;="&amp;$B128,'On The Board'!E$5:E$219,"="&amp;FutureWork)</f>
        <v>0</v>
      </c>
      <c r="D128" s="47" t="str">
        <f ca="1">IF(TodaysDate&gt;=B128,SUMIF('On The Board'!F$5:F$219,"&lt;="&amp;$B128,'On The Board'!$M$5:$M$219)-SUM(F128:J128),"")</f>
        <v/>
      </c>
      <c r="E128" s="12">
        <f ca="1">IF(TodaysDate&gt;=B128,SUMIF('On The Board'!F$5:F$219,"&lt;="&amp;$B128,'On The Board'!$M$5:$M$219)-SUM(F128:J128),E127)</f>
        <v>47</v>
      </c>
      <c r="F128" s="12">
        <f>SUMIF('On The Board'!G$5:G$219,"&lt;="&amp;$B128,'On The Board'!$M$5:$M$219)-SUM(G128:J128)</f>
        <v>0</v>
      </c>
      <c r="G128" s="12">
        <f>SUMIF('On The Board'!H$5:H$219,"&lt;="&amp;$B128,'On The Board'!$M$5:$M$219)-SUM(H128:J128)</f>
        <v>5</v>
      </c>
      <c r="H128" s="12">
        <f>SUMIF('On The Board'!I$5:I$219,"&lt;="&amp;$B128,'On The Board'!$M$5:$M$219)-SUM(I128,J128)</f>
        <v>2</v>
      </c>
      <c r="I128" s="12">
        <f>SUMIF('On The Board'!J$5:J$219,"&lt;="&amp;$B128,'On The Board'!$M$5:$M$219)-SUM(J128)</f>
        <v>0</v>
      </c>
      <c r="J128" s="12">
        <f>SUMIF('On The Board'!K$5:K$219,"&lt;="&amp;$B128,'On The Board'!$M$5:$M$219)</f>
        <v>70</v>
      </c>
      <c r="K128" s="10">
        <f t="shared" si="9"/>
        <v>77</v>
      </c>
      <c r="L128" s="10" t="e">
        <f ca="1">IF(TodaysDate&gt;=B128,SUM(F128:I128),NA())</f>
        <v>#N/A</v>
      </c>
      <c r="M128" s="44" t="e">
        <f t="shared" ca="1" si="12"/>
        <v>#N/A</v>
      </c>
      <c r="N128" s="44" t="e">
        <f ca="1">IF(ISNUMBER(M128),(J128-J118)/NETWORKDAYS(B118,B128,BankHolidays),NA())</f>
        <v>#N/A</v>
      </c>
      <c r="O128" s="44" t="e">
        <f t="shared" ca="1" si="11"/>
        <v>#N/A</v>
      </c>
      <c r="P128" s="53" t="e">
        <f t="shared" ca="1" si="13"/>
        <v>#N/A</v>
      </c>
      <c r="Q128" s="53" t="str">
        <f ca="1">IFERROR(DayByDayTable[[#This Row],[Lead Time]],"")</f>
        <v/>
      </c>
      <c r="R128" s="44" t="e">
        <f t="shared" ca="1" si="14"/>
        <v>#N/A</v>
      </c>
      <c r="S128" s="44">
        <f ca="1">ROUND(PERCENTILE(DayByDayTable[[#Data],[BlankLeadTime]],0.8),0)</f>
        <v>8</v>
      </c>
    </row>
    <row r="129" spans="1:19">
      <c r="A129" s="51">
        <f t="shared" si="8"/>
        <v>42591</v>
      </c>
      <c r="B129" s="11">
        <f t="shared" si="10"/>
        <v>42591</v>
      </c>
      <c r="C129" s="47">
        <f>SUMIFS('On The Board'!$M$5:$M$219,'On The Board'!F$5:F$219,"&lt;="&amp;$B129,'On The Board'!E$5:E$219,"="&amp;FutureWork)</f>
        <v>0</v>
      </c>
      <c r="D129" s="47" t="str">
        <f ca="1">IF(TodaysDate&gt;=B129,SUMIF('On The Board'!F$5:F$219,"&lt;="&amp;$B129,'On The Board'!$M$5:$M$219)-SUM(F129:J129),"")</f>
        <v/>
      </c>
      <c r="E129" s="12">
        <f ca="1">IF(TodaysDate&gt;=B129,SUMIF('On The Board'!F$5:F$219,"&lt;="&amp;$B129,'On The Board'!$M$5:$M$219)-SUM(F129:J129),E128)</f>
        <v>47</v>
      </c>
      <c r="F129" s="12">
        <f>SUMIF('On The Board'!G$5:G$219,"&lt;="&amp;$B129,'On The Board'!$M$5:$M$219)-SUM(G129:J129)</f>
        <v>0</v>
      </c>
      <c r="G129" s="12">
        <f>SUMIF('On The Board'!H$5:H$219,"&lt;="&amp;$B129,'On The Board'!$M$5:$M$219)-SUM(H129:J129)</f>
        <v>5</v>
      </c>
      <c r="H129" s="12">
        <f>SUMIF('On The Board'!I$5:I$219,"&lt;="&amp;$B129,'On The Board'!$M$5:$M$219)-SUM(I129,J129)</f>
        <v>2</v>
      </c>
      <c r="I129" s="12">
        <f>SUMIF('On The Board'!J$5:J$219,"&lt;="&amp;$B129,'On The Board'!$M$5:$M$219)-SUM(J129)</f>
        <v>0</v>
      </c>
      <c r="J129" s="12">
        <f>SUMIF('On The Board'!K$5:K$219,"&lt;="&amp;$B129,'On The Board'!$M$5:$M$219)</f>
        <v>70</v>
      </c>
      <c r="K129" s="10">
        <f t="shared" si="9"/>
        <v>77</v>
      </c>
      <c r="L129" s="10" t="e">
        <f ca="1">IF(TodaysDate&gt;=B129,SUM(F129:I129),NA())</f>
        <v>#N/A</v>
      </c>
      <c r="M129" s="44" t="e">
        <f t="shared" ca="1" si="12"/>
        <v>#N/A</v>
      </c>
      <c r="N129" s="44" t="e">
        <f ca="1">IF(ISNUMBER(M129),(J129-J119)/NETWORKDAYS(B119,B129,BankHolidays),NA())</f>
        <v>#N/A</v>
      </c>
      <c r="O129" s="44" t="e">
        <f t="shared" ca="1" si="11"/>
        <v>#N/A</v>
      </c>
      <c r="P129" s="53" t="e">
        <f t="shared" ca="1" si="13"/>
        <v>#N/A</v>
      </c>
      <c r="Q129" s="53" t="str">
        <f ca="1">IFERROR(DayByDayTable[[#This Row],[Lead Time]],"")</f>
        <v/>
      </c>
      <c r="R129" s="44" t="e">
        <f t="shared" ca="1" si="14"/>
        <v>#N/A</v>
      </c>
      <c r="S129" s="44">
        <f ca="1">ROUND(PERCENTILE(DayByDayTable[[#Data],[BlankLeadTime]],0.8),0)</f>
        <v>8</v>
      </c>
    </row>
    <row r="130" spans="1:19">
      <c r="A130" s="51">
        <f t="shared" ref="A130" si="15">B130</f>
        <v>42592</v>
      </c>
      <c r="B130" s="11">
        <f t="shared" si="10"/>
        <v>42592</v>
      </c>
      <c r="C130" s="47">
        <f>SUMIFS('On The Board'!$M$5:$M$219,'On The Board'!F$5:F$219,"&lt;="&amp;$B130,'On The Board'!E$5:E$219,"="&amp;FutureWork)</f>
        <v>0</v>
      </c>
      <c r="D130" s="47" t="str">
        <f ca="1">IF(TodaysDate&gt;=B130,SUMIF('On The Board'!F$5:F$219,"&lt;="&amp;$B130,'On The Board'!$M$5:$M$219)-SUM(F130:J130),"")</f>
        <v/>
      </c>
      <c r="E130" s="12">
        <f ca="1">IF(TodaysDate&gt;=B130,SUMIF('On The Board'!F$5:F$219,"&lt;="&amp;$B130,'On The Board'!$M$5:$M$219)-SUM(F130:J130),E129)</f>
        <v>47</v>
      </c>
      <c r="F130" s="12">
        <f>SUMIF('On The Board'!G$5:G$219,"&lt;="&amp;$B130,'On The Board'!$M$5:$M$219)-SUM(G130:J130)</f>
        <v>0</v>
      </c>
      <c r="G130" s="12">
        <f>SUMIF('On The Board'!H$5:H$219,"&lt;="&amp;$B130,'On The Board'!$M$5:$M$219)-SUM(H130:J130)</f>
        <v>5</v>
      </c>
      <c r="H130" s="12">
        <f>SUMIF('On The Board'!I$5:I$219,"&lt;="&amp;$B130,'On The Board'!$M$5:$M$219)-SUM(I130,J130)</f>
        <v>2</v>
      </c>
      <c r="I130" s="12">
        <f>SUMIF('On The Board'!J$5:J$219,"&lt;="&amp;$B130,'On The Board'!$M$5:$M$219)-SUM(J130)</f>
        <v>0</v>
      </c>
      <c r="J130" s="12">
        <f>SUMIF('On The Board'!K$5:K$219,"&lt;="&amp;$B130,'On The Board'!$M$5:$M$219)</f>
        <v>70</v>
      </c>
      <c r="K130" s="10">
        <f t="shared" ref="K130" si="16">SUM(F130:J130)</f>
        <v>77</v>
      </c>
      <c r="L130" s="10" t="e">
        <f ca="1">IF(TodaysDate&gt;=B130,SUM(F130:I130),NA())</f>
        <v>#N/A</v>
      </c>
      <c r="M130" s="44" t="e">
        <f t="shared" ca="1" si="12"/>
        <v>#N/A</v>
      </c>
      <c r="N130" s="44" t="e">
        <f ca="1">IF(ISNUMBER(M130),(J130-J120)/NETWORKDAYS(B120,B130,BankHolidays),NA())</f>
        <v>#N/A</v>
      </c>
      <c r="O130" s="44" t="e">
        <f t="shared" ca="1" si="11"/>
        <v>#N/A</v>
      </c>
      <c r="P130" s="53" t="e">
        <f t="shared" ca="1" si="13"/>
        <v>#N/A</v>
      </c>
      <c r="Q130" s="53" t="str">
        <f ca="1">IFERROR(DayByDayTable[[#This Row],[Lead Time]],"")</f>
        <v/>
      </c>
      <c r="R130" s="44" t="e">
        <f t="shared" ca="1" si="14"/>
        <v>#N/A</v>
      </c>
      <c r="S130" s="44">
        <f ca="1">ROUND(PERCENTILE(DayByDayTable[[#Data],[BlankLeadTime]],0.8),0)</f>
        <v>8</v>
      </c>
    </row>
    <row r="131" spans="1:19">
      <c r="A131" s="51">
        <f t="shared" ref="A131:A190" si="17">B131</f>
        <v>42593</v>
      </c>
      <c r="B131" s="11">
        <f t="shared" ref="B131:B194" si="18">IF(NETWORKDAYS(B130,B130+1,BankHolidays)=2,B130+1,IF(NETWORKDAYS(B130,B130+2,BankHolidays)=2,B130+2,IF(NETWORKDAYS(B130,B130+3,BankHolidays)=2,B130+3,IF(NETWORKDAYS(B130,B130+4,BankHolidays)=2,B130+4,IF(NETWORKDAYS(B130,B130+5,BankHolidays)=2,B130+5,NA())))))</f>
        <v>42593</v>
      </c>
      <c r="C131" s="47">
        <f>SUMIFS('On The Board'!$M$5:$M$219,'On The Board'!F$5:F$219,"&lt;="&amp;$B131,'On The Board'!E$5:E$219,"="&amp;FutureWork)</f>
        <v>0</v>
      </c>
      <c r="D131" s="47" t="str">
        <f ca="1">IF(TodaysDate&gt;=B131,SUMIF('On The Board'!F$5:F$219,"&lt;="&amp;$B131,'On The Board'!$M$5:$M$219)-SUM(F131:J131),"")</f>
        <v/>
      </c>
      <c r="E131" s="12">
        <f ca="1">IF(TodaysDate&gt;=B131,SUMIF('On The Board'!F$5:F$219,"&lt;="&amp;$B131,'On The Board'!$M$5:$M$219)-SUM(F131:J131),E130)</f>
        <v>47</v>
      </c>
      <c r="F131" s="12">
        <f>SUMIF('On The Board'!G$5:G$219,"&lt;="&amp;$B131,'On The Board'!$M$5:$M$219)-SUM(G131:J131)</f>
        <v>0</v>
      </c>
      <c r="G131" s="12">
        <f>SUMIF('On The Board'!H$5:H$219,"&lt;="&amp;$B131,'On The Board'!$M$5:$M$219)-SUM(H131:J131)</f>
        <v>5</v>
      </c>
      <c r="H131" s="12">
        <f>SUMIF('On The Board'!I$5:I$219,"&lt;="&amp;$B131,'On The Board'!$M$5:$M$219)-SUM(I131,J131)</f>
        <v>2</v>
      </c>
      <c r="I131" s="12">
        <f>SUMIF('On The Board'!J$5:J$219,"&lt;="&amp;$B131,'On The Board'!$M$5:$M$219)-SUM(J131)</f>
        <v>0</v>
      </c>
      <c r="J131" s="12">
        <f>SUMIF('On The Board'!K$5:K$219,"&lt;="&amp;$B131,'On The Board'!$M$5:$M$219)</f>
        <v>70</v>
      </c>
      <c r="K131" s="10">
        <f t="shared" ref="K131:K190" si="19">SUM(F131:J131)</f>
        <v>77</v>
      </c>
      <c r="L131" s="10" t="e">
        <f ca="1">IF(TodaysDate&gt;=B131,SUM(F131:I131),NA())</f>
        <v>#N/A</v>
      </c>
      <c r="M131" s="44" t="e">
        <f t="shared" ca="1" si="12"/>
        <v>#N/A</v>
      </c>
      <c r="N131" s="44" t="e">
        <f ca="1">IF(ISNUMBER(M131),(J131-J121)/NETWORKDAYS(B121,B131,BankHolidays),NA())</f>
        <v>#N/A</v>
      </c>
      <c r="O131" s="44" t="e">
        <f t="shared" ref="O131:O194" ca="1" si="20">IF(N131&gt;0,M131/N131,NA())</f>
        <v>#N/A</v>
      </c>
      <c r="P131" s="53" t="e">
        <f t="shared" ca="1" si="13"/>
        <v>#N/A</v>
      </c>
      <c r="Q131" s="53" t="str">
        <f ca="1">IFERROR(DayByDayTable[[#This Row],[Lead Time]],"")</f>
        <v/>
      </c>
      <c r="R131" s="44" t="e">
        <f t="shared" ca="1" si="14"/>
        <v>#N/A</v>
      </c>
      <c r="S131" s="44">
        <f ca="1">ROUND(PERCENTILE(DayByDayTable[[#Data],[BlankLeadTime]],0.8),0)</f>
        <v>8</v>
      </c>
    </row>
    <row r="132" spans="1:19">
      <c r="A132" s="51">
        <f t="shared" si="17"/>
        <v>42594</v>
      </c>
      <c r="B132" s="11">
        <f t="shared" si="18"/>
        <v>42594</v>
      </c>
      <c r="C132" s="47">
        <f>SUMIFS('On The Board'!$M$5:$M$219,'On The Board'!F$5:F$219,"&lt;="&amp;$B132,'On The Board'!E$5:E$219,"="&amp;FutureWork)</f>
        <v>0</v>
      </c>
      <c r="D132" s="47" t="str">
        <f ca="1">IF(TodaysDate&gt;=B132,SUMIF('On The Board'!F$5:F$219,"&lt;="&amp;$B132,'On The Board'!$M$5:$M$219)-SUM(F132:J132),"")</f>
        <v/>
      </c>
      <c r="E132" s="12">
        <f ca="1">IF(TodaysDate&gt;=B132,SUMIF('On The Board'!F$5:F$219,"&lt;="&amp;$B132,'On The Board'!$M$5:$M$219)-SUM(F132:J132),E131)</f>
        <v>47</v>
      </c>
      <c r="F132" s="12">
        <f>SUMIF('On The Board'!G$5:G$219,"&lt;="&amp;$B132,'On The Board'!$M$5:$M$219)-SUM(G132:J132)</f>
        <v>0</v>
      </c>
      <c r="G132" s="12">
        <f>SUMIF('On The Board'!H$5:H$219,"&lt;="&amp;$B132,'On The Board'!$M$5:$M$219)-SUM(H132:J132)</f>
        <v>5</v>
      </c>
      <c r="H132" s="12">
        <f>SUMIF('On The Board'!I$5:I$219,"&lt;="&amp;$B132,'On The Board'!$M$5:$M$219)-SUM(I132,J132)</f>
        <v>2</v>
      </c>
      <c r="I132" s="12">
        <f>SUMIF('On The Board'!J$5:J$219,"&lt;="&amp;$B132,'On The Board'!$M$5:$M$219)-SUM(J132)</f>
        <v>0</v>
      </c>
      <c r="J132" s="12">
        <f>SUMIF('On The Board'!K$5:K$219,"&lt;="&amp;$B132,'On The Board'!$M$5:$M$219)</f>
        <v>70</v>
      </c>
      <c r="K132" s="10">
        <f t="shared" si="19"/>
        <v>77</v>
      </c>
      <c r="L132" s="10" t="e">
        <f ca="1">IF(TodaysDate&gt;=B132,SUM(F132:I132),NA())</f>
        <v>#N/A</v>
      </c>
      <c r="M132" s="44" t="e">
        <f t="shared" ca="1" si="12"/>
        <v>#N/A</v>
      </c>
      <c r="N132" s="44" t="e">
        <f ca="1">IF(ISNUMBER(M132),(J132-J122)/NETWORKDAYS(B122,B132,BankHolidays),NA())</f>
        <v>#N/A</v>
      </c>
      <c r="O132" s="44" t="e">
        <f t="shared" ca="1" si="20"/>
        <v>#N/A</v>
      </c>
      <c r="P132" s="53" t="e">
        <f t="shared" ca="1" si="13"/>
        <v>#N/A</v>
      </c>
      <c r="Q132" s="53" t="str">
        <f ca="1">IFERROR(DayByDayTable[[#This Row],[Lead Time]],"")</f>
        <v/>
      </c>
      <c r="R132" s="44" t="e">
        <f t="shared" ca="1" si="14"/>
        <v>#N/A</v>
      </c>
      <c r="S132" s="44">
        <f ca="1">ROUND(PERCENTILE(DayByDayTable[[#Data],[BlankLeadTime]],0.8),0)</f>
        <v>8</v>
      </c>
    </row>
    <row r="133" spans="1:19">
      <c r="A133" s="51">
        <f t="shared" si="17"/>
        <v>42597</v>
      </c>
      <c r="B133" s="11">
        <f t="shared" si="18"/>
        <v>42597</v>
      </c>
      <c r="C133" s="47">
        <f>SUMIFS('On The Board'!$M$5:$M$219,'On The Board'!F$5:F$219,"&lt;="&amp;$B133,'On The Board'!E$5:E$219,"="&amp;FutureWork)</f>
        <v>0</v>
      </c>
      <c r="D133" s="47" t="str">
        <f ca="1">IF(TodaysDate&gt;=B133,SUMIF('On The Board'!F$5:F$219,"&lt;="&amp;$B133,'On The Board'!$M$5:$M$219)-SUM(F133:J133),"")</f>
        <v/>
      </c>
      <c r="E133" s="12">
        <f ca="1">IF(TodaysDate&gt;=B133,SUMIF('On The Board'!F$5:F$219,"&lt;="&amp;$B133,'On The Board'!$M$5:$M$219)-SUM(F133:J133),E132)</f>
        <v>47</v>
      </c>
      <c r="F133" s="12">
        <f>SUMIF('On The Board'!G$5:G$219,"&lt;="&amp;$B133,'On The Board'!$M$5:$M$219)-SUM(G133:J133)</f>
        <v>0</v>
      </c>
      <c r="G133" s="12">
        <f>SUMIF('On The Board'!H$5:H$219,"&lt;="&amp;$B133,'On The Board'!$M$5:$M$219)-SUM(H133:J133)</f>
        <v>5</v>
      </c>
      <c r="H133" s="12">
        <f>SUMIF('On The Board'!I$5:I$219,"&lt;="&amp;$B133,'On The Board'!$M$5:$M$219)-SUM(I133,J133)</f>
        <v>2</v>
      </c>
      <c r="I133" s="12">
        <f>SUMIF('On The Board'!J$5:J$219,"&lt;="&amp;$B133,'On The Board'!$M$5:$M$219)-SUM(J133)</f>
        <v>0</v>
      </c>
      <c r="J133" s="12">
        <f>SUMIF('On The Board'!K$5:K$219,"&lt;="&amp;$B133,'On The Board'!$M$5:$M$219)</f>
        <v>70</v>
      </c>
      <c r="K133" s="10">
        <f t="shared" si="19"/>
        <v>77</v>
      </c>
      <c r="L133" s="10" t="e">
        <f ca="1">IF(TodaysDate&gt;=B133,SUM(F133:I133),NA())</f>
        <v>#N/A</v>
      </c>
      <c r="M133" s="44" t="e">
        <f t="shared" ca="1" si="12"/>
        <v>#N/A</v>
      </c>
      <c r="N133" s="44" t="e">
        <f ca="1">IF(ISNUMBER(M133),(J133-J123)/NETWORKDAYS(B123,B133,BankHolidays),NA())</f>
        <v>#N/A</v>
      </c>
      <c r="O133" s="44" t="e">
        <f t="shared" ca="1" si="20"/>
        <v>#N/A</v>
      </c>
      <c r="P133" s="53" t="e">
        <f t="shared" ca="1" si="13"/>
        <v>#N/A</v>
      </c>
      <c r="Q133" s="53" t="str">
        <f ca="1">IFERROR(DayByDayTable[[#This Row],[Lead Time]],"")</f>
        <v/>
      </c>
      <c r="R133" s="44" t="e">
        <f t="shared" ca="1" si="14"/>
        <v>#N/A</v>
      </c>
      <c r="S133" s="44">
        <f ca="1">ROUND(PERCENTILE(DayByDayTable[[#Data],[BlankLeadTime]],0.8),0)</f>
        <v>8</v>
      </c>
    </row>
    <row r="134" spans="1:19">
      <c r="A134" s="51">
        <f t="shared" si="17"/>
        <v>42598</v>
      </c>
      <c r="B134" s="11">
        <f t="shared" si="18"/>
        <v>42598</v>
      </c>
      <c r="C134" s="47">
        <f>SUMIFS('On The Board'!$M$5:$M$219,'On The Board'!F$5:F$219,"&lt;="&amp;$B134,'On The Board'!E$5:E$219,"="&amp;FutureWork)</f>
        <v>0</v>
      </c>
      <c r="D134" s="47" t="str">
        <f ca="1">IF(TodaysDate&gt;=B134,SUMIF('On The Board'!F$5:F$219,"&lt;="&amp;$B134,'On The Board'!$M$5:$M$219)-SUM(F134:J134),"")</f>
        <v/>
      </c>
      <c r="E134" s="12">
        <f ca="1">IF(TodaysDate&gt;=B134,SUMIF('On The Board'!F$5:F$219,"&lt;="&amp;$B134,'On The Board'!$M$5:$M$219)-SUM(F134:J134),E133)</f>
        <v>47</v>
      </c>
      <c r="F134" s="12">
        <f>SUMIF('On The Board'!G$5:G$219,"&lt;="&amp;$B134,'On The Board'!$M$5:$M$219)-SUM(G134:J134)</f>
        <v>0</v>
      </c>
      <c r="G134" s="12">
        <f>SUMIF('On The Board'!H$5:H$219,"&lt;="&amp;$B134,'On The Board'!$M$5:$M$219)-SUM(H134:J134)</f>
        <v>5</v>
      </c>
      <c r="H134" s="12">
        <f>SUMIF('On The Board'!I$5:I$219,"&lt;="&amp;$B134,'On The Board'!$M$5:$M$219)-SUM(I134,J134)</f>
        <v>2</v>
      </c>
      <c r="I134" s="12">
        <f>SUMIF('On The Board'!J$5:J$219,"&lt;="&amp;$B134,'On The Board'!$M$5:$M$219)-SUM(J134)</f>
        <v>0</v>
      </c>
      <c r="J134" s="12">
        <f>SUMIF('On The Board'!K$5:K$219,"&lt;="&amp;$B134,'On The Board'!$M$5:$M$219)</f>
        <v>70</v>
      </c>
      <c r="K134" s="10">
        <f t="shared" si="19"/>
        <v>77</v>
      </c>
      <c r="L134" s="10" t="e">
        <f ca="1">IF(TodaysDate&gt;=B134,SUM(F134:I134),NA())</f>
        <v>#N/A</v>
      </c>
      <c r="M134" s="44" t="e">
        <f t="shared" ca="1" si="12"/>
        <v>#N/A</v>
      </c>
      <c r="N134" s="44" t="e">
        <f ca="1">IF(ISNUMBER(M134),(J134-J124)/NETWORKDAYS(B124,B134,BankHolidays),NA())</f>
        <v>#N/A</v>
      </c>
      <c r="O134" s="44" t="e">
        <f t="shared" ca="1" si="20"/>
        <v>#N/A</v>
      </c>
      <c r="P134" s="53" t="e">
        <f t="shared" ca="1" si="13"/>
        <v>#N/A</v>
      </c>
      <c r="Q134" s="53" t="str">
        <f ca="1">IFERROR(DayByDayTable[[#This Row],[Lead Time]],"")</f>
        <v/>
      </c>
      <c r="R134" s="44" t="e">
        <f t="shared" ca="1" si="14"/>
        <v>#N/A</v>
      </c>
      <c r="S134" s="44">
        <f ca="1">ROUND(PERCENTILE(DayByDayTable[[#Data],[BlankLeadTime]],0.8),0)</f>
        <v>8</v>
      </c>
    </row>
    <row r="135" spans="1:19">
      <c r="A135" s="51">
        <f t="shared" si="17"/>
        <v>42599</v>
      </c>
      <c r="B135" s="11">
        <f t="shared" si="18"/>
        <v>42599</v>
      </c>
      <c r="C135" s="47">
        <f>SUMIFS('On The Board'!$M$5:$M$219,'On The Board'!F$5:F$219,"&lt;="&amp;$B135,'On The Board'!E$5:E$219,"="&amp;FutureWork)</f>
        <v>0</v>
      </c>
      <c r="D135" s="47" t="str">
        <f ca="1">IF(TodaysDate&gt;=B135,SUMIF('On The Board'!F$5:F$219,"&lt;="&amp;$B135,'On The Board'!$M$5:$M$219)-SUM(F135:J135),"")</f>
        <v/>
      </c>
      <c r="E135" s="12">
        <f ca="1">IF(TodaysDate&gt;=B135,SUMIF('On The Board'!F$5:F$219,"&lt;="&amp;$B135,'On The Board'!$M$5:$M$219)-SUM(F135:J135),E134)</f>
        <v>47</v>
      </c>
      <c r="F135" s="12">
        <f>SUMIF('On The Board'!G$5:G$219,"&lt;="&amp;$B135,'On The Board'!$M$5:$M$219)-SUM(G135:J135)</f>
        <v>0</v>
      </c>
      <c r="G135" s="12">
        <f>SUMIF('On The Board'!H$5:H$219,"&lt;="&amp;$B135,'On The Board'!$M$5:$M$219)-SUM(H135:J135)</f>
        <v>5</v>
      </c>
      <c r="H135" s="12">
        <f>SUMIF('On The Board'!I$5:I$219,"&lt;="&amp;$B135,'On The Board'!$M$5:$M$219)-SUM(I135,J135)</f>
        <v>2</v>
      </c>
      <c r="I135" s="12">
        <f>SUMIF('On The Board'!J$5:J$219,"&lt;="&amp;$B135,'On The Board'!$M$5:$M$219)-SUM(J135)</f>
        <v>0</v>
      </c>
      <c r="J135" s="12">
        <f>SUMIF('On The Board'!K$5:K$219,"&lt;="&amp;$B135,'On The Board'!$M$5:$M$219)</f>
        <v>70</v>
      </c>
      <c r="K135" s="10">
        <f t="shared" si="19"/>
        <v>77</v>
      </c>
      <c r="L135" s="10" t="e">
        <f ca="1">IF(TodaysDate&gt;=B135,SUM(F135:I135),NA())</f>
        <v>#N/A</v>
      </c>
      <c r="M135" s="44" t="e">
        <f t="shared" ca="1" si="12"/>
        <v>#N/A</v>
      </c>
      <c r="N135" s="44" t="e">
        <f ca="1">IF(ISNUMBER(M135),(J135-J125)/NETWORKDAYS(B125,B135,BankHolidays),NA())</f>
        <v>#N/A</v>
      </c>
      <c r="O135" s="44" t="e">
        <f t="shared" ca="1" si="20"/>
        <v>#N/A</v>
      </c>
      <c r="P135" s="53" t="e">
        <f t="shared" ca="1" si="13"/>
        <v>#N/A</v>
      </c>
      <c r="Q135" s="53" t="str">
        <f ca="1">IFERROR(DayByDayTable[[#This Row],[Lead Time]],"")</f>
        <v/>
      </c>
      <c r="R135" s="44" t="e">
        <f t="shared" ca="1" si="14"/>
        <v>#N/A</v>
      </c>
      <c r="S135" s="44">
        <f ca="1">ROUND(PERCENTILE(DayByDayTable[[#Data],[BlankLeadTime]],0.8),0)</f>
        <v>8</v>
      </c>
    </row>
    <row r="136" spans="1:19">
      <c r="A136" s="51">
        <f t="shared" si="17"/>
        <v>42600</v>
      </c>
      <c r="B136" s="11">
        <f t="shared" si="18"/>
        <v>42600</v>
      </c>
      <c r="C136" s="47">
        <f>SUMIFS('On The Board'!$M$5:$M$219,'On The Board'!F$5:F$219,"&lt;="&amp;$B136,'On The Board'!E$5:E$219,"="&amp;FutureWork)</f>
        <v>0</v>
      </c>
      <c r="D136" s="47" t="str">
        <f ca="1">IF(TodaysDate&gt;=B136,SUMIF('On The Board'!F$5:F$219,"&lt;="&amp;$B136,'On The Board'!$M$5:$M$219)-SUM(F136:J136),"")</f>
        <v/>
      </c>
      <c r="E136" s="12">
        <f ca="1">IF(TodaysDate&gt;=B136,SUMIF('On The Board'!F$5:F$219,"&lt;="&amp;$B136,'On The Board'!$M$5:$M$219)-SUM(F136:J136),E135)</f>
        <v>47</v>
      </c>
      <c r="F136" s="12">
        <f>SUMIF('On The Board'!G$5:G$219,"&lt;="&amp;$B136,'On The Board'!$M$5:$M$219)-SUM(G136:J136)</f>
        <v>0</v>
      </c>
      <c r="G136" s="12">
        <f>SUMIF('On The Board'!H$5:H$219,"&lt;="&amp;$B136,'On The Board'!$M$5:$M$219)-SUM(H136:J136)</f>
        <v>5</v>
      </c>
      <c r="H136" s="12">
        <f>SUMIF('On The Board'!I$5:I$219,"&lt;="&amp;$B136,'On The Board'!$M$5:$M$219)-SUM(I136,J136)</f>
        <v>2</v>
      </c>
      <c r="I136" s="12">
        <f>SUMIF('On The Board'!J$5:J$219,"&lt;="&amp;$B136,'On The Board'!$M$5:$M$219)-SUM(J136)</f>
        <v>0</v>
      </c>
      <c r="J136" s="12">
        <f>SUMIF('On The Board'!K$5:K$219,"&lt;="&amp;$B136,'On The Board'!$M$5:$M$219)</f>
        <v>70</v>
      </c>
      <c r="K136" s="10">
        <f t="shared" si="19"/>
        <v>77</v>
      </c>
      <c r="L136" s="10" t="e">
        <f ca="1">IF(TodaysDate&gt;=B136,SUM(F136:I136),NA())</f>
        <v>#N/A</v>
      </c>
      <c r="M136" s="44" t="e">
        <f t="shared" ca="1" si="12"/>
        <v>#N/A</v>
      </c>
      <c r="N136" s="44" t="e">
        <f ca="1">IF(ISNUMBER(M136),(J136-J126)/NETWORKDAYS(B126,B136,BankHolidays),NA())</f>
        <v>#N/A</v>
      </c>
      <c r="O136" s="44" t="e">
        <f t="shared" ca="1" si="20"/>
        <v>#N/A</v>
      </c>
      <c r="P136" s="53" t="e">
        <f t="shared" ca="1" si="13"/>
        <v>#N/A</v>
      </c>
      <c r="Q136" s="53" t="str">
        <f ca="1">IFERROR(DayByDayTable[[#This Row],[Lead Time]],"")</f>
        <v/>
      </c>
      <c r="R136" s="44" t="e">
        <f t="shared" ca="1" si="14"/>
        <v>#N/A</v>
      </c>
      <c r="S136" s="44">
        <f ca="1">ROUND(PERCENTILE(DayByDayTable[[#Data],[BlankLeadTime]],0.8),0)</f>
        <v>8</v>
      </c>
    </row>
    <row r="137" spans="1:19">
      <c r="A137" s="51">
        <f t="shared" si="17"/>
        <v>42601</v>
      </c>
      <c r="B137" s="11">
        <f t="shared" si="18"/>
        <v>42601</v>
      </c>
      <c r="C137" s="47">
        <f>SUMIFS('On The Board'!$M$5:$M$219,'On The Board'!F$5:F$219,"&lt;="&amp;$B137,'On The Board'!E$5:E$219,"="&amp;FutureWork)</f>
        <v>0</v>
      </c>
      <c r="D137" s="47" t="str">
        <f ca="1">IF(TodaysDate&gt;=B137,SUMIF('On The Board'!F$5:F$219,"&lt;="&amp;$B137,'On The Board'!$M$5:$M$219)-SUM(F137:J137),"")</f>
        <v/>
      </c>
      <c r="E137" s="12">
        <f ca="1">IF(TodaysDate&gt;=B137,SUMIF('On The Board'!F$5:F$219,"&lt;="&amp;$B137,'On The Board'!$M$5:$M$219)-SUM(F137:J137),E136)</f>
        <v>47</v>
      </c>
      <c r="F137" s="12">
        <f>SUMIF('On The Board'!G$5:G$219,"&lt;="&amp;$B137,'On The Board'!$M$5:$M$219)-SUM(G137:J137)</f>
        <v>0</v>
      </c>
      <c r="G137" s="12">
        <f>SUMIF('On The Board'!H$5:H$219,"&lt;="&amp;$B137,'On The Board'!$M$5:$M$219)-SUM(H137:J137)</f>
        <v>5</v>
      </c>
      <c r="H137" s="12">
        <f>SUMIF('On The Board'!I$5:I$219,"&lt;="&amp;$B137,'On The Board'!$M$5:$M$219)-SUM(I137,J137)</f>
        <v>2</v>
      </c>
      <c r="I137" s="12">
        <f>SUMIF('On The Board'!J$5:J$219,"&lt;="&amp;$B137,'On The Board'!$M$5:$M$219)-SUM(J137)</f>
        <v>0</v>
      </c>
      <c r="J137" s="12">
        <f>SUMIF('On The Board'!K$5:K$219,"&lt;="&amp;$B137,'On The Board'!$M$5:$M$219)</f>
        <v>70</v>
      </c>
      <c r="K137" s="10">
        <f t="shared" si="19"/>
        <v>77</v>
      </c>
      <c r="L137" s="10" t="e">
        <f ca="1">IF(TodaysDate&gt;=B137,SUM(F137:I137),NA())</f>
        <v>#N/A</v>
      </c>
      <c r="M137" s="44" t="e">
        <f t="shared" ca="1" si="12"/>
        <v>#N/A</v>
      </c>
      <c r="N137" s="44" t="e">
        <f ca="1">IF(ISNUMBER(M137),(J137-J127)/NETWORKDAYS(B127,B137,BankHolidays),NA())</f>
        <v>#N/A</v>
      </c>
      <c r="O137" s="44" t="e">
        <f t="shared" ca="1" si="20"/>
        <v>#N/A</v>
      </c>
      <c r="P137" s="53" t="e">
        <f t="shared" ca="1" si="13"/>
        <v>#N/A</v>
      </c>
      <c r="Q137" s="53" t="str">
        <f ca="1">IFERROR(DayByDayTable[[#This Row],[Lead Time]],"")</f>
        <v/>
      </c>
      <c r="R137" s="44" t="e">
        <f t="shared" ca="1" si="14"/>
        <v>#N/A</v>
      </c>
      <c r="S137" s="44">
        <f ca="1">ROUND(PERCENTILE(DayByDayTable[[#Data],[BlankLeadTime]],0.8),0)</f>
        <v>8</v>
      </c>
    </row>
    <row r="138" spans="1:19">
      <c r="A138" s="51">
        <f t="shared" si="17"/>
        <v>42604</v>
      </c>
      <c r="B138" s="11">
        <f t="shared" si="18"/>
        <v>42604</v>
      </c>
      <c r="C138" s="47">
        <f>SUMIFS('On The Board'!$M$5:$M$219,'On The Board'!F$5:F$219,"&lt;="&amp;$B138,'On The Board'!E$5:E$219,"="&amp;FutureWork)</f>
        <v>0</v>
      </c>
      <c r="D138" s="47" t="str">
        <f ca="1">IF(TodaysDate&gt;=B138,SUMIF('On The Board'!F$5:F$219,"&lt;="&amp;$B138,'On The Board'!$M$5:$M$219)-SUM(F138:J138),"")</f>
        <v/>
      </c>
      <c r="E138" s="12">
        <f ca="1">IF(TodaysDate&gt;=B138,SUMIF('On The Board'!F$5:F$219,"&lt;="&amp;$B138,'On The Board'!$M$5:$M$219)-SUM(F138:J138),E137)</f>
        <v>47</v>
      </c>
      <c r="F138" s="12">
        <f>SUMIF('On The Board'!G$5:G$219,"&lt;="&amp;$B138,'On The Board'!$M$5:$M$219)-SUM(G138:J138)</f>
        <v>0</v>
      </c>
      <c r="G138" s="12">
        <f>SUMIF('On The Board'!H$5:H$219,"&lt;="&amp;$B138,'On The Board'!$M$5:$M$219)-SUM(H138:J138)</f>
        <v>5</v>
      </c>
      <c r="H138" s="12">
        <f>SUMIF('On The Board'!I$5:I$219,"&lt;="&amp;$B138,'On The Board'!$M$5:$M$219)-SUM(I138,J138)</f>
        <v>2</v>
      </c>
      <c r="I138" s="12">
        <f>SUMIF('On The Board'!J$5:J$219,"&lt;="&amp;$B138,'On The Board'!$M$5:$M$219)-SUM(J138)</f>
        <v>0</v>
      </c>
      <c r="J138" s="12">
        <f>SUMIF('On The Board'!K$5:K$219,"&lt;="&amp;$B138,'On The Board'!$M$5:$M$219)</f>
        <v>70</v>
      </c>
      <c r="K138" s="10">
        <f t="shared" si="19"/>
        <v>77</v>
      </c>
      <c r="L138" s="10" t="e">
        <f ca="1">IF(TodaysDate&gt;=B138,SUM(F138:I138),NA())</f>
        <v>#N/A</v>
      </c>
      <c r="M138" s="44" t="e">
        <f t="shared" ca="1" si="12"/>
        <v>#N/A</v>
      </c>
      <c r="N138" s="44" t="e">
        <f ca="1">IF(ISNUMBER(M138),(J138-J128)/NETWORKDAYS(B128,B138,BankHolidays),NA())</f>
        <v>#N/A</v>
      </c>
      <c r="O138" s="44" t="e">
        <f t="shared" ca="1" si="20"/>
        <v>#N/A</v>
      </c>
      <c r="P138" s="53" t="e">
        <f t="shared" ca="1" si="13"/>
        <v>#N/A</v>
      </c>
      <c r="Q138" s="53" t="str">
        <f ca="1">IFERROR(DayByDayTable[[#This Row],[Lead Time]],"")</f>
        <v/>
      </c>
      <c r="R138" s="44" t="e">
        <f t="shared" ca="1" si="14"/>
        <v>#N/A</v>
      </c>
      <c r="S138" s="44">
        <f ca="1">ROUND(PERCENTILE(DayByDayTable[[#Data],[BlankLeadTime]],0.8),0)</f>
        <v>8</v>
      </c>
    </row>
    <row r="139" spans="1:19">
      <c r="A139" s="51">
        <f t="shared" si="17"/>
        <v>42605</v>
      </c>
      <c r="B139" s="11">
        <f t="shared" si="18"/>
        <v>42605</v>
      </c>
      <c r="C139" s="47">
        <f>SUMIFS('On The Board'!$M$5:$M$219,'On The Board'!F$5:F$219,"&lt;="&amp;$B139,'On The Board'!E$5:E$219,"="&amp;FutureWork)</f>
        <v>0</v>
      </c>
      <c r="D139" s="47" t="str">
        <f ca="1">IF(TodaysDate&gt;=B139,SUMIF('On The Board'!F$5:F$219,"&lt;="&amp;$B139,'On The Board'!$M$5:$M$219)-SUM(F139:J139),"")</f>
        <v/>
      </c>
      <c r="E139" s="12">
        <f ca="1">IF(TodaysDate&gt;=B139,SUMIF('On The Board'!F$5:F$219,"&lt;="&amp;$B139,'On The Board'!$M$5:$M$219)-SUM(F139:J139),E138)</f>
        <v>47</v>
      </c>
      <c r="F139" s="12">
        <f>SUMIF('On The Board'!G$5:G$219,"&lt;="&amp;$B139,'On The Board'!$M$5:$M$219)-SUM(G139:J139)</f>
        <v>0</v>
      </c>
      <c r="G139" s="12">
        <f>SUMIF('On The Board'!H$5:H$219,"&lt;="&amp;$B139,'On The Board'!$M$5:$M$219)-SUM(H139:J139)</f>
        <v>5</v>
      </c>
      <c r="H139" s="12">
        <f>SUMIF('On The Board'!I$5:I$219,"&lt;="&amp;$B139,'On The Board'!$M$5:$M$219)-SUM(I139,J139)</f>
        <v>2</v>
      </c>
      <c r="I139" s="12">
        <f>SUMIF('On The Board'!J$5:J$219,"&lt;="&amp;$B139,'On The Board'!$M$5:$M$219)-SUM(J139)</f>
        <v>0</v>
      </c>
      <c r="J139" s="12">
        <f>SUMIF('On The Board'!K$5:K$219,"&lt;="&amp;$B139,'On The Board'!$M$5:$M$219)</f>
        <v>70</v>
      </c>
      <c r="K139" s="10">
        <f t="shared" si="19"/>
        <v>77</v>
      </c>
      <c r="L139" s="10" t="e">
        <f ca="1">IF(TodaysDate&gt;=B139,SUM(F139:I139),NA())</f>
        <v>#N/A</v>
      </c>
      <c r="M139" s="44" t="e">
        <f t="shared" ca="1" si="12"/>
        <v>#N/A</v>
      </c>
      <c r="N139" s="44" t="e">
        <f ca="1">IF(ISNUMBER(M139),(J139-J129)/NETWORKDAYS(B129,B139,BankHolidays),NA())</f>
        <v>#N/A</v>
      </c>
      <c r="O139" s="44" t="e">
        <f t="shared" ca="1" si="20"/>
        <v>#N/A</v>
      </c>
      <c r="P139" s="53" t="e">
        <f t="shared" ca="1" si="13"/>
        <v>#N/A</v>
      </c>
      <c r="Q139" s="53" t="str">
        <f ca="1">IFERROR(DayByDayTable[[#This Row],[Lead Time]],"")</f>
        <v/>
      </c>
      <c r="R139" s="44" t="e">
        <f t="shared" ca="1" si="14"/>
        <v>#N/A</v>
      </c>
      <c r="S139" s="44">
        <f ca="1">ROUND(PERCENTILE(DayByDayTable[[#Data],[BlankLeadTime]],0.8),0)</f>
        <v>8</v>
      </c>
    </row>
    <row r="140" spans="1:19">
      <c r="A140" s="51">
        <f t="shared" si="17"/>
        <v>42606</v>
      </c>
      <c r="B140" s="11">
        <f t="shared" si="18"/>
        <v>42606</v>
      </c>
      <c r="C140" s="47">
        <f>SUMIFS('On The Board'!$M$5:$M$219,'On The Board'!F$5:F$219,"&lt;="&amp;$B140,'On The Board'!E$5:E$219,"="&amp;FutureWork)</f>
        <v>0</v>
      </c>
      <c r="D140" s="47" t="str">
        <f ca="1">IF(TodaysDate&gt;=B140,SUMIF('On The Board'!F$5:F$219,"&lt;="&amp;$B140,'On The Board'!$M$5:$M$219)-SUM(F140:J140),"")</f>
        <v/>
      </c>
      <c r="E140" s="12">
        <f ca="1">IF(TodaysDate&gt;=B140,SUMIF('On The Board'!F$5:F$219,"&lt;="&amp;$B140,'On The Board'!$M$5:$M$219)-SUM(F140:J140),E139)</f>
        <v>47</v>
      </c>
      <c r="F140" s="12">
        <f>SUMIF('On The Board'!G$5:G$219,"&lt;="&amp;$B140,'On The Board'!$M$5:$M$219)-SUM(G140:J140)</f>
        <v>0</v>
      </c>
      <c r="G140" s="12">
        <f>SUMIF('On The Board'!H$5:H$219,"&lt;="&amp;$B140,'On The Board'!$M$5:$M$219)-SUM(H140:J140)</f>
        <v>5</v>
      </c>
      <c r="H140" s="12">
        <f>SUMIF('On The Board'!I$5:I$219,"&lt;="&amp;$B140,'On The Board'!$M$5:$M$219)-SUM(I140,J140)</f>
        <v>2</v>
      </c>
      <c r="I140" s="12">
        <f>SUMIF('On The Board'!J$5:J$219,"&lt;="&amp;$B140,'On The Board'!$M$5:$M$219)-SUM(J140)</f>
        <v>0</v>
      </c>
      <c r="J140" s="12">
        <f>SUMIF('On The Board'!K$5:K$219,"&lt;="&amp;$B140,'On The Board'!$M$5:$M$219)</f>
        <v>70</v>
      </c>
      <c r="K140" s="10">
        <f t="shared" si="19"/>
        <v>77</v>
      </c>
      <c r="L140" s="10" t="e">
        <f ca="1">IF(TodaysDate&gt;=B140,SUM(F140:I140),NA())</f>
        <v>#N/A</v>
      </c>
      <c r="M140" s="44" t="e">
        <f t="shared" ca="1" si="12"/>
        <v>#N/A</v>
      </c>
      <c r="N140" s="44" t="e">
        <f ca="1">IF(ISNUMBER(M140),(J140-J130)/NETWORKDAYS(B130,B140,BankHolidays),NA())</f>
        <v>#N/A</v>
      </c>
      <c r="O140" s="44" t="e">
        <f t="shared" ca="1" si="20"/>
        <v>#N/A</v>
      </c>
      <c r="P140" s="53" t="e">
        <f t="shared" ca="1" si="13"/>
        <v>#N/A</v>
      </c>
      <c r="Q140" s="53" t="str">
        <f ca="1">IFERROR(DayByDayTable[[#This Row],[Lead Time]],"")</f>
        <v/>
      </c>
      <c r="R140" s="44" t="e">
        <f t="shared" ca="1" si="14"/>
        <v>#N/A</v>
      </c>
      <c r="S140" s="44">
        <f ca="1">ROUND(PERCENTILE(DayByDayTable[[#Data],[BlankLeadTime]],0.8),0)</f>
        <v>8</v>
      </c>
    </row>
    <row r="141" spans="1:19">
      <c r="A141" s="51">
        <f t="shared" si="17"/>
        <v>42607</v>
      </c>
      <c r="B141" s="11">
        <f t="shared" si="18"/>
        <v>42607</v>
      </c>
      <c r="C141" s="47">
        <f>SUMIFS('On The Board'!$M$5:$M$219,'On The Board'!F$5:F$219,"&lt;="&amp;$B141,'On The Board'!E$5:E$219,"="&amp;FutureWork)</f>
        <v>0</v>
      </c>
      <c r="D141" s="47" t="str">
        <f ca="1">IF(TodaysDate&gt;=B141,SUMIF('On The Board'!F$5:F$219,"&lt;="&amp;$B141,'On The Board'!$M$5:$M$219)-SUM(F141:J141),"")</f>
        <v/>
      </c>
      <c r="E141" s="12">
        <f ca="1">IF(TodaysDate&gt;=B141,SUMIF('On The Board'!F$5:F$219,"&lt;="&amp;$B141,'On The Board'!$M$5:$M$219)-SUM(F141:J141),E140)</f>
        <v>47</v>
      </c>
      <c r="F141" s="12">
        <f>SUMIF('On The Board'!G$5:G$219,"&lt;="&amp;$B141,'On The Board'!$M$5:$M$219)-SUM(G141:J141)</f>
        <v>0</v>
      </c>
      <c r="G141" s="12">
        <f>SUMIF('On The Board'!H$5:H$219,"&lt;="&amp;$B141,'On The Board'!$M$5:$M$219)-SUM(H141:J141)</f>
        <v>5</v>
      </c>
      <c r="H141" s="12">
        <f>SUMIF('On The Board'!I$5:I$219,"&lt;="&amp;$B141,'On The Board'!$M$5:$M$219)-SUM(I141,J141)</f>
        <v>2</v>
      </c>
      <c r="I141" s="12">
        <f>SUMIF('On The Board'!J$5:J$219,"&lt;="&amp;$B141,'On The Board'!$M$5:$M$219)-SUM(J141)</f>
        <v>0</v>
      </c>
      <c r="J141" s="12">
        <f>SUMIF('On The Board'!K$5:K$219,"&lt;="&amp;$B141,'On The Board'!$M$5:$M$219)</f>
        <v>70</v>
      </c>
      <c r="K141" s="10">
        <f t="shared" si="19"/>
        <v>77</v>
      </c>
      <c r="L141" s="10" t="e">
        <f ca="1">IF(TodaysDate&gt;=B141,SUM(F141:I141),NA())</f>
        <v>#N/A</v>
      </c>
      <c r="M141" s="44" t="e">
        <f t="shared" ref="M141:M204" ca="1" si="21">AVERAGE(L131:L141)</f>
        <v>#N/A</v>
      </c>
      <c r="N141" s="44" t="e">
        <f ca="1">IF(ISNUMBER(M141),(J141-J131)/NETWORKDAYS(B131,B141,BankHolidays),NA())</f>
        <v>#N/A</v>
      </c>
      <c r="O141" s="44" t="e">
        <f t="shared" ca="1" si="20"/>
        <v>#N/A</v>
      </c>
      <c r="P141" s="53" t="e">
        <f t="shared" ref="P141:P204" ca="1" si="22">AVERAGE(O131:O141)</f>
        <v>#N/A</v>
      </c>
      <c r="Q141" s="53" t="str">
        <f ca="1">IFERROR(DayByDayTable[[#This Row],[Lead Time]],"")</f>
        <v/>
      </c>
      <c r="R141" s="44" t="e">
        <f t="shared" ca="1" si="14"/>
        <v>#N/A</v>
      </c>
      <c r="S141" s="44">
        <f ca="1">ROUND(PERCENTILE(DayByDayTable[[#Data],[BlankLeadTime]],0.8),0)</f>
        <v>8</v>
      </c>
    </row>
    <row r="142" spans="1:19">
      <c r="A142" s="51">
        <f t="shared" si="17"/>
        <v>42608</v>
      </c>
      <c r="B142" s="11">
        <f t="shared" si="18"/>
        <v>42608</v>
      </c>
      <c r="C142" s="47">
        <f>SUMIFS('On The Board'!$M$5:$M$219,'On The Board'!F$5:F$219,"&lt;="&amp;$B142,'On The Board'!E$5:E$219,"="&amp;FutureWork)</f>
        <v>0</v>
      </c>
      <c r="D142" s="47" t="str">
        <f ca="1">IF(TodaysDate&gt;=B142,SUMIF('On The Board'!F$5:F$219,"&lt;="&amp;$B142,'On The Board'!$M$5:$M$219)-SUM(F142:J142),"")</f>
        <v/>
      </c>
      <c r="E142" s="12">
        <f ca="1">IF(TodaysDate&gt;=B142,SUMIF('On The Board'!F$5:F$219,"&lt;="&amp;$B142,'On The Board'!$M$5:$M$219)-SUM(F142:J142),E141)</f>
        <v>47</v>
      </c>
      <c r="F142" s="12">
        <f>SUMIF('On The Board'!G$5:G$219,"&lt;="&amp;$B142,'On The Board'!$M$5:$M$219)-SUM(G142:J142)</f>
        <v>0</v>
      </c>
      <c r="G142" s="12">
        <f>SUMIF('On The Board'!H$5:H$219,"&lt;="&amp;$B142,'On The Board'!$M$5:$M$219)-SUM(H142:J142)</f>
        <v>5</v>
      </c>
      <c r="H142" s="12">
        <f>SUMIF('On The Board'!I$5:I$219,"&lt;="&amp;$B142,'On The Board'!$M$5:$M$219)-SUM(I142,J142)</f>
        <v>2</v>
      </c>
      <c r="I142" s="12">
        <f>SUMIF('On The Board'!J$5:J$219,"&lt;="&amp;$B142,'On The Board'!$M$5:$M$219)-SUM(J142)</f>
        <v>0</v>
      </c>
      <c r="J142" s="12">
        <f>SUMIF('On The Board'!K$5:K$219,"&lt;="&amp;$B142,'On The Board'!$M$5:$M$219)</f>
        <v>70</v>
      </c>
      <c r="K142" s="10">
        <f t="shared" si="19"/>
        <v>77</v>
      </c>
      <c r="L142" s="10" t="e">
        <f ca="1">IF(TodaysDate&gt;=B142,SUM(F142:I142),NA())</f>
        <v>#N/A</v>
      </c>
      <c r="M142" s="44" t="e">
        <f t="shared" ca="1" si="21"/>
        <v>#N/A</v>
      </c>
      <c r="N142" s="44" t="e">
        <f ca="1">IF(ISNUMBER(M142),(J142-J132)/NETWORKDAYS(B132,B142,BankHolidays),NA())</f>
        <v>#N/A</v>
      </c>
      <c r="O142" s="44" t="e">
        <f t="shared" ca="1" si="20"/>
        <v>#N/A</v>
      </c>
      <c r="P142" s="53" t="e">
        <f t="shared" ca="1" si="22"/>
        <v>#N/A</v>
      </c>
      <c r="Q142" s="53" t="str">
        <f ca="1">IFERROR(DayByDayTable[[#This Row],[Lead Time]],"")</f>
        <v/>
      </c>
      <c r="R142" s="44" t="e">
        <f t="shared" ca="1" si="14"/>
        <v>#N/A</v>
      </c>
      <c r="S142" s="44">
        <f ca="1">ROUND(PERCENTILE(DayByDayTable[[#Data],[BlankLeadTime]],0.8),0)</f>
        <v>8</v>
      </c>
    </row>
    <row r="143" spans="1:19">
      <c r="A143" s="51">
        <f t="shared" si="17"/>
        <v>42612</v>
      </c>
      <c r="B143" s="11">
        <f t="shared" si="18"/>
        <v>42612</v>
      </c>
      <c r="C143" s="47">
        <f>SUMIFS('On The Board'!$M$5:$M$219,'On The Board'!F$5:F$219,"&lt;="&amp;$B143,'On The Board'!E$5:E$219,"="&amp;FutureWork)</f>
        <v>0</v>
      </c>
      <c r="D143" s="47" t="str">
        <f ca="1">IF(TodaysDate&gt;=B143,SUMIF('On The Board'!F$5:F$219,"&lt;="&amp;$B143,'On The Board'!$M$5:$M$219)-SUM(F143:J143),"")</f>
        <v/>
      </c>
      <c r="E143" s="12">
        <f ca="1">IF(TodaysDate&gt;=B143,SUMIF('On The Board'!F$5:F$219,"&lt;="&amp;$B143,'On The Board'!$M$5:$M$219)-SUM(F143:J143),E142)</f>
        <v>47</v>
      </c>
      <c r="F143" s="12">
        <f>SUMIF('On The Board'!G$5:G$219,"&lt;="&amp;$B143,'On The Board'!$M$5:$M$219)-SUM(G143:J143)</f>
        <v>0</v>
      </c>
      <c r="G143" s="12">
        <f>SUMIF('On The Board'!H$5:H$219,"&lt;="&amp;$B143,'On The Board'!$M$5:$M$219)-SUM(H143:J143)</f>
        <v>5</v>
      </c>
      <c r="H143" s="12">
        <f>SUMIF('On The Board'!I$5:I$219,"&lt;="&amp;$B143,'On The Board'!$M$5:$M$219)-SUM(I143,J143)</f>
        <v>2</v>
      </c>
      <c r="I143" s="12">
        <f>SUMIF('On The Board'!J$5:J$219,"&lt;="&amp;$B143,'On The Board'!$M$5:$M$219)-SUM(J143)</f>
        <v>0</v>
      </c>
      <c r="J143" s="12">
        <f>SUMIF('On The Board'!K$5:K$219,"&lt;="&amp;$B143,'On The Board'!$M$5:$M$219)</f>
        <v>70</v>
      </c>
      <c r="K143" s="10">
        <f t="shared" si="19"/>
        <v>77</v>
      </c>
      <c r="L143" s="10" t="e">
        <f ca="1">IF(TodaysDate&gt;=B143,SUM(F143:I143),NA())</f>
        <v>#N/A</v>
      </c>
      <c r="M143" s="44" t="e">
        <f t="shared" ca="1" si="21"/>
        <v>#N/A</v>
      </c>
      <c r="N143" s="44" t="e">
        <f ca="1">IF(ISNUMBER(M143),(J143-J133)/NETWORKDAYS(B133,B143,BankHolidays),NA())</f>
        <v>#N/A</v>
      </c>
      <c r="O143" s="44" t="e">
        <f t="shared" ca="1" si="20"/>
        <v>#N/A</v>
      </c>
      <c r="P143" s="53" t="e">
        <f t="shared" ca="1" si="22"/>
        <v>#N/A</v>
      </c>
      <c r="Q143" s="53" t="str">
        <f ca="1">IFERROR(DayByDayTable[[#This Row],[Lead Time]],"")</f>
        <v/>
      </c>
      <c r="R143" s="44" t="e">
        <f t="shared" ca="1" si="14"/>
        <v>#N/A</v>
      </c>
      <c r="S143" s="44">
        <f ca="1">ROUND(PERCENTILE(DayByDayTable[[#Data],[BlankLeadTime]],0.8),0)</f>
        <v>8</v>
      </c>
    </row>
    <row r="144" spans="1:19">
      <c r="A144" s="51">
        <f t="shared" si="17"/>
        <v>42613</v>
      </c>
      <c r="B144" s="11">
        <f t="shared" si="18"/>
        <v>42613</v>
      </c>
      <c r="C144" s="47">
        <f>SUMIFS('On The Board'!$M$5:$M$219,'On The Board'!F$5:F$219,"&lt;="&amp;$B144,'On The Board'!E$5:E$219,"="&amp;FutureWork)</f>
        <v>0</v>
      </c>
      <c r="D144" s="47" t="str">
        <f ca="1">IF(TodaysDate&gt;=B144,SUMIF('On The Board'!F$5:F$219,"&lt;="&amp;$B144,'On The Board'!$M$5:$M$219)-SUM(F144:J144),"")</f>
        <v/>
      </c>
      <c r="E144" s="12">
        <f ca="1">IF(TodaysDate&gt;=B144,SUMIF('On The Board'!F$5:F$219,"&lt;="&amp;$B144,'On The Board'!$M$5:$M$219)-SUM(F144:J144),E143)</f>
        <v>47</v>
      </c>
      <c r="F144" s="12">
        <f>SUMIF('On The Board'!G$5:G$219,"&lt;="&amp;$B144,'On The Board'!$M$5:$M$219)-SUM(G144:J144)</f>
        <v>0</v>
      </c>
      <c r="G144" s="12">
        <f>SUMIF('On The Board'!H$5:H$219,"&lt;="&amp;$B144,'On The Board'!$M$5:$M$219)-SUM(H144:J144)</f>
        <v>5</v>
      </c>
      <c r="H144" s="12">
        <f>SUMIF('On The Board'!I$5:I$219,"&lt;="&amp;$B144,'On The Board'!$M$5:$M$219)-SUM(I144,J144)</f>
        <v>2</v>
      </c>
      <c r="I144" s="12">
        <f>SUMIF('On The Board'!J$5:J$219,"&lt;="&amp;$B144,'On The Board'!$M$5:$M$219)-SUM(J144)</f>
        <v>0</v>
      </c>
      <c r="J144" s="12">
        <f>SUMIF('On The Board'!K$5:K$219,"&lt;="&amp;$B144,'On The Board'!$M$5:$M$219)</f>
        <v>70</v>
      </c>
      <c r="K144" s="10">
        <f t="shared" si="19"/>
        <v>77</v>
      </c>
      <c r="L144" s="10" t="e">
        <f ca="1">IF(TodaysDate&gt;=B144,SUM(F144:I144),NA())</f>
        <v>#N/A</v>
      </c>
      <c r="M144" s="44" t="e">
        <f t="shared" ca="1" si="21"/>
        <v>#N/A</v>
      </c>
      <c r="N144" s="44" t="e">
        <f ca="1">IF(ISNUMBER(M144),(J144-J134)/NETWORKDAYS(B134,B144,BankHolidays),NA())</f>
        <v>#N/A</v>
      </c>
      <c r="O144" s="44" t="e">
        <f t="shared" ca="1" si="20"/>
        <v>#N/A</v>
      </c>
      <c r="P144" s="53" t="e">
        <f t="shared" ca="1" si="22"/>
        <v>#N/A</v>
      </c>
      <c r="Q144" s="53" t="str">
        <f ca="1">IFERROR(DayByDayTable[[#This Row],[Lead Time]],"")</f>
        <v/>
      </c>
      <c r="R144" s="44" t="e">
        <f t="shared" ref="R144:R207" ca="1" si="23">PERCENTILE(O133:O144,0.8)</f>
        <v>#N/A</v>
      </c>
      <c r="S144" s="44">
        <f ca="1">ROUND(PERCENTILE(DayByDayTable[[#Data],[BlankLeadTime]],0.8),0)</f>
        <v>8</v>
      </c>
    </row>
    <row r="145" spans="1:19">
      <c r="A145" s="51">
        <f t="shared" si="17"/>
        <v>42614</v>
      </c>
      <c r="B145" s="11">
        <f t="shared" si="18"/>
        <v>42614</v>
      </c>
      <c r="C145" s="47">
        <f>SUMIFS('On The Board'!$M$5:$M$219,'On The Board'!F$5:F$219,"&lt;="&amp;$B145,'On The Board'!E$5:E$219,"="&amp;FutureWork)</f>
        <v>0</v>
      </c>
      <c r="D145" s="47" t="str">
        <f ca="1">IF(TodaysDate&gt;=B145,SUMIF('On The Board'!F$5:F$219,"&lt;="&amp;$B145,'On The Board'!$M$5:$M$219)-SUM(F145:J145),"")</f>
        <v/>
      </c>
      <c r="E145" s="12">
        <f ca="1">IF(TodaysDate&gt;=B145,SUMIF('On The Board'!F$5:F$219,"&lt;="&amp;$B145,'On The Board'!$M$5:$M$219)-SUM(F145:J145),E144)</f>
        <v>47</v>
      </c>
      <c r="F145" s="12">
        <f>SUMIF('On The Board'!G$5:G$219,"&lt;="&amp;$B145,'On The Board'!$M$5:$M$219)-SUM(G145:J145)</f>
        <v>0</v>
      </c>
      <c r="G145" s="12">
        <f>SUMIF('On The Board'!H$5:H$219,"&lt;="&amp;$B145,'On The Board'!$M$5:$M$219)-SUM(H145:J145)</f>
        <v>5</v>
      </c>
      <c r="H145" s="12">
        <f>SUMIF('On The Board'!I$5:I$219,"&lt;="&amp;$B145,'On The Board'!$M$5:$M$219)-SUM(I145,J145)</f>
        <v>2</v>
      </c>
      <c r="I145" s="12">
        <f>SUMIF('On The Board'!J$5:J$219,"&lt;="&amp;$B145,'On The Board'!$M$5:$M$219)-SUM(J145)</f>
        <v>0</v>
      </c>
      <c r="J145" s="12">
        <f>SUMIF('On The Board'!K$5:K$219,"&lt;="&amp;$B145,'On The Board'!$M$5:$M$219)</f>
        <v>70</v>
      </c>
      <c r="K145" s="10">
        <f t="shared" si="19"/>
        <v>77</v>
      </c>
      <c r="L145" s="10" t="e">
        <f ca="1">IF(TodaysDate&gt;=B145,SUM(F145:I145),NA())</f>
        <v>#N/A</v>
      </c>
      <c r="M145" s="44" t="e">
        <f t="shared" ca="1" si="21"/>
        <v>#N/A</v>
      </c>
      <c r="N145" s="44" t="e">
        <f ca="1">IF(ISNUMBER(M145),(J145-J135)/NETWORKDAYS(B135,B145,BankHolidays),NA())</f>
        <v>#N/A</v>
      </c>
      <c r="O145" s="44" t="e">
        <f t="shared" ca="1" si="20"/>
        <v>#N/A</v>
      </c>
      <c r="P145" s="53" t="e">
        <f t="shared" ca="1" si="22"/>
        <v>#N/A</v>
      </c>
      <c r="Q145" s="53" t="str">
        <f ca="1">IFERROR(DayByDayTable[[#This Row],[Lead Time]],"")</f>
        <v/>
      </c>
      <c r="R145" s="44" t="e">
        <f t="shared" ca="1" si="23"/>
        <v>#N/A</v>
      </c>
      <c r="S145" s="44">
        <f ca="1">ROUND(PERCENTILE(DayByDayTable[[#Data],[BlankLeadTime]],0.8),0)</f>
        <v>8</v>
      </c>
    </row>
    <row r="146" spans="1:19">
      <c r="A146" s="51">
        <f t="shared" si="17"/>
        <v>42615</v>
      </c>
      <c r="B146" s="11">
        <f t="shared" si="18"/>
        <v>42615</v>
      </c>
      <c r="C146" s="47">
        <f>SUMIFS('On The Board'!$M$5:$M$219,'On The Board'!F$5:F$219,"&lt;="&amp;$B146,'On The Board'!E$5:E$219,"="&amp;FutureWork)</f>
        <v>0</v>
      </c>
      <c r="D146" s="47" t="str">
        <f ca="1">IF(TodaysDate&gt;=B146,SUMIF('On The Board'!F$5:F$219,"&lt;="&amp;$B146,'On The Board'!$M$5:$M$219)-SUM(F146:J146),"")</f>
        <v/>
      </c>
      <c r="E146" s="12">
        <f ca="1">IF(TodaysDate&gt;=B146,SUMIF('On The Board'!F$5:F$219,"&lt;="&amp;$B146,'On The Board'!$M$5:$M$219)-SUM(F146:J146),E145)</f>
        <v>47</v>
      </c>
      <c r="F146" s="12">
        <f>SUMIF('On The Board'!G$5:G$219,"&lt;="&amp;$B146,'On The Board'!$M$5:$M$219)-SUM(G146:J146)</f>
        <v>0</v>
      </c>
      <c r="G146" s="12">
        <f>SUMIF('On The Board'!H$5:H$219,"&lt;="&amp;$B146,'On The Board'!$M$5:$M$219)-SUM(H146:J146)</f>
        <v>5</v>
      </c>
      <c r="H146" s="12">
        <f>SUMIF('On The Board'!I$5:I$219,"&lt;="&amp;$B146,'On The Board'!$M$5:$M$219)-SUM(I146,J146)</f>
        <v>2</v>
      </c>
      <c r="I146" s="12">
        <f>SUMIF('On The Board'!J$5:J$219,"&lt;="&amp;$B146,'On The Board'!$M$5:$M$219)-SUM(J146)</f>
        <v>0</v>
      </c>
      <c r="J146" s="12">
        <f>SUMIF('On The Board'!K$5:K$219,"&lt;="&amp;$B146,'On The Board'!$M$5:$M$219)</f>
        <v>70</v>
      </c>
      <c r="K146" s="10">
        <f t="shared" si="19"/>
        <v>77</v>
      </c>
      <c r="L146" s="10" t="e">
        <f ca="1">IF(TodaysDate&gt;=B146,SUM(F146:I146),NA())</f>
        <v>#N/A</v>
      </c>
      <c r="M146" s="44" t="e">
        <f t="shared" ca="1" si="21"/>
        <v>#N/A</v>
      </c>
      <c r="N146" s="44" t="e">
        <f ca="1">IF(ISNUMBER(M146),(J146-J136)/NETWORKDAYS(B136,B146,BankHolidays),NA())</f>
        <v>#N/A</v>
      </c>
      <c r="O146" s="44" t="e">
        <f t="shared" ca="1" si="20"/>
        <v>#N/A</v>
      </c>
      <c r="P146" s="53" t="e">
        <f t="shared" ca="1" si="22"/>
        <v>#N/A</v>
      </c>
      <c r="Q146" s="53" t="str">
        <f ca="1">IFERROR(DayByDayTable[[#This Row],[Lead Time]],"")</f>
        <v/>
      </c>
      <c r="R146" s="44" t="e">
        <f t="shared" ca="1" si="23"/>
        <v>#N/A</v>
      </c>
      <c r="S146" s="44">
        <f ca="1">ROUND(PERCENTILE(DayByDayTable[[#Data],[BlankLeadTime]],0.8),0)</f>
        <v>8</v>
      </c>
    </row>
    <row r="147" spans="1:19">
      <c r="A147" s="51">
        <f t="shared" si="17"/>
        <v>42618</v>
      </c>
      <c r="B147" s="11">
        <f t="shared" si="18"/>
        <v>42618</v>
      </c>
      <c r="C147" s="47">
        <f>SUMIFS('On The Board'!$M$5:$M$219,'On The Board'!F$5:F$219,"&lt;="&amp;$B147,'On The Board'!E$5:E$219,"="&amp;FutureWork)</f>
        <v>0</v>
      </c>
      <c r="D147" s="47" t="str">
        <f ca="1">IF(TodaysDate&gt;=B147,SUMIF('On The Board'!F$5:F$219,"&lt;="&amp;$B147,'On The Board'!$M$5:$M$219)-SUM(F147:J147),"")</f>
        <v/>
      </c>
      <c r="E147" s="12">
        <f ca="1">IF(TodaysDate&gt;=B147,SUMIF('On The Board'!F$5:F$219,"&lt;="&amp;$B147,'On The Board'!$M$5:$M$219)-SUM(F147:J147),E146)</f>
        <v>47</v>
      </c>
      <c r="F147" s="12">
        <f>SUMIF('On The Board'!G$5:G$219,"&lt;="&amp;$B147,'On The Board'!$M$5:$M$219)-SUM(G147:J147)</f>
        <v>0</v>
      </c>
      <c r="G147" s="12">
        <f>SUMIF('On The Board'!H$5:H$219,"&lt;="&amp;$B147,'On The Board'!$M$5:$M$219)-SUM(H147:J147)</f>
        <v>5</v>
      </c>
      <c r="H147" s="12">
        <f>SUMIF('On The Board'!I$5:I$219,"&lt;="&amp;$B147,'On The Board'!$M$5:$M$219)-SUM(I147,J147)</f>
        <v>2</v>
      </c>
      <c r="I147" s="12">
        <f>SUMIF('On The Board'!J$5:J$219,"&lt;="&amp;$B147,'On The Board'!$M$5:$M$219)-SUM(J147)</f>
        <v>0</v>
      </c>
      <c r="J147" s="12">
        <f>SUMIF('On The Board'!K$5:K$219,"&lt;="&amp;$B147,'On The Board'!$M$5:$M$219)</f>
        <v>70</v>
      </c>
      <c r="K147" s="10">
        <f t="shared" si="19"/>
        <v>77</v>
      </c>
      <c r="L147" s="10" t="e">
        <f ca="1">IF(TodaysDate&gt;=B147,SUM(F147:I147),NA())</f>
        <v>#N/A</v>
      </c>
      <c r="M147" s="44" t="e">
        <f t="shared" ca="1" si="21"/>
        <v>#N/A</v>
      </c>
      <c r="N147" s="44" t="e">
        <f ca="1">IF(ISNUMBER(M147),(J147-J137)/NETWORKDAYS(B137,B147,BankHolidays),NA())</f>
        <v>#N/A</v>
      </c>
      <c r="O147" s="44" t="e">
        <f t="shared" ca="1" si="20"/>
        <v>#N/A</v>
      </c>
      <c r="P147" s="53" t="e">
        <f t="shared" ca="1" si="22"/>
        <v>#N/A</v>
      </c>
      <c r="Q147" s="53" t="str">
        <f ca="1">IFERROR(DayByDayTable[[#This Row],[Lead Time]],"")</f>
        <v/>
      </c>
      <c r="R147" s="44" t="e">
        <f t="shared" ca="1" si="23"/>
        <v>#N/A</v>
      </c>
      <c r="S147" s="44">
        <f ca="1">ROUND(PERCENTILE(DayByDayTable[[#Data],[BlankLeadTime]],0.8),0)</f>
        <v>8</v>
      </c>
    </row>
    <row r="148" spans="1:19">
      <c r="A148" s="51">
        <f t="shared" si="17"/>
        <v>42619</v>
      </c>
      <c r="B148" s="11">
        <f t="shared" si="18"/>
        <v>42619</v>
      </c>
      <c r="C148" s="47">
        <f>SUMIFS('On The Board'!$M$5:$M$219,'On The Board'!F$5:F$219,"&lt;="&amp;$B148,'On The Board'!E$5:E$219,"="&amp;FutureWork)</f>
        <v>0</v>
      </c>
      <c r="D148" s="47" t="str">
        <f ca="1">IF(TodaysDate&gt;=B148,SUMIF('On The Board'!F$5:F$219,"&lt;="&amp;$B148,'On The Board'!$M$5:$M$219)-SUM(F148:J148),"")</f>
        <v/>
      </c>
      <c r="E148" s="12">
        <f ca="1">IF(TodaysDate&gt;=B148,SUMIF('On The Board'!F$5:F$219,"&lt;="&amp;$B148,'On The Board'!$M$5:$M$219)-SUM(F148:J148),E147)</f>
        <v>47</v>
      </c>
      <c r="F148" s="12">
        <f>SUMIF('On The Board'!G$5:G$219,"&lt;="&amp;$B148,'On The Board'!$M$5:$M$219)-SUM(G148:J148)</f>
        <v>0</v>
      </c>
      <c r="G148" s="12">
        <f>SUMIF('On The Board'!H$5:H$219,"&lt;="&amp;$B148,'On The Board'!$M$5:$M$219)-SUM(H148:J148)</f>
        <v>5</v>
      </c>
      <c r="H148" s="12">
        <f>SUMIF('On The Board'!I$5:I$219,"&lt;="&amp;$B148,'On The Board'!$M$5:$M$219)-SUM(I148,J148)</f>
        <v>2</v>
      </c>
      <c r="I148" s="12">
        <f>SUMIF('On The Board'!J$5:J$219,"&lt;="&amp;$B148,'On The Board'!$M$5:$M$219)-SUM(J148)</f>
        <v>0</v>
      </c>
      <c r="J148" s="12">
        <f>SUMIF('On The Board'!K$5:K$219,"&lt;="&amp;$B148,'On The Board'!$M$5:$M$219)</f>
        <v>70</v>
      </c>
      <c r="K148" s="10">
        <f t="shared" si="19"/>
        <v>77</v>
      </c>
      <c r="L148" s="10" t="e">
        <f ca="1">IF(TodaysDate&gt;=B148,SUM(F148:I148),NA())</f>
        <v>#N/A</v>
      </c>
      <c r="M148" s="44" t="e">
        <f t="shared" ca="1" si="21"/>
        <v>#N/A</v>
      </c>
      <c r="N148" s="44" t="e">
        <f ca="1">IF(ISNUMBER(M148),(J148-J138)/NETWORKDAYS(B138,B148,BankHolidays),NA())</f>
        <v>#N/A</v>
      </c>
      <c r="O148" s="44" t="e">
        <f t="shared" ca="1" si="20"/>
        <v>#N/A</v>
      </c>
      <c r="P148" s="53" t="e">
        <f t="shared" ca="1" si="22"/>
        <v>#N/A</v>
      </c>
      <c r="Q148" s="53" t="str">
        <f ca="1">IFERROR(DayByDayTable[[#This Row],[Lead Time]],"")</f>
        <v/>
      </c>
      <c r="R148" s="44" t="e">
        <f t="shared" ca="1" si="23"/>
        <v>#N/A</v>
      </c>
      <c r="S148" s="44">
        <f ca="1">ROUND(PERCENTILE(DayByDayTable[[#Data],[BlankLeadTime]],0.8),0)</f>
        <v>8</v>
      </c>
    </row>
    <row r="149" spans="1:19">
      <c r="A149" s="51">
        <f t="shared" si="17"/>
        <v>42620</v>
      </c>
      <c r="B149" s="11">
        <f t="shared" si="18"/>
        <v>42620</v>
      </c>
      <c r="C149" s="47">
        <f>SUMIFS('On The Board'!$M$5:$M$219,'On The Board'!F$5:F$219,"&lt;="&amp;$B149,'On The Board'!E$5:E$219,"="&amp;FutureWork)</f>
        <v>0</v>
      </c>
      <c r="D149" s="47" t="str">
        <f ca="1">IF(TodaysDate&gt;=B149,SUMIF('On The Board'!F$5:F$219,"&lt;="&amp;$B149,'On The Board'!$M$5:$M$219)-SUM(F149:J149),"")</f>
        <v/>
      </c>
      <c r="E149" s="12">
        <f ca="1">IF(TodaysDate&gt;=B149,SUMIF('On The Board'!F$5:F$219,"&lt;="&amp;$B149,'On The Board'!$M$5:$M$219)-SUM(F149:J149),E148)</f>
        <v>47</v>
      </c>
      <c r="F149" s="12">
        <f>SUMIF('On The Board'!G$5:G$219,"&lt;="&amp;$B149,'On The Board'!$M$5:$M$219)-SUM(G149:J149)</f>
        <v>0</v>
      </c>
      <c r="G149" s="12">
        <f>SUMIF('On The Board'!H$5:H$219,"&lt;="&amp;$B149,'On The Board'!$M$5:$M$219)-SUM(H149:J149)</f>
        <v>5</v>
      </c>
      <c r="H149" s="12">
        <f>SUMIF('On The Board'!I$5:I$219,"&lt;="&amp;$B149,'On The Board'!$M$5:$M$219)-SUM(I149,J149)</f>
        <v>2</v>
      </c>
      <c r="I149" s="12">
        <f>SUMIF('On The Board'!J$5:J$219,"&lt;="&amp;$B149,'On The Board'!$M$5:$M$219)-SUM(J149)</f>
        <v>0</v>
      </c>
      <c r="J149" s="12">
        <f>SUMIF('On The Board'!K$5:K$219,"&lt;="&amp;$B149,'On The Board'!$M$5:$M$219)</f>
        <v>70</v>
      </c>
      <c r="K149" s="10">
        <f t="shared" si="19"/>
        <v>77</v>
      </c>
      <c r="L149" s="10" t="e">
        <f ca="1">IF(TodaysDate&gt;=B149,SUM(F149:I149),NA())</f>
        <v>#N/A</v>
      </c>
      <c r="M149" s="44" t="e">
        <f t="shared" ca="1" si="21"/>
        <v>#N/A</v>
      </c>
      <c r="N149" s="44" t="e">
        <f ca="1">IF(ISNUMBER(M149),(J149-J139)/NETWORKDAYS(B139,B149,BankHolidays),NA())</f>
        <v>#N/A</v>
      </c>
      <c r="O149" s="44" t="e">
        <f t="shared" ca="1" si="20"/>
        <v>#N/A</v>
      </c>
      <c r="P149" s="53" t="e">
        <f t="shared" ca="1" si="22"/>
        <v>#N/A</v>
      </c>
      <c r="Q149" s="53" t="str">
        <f ca="1">IFERROR(DayByDayTable[[#This Row],[Lead Time]],"")</f>
        <v/>
      </c>
      <c r="R149" s="44" t="e">
        <f t="shared" ca="1" si="23"/>
        <v>#N/A</v>
      </c>
      <c r="S149" s="44">
        <f ca="1">ROUND(PERCENTILE(DayByDayTable[[#Data],[BlankLeadTime]],0.8),0)</f>
        <v>8</v>
      </c>
    </row>
    <row r="150" spans="1:19">
      <c r="A150" s="51">
        <f t="shared" si="17"/>
        <v>42621</v>
      </c>
      <c r="B150" s="11">
        <f t="shared" si="18"/>
        <v>42621</v>
      </c>
      <c r="C150" s="47">
        <f>SUMIFS('On The Board'!$M$5:$M$219,'On The Board'!F$5:F$219,"&lt;="&amp;$B150,'On The Board'!E$5:E$219,"="&amp;FutureWork)</f>
        <v>0</v>
      </c>
      <c r="D150" s="47" t="str">
        <f ca="1">IF(TodaysDate&gt;=B150,SUMIF('On The Board'!F$5:F$219,"&lt;="&amp;$B150,'On The Board'!$M$5:$M$219)-SUM(F150:J150),"")</f>
        <v/>
      </c>
      <c r="E150" s="12">
        <f ca="1">IF(TodaysDate&gt;=B150,SUMIF('On The Board'!F$5:F$219,"&lt;="&amp;$B150,'On The Board'!$M$5:$M$219)-SUM(F150:J150),E149)</f>
        <v>47</v>
      </c>
      <c r="F150" s="12">
        <f>SUMIF('On The Board'!G$5:G$219,"&lt;="&amp;$B150,'On The Board'!$M$5:$M$219)-SUM(G150:J150)</f>
        <v>0</v>
      </c>
      <c r="G150" s="12">
        <f>SUMIF('On The Board'!H$5:H$219,"&lt;="&amp;$B150,'On The Board'!$M$5:$M$219)-SUM(H150:J150)</f>
        <v>5</v>
      </c>
      <c r="H150" s="12">
        <f>SUMIF('On The Board'!I$5:I$219,"&lt;="&amp;$B150,'On The Board'!$M$5:$M$219)-SUM(I150,J150)</f>
        <v>2</v>
      </c>
      <c r="I150" s="12">
        <f>SUMIF('On The Board'!J$5:J$219,"&lt;="&amp;$B150,'On The Board'!$M$5:$M$219)-SUM(J150)</f>
        <v>0</v>
      </c>
      <c r="J150" s="12">
        <f>SUMIF('On The Board'!K$5:K$219,"&lt;="&amp;$B150,'On The Board'!$M$5:$M$219)</f>
        <v>70</v>
      </c>
      <c r="K150" s="10">
        <f t="shared" si="19"/>
        <v>77</v>
      </c>
      <c r="L150" s="10" t="e">
        <f ca="1">IF(TodaysDate&gt;=B150,SUM(F150:I150),NA())</f>
        <v>#N/A</v>
      </c>
      <c r="M150" s="44" t="e">
        <f t="shared" ca="1" si="21"/>
        <v>#N/A</v>
      </c>
      <c r="N150" s="44" t="e">
        <f ca="1">IF(ISNUMBER(M150),(J150-J140)/NETWORKDAYS(B140,B150,BankHolidays),NA())</f>
        <v>#N/A</v>
      </c>
      <c r="O150" s="44" t="e">
        <f t="shared" ca="1" si="20"/>
        <v>#N/A</v>
      </c>
      <c r="P150" s="53" t="e">
        <f t="shared" ca="1" si="22"/>
        <v>#N/A</v>
      </c>
      <c r="Q150" s="53" t="str">
        <f ca="1">IFERROR(DayByDayTable[[#This Row],[Lead Time]],"")</f>
        <v/>
      </c>
      <c r="R150" s="44" t="e">
        <f t="shared" ca="1" si="23"/>
        <v>#N/A</v>
      </c>
      <c r="S150" s="44">
        <f ca="1">ROUND(PERCENTILE(DayByDayTable[[#Data],[BlankLeadTime]],0.8),0)</f>
        <v>8</v>
      </c>
    </row>
    <row r="151" spans="1:19">
      <c r="A151" s="51">
        <f t="shared" si="17"/>
        <v>42622</v>
      </c>
      <c r="B151" s="11">
        <f t="shared" si="18"/>
        <v>42622</v>
      </c>
      <c r="C151" s="47">
        <f>SUMIFS('On The Board'!$M$5:$M$219,'On The Board'!F$5:F$219,"&lt;="&amp;$B151,'On The Board'!E$5:E$219,"="&amp;FutureWork)</f>
        <v>0</v>
      </c>
      <c r="D151" s="47" t="str">
        <f ca="1">IF(TodaysDate&gt;=B151,SUMIF('On The Board'!F$5:F$219,"&lt;="&amp;$B151,'On The Board'!$M$5:$M$219)-SUM(F151:J151),"")</f>
        <v/>
      </c>
      <c r="E151" s="12">
        <f ca="1">IF(TodaysDate&gt;=B151,SUMIF('On The Board'!F$5:F$219,"&lt;="&amp;$B151,'On The Board'!$M$5:$M$219)-SUM(F151:J151),E150)</f>
        <v>47</v>
      </c>
      <c r="F151" s="12">
        <f>SUMIF('On The Board'!G$5:G$219,"&lt;="&amp;$B151,'On The Board'!$M$5:$M$219)-SUM(G151:J151)</f>
        <v>0</v>
      </c>
      <c r="G151" s="12">
        <f>SUMIF('On The Board'!H$5:H$219,"&lt;="&amp;$B151,'On The Board'!$M$5:$M$219)-SUM(H151:J151)</f>
        <v>5</v>
      </c>
      <c r="H151" s="12">
        <f>SUMIF('On The Board'!I$5:I$219,"&lt;="&amp;$B151,'On The Board'!$M$5:$M$219)-SUM(I151,J151)</f>
        <v>2</v>
      </c>
      <c r="I151" s="12">
        <f>SUMIF('On The Board'!J$5:J$219,"&lt;="&amp;$B151,'On The Board'!$M$5:$M$219)-SUM(J151)</f>
        <v>0</v>
      </c>
      <c r="J151" s="12">
        <f>SUMIF('On The Board'!K$5:K$219,"&lt;="&amp;$B151,'On The Board'!$M$5:$M$219)</f>
        <v>70</v>
      </c>
      <c r="K151" s="10">
        <f t="shared" si="19"/>
        <v>77</v>
      </c>
      <c r="L151" s="10" t="e">
        <f ca="1">IF(TodaysDate&gt;=B151,SUM(F151:I151),NA())</f>
        <v>#N/A</v>
      </c>
      <c r="M151" s="44" t="e">
        <f t="shared" ca="1" si="21"/>
        <v>#N/A</v>
      </c>
      <c r="N151" s="44" t="e">
        <f ca="1">IF(ISNUMBER(M151),(J151-J141)/NETWORKDAYS(B141,B151,BankHolidays),NA())</f>
        <v>#N/A</v>
      </c>
      <c r="O151" s="44" t="e">
        <f t="shared" ca="1" si="20"/>
        <v>#N/A</v>
      </c>
      <c r="P151" s="53" t="e">
        <f t="shared" ca="1" si="22"/>
        <v>#N/A</v>
      </c>
      <c r="Q151" s="53" t="str">
        <f ca="1">IFERROR(DayByDayTable[[#This Row],[Lead Time]],"")</f>
        <v/>
      </c>
      <c r="R151" s="44" t="e">
        <f t="shared" ca="1" si="23"/>
        <v>#N/A</v>
      </c>
      <c r="S151" s="44">
        <f ca="1">ROUND(PERCENTILE(DayByDayTable[[#Data],[BlankLeadTime]],0.8),0)</f>
        <v>8</v>
      </c>
    </row>
    <row r="152" spans="1:19">
      <c r="A152" s="51">
        <f t="shared" si="17"/>
        <v>42625</v>
      </c>
      <c r="B152" s="11">
        <f t="shared" si="18"/>
        <v>42625</v>
      </c>
      <c r="C152" s="47">
        <f>SUMIFS('On The Board'!$M$5:$M$219,'On The Board'!F$5:F$219,"&lt;="&amp;$B152,'On The Board'!E$5:E$219,"="&amp;FutureWork)</f>
        <v>0</v>
      </c>
      <c r="D152" s="47" t="str">
        <f ca="1">IF(TodaysDate&gt;=B152,SUMIF('On The Board'!F$5:F$219,"&lt;="&amp;$B152,'On The Board'!$M$5:$M$219)-SUM(F152:J152),"")</f>
        <v/>
      </c>
      <c r="E152" s="12">
        <f ca="1">IF(TodaysDate&gt;=B152,SUMIF('On The Board'!F$5:F$219,"&lt;="&amp;$B152,'On The Board'!$M$5:$M$219)-SUM(F152:J152),E151)</f>
        <v>47</v>
      </c>
      <c r="F152" s="12">
        <f>SUMIF('On The Board'!G$5:G$219,"&lt;="&amp;$B152,'On The Board'!$M$5:$M$219)-SUM(G152:J152)</f>
        <v>0</v>
      </c>
      <c r="G152" s="12">
        <f>SUMIF('On The Board'!H$5:H$219,"&lt;="&amp;$B152,'On The Board'!$M$5:$M$219)-SUM(H152:J152)</f>
        <v>5</v>
      </c>
      <c r="H152" s="12">
        <f>SUMIF('On The Board'!I$5:I$219,"&lt;="&amp;$B152,'On The Board'!$M$5:$M$219)-SUM(I152,J152)</f>
        <v>2</v>
      </c>
      <c r="I152" s="12">
        <f>SUMIF('On The Board'!J$5:J$219,"&lt;="&amp;$B152,'On The Board'!$M$5:$M$219)-SUM(J152)</f>
        <v>0</v>
      </c>
      <c r="J152" s="12">
        <f>SUMIF('On The Board'!K$5:K$219,"&lt;="&amp;$B152,'On The Board'!$M$5:$M$219)</f>
        <v>70</v>
      </c>
      <c r="K152" s="10">
        <f t="shared" si="19"/>
        <v>77</v>
      </c>
      <c r="L152" s="10" t="e">
        <f ca="1">IF(TodaysDate&gt;=B152,SUM(F152:I152),NA())</f>
        <v>#N/A</v>
      </c>
      <c r="M152" s="44" t="e">
        <f t="shared" ca="1" si="21"/>
        <v>#N/A</v>
      </c>
      <c r="N152" s="44" t="e">
        <f ca="1">IF(ISNUMBER(M152),(J152-J142)/NETWORKDAYS(B142,B152,BankHolidays),NA())</f>
        <v>#N/A</v>
      </c>
      <c r="O152" s="44" t="e">
        <f t="shared" ca="1" si="20"/>
        <v>#N/A</v>
      </c>
      <c r="P152" s="53" t="e">
        <f t="shared" ca="1" si="22"/>
        <v>#N/A</v>
      </c>
      <c r="Q152" s="53" t="str">
        <f ca="1">IFERROR(DayByDayTable[[#This Row],[Lead Time]],"")</f>
        <v/>
      </c>
      <c r="R152" s="44" t="e">
        <f t="shared" ca="1" si="23"/>
        <v>#N/A</v>
      </c>
      <c r="S152" s="44">
        <f ca="1">ROUND(PERCENTILE(DayByDayTable[[#Data],[BlankLeadTime]],0.8),0)</f>
        <v>8</v>
      </c>
    </row>
    <row r="153" spans="1:19">
      <c r="A153" s="51">
        <f t="shared" si="17"/>
        <v>42626</v>
      </c>
      <c r="B153" s="11">
        <f t="shared" si="18"/>
        <v>42626</v>
      </c>
      <c r="C153" s="47">
        <f>SUMIFS('On The Board'!$M$5:$M$219,'On The Board'!F$5:F$219,"&lt;="&amp;$B153,'On The Board'!E$5:E$219,"="&amp;FutureWork)</f>
        <v>0</v>
      </c>
      <c r="D153" s="47" t="str">
        <f ca="1">IF(TodaysDate&gt;=B153,SUMIF('On The Board'!F$5:F$219,"&lt;="&amp;$B153,'On The Board'!$M$5:$M$219)-SUM(F153:J153),"")</f>
        <v/>
      </c>
      <c r="E153" s="12">
        <f ca="1">IF(TodaysDate&gt;=B153,SUMIF('On The Board'!F$5:F$219,"&lt;="&amp;$B153,'On The Board'!$M$5:$M$219)-SUM(F153:J153),E152)</f>
        <v>47</v>
      </c>
      <c r="F153" s="12">
        <f>SUMIF('On The Board'!G$5:G$219,"&lt;="&amp;$B153,'On The Board'!$M$5:$M$219)-SUM(G153:J153)</f>
        <v>0</v>
      </c>
      <c r="G153" s="12">
        <f>SUMIF('On The Board'!H$5:H$219,"&lt;="&amp;$B153,'On The Board'!$M$5:$M$219)-SUM(H153:J153)</f>
        <v>5</v>
      </c>
      <c r="H153" s="12">
        <f>SUMIF('On The Board'!I$5:I$219,"&lt;="&amp;$B153,'On The Board'!$M$5:$M$219)-SUM(I153,J153)</f>
        <v>2</v>
      </c>
      <c r="I153" s="12">
        <f>SUMIF('On The Board'!J$5:J$219,"&lt;="&amp;$B153,'On The Board'!$M$5:$M$219)-SUM(J153)</f>
        <v>0</v>
      </c>
      <c r="J153" s="12">
        <f>SUMIF('On The Board'!K$5:K$219,"&lt;="&amp;$B153,'On The Board'!$M$5:$M$219)</f>
        <v>70</v>
      </c>
      <c r="K153" s="10">
        <f t="shared" si="19"/>
        <v>77</v>
      </c>
      <c r="L153" s="10" t="e">
        <f ca="1">IF(TodaysDate&gt;=B153,SUM(F153:I153),NA())</f>
        <v>#N/A</v>
      </c>
      <c r="M153" s="44" t="e">
        <f t="shared" ca="1" si="21"/>
        <v>#N/A</v>
      </c>
      <c r="N153" s="44" t="e">
        <f ca="1">IF(ISNUMBER(M153),(J153-J143)/NETWORKDAYS(B143,B153,BankHolidays),NA())</f>
        <v>#N/A</v>
      </c>
      <c r="O153" s="44" t="e">
        <f t="shared" ca="1" si="20"/>
        <v>#N/A</v>
      </c>
      <c r="P153" s="53" t="e">
        <f t="shared" ca="1" si="22"/>
        <v>#N/A</v>
      </c>
      <c r="Q153" s="53" t="str">
        <f ca="1">IFERROR(DayByDayTable[[#This Row],[Lead Time]],"")</f>
        <v/>
      </c>
      <c r="R153" s="44" t="e">
        <f t="shared" ca="1" si="23"/>
        <v>#N/A</v>
      </c>
      <c r="S153" s="44">
        <f ca="1">ROUND(PERCENTILE(DayByDayTable[[#Data],[BlankLeadTime]],0.8),0)</f>
        <v>8</v>
      </c>
    </row>
    <row r="154" spans="1:19">
      <c r="A154" s="51">
        <f t="shared" si="17"/>
        <v>42627</v>
      </c>
      <c r="B154" s="11">
        <f t="shared" si="18"/>
        <v>42627</v>
      </c>
      <c r="C154" s="47">
        <f>SUMIFS('On The Board'!$M$5:$M$219,'On The Board'!F$5:F$219,"&lt;="&amp;$B154,'On The Board'!E$5:E$219,"="&amp;FutureWork)</f>
        <v>0</v>
      </c>
      <c r="D154" s="47" t="str">
        <f ca="1">IF(TodaysDate&gt;=B154,SUMIF('On The Board'!F$5:F$219,"&lt;="&amp;$B154,'On The Board'!$M$5:$M$219)-SUM(F154:J154),"")</f>
        <v/>
      </c>
      <c r="E154" s="12">
        <f ca="1">IF(TodaysDate&gt;=B154,SUMIF('On The Board'!F$5:F$219,"&lt;="&amp;$B154,'On The Board'!$M$5:$M$219)-SUM(F154:J154),E153)</f>
        <v>47</v>
      </c>
      <c r="F154" s="12">
        <f>SUMIF('On The Board'!G$5:G$219,"&lt;="&amp;$B154,'On The Board'!$M$5:$M$219)-SUM(G154:J154)</f>
        <v>0</v>
      </c>
      <c r="G154" s="12">
        <f>SUMIF('On The Board'!H$5:H$219,"&lt;="&amp;$B154,'On The Board'!$M$5:$M$219)-SUM(H154:J154)</f>
        <v>5</v>
      </c>
      <c r="H154" s="12">
        <f>SUMIF('On The Board'!I$5:I$219,"&lt;="&amp;$B154,'On The Board'!$M$5:$M$219)-SUM(I154,J154)</f>
        <v>2</v>
      </c>
      <c r="I154" s="12">
        <f>SUMIF('On The Board'!J$5:J$219,"&lt;="&amp;$B154,'On The Board'!$M$5:$M$219)-SUM(J154)</f>
        <v>0</v>
      </c>
      <c r="J154" s="12">
        <f>SUMIF('On The Board'!K$5:K$219,"&lt;="&amp;$B154,'On The Board'!$M$5:$M$219)</f>
        <v>70</v>
      </c>
      <c r="K154" s="10">
        <f t="shared" si="19"/>
        <v>77</v>
      </c>
      <c r="L154" s="10" t="e">
        <f ca="1">IF(TodaysDate&gt;=B154,SUM(F154:I154),NA())</f>
        <v>#N/A</v>
      </c>
      <c r="M154" s="44" t="e">
        <f t="shared" ca="1" si="21"/>
        <v>#N/A</v>
      </c>
      <c r="N154" s="44" t="e">
        <f ca="1">IF(ISNUMBER(M154),(J154-J144)/NETWORKDAYS(B144,B154,BankHolidays),NA())</f>
        <v>#N/A</v>
      </c>
      <c r="O154" s="44" t="e">
        <f t="shared" ca="1" si="20"/>
        <v>#N/A</v>
      </c>
      <c r="P154" s="53" t="e">
        <f t="shared" ca="1" si="22"/>
        <v>#N/A</v>
      </c>
      <c r="Q154" s="53" t="str">
        <f ca="1">IFERROR(DayByDayTable[[#This Row],[Lead Time]],"")</f>
        <v/>
      </c>
      <c r="R154" s="44" t="e">
        <f t="shared" ca="1" si="23"/>
        <v>#N/A</v>
      </c>
      <c r="S154" s="44">
        <f ca="1">ROUND(PERCENTILE(DayByDayTable[[#Data],[BlankLeadTime]],0.8),0)</f>
        <v>8</v>
      </c>
    </row>
    <row r="155" spans="1:19">
      <c r="A155" s="51">
        <f t="shared" si="17"/>
        <v>42628</v>
      </c>
      <c r="B155" s="11">
        <f t="shared" si="18"/>
        <v>42628</v>
      </c>
      <c r="C155" s="47">
        <f>SUMIFS('On The Board'!$M$5:$M$219,'On The Board'!F$5:F$219,"&lt;="&amp;$B155,'On The Board'!E$5:E$219,"="&amp;FutureWork)</f>
        <v>0</v>
      </c>
      <c r="D155" s="47" t="str">
        <f ca="1">IF(TodaysDate&gt;=B155,SUMIF('On The Board'!F$5:F$219,"&lt;="&amp;$B155,'On The Board'!$M$5:$M$219)-SUM(F155:J155),"")</f>
        <v/>
      </c>
      <c r="E155" s="12">
        <f ca="1">IF(TodaysDate&gt;=B155,SUMIF('On The Board'!F$5:F$219,"&lt;="&amp;$B155,'On The Board'!$M$5:$M$219)-SUM(F155:J155),E154)</f>
        <v>47</v>
      </c>
      <c r="F155" s="12">
        <f>SUMIF('On The Board'!G$5:G$219,"&lt;="&amp;$B155,'On The Board'!$M$5:$M$219)-SUM(G155:J155)</f>
        <v>0</v>
      </c>
      <c r="G155" s="12">
        <f>SUMIF('On The Board'!H$5:H$219,"&lt;="&amp;$B155,'On The Board'!$M$5:$M$219)-SUM(H155:J155)</f>
        <v>5</v>
      </c>
      <c r="H155" s="12">
        <f>SUMIF('On The Board'!I$5:I$219,"&lt;="&amp;$B155,'On The Board'!$M$5:$M$219)-SUM(I155,J155)</f>
        <v>2</v>
      </c>
      <c r="I155" s="12">
        <f>SUMIF('On The Board'!J$5:J$219,"&lt;="&amp;$B155,'On The Board'!$M$5:$M$219)-SUM(J155)</f>
        <v>0</v>
      </c>
      <c r="J155" s="12">
        <f>SUMIF('On The Board'!K$5:K$219,"&lt;="&amp;$B155,'On The Board'!$M$5:$M$219)</f>
        <v>70</v>
      </c>
      <c r="K155" s="10">
        <f t="shared" si="19"/>
        <v>77</v>
      </c>
      <c r="L155" s="10" t="e">
        <f ca="1">IF(TodaysDate&gt;=B155,SUM(F155:I155),NA())</f>
        <v>#N/A</v>
      </c>
      <c r="M155" s="44" t="e">
        <f t="shared" ca="1" si="21"/>
        <v>#N/A</v>
      </c>
      <c r="N155" s="44" t="e">
        <f ca="1">IF(ISNUMBER(M155),(J155-J145)/NETWORKDAYS(B145,B155,BankHolidays),NA())</f>
        <v>#N/A</v>
      </c>
      <c r="O155" s="44" t="e">
        <f t="shared" ca="1" si="20"/>
        <v>#N/A</v>
      </c>
      <c r="P155" s="53" t="e">
        <f t="shared" ca="1" si="22"/>
        <v>#N/A</v>
      </c>
      <c r="Q155" s="53" t="str">
        <f ca="1">IFERROR(DayByDayTable[[#This Row],[Lead Time]],"")</f>
        <v/>
      </c>
      <c r="R155" s="44" t="e">
        <f t="shared" ca="1" si="23"/>
        <v>#N/A</v>
      </c>
      <c r="S155" s="44">
        <f ca="1">ROUND(PERCENTILE(DayByDayTable[[#Data],[BlankLeadTime]],0.8),0)</f>
        <v>8</v>
      </c>
    </row>
    <row r="156" spans="1:19">
      <c r="A156" s="51">
        <f t="shared" si="17"/>
        <v>42629</v>
      </c>
      <c r="B156" s="11">
        <f t="shared" si="18"/>
        <v>42629</v>
      </c>
      <c r="C156" s="47">
        <f>SUMIFS('On The Board'!$M$5:$M$219,'On The Board'!F$5:F$219,"&lt;="&amp;$B156,'On The Board'!E$5:E$219,"="&amp;FutureWork)</f>
        <v>0</v>
      </c>
      <c r="D156" s="47" t="str">
        <f ca="1">IF(TodaysDate&gt;=B156,SUMIF('On The Board'!F$5:F$219,"&lt;="&amp;$B156,'On The Board'!$M$5:$M$219)-SUM(F156:J156),"")</f>
        <v/>
      </c>
      <c r="E156" s="12">
        <f ca="1">IF(TodaysDate&gt;=B156,SUMIF('On The Board'!F$5:F$219,"&lt;="&amp;$B156,'On The Board'!$M$5:$M$219)-SUM(F156:J156),E155)</f>
        <v>47</v>
      </c>
      <c r="F156" s="12">
        <f>SUMIF('On The Board'!G$5:G$219,"&lt;="&amp;$B156,'On The Board'!$M$5:$M$219)-SUM(G156:J156)</f>
        <v>0</v>
      </c>
      <c r="G156" s="12">
        <f>SUMIF('On The Board'!H$5:H$219,"&lt;="&amp;$B156,'On The Board'!$M$5:$M$219)-SUM(H156:J156)</f>
        <v>5</v>
      </c>
      <c r="H156" s="12">
        <f>SUMIF('On The Board'!I$5:I$219,"&lt;="&amp;$B156,'On The Board'!$M$5:$M$219)-SUM(I156,J156)</f>
        <v>2</v>
      </c>
      <c r="I156" s="12">
        <f>SUMIF('On The Board'!J$5:J$219,"&lt;="&amp;$B156,'On The Board'!$M$5:$M$219)-SUM(J156)</f>
        <v>0</v>
      </c>
      <c r="J156" s="12">
        <f>SUMIF('On The Board'!K$5:K$219,"&lt;="&amp;$B156,'On The Board'!$M$5:$M$219)</f>
        <v>70</v>
      </c>
      <c r="K156" s="10">
        <f t="shared" si="19"/>
        <v>77</v>
      </c>
      <c r="L156" s="10" t="e">
        <f ca="1">IF(TodaysDate&gt;=B156,SUM(F156:I156),NA())</f>
        <v>#N/A</v>
      </c>
      <c r="M156" s="44" t="e">
        <f t="shared" ca="1" si="21"/>
        <v>#N/A</v>
      </c>
      <c r="N156" s="44" t="e">
        <f ca="1">IF(ISNUMBER(M156),(J156-J146)/NETWORKDAYS(B146,B156,BankHolidays),NA())</f>
        <v>#N/A</v>
      </c>
      <c r="O156" s="44" t="e">
        <f t="shared" ca="1" si="20"/>
        <v>#N/A</v>
      </c>
      <c r="P156" s="53" t="e">
        <f t="shared" ca="1" si="22"/>
        <v>#N/A</v>
      </c>
      <c r="Q156" s="53" t="str">
        <f ca="1">IFERROR(DayByDayTable[[#This Row],[Lead Time]],"")</f>
        <v/>
      </c>
      <c r="R156" s="44" t="e">
        <f t="shared" ca="1" si="23"/>
        <v>#N/A</v>
      </c>
      <c r="S156" s="44">
        <f ca="1">ROUND(PERCENTILE(DayByDayTable[[#Data],[BlankLeadTime]],0.8),0)</f>
        <v>8</v>
      </c>
    </row>
    <row r="157" spans="1:19">
      <c r="A157" s="51">
        <f t="shared" si="17"/>
        <v>42632</v>
      </c>
      <c r="B157" s="11">
        <f t="shared" si="18"/>
        <v>42632</v>
      </c>
      <c r="C157" s="47">
        <f>SUMIFS('On The Board'!$M$5:$M$219,'On The Board'!F$5:F$219,"&lt;="&amp;$B157,'On The Board'!E$5:E$219,"="&amp;FutureWork)</f>
        <v>0</v>
      </c>
      <c r="D157" s="47" t="str">
        <f ca="1">IF(TodaysDate&gt;=B157,SUMIF('On The Board'!F$5:F$219,"&lt;="&amp;$B157,'On The Board'!$M$5:$M$219)-SUM(F157:J157),"")</f>
        <v/>
      </c>
      <c r="E157" s="12">
        <f ca="1">IF(TodaysDate&gt;=B157,SUMIF('On The Board'!F$5:F$219,"&lt;="&amp;$B157,'On The Board'!$M$5:$M$219)-SUM(F157:J157),E156)</f>
        <v>47</v>
      </c>
      <c r="F157" s="12">
        <f>SUMIF('On The Board'!G$5:G$219,"&lt;="&amp;$B157,'On The Board'!$M$5:$M$219)-SUM(G157:J157)</f>
        <v>0</v>
      </c>
      <c r="G157" s="12">
        <f>SUMIF('On The Board'!H$5:H$219,"&lt;="&amp;$B157,'On The Board'!$M$5:$M$219)-SUM(H157:J157)</f>
        <v>5</v>
      </c>
      <c r="H157" s="12">
        <f>SUMIF('On The Board'!I$5:I$219,"&lt;="&amp;$B157,'On The Board'!$M$5:$M$219)-SUM(I157,J157)</f>
        <v>2</v>
      </c>
      <c r="I157" s="12">
        <f>SUMIF('On The Board'!J$5:J$219,"&lt;="&amp;$B157,'On The Board'!$M$5:$M$219)-SUM(J157)</f>
        <v>0</v>
      </c>
      <c r="J157" s="12">
        <f>SUMIF('On The Board'!K$5:K$219,"&lt;="&amp;$B157,'On The Board'!$M$5:$M$219)</f>
        <v>70</v>
      </c>
      <c r="K157" s="10">
        <f t="shared" si="19"/>
        <v>77</v>
      </c>
      <c r="L157" s="10" t="e">
        <f ca="1">IF(TodaysDate&gt;=B157,SUM(F157:I157),NA())</f>
        <v>#N/A</v>
      </c>
      <c r="M157" s="44" t="e">
        <f t="shared" ca="1" si="21"/>
        <v>#N/A</v>
      </c>
      <c r="N157" s="44" t="e">
        <f ca="1">IF(ISNUMBER(M157),(J157-J147)/NETWORKDAYS(B147,B157,BankHolidays),NA())</f>
        <v>#N/A</v>
      </c>
      <c r="O157" s="44" t="e">
        <f t="shared" ca="1" si="20"/>
        <v>#N/A</v>
      </c>
      <c r="P157" s="53" t="e">
        <f t="shared" ca="1" si="22"/>
        <v>#N/A</v>
      </c>
      <c r="Q157" s="53" t="str">
        <f ca="1">IFERROR(DayByDayTable[[#This Row],[Lead Time]],"")</f>
        <v/>
      </c>
      <c r="R157" s="44" t="e">
        <f t="shared" ca="1" si="23"/>
        <v>#N/A</v>
      </c>
      <c r="S157" s="44">
        <f ca="1">ROUND(PERCENTILE(DayByDayTable[[#Data],[BlankLeadTime]],0.8),0)</f>
        <v>8</v>
      </c>
    </row>
    <row r="158" spans="1:19">
      <c r="A158" s="51">
        <f t="shared" si="17"/>
        <v>42633</v>
      </c>
      <c r="B158" s="11">
        <f t="shared" si="18"/>
        <v>42633</v>
      </c>
      <c r="C158" s="47">
        <f>SUMIFS('On The Board'!$M$5:$M$219,'On The Board'!F$5:F$219,"&lt;="&amp;$B158,'On The Board'!E$5:E$219,"="&amp;FutureWork)</f>
        <v>0</v>
      </c>
      <c r="D158" s="47" t="str">
        <f ca="1">IF(TodaysDate&gt;=B158,SUMIF('On The Board'!F$5:F$219,"&lt;="&amp;$B158,'On The Board'!$M$5:$M$219)-SUM(F158:J158),"")</f>
        <v/>
      </c>
      <c r="E158" s="12">
        <f ca="1">IF(TodaysDate&gt;=B158,SUMIF('On The Board'!F$5:F$219,"&lt;="&amp;$B158,'On The Board'!$M$5:$M$219)-SUM(F158:J158),E157)</f>
        <v>47</v>
      </c>
      <c r="F158" s="12">
        <f>SUMIF('On The Board'!G$5:G$219,"&lt;="&amp;$B158,'On The Board'!$M$5:$M$219)-SUM(G158:J158)</f>
        <v>0</v>
      </c>
      <c r="G158" s="12">
        <f>SUMIF('On The Board'!H$5:H$219,"&lt;="&amp;$B158,'On The Board'!$M$5:$M$219)-SUM(H158:J158)</f>
        <v>5</v>
      </c>
      <c r="H158" s="12">
        <f>SUMIF('On The Board'!I$5:I$219,"&lt;="&amp;$B158,'On The Board'!$M$5:$M$219)-SUM(I158,J158)</f>
        <v>2</v>
      </c>
      <c r="I158" s="12">
        <f>SUMIF('On The Board'!J$5:J$219,"&lt;="&amp;$B158,'On The Board'!$M$5:$M$219)-SUM(J158)</f>
        <v>0</v>
      </c>
      <c r="J158" s="12">
        <f>SUMIF('On The Board'!K$5:K$219,"&lt;="&amp;$B158,'On The Board'!$M$5:$M$219)</f>
        <v>70</v>
      </c>
      <c r="K158" s="10">
        <f t="shared" si="19"/>
        <v>77</v>
      </c>
      <c r="L158" s="10" t="e">
        <f ca="1">IF(TodaysDate&gt;=B158,SUM(F158:I158),NA())</f>
        <v>#N/A</v>
      </c>
      <c r="M158" s="44" t="e">
        <f t="shared" ca="1" si="21"/>
        <v>#N/A</v>
      </c>
      <c r="N158" s="44" t="e">
        <f ca="1">IF(ISNUMBER(M158),(J158-J148)/NETWORKDAYS(B148,B158,BankHolidays),NA())</f>
        <v>#N/A</v>
      </c>
      <c r="O158" s="44" t="e">
        <f t="shared" ca="1" si="20"/>
        <v>#N/A</v>
      </c>
      <c r="P158" s="53" t="e">
        <f t="shared" ca="1" si="22"/>
        <v>#N/A</v>
      </c>
      <c r="Q158" s="53" t="str">
        <f ca="1">IFERROR(DayByDayTable[[#This Row],[Lead Time]],"")</f>
        <v/>
      </c>
      <c r="R158" s="44" t="e">
        <f t="shared" ca="1" si="23"/>
        <v>#N/A</v>
      </c>
      <c r="S158" s="44">
        <f ca="1">ROUND(PERCENTILE(DayByDayTable[[#Data],[BlankLeadTime]],0.8),0)</f>
        <v>8</v>
      </c>
    </row>
    <row r="159" spans="1:19">
      <c r="A159" s="51">
        <f t="shared" si="17"/>
        <v>42634</v>
      </c>
      <c r="B159" s="11">
        <f t="shared" si="18"/>
        <v>42634</v>
      </c>
      <c r="C159" s="47">
        <f>SUMIFS('On The Board'!$M$5:$M$219,'On The Board'!F$5:F$219,"&lt;="&amp;$B159,'On The Board'!E$5:E$219,"="&amp;FutureWork)</f>
        <v>0</v>
      </c>
      <c r="D159" s="47" t="str">
        <f ca="1">IF(TodaysDate&gt;=B159,SUMIF('On The Board'!F$5:F$219,"&lt;="&amp;$B159,'On The Board'!$M$5:$M$219)-SUM(F159:J159),"")</f>
        <v/>
      </c>
      <c r="E159" s="12">
        <f ca="1">IF(TodaysDate&gt;=B159,SUMIF('On The Board'!F$5:F$219,"&lt;="&amp;$B159,'On The Board'!$M$5:$M$219)-SUM(F159:J159),E158)</f>
        <v>47</v>
      </c>
      <c r="F159" s="12">
        <f>SUMIF('On The Board'!G$5:G$219,"&lt;="&amp;$B159,'On The Board'!$M$5:$M$219)-SUM(G159:J159)</f>
        <v>0</v>
      </c>
      <c r="G159" s="12">
        <f>SUMIF('On The Board'!H$5:H$219,"&lt;="&amp;$B159,'On The Board'!$M$5:$M$219)-SUM(H159:J159)</f>
        <v>5</v>
      </c>
      <c r="H159" s="12">
        <f>SUMIF('On The Board'!I$5:I$219,"&lt;="&amp;$B159,'On The Board'!$M$5:$M$219)-SUM(I159,J159)</f>
        <v>2</v>
      </c>
      <c r="I159" s="12">
        <f>SUMIF('On The Board'!J$5:J$219,"&lt;="&amp;$B159,'On The Board'!$M$5:$M$219)-SUM(J159)</f>
        <v>0</v>
      </c>
      <c r="J159" s="12">
        <f>SUMIF('On The Board'!K$5:K$219,"&lt;="&amp;$B159,'On The Board'!$M$5:$M$219)</f>
        <v>70</v>
      </c>
      <c r="K159" s="10">
        <f t="shared" si="19"/>
        <v>77</v>
      </c>
      <c r="L159" s="10" t="e">
        <f ca="1">IF(TodaysDate&gt;=B159,SUM(F159:I159),NA())</f>
        <v>#N/A</v>
      </c>
      <c r="M159" s="44" t="e">
        <f t="shared" ca="1" si="21"/>
        <v>#N/A</v>
      </c>
      <c r="N159" s="44" t="e">
        <f ca="1">IF(ISNUMBER(M159),(J159-J149)/NETWORKDAYS(B149,B159,BankHolidays),NA())</f>
        <v>#N/A</v>
      </c>
      <c r="O159" s="44" t="e">
        <f t="shared" ca="1" si="20"/>
        <v>#N/A</v>
      </c>
      <c r="P159" s="53" t="e">
        <f t="shared" ca="1" si="22"/>
        <v>#N/A</v>
      </c>
      <c r="Q159" s="53" t="str">
        <f ca="1">IFERROR(DayByDayTable[[#This Row],[Lead Time]],"")</f>
        <v/>
      </c>
      <c r="R159" s="44" t="e">
        <f t="shared" ca="1" si="23"/>
        <v>#N/A</v>
      </c>
      <c r="S159" s="44">
        <f ca="1">ROUND(PERCENTILE(DayByDayTable[[#Data],[BlankLeadTime]],0.8),0)</f>
        <v>8</v>
      </c>
    </row>
    <row r="160" spans="1:19">
      <c r="A160" s="51">
        <f t="shared" si="17"/>
        <v>42635</v>
      </c>
      <c r="B160" s="11">
        <f t="shared" si="18"/>
        <v>42635</v>
      </c>
      <c r="C160" s="47">
        <f>SUMIFS('On The Board'!$M$5:$M$219,'On The Board'!F$5:F$219,"&lt;="&amp;$B160,'On The Board'!E$5:E$219,"="&amp;FutureWork)</f>
        <v>0</v>
      </c>
      <c r="D160" s="47" t="str">
        <f ca="1">IF(TodaysDate&gt;=B160,SUMIF('On The Board'!F$5:F$219,"&lt;="&amp;$B160,'On The Board'!$M$5:$M$219)-SUM(F160:J160),"")</f>
        <v/>
      </c>
      <c r="E160" s="12">
        <f ca="1">IF(TodaysDate&gt;=B160,SUMIF('On The Board'!F$5:F$219,"&lt;="&amp;$B160,'On The Board'!$M$5:$M$219)-SUM(F160:J160),E159)</f>
        <v>47</v>
      </c>
      <c r="F160" s="12">
        <f>SUMIF('On The Board'!G$5:G$219,"&lt;="&amp;$B160,'On The Board'!$M$5:$M$219)-SUM(G160:J160)</f>
        <v>0</v>
      </c>
      <c r="G160" s="12">
        <f>SUMIF('On The Board'!H$5:H$219,"&lt;="&amp;$B160,'On The Board'!$M$5:$M$219)-SUM(H160:J160)</f>
        <v>5</v>
      </c>
      <c r="H160" s="12">
        <f>SUMIF('On The Board'!I$5:I$219,"&lt;="&amp;$B160,'On The Board'!$M$5:$M$219)-SUM(I160,J160)</f>
        <v>2</v>
      </c>
      <c r="I160" s="12">
        <f>SUMIF('On The Board'!J$5:J$219,"&lt;="&amp;$B160,'On The Board'!$M$5:$M$219)-SUM(J160)</f>
        <v>0</v>
      </c>
      <c r="J160" s="12">
        <f>SUMIF('On The Board'!K$5:K$219,"&lt;="&amp;$B160,'On The Board'!$M$5:$M$219)</f>
        <v>70</v>
      </c>
      <c r="K160" s="10">
        <f t="shared" si="19"/>
        <v>77</v>
      </c>
      <c r="L160" s="10" t="e">
        <f ca="1">IF(TodaysDate&gt;=B160,SUM(F160:I160),NA())</f>
        <v>#N/A</v>
      </c>
      <c r="M160" s="44" t="e">
        <f t="shared" ca="1" si="21"/>
        <v>#N/A</v>
      </c>
      <c r="N160" s="44" t="e">
        <f ca="1">IF(ISNUMBER(M160),(J160-J150)/NETWORKDAYS(B150,B160,BankHolidays),NA())</f>
        <v>#N/A</v>
      </c>
      <c r="O160" s="44" t="e">
        <f t="shared" ca="1" si="20"/>
        <v>#N/A</v>
      </c>
      <c r="P160" s="53" t="e">
        <f t="shared" ca="1" si="22"/>
        <v>#N/A</v>
      </c>
      <c r="Q160" s="53" t="str">
        <f ca="1">IFERROR(DayByDayTable[[#This Row],[Lead Time]],"")</f>
        <v/>
      </c>
      <c r="R160" s="44" t="e">
        <f t="shared" ca="1" si="23"/>
        <v>#N/A</v>
      </c>
      <c r="S160" s="44">
        <f ca="1">ROUND(PERCENTILE(DayByDayTable[[#Data],[BlankLeadTime]],0.8),0)</f>
        <v>8</v>
      </c>
    </row>
    <row r="161" spans="1:19">
      <c r="A161" s="51">
        <f t="shared" si="17"/>
        <v>42636</v>
      </c>
      <c r="B161" s="11">
        <f t="shared" si="18"/>
        <v>42636</v>
      </c>
      <c r="C161" s="47">
        <f>SUMIFS('On The Board'!$M$5:$M$219,'On The Board'!F$5:F$219,"&lt;="&amp;$B161,'On The Board'!E$5:E$219,"="&amp;FutureWork)</f>
        <v>0</v>
      </c>
      <c r="D161" s="47" t="str">
        <f ca="1">IF(TodaysDate&gt;=B161,SUMIF('On The Board'!F$5:F$219,"&lt;="&amp;$B161,'On The Board'!$M$5:$M$219)-SUM(F161:J161),"")</f>
        <v/>
      </c>
      <c r="E161" s="12">
        <f ca="1">IF(TodaysDate&gt;=B161,SUMIF('On The Board'!F$5:F$219,"&lt;="&amp;$B161,'On The Board'!$M$5:$M$219)-SUM(F161:J161),E160)</f>
        <v>47</v>
      </c>
      <c r="F161" s="12">
        <f>SUMIF('On The Board'!G$5:G$219,"&lt;="&amp;$B161,'On The Board'!$M$5:$M$219)-SUM(G161:J161)</f>
        <v>0</v>
      </c>
      <c r="G161" s="12">
        <f>SUMIF('On The Board'!H$5:H$219,"&lt;="&amp;$B161,'On The Board'!$M$5:$M$219)-SUM(H161:J161)</f>
        <v>5</v>
      </c>
      <c r="H161" s="12">
        <f>SUMIF('On The Board'!I$5:I$219,"&lt;="&amp;$B161,'On The Board'!$M$5:$M$219)-SUM(I161,J161)</f>
        <v>2</v>
      </c>
      <c r="I161" s="12">
        <f>SUMIF('On The Board'!J$5:J$219,"&lt;="&amp;$B161,'On The Board'!$M$5:$M$219)-SUM(J161)</f>
        <v>0</v>
      </c>
      <c r="J161" s="12">
        <f>SUMIF('On The Board'!K$5:K$219,"&lt;="&amp;$B161,'On The Board'!$M$5:$M$219)</f>
        <v>70</v>
      </c>
      <c r="K161" s="10">
        <f t="shared" si="19"/>
        <v>77</v>
      </c>
      <c r="L161" s="10" t="e">
        <f ca="1">IF(TodaysDate&gt;=B161,SUM(F161:I161),NA())</f>
        <v>#N/A</v>
      </c>
      <c r="M161" s="44" t="e">
        <f t="shared" ca="1" si="21"/>
        <v>#N/A</v>
      </c>
      <c r="N161" s="44" t="e">
        <f ca="1">IF(ISNUMBER(M161),(J161-J151)/NETWORKDAYS(B151,B161,BankHolidays),NA())</f>
        <v>#N/A</v>
      </c>
      <c r="O161" s="44" t="e">
        <f t="shared" ca="1" si="20"/>
        <v>#N/A</v>
      </c>
      <c r="P161" s="53" t="e">
        <f t="shared" ca="1" si="22"/>
        <v>#N/A</v>
      </c>
      <c r="Q161" s="53" t="str">
        <f ca="1">IFERROR(DayByDayTable[[#This Row],[Lead Time]],"")</f>
        <v/>
      </c>
      <c r="R161" s="44" t="e">
        <f t="shared" ca="1" si="23"/>
        <v>#N/A</v>
      </c>
      <c r="S161" s="44">
        <f ca="1">ROUND(PERCENTILE(DayByDayTable[[#Data],[BlankLeadTime]],0.8),0)</f>
        <v>8</v>
      </c>
    </row>
    <row r="162" spans="1:19">
      <c r="A162" s="51">
        <f t="shared" si="17"/>
        <v>42639</v>
      </c>
      <c r="B162" s="11">
        <f t="shared" si="18"/>
        <v>42639</v>
      </c>
      <c r="C162" s="47">
        <f>SUMIFS('On The Board'!$M$5:$M$219,'On The Board'!F$5:F$219,"&lt;="&amp;$B162,'On The Board'!E$5:E$219,"="&amp;FutureWork)</f>
        <v>0</v>
      </c>
      <c r="D162" s="47" t="str">
        <f ca="1">IF(TodaysDate&gt;=B162,SUMIF('On The Board'!F$5:F$219,"&lt;="&amp;$B162,'On The Board'!$M$5:$M$219)-SUM(F162:J162),"")</f>
        <v/>
      </c>
      <c r="E162" s="12">
        <f ca="1">IF(TodaysDate&gt;=B162,SUMIF('On The Board'!F$5:F$219,"&lt;="&amp;$B162,'On The Board'!$M$5:$M$219)-SUM(F162:J162),E161)</f>
        <v>47</v>
      </c>
      <c r="F162" s="12">
        <f>SUMIF('On The Board'!G$5:G$219,"&lt;="&amp;$B162,'On The Board'!$M$5:$M$219)-SUM(G162:J162)</f>
        <v>0</v>
      </c>
      <c r="G162" s="12">
        <f>SUMIF('On The Board'!H$5:H$219,"&lt;="&amp;$B162,'On The Board'!$M$5:$M$219)-SUM(H162:J162)</f>
        <v>5</v>
      </c>
      <c r="H162" s="12">
        <f>SUMIF('On The Board'!I$5:I$219,"&lt;="&amp;$B162,'On The Board'!$M$5:$M$219)-SUM(I162,J162)</f>
        <v>2</v>
      </c>
      <c r="I162" s="12">
        <f>SUMIF('On The Board'!J$5:J$219,"&lt;="&amp;$B162,'On The Board'!$M$5:$M$219)-SUM(J162)</f>
        <v>0</v>
      </c>
      <c r="J162" s="12">
        <f>SUMIF('On The Board'!K$5:K$219,"&lt;="&amp;$B162,'On The Board'!$M$5:$M$219)</f>
        <v>70</v>
      </c>
      <c r="K162" s="10">
        <f t="shared" si="19"/>
        <v>77</v>
      </c>
      <c r="L162" s="10" t="e">
        <f ca="1">IF(TodaysDate&gt;=B162,SUM(F162:I162),NA())</f>
        <v>#N/A</v>
      </c>
      <c r="M162" s="44" t="e">
        <f t="shared" ca="1" si="21"/>
        <v>#N/A</v>
      </c>
      <c r="N162" s="44" t="e">
        <f ca="1">IF(ISNUMBER(M162),(J162-J152)/NETWORKDAYS(B152,B162,BankHolidays),NA())</f>
        <v>#N/A</v>
      </c>
      <c r="O162" s="44" t="e">
        <f t="shared" ca="1" si="20"/>
        <v>#N/A</v>
      </c>
      <c r="P162" s="53" t="e">
        <f t="shared" ca="1" si="22"/>
        <v>#N/A</v>
      </c>
      <c r="Q162" s="53" t="str">
        <f ca="1">IFERROR(DayByDayTable[[#This Row],[Lead Time]],"")</f>
        <v/>
      </c>
      <c r="R162" s="44" t="e">
        <f t="shared" ca="1" si="23"/>
        <v>#N/A</v>
      </c>
      <c r="S162" s="44">
        <f ca="1">ROUND(PERCENTILE(DayByDayTable[[#Data],[BlankLeadTime]],0.8),0)</f>
        <v>8</v>
      </c>
    </row>
    <row r="163" spans="1:19">
      <c r="A163" s="51">
        <f t="shared" si="17"/>
        <v>42640</v>
      </c>
      <c r="B163" s="11">
        <f t="shared" si="18"/>
        <v>42640</v>
      </c>
      <c r="C163" s="47">
        <f>SUMIFS('On The Board'!$M$5:$M$219,'On The Board'!F$5:F$219,"&lt;="&amp;$B163,'On The Board'!E$5:E$219,"="&amp;FutureWork)</f>
        <v>0</v>
      </c>
      <c r="D163" s="47" t="str">
        <f ca="1">IF(TodaysDate&gt;=B163,SUMIF('On The Board'!F$5:F$219,"&lt;="&amp;$B163,'On The Board'!$M$5:$M$219)-SUM(F163:J163),"")</f>
        <v/>
      </c>
      <c r="E163" s="12">
        <f ca="1">IF(TodaysDate&gt;=B163,SUMIF('On The Board'!F$5:F$219,"&lt;="&amp;$B163,'On The Board'!$M$5:$M$219)-SUM(F163:J163),E162)</f>
        <v>47</v>
      </c>
      <c r="F163" s="12">
        <f>SUMIF('On The Board'!G$5:G$219,"&lt;="&amp;$B163,'On The Board'!$M$5:$M$219)-SUM(G163:J163)</f>
        <v>0</v>
      </c>
      <c r="G163" s="12">
        <f>SUMIF('On The Board'!H$5:H$219,"&lt;="&amp;$B163,'On The Board'!$M$5:$M$219)-SUM(H163:J163)</f>
        <v>5</v>
      </c>
      <c r="H163" s="12">
        <f>SUMIF('On The Board'!I$5:I$219,"&lt;="&amp;$B163,'On The Board'!$M$5:$M$219)-SUM(I163,J163)</f>
        <v>2</v>
      </c>
      <c r="I163" s="12">
        <f>SUMIF('On The Board'!J$5:J$219,"&lt;="&amp;$B163,'On The Board'!$M$5:$M$219)-SUM(J163)</f>
        <v>0</v>
      </c>
      <c r="J163" s="12">
        <f>SUMIF('On The Board'!K$5:K$219,"&lt;="&amp;$B163,'On The Board'!$M$5:$M$219)</f>
        <v>70</v>
      </c>
      <c r="K163" s="10">
        <f t="shared" si="19"/>
        <v>77</v>
      </c>
      <c r="L163" s="10" t="e">
        <f ca="1">IF(TodaysDate&gt;=B163,SUM(F163:I163),NA())</f>
        <v>#N/A</v>
      </c>
      <c r="M163" s="44" t="e">
        <f t="shared" ca="1" si="21"/>
        <v>#N/A</v>
      </c>
      <c r="N163" s="44" t="e">
        <f ca="1">IF(ISNUMBER(M163),(J163-J153)/NETWORKDAYS(B153,B163,BankHolidays),NA())</f>
        <v>#N/A</v>
      </c>
      <c r="O163" s="44" t="e">
        <f t="shared" ca="1" si="20"/>
        <v>#N/A</v>
      </c>
      <c r="P163" s="53" t="e">
        <f t="shared" ca="1" si="22"/>
        <v>#N/A</v>
      </c>
      <c r="Q163" s="53" t="str">
        <f ca="1">IFERROR(DayByDayTable[[#This Row],[Lead Time]],"")</f>
        <v/>
      </c>
      <c r="R163" s="44" t="e">
        <f t="shared" ca="1" si="23"/>
        <v>#N/A</v>
      </c>
      <c r="S163" s="44">
        <f ca="1">ROUND(PERCENTILE(DayByDayTable[[#Data],[BlankLeadTime]],0.8),0)</f>
        <v>8</v>
      </c>
    </row>
    <row r="164" spans="1:19">
      <c r="A164" s="51">
        <f t="shared" si="17"/>
        <v>42641</v>
      </c>
      <c r="B164" s="11">
        <f t="shared" si="18"/>
        <v>42641</v>
      </c>
      <c r="C164" s="47">
        <f>SUMIFS('On The Board'!$M$5:$M$219,'On The Board'!F$5:F$219,"&lt;="&amp;$B164,'On The Board'!E$5:E$219,"="&amp;FutureWork)</f>
        <v>0</v>
      </c>
      <c r="D164" s="47" t="str">
        <f ca="1">IF(TodaysDate&gt;=B164,SUMIF('On The Board'!F$5:F$219,"&lt;="&amp;$B164,'On The Board'!$M$5:$M$219)-SUM(F164:J164),"")</f>
        <v/>
      </c>
      <c r="E164" s="12">
        <f ca="1">IF(TodaysDate&gt;=B164,SUMIF('On The Board'!F$5:F$219,"&lt;="&amp;$B164,'On The Board'!$M$5:$M$219)-SUM(F164:J164),E163)</f>
        <v>47</v>
      </c>
      <c r="F164" s="12">
        <f>SUMIF('On The Board'!G$5:G$219,"&lt;="&amp;$B164,'On The Board'!$M$5:$M$219)-SUM(G164:J164)</f>
        <v>0</v>
      </c>
      <c r="G164" s="12">
        <f>SUMIF('On The Board'!H$5:H$219,"&lt;="&amp;$B164,'On The Board'!$M$5:$M$219)-SUM(H164:J164)</f>
        <v>5</v>
      </c>
      <c r="H164" s="12">
        <f>SUMIF('On The Board'!I$5:I$219,"&lt;="&amp;$B164,'On The Board'!$M$5:$M$219)-SUM(I164,J164)</f>
        <v>2</v>
      </c>
      <c r="I164" s="12">
        <f>SUMIF('On The Board'!J$5:J$219,"&lt;="&amp;$B164,'On The Board'!$M$5:$M$219)-SUM(J164)</f>
        <v>0</v>
      </c>
      <c r="J164" s="12">
        <f>SUMIF('On The Board'!K$5:K$219,"&lt;="&amp;$B164,'On The Board'!$M$5:$M$219)</f>
        <v>70</v>
      </c>
      <c r="K164" s="10">
        <f t="shared" si="19"/>
        <v>77</v>
      </c>
      <c r="L164" s="10" t="e">
        <f ca="1">IF(TodaysDate&gt;=B164,SUM(F164:I164),NA())</f>
        <v>#N/A</v>
      </c>
      <c r="M164" s="44" t="e">
        <f t="shared" ca="1" si="21"/>
        <v>#N/A</v>
      </c>
      <c r="N164" s="44" t="e">
        <f ca="1">IF(ISNUMBER(M164),(J164-J154)/NETWORKDAYS(B154,B164,BankHolidays),NA())</f>
        <v>#N/A</v>
      </c>
      <c r="O164" s="44" t="e">
        <f t="shared" ca="1" si="20"/>
        <v>#N/A</v>
      </c>
      <c r="P164" s="53" t="e">
        <f t="shared" ca="1" si="22"/>
        <v>#N/A</v>
      </c>
      <c r="Q164" s="53" t="str">
        <f ca="1">IFERROR(DayByDayTable[[#This Row],[Lead Time]],"")</f>
        <v/>
      </c>
      <c r="R164" s="44" t="e">
        <f t="shared" ca="1" si="23"/>
        <v>#N/A</v>
      </c>
      <c r="S164" s="44">
        <f ca="1">ROUND(PERCENTILE(DayByDayTable[[#Data],[BlankLeadTime]],0.8),0)</f>
        <v>8</v>
      </c>
    </row>
    <row r="165" spans="1:19">
      <c r="A165" s="51">
        <f t="shared" si="17"/>
        <v>42642</v>
      </c>
      <c r="B165" s="11">
        <f t="shared" si="18"/>
        <v>42642</v>
      </c>
      <c r="C165" s="47">
        <f>SUMIFS('On The Board'!$M$5:$M$219,'On The Board'!F$5:F$219,"&lt;="&amp;$B165,'On The Board'!E$5:E$219,"="&amp;FutureWork)</f>
        <v>0</v>
      </c>
      <c r="D165" s="47" t="str">
        <f ca="1">IF(TodaysDate&gt;=B165,SUMIF('On The Board'!F$5:F$219,"&lt;="&amp;$B165,'On The Board'!$M$5:$M$219)-SUM(F165:J165),"")</f>
        <v/>
      </c>
      <c r="E165" s="12">
        <f ca="1">IF(TodaysDate&gt;=B165,SUMIF('On The Board'!F$5:F$219,"&lt;="&amp;$B165,'On The Board'!$M$5:$M$219)-SUM(F165:J165),E164)</f>
        <v>47</v>
      </c>
      <c r="F165" s="12">
        <f>SUMIF('On The Board'!G$5:G$219,"&lt;="&amp;$B165,'On The Board'!$M$5:$M$219)-SUM(G165:J165)</f>
        <v>0</v>
      </c>
      <c r="G165" s="12">
        <f>SUMIF('On The Board'!H$5:H$219,"&lt;="&amp;$B165,'On The Board'!$M$5:$M$219)-SUM(H165:J165)</f>
        <v>5</v>
      </c>
      <c r="H165" s="12">
        <f>SUMIF('On The Board'!I$5:I$219,"&lt;="&amp;$B165,'On The Board'!$M$5:$M$219)-SUM(I165,J165)</f>
        <v>2</v>
      </c>
      <c r="I165" s="12">
        <f>SUMIF('On The Board'!J$5:J$219,"&lt;="&amp;$B165,'On The Board'!$M$5:$M$219)-SUM(J165)</f>
        <v>0</v>
      </c>
      <c r="J165" s="12">
        <f>SUMIF('On The Board'!K$5:K$219,"&lt;="&amp;$B165,'On The Board'!$M$5:$M$219)</f>
        <v>70</v>
      </c>
      <c r="K165" s="10">
        <f t="shared" si="19"/>
        <v>77</v>
      </c>
      <c r="L165" s="10" t="e">
        <f ca="1">IF(TodaysDate&gt;=B165,SUM(F165:I165),NA())</f>
        <v>#N/A</v>
      </c>
      <c r="M165" s="44" t="e">
        <f t="shared" ca="1" si="21"/>
        <v>#N/A</v>
      </c>
      <c r="N165" s="44" t="e">
        <f ca="1">IF(ISNUMBER(M165),(J165-J155)/NETWORKDAYS(B155,B165,BankHolidays),NA())</f>
        <v>#N/A</v>
      </c>
      <c r="O165" s="44" t="e">
        <f t="shared" ca="1" si="20"/>
        <v>#N/A</v>
      </c>
      <c r="P165" s="53" t="e">
        <f t="shared" ca="1" si="22"/>
        <v>#N/A</v>
      </c>
      <c r="Q165" s="53" t="str">
        <f ca="1">IFERROR(DayByDayTable[[#This Row],[Lead Time]],"")</f>
        <v/>
      </c>
      <c r="R165" s="44" t="e">
        <f t="shared" ca="1" si="23"/>
        <v>#N/A</v>
      </c>
      <c r="S165" s="44">
        <f ca="1">ROUND(PERCENTILE(DayByDayTable[[#Data],[BlankLeadTime]],0.8),0)</f>
        <v>8</v>
      </c>
    </row>
    <row r="166" spans="1:19">
      <c r="A166" s="51">
        <f t="shared" si="17"/>
        <v>42643</v>
      </c>
      <c r="B166" s="11">
        <f t="shared" si="18"/>
        <v>42643</v>
      </c>
      <c r="C166" s="47">
        <f>SUMIFS('On The Board'!$M$5:$M$219,'On The Board'!F$5:F$219,"&lt;="&amp;$B166,'On The Board'!E$5:E$219,"="&amp;FutureWork)</f>
        <v>0</v>
      </c>
      <c r="D166" s="47" t="str">
        <f ca="1">IF(TodaysDate&gt;=B166,SUMIF('On The Board'!F$5:F$219,"&lt;="&amp;$B166,'On The Board'!$M$5:$M$219)-SUM(F166:J166),"")</f>
        <v/>
      </c>
      <c r="E166" s="12">
        <f ca="1">IF(TodaysDate&gt;=B166,SUMIF('On The Board'!F$5:F$219,"&lt;="&amp;$B166,'On The Board'!$M$5:$M$219)-SUM(F166:J166),E165)</f>
        <v>47</v>
      </c>
      <c r="F166" s="12">
        <f>SUMIF('On The Board'!G$5:G$219,"&lt;="&amp;$B166,'On The Board'!$M$5:$M$219)-SUM(G166:J166)</f>
        <v>0</v>
      </c>
      <c r="G166" s="12">
        <f>SUMIF('On The Board'!H$5:H$219,"&lt;="&amp;$B166,'On The Board'!$M$5:$M$219)-SUM(H166:J166)</f>
        <v>5</v>
      </c>
      <c r="H166" s="12">
        <f>SUMIF('On The Board'!I$5:I$219,"&lt;="&amp;$B166,'On The Board'!$M$5:$M$219)-SUM(I166,J166)</f>
        <v>2</v>
      </c>
      <c r="I166" s="12">
        <f>SUMIF('On The Board'!J$5:J$219,"&lt;="&amp;$B166,'On The Board'!$M$5:$M$219)-SUM(J166)</f>
        <v>0</v>
      </c>
      <c r="J166" s="12">
        <f>SUMIF('On The Board'!K$5:K$219,"&lt;="&amp;$B166,'On The Board'!$M$5:$M$219)</f>
        <v>70</v>
      </c>
      <c r="K166" s="10">
        <f t="shared" si="19"/>
        <v>77</v>
      </c>
      <c r="L166" s="10" t="e">
        <f ca="1">IF(TodaysDate&gt;=B166,SUM(F166:I166),NA())</f>
        <v>#N/A</v>
      </c>
      <c r="M166" s="44" t="e">
        <f t="shared" ca="1" si="21"/>
        <v>#N/A</v>
      </c>
      <c r="N166" s="44" t="e">
        <f ca="1">IF(ISNUMBER(M166),(J166-J156)/NETWORKDAYS(B156,B166,BankHolidays),NA())</f>
        <v>#N/A</v>
      </c>
      <c r="O166" s="44" t="e">
        <f t="shared" ca="1" si="20"/>
        <v>#N/A</v>
      </c>
      <c r="P166" s="53" t="e">
        <f t="shared" ca="1" si="22"/>
        <v>#N/A</v>
      </c>
      <c r="Q166" s="53" t="str">
        <f ca="1">IFERROR(DayByDayTable[[#This Row],[Lead Time]],"")</f>
        <v/>
      </c>
      <c r="R166" s="44" t="e">
        <f t="shared" ca="1" si="23"/>
        <v>#N/A</v>
      </c>
      <c r="S166" s="44">
        <f ca="1">ROUND(PERCENTILE(DayByDayTable[[#Data],[BlankLeadTime]],0.8),0)</f>
        <v>8</v>
      </c>
    </row>
    <row r="167" spans="1:19">
      <c r="A167" s="51">
        <f t="shared" si="17"/>
        <v>42646</v>
      </c>
      <c r="B167" s="11">
        <f t="shared" si="18"/>
        <v>42646</v>
      </c>
      <c r="C167" s="47">
        <f>SUMIFS('On The Board'!$M$5:$M$219,'On The Board'!F$5:F$219,"&lt;="&amp;$B167,'On The Board'!E$5:E$219,"="&amp;FutureWork)</f>
        <v>0</v>
      </c>
      <c r="D167" s="47" t="str">
        <f ca="1">IF(TodaysDate&gt;=B167,SUMIF('On The Board'!F$5:F$219,"&lt;="&amp;$B167,'On The Board'!$M$5:$M$219)-SUM(F167:J167),"")</f>
        <v/>
      </c>
      <c r="E167" s="12">
        <f ca="1">IF(TodaysDate&gt;=B167,SUMIF('On The Board'!F$5:F$219,"&lt;="&amp;$B167,'On The Board'!$M$5:$M$219)-SUM(F167:J167),E166)</f>
        <v>47</v>
      </c>
      <c r="F167" s="12">
        <f>SUMIF('On The Board'!G$5:G$219,"&lt;="&amp;$B167,'On The Board'!$M$5:$M$219)-SUM(G167:J167)</f>
        <v>0</v>
      </c>
      <c r="G167" s="12">
        <f>SUMIF('On The Board'!H$5:H$219,"&lt;="&amp;$B167,'On The Board'!$M$5:$M$219)-SUM(H167:J167)</f>
        <v>5</v>
      </c>
      <c r="H167" s="12">
        <f>SUMIF('On The Board'!I$5:I$219,"&lt;="&amp;$B167,'On The Board'!$M$5:$M$219)-SUM(I167,J167)</f>
        <v>2</v>
      </c>
      <c r="I167" s="12">
        <f>SUMIF('On The Board'!J$5:J$219,"&lt;="&amp;$B167,'On The Board'!$M$5:$M$219)-SUM(J167)</f>
        <v>0</v>
      </c>
      <c r="J167" s="12">
        <f>SUMIF('On The Board'!K$5:K$219,"&lt;="&amp;$B167,'On The Board'!$M$5:$M$219)</f>
        <v>70</v>
      </c>
      <c r="K167" s="10">
        <f t="shared" si="19"/>
        <v>77</v>
      </c>
      <c r="L167" s="10" t="e">
        <f ca="1">IF(TodaysDate&gt;=B167,SUM(F167:I167),NA())</f>
        <v>#N/A</v>
      </c>
      <c r="M167" s="44" t="e">
        <f t="shared" ca="1" si="21"/>
        <v>#N/A</v>
      </c>
      <c r="N167" s="44" t="e">
        <f ca="1">IF(ISNUMBER(M167),(J167-J157)/NETWORKDAYS(B157,B167,BankHolidays),NA())</f>
        <v>#N/A</v>
      </c>
      <c r="O167" s="44" t="e">
        <f t="shared" ca="1" si="20"/>
        <v>#N/A</v>
      </c>
      <c r="P167" s="53" t="e">
        <f t="shared" ca="1" si="22"/>
        <v>#N/A</v>
      </c>
      <c r="Q167" s="53" t="str">
        <f ca="1">IFERROR(DayByDayTable[[#This Row],[Lead Time]],"")</f>
        <v/>
      </c>
      <c r="R167" s="44" t="e">
        <f t="shared" ca="1" si="23"/>
        <v>#N/A</v>
      </c>
      <c r="S167" s="44">
        <f ca="1">ROUND(PERCENTILE(DayByDayTable[[#Data],[BlankLeadTime]],0.8),0)</f>
        <v>8</v>
      </c>
    </row>
    <row r="168" spans="1:19">
      <c r="A168" s="51">
        <f t="shared" si="17"/>
        <v>42647</v>
      </c>
      <c r="B168" s="11">
        <f t="shared" si="18"/>
        <v>42647</v>
      </c>
      <c r="C168" s="47">
        <f>SUMIFS('On The Board'!$M$5:$M$219,'On The Board'!F$5:F$219,"&lt;="&amp;$B168,'On The Board'!E$5:E$219,"="&amp;FutureWork)</f>
        <v>0</v>
      </c>
      <c r="D168" s="47" t="str">
        <f ca="1">IF(TodaysDate&gt;=B168,SUMIF('On The Board'!F$5:F$219,"&lt;="&amp;$B168,'On The Board'!$M$5:$M$219)-SUM(F168:J168),"")</f>
        <v/>
      </c>
      <c r="E168" s="12">
        <f ca="1">IF(TodaysDate&gt;=B168,SUMIF('On The Board'!F$5:F$219,"&lt;="&amp;$B168,'On The Board'!$M$5:$M$219)-SUM(F168:J168),E167)</f>
        <v>47</v>
      </c>
      <c r="F168" s="12">
        <f>SUMIF('On The Board'!G$5:G$219,"&lt;="&amp;$B168,'On The Board'!$M$5:$M$219)-SUM(G168:J168)</f>
        <v>0</v>
      </c>
      <c r="G168" s="12">
        <f>SUMIF('On The Board'!H$5:H$219,"&lt;="&amp;$B168,'On The Board'!$M$5:$M$219)-SUM(H168:J168)</f>
        <v>5</v>
      </c>
      <c r="H168" s="12">
        <f>SUMIF('On The Board'!I$5:I$219,"&lt;="&amp;$B168,'On The Board'!$M$5:$M$219)-SUM(I168,J168)</f>
        <v>2</v>
      </c>
      <c r="I168" s="12">
        <f>SUMIF('On The Board'!J$5:J$219,"&lt;="&amp;$B168,'On The Board'!$M$5:$M$219)-SUM(J168)</f>
        <v>0</v>
      </c>
      <c r="J168" s="12">
        <f>SUMIF('On The Board'!K$5:K$219,"&lt;="&amp;$B168,'On The Board'!$M$5:$M$219)</f>
        <v>70</v>
      </c>
      <c r="K168" s="10">
        <f t="shared" si="19"/>
        <v>77</v>
      </c>
      <c r="L168" s="10" t="e">
        <f ca="1">IF(TodaysDate&gt;=B168,SUM(F168:I168),NA())</f>
        <v>#N/A</v>
      </c>
      <c r="M168" s="44" t="e">
        <f t="shared" ca="1" si="21"/>
        <v>#N/A</v>
      </c>
      <c r="N168" s="44" t="e">
        <f ca="1">IF(ISNUMBER(M168),(J168-J158)/NETWORKDAYS(B158,B168,BankHolidays),NA())</f>
        <v>#N/A</v>
      </c>
      <c r="O168" s="44" t="e">
        <f t="shared" ca="1" si="20"/>
        <v>#N/A</v>
      </c>
      <c r="P168" s="53" t="e">
        <f t="shared" ca="1" si="22"/>
        <v>#N/A</v>
      </c>
      <c r="Q168" s="53" t="str">
        <f ca="1">IFERROR(DayByDayTable[[#This Row],[Lead Time]],"")</f>
        <v/>
      </c>
      <c r="R168" s="44" t="e">
        <f t="shared" ca="1" si="23"/>
        <v>#N/A</v>
      </c>
      <c r="S168" s="44">
        <f ca="1">ROUND(PERCENTILE(DayByDayTable[[#Data],[BlankLeadTime]],0.8),0)</f>
        <v>8</v>
      </c>
    </row>
    <row r="169" spans="1:19">
      <c r="A169" s="51">
        <f t="shared" si="17"/>
        <v>42648</v>
      </c>
      <c r="B169" s="11">
        <f t="shared" si="18"/>
        <v>42648</v>
      </c>
      <c r="C169" s="47">
        <f>SUMIFS('On The Board'!$M$5:$M$219,'On The Board'!F$5:F$219,"&lt;="&amp;$B169,'On The Board'!E$5:E$219,"="&amp;FutureWork)</f>
        <v>0</v>
      </c>
      <c r="D169" s="47" t="str">
        <f ca="1">IF(TodaysDate&gt;=B169,SUMIF('On The Board'!F$5:F$219,"&lt;="&amp;$B169,'On The Board'!$M$5:$M$219)-SUM(F169:J169),"")</f>
        <v/>
      </c>
      <c r="E169" s="12">
        <f ca="1">IF(TodaysDate&gt;=B169,SUMIF('On The Board'!F$5:F$219,"&lt;="&amp;$B169,'On The Board'!$M$5:$M$219)-SUM(F169:J169),E168)</f>
        <v>47</v>
      </c>
      <c r="F169" s="12">
        <f>SUMIF('On The Board'!G$5:G$219,"&lt;="&amp;$B169,'On The Board'!$M$5:$M$219)-SUM(G169:J169)</f>
        <v>0</v>
      </c>
      <c r="G169" s="12">
        <f>SUMIF('On The Board'!H$5:H$219,"&lt;="&amp;$B169,'On The Board'!$M$5:$M$219)-SUM(H169:J169)</f>
        <v>5</v>
      </c>
      <c r="H169" s="12">
        <f>SUMIF('On The Board'!I$5:I$219,"&lt;="&amp;$B169,'On The Board'!$M$5:$M$219)-SUM(I169,J169)</f>
        <v>2</v>
      </c>
      <c r="I169" s="12">
        <f>SUMIF('On The Board'!J$5:J$219,"&lt;="&amp;$B169,'On The Board'!$M$5:$M$219)-SUM(J169)</f>
        <v>0</v>
      </c>
      <c r="J169" s="12">
        <f>SUMIF('On The Board'!K$5:K$219,"&lt;="&amp;$B169,'On The Board'!$M$5:$M$219)</f>
        <v>70</v>
      </c>
      <c r="K169" s="10">
        <f t="shared" si="19"/>
        <v>77</v>
      </c>
      <c r="L169" s="10" t="e">
        <f ca="1">IF(TodaysDate&gt;=B169,SUM(F169:I169),NA())</f>
        <v>#N/A</v>
      </c>
      <c r="M169" s="44" t="e">
        <f t="shared" ca="1" si="21"/>
        <v>#N/A</v>
      </c>
      <c r="N169" s="44" t="e">
        <f ca="1">IF(ISNUMBER(M169),(J169-J159)/NETWORKDAYS(B159,B169,BankHolidays),NA())</f>
        <v>#N/A</v>
      </c>
      <c r="O169" s="44" t="e">
        <f t="shared" ca="1" si="20"/>
        <v>#N/A</v>
      </c>
      <c r="P169" s="53" t="e">
        <f t="shared" ca="1" si="22"/>
        <v>#N/A</v>
      </c>
      <c r="Q169" s="53" t="str">
        <f ca="1">IFERROR(DayByDayTable[[#This Row],[Lead Time]],"")</f>
        <v/>
      </c>
      <c r="R169" s="44" t="e">
        <f t="shared" ca="1" si="23"/>
        <v>#N/A</v>
      </c>
      <c r="S169" s="44">
        <f ca="1">ROUND(PERCENTILE(DayByDayTable[[#Data],[BlankLeadTime]],0.8),0)</f>
        <v>8</v>
      </c>
    </row>
    <row r="170" spans="1:19">
      <c r="A170" s="51">
        <f t="shared" si="17"/>
        <v>42649</v>
      </c>
      <c r="B170" s="11">
        <f t="shared" si="18"/>
        <v>42649</v>
      </c>
      <c r="C170" s="47">
        <f>SUMIFS('On The Board'!$M$5:$M$219,'On The Board'!F$5:F$219,"&lt;="&amp;$B170,'On The Board'!E$5:E$219,"="&amp;FutureWork)</f>
        <v>0</v>
      </c>
      <c r="D170" s="47" t="str">
        <f ca="1">IF(TodaysDate&gt;=B170,SUMIF('On The Board'!F$5:F$219,"&lt;="&amp;$B170,'On The Board'!$M$5:$M$219)-SUM(F170:J170),"")</f>
        <v/>
      </c>
      <c r="E170" s="12">
        <f ca="1">IF(TodaysDate&gt;=B170,SUMIF('On The Board'!F$5:F$219,"&lt;="&amp;$B170,'On The Board'!$M$5:$M$219)-SUM(F170:J170),E169)</f>
        <v>47</v>
      </c>
      <c r="F170" s="12">
        <f>SUMIF('On The Board'!G$5:G$219,"&lt;="&amp;$B170,'On The Board'!$M$5:$M$219)-SUM(G170:J170)</f>
        <v>0</v>
      </c>
      <c r="G170" s="12">
        <f>SUMIF('On The Board'!H$5:H$219,"&lt;="&amp;$B170,'On The Board'!$M$5:$M$219)-SUM(H170:J170)</f>
        <v>5</v>
      </c>
      <c r="H170" s="12">
        <f>SUMIF('On The Board'!I$5:I$219,"&lt;="&amp;$B170,'On The Board'!$M$5:$M$219)-SUM(I170,J170)</f>
        <v>2</v>
      </c>
      <c r="I170" s="12">
        <f>SUMIF('On The Board'!J$5:J$219,"&lt;="&amp;$B170,'On The Board'!$M$5:$M$219)-SUM(J170)</f>
        <v>0</v>
      </c>
      <c r="J170" s="12">
        <f>SUMIF('On The Board'!K$5:K$219,"&lt;="&amp;$B170,'On The Board'!$M$5:$M$219)</f>
        <v>70</v>
      </c>
      <c r="K170" s="10">
        <f t="shared" si="19"/>
        <v>77</v>
      </c>
      <c r="L170" s="10" t="e">
        <f ca="1">IF(TodaysDate&gt;=B170,SUM(F170:I170),NA())</f>
        <v>#N/A</v>
      </c>
      <c r="M170" s="44" t="e">
        <f t="shared" ca="1" si="21"/>
        <v>#N/A</v>
      </c>
      <c r="N170" s="44" t="e">
        <f ca="1">IF(ISNUMBER(M170),(J170-J160)/NETWORKDAYS(B160,B170,BankHolidays),NA())</f>
        <v>#N/A</v>
      </c>
      <c r="O170" s="44" t="e">
        <f t="shared" ca="1" si="20"/>
        <v>#N/A</v>
      </c>
      <c r="P170" s="53" t="e">
        <f t="shared" ca="1" si="22"/>
        <v>#N/A</v>
      </c>
      <c r="Q170" s="53" t="str">
        <f ca="1">IFERROR(DayByDayTable[[#This Row],[Lead Time]],"")</f>
        <v/>
      </c>
      <c r="R170" s="44" t="e">
        <f t="shared" ca="1" si="23"/>
        <v>#N/A</v>
      </c>
      <c r="S170" s="44">
        <f ca="1">ROUND(PERCENTILE(DayByDayTable[[#Data],[BlankLeadTime]],0.8),0)</f>
        <v>8</v>
      </c>
    </row>
    <row r="171" spans="1:19">
      <c r="A171" s="51">
        <f t="shared" si="17"/>
        <v>42650</v>
      </c>
      <c r="B171" s="11">
        <f t="shared" si="18"/>
        <v>42650</v>
      </c>
      <c r="C171" s="47">
        <f>SUMIFS('On The Board'!$M$5:$M$219,'On The Board'!F$5:F$219,"&lt;="&amp;$B171,'On The Board'!E$5:E$219,"="&amp;FutureWork)</f>
        <v>0</v>
      </c>
      <c r="D171" s="47" t="str">
        <f ca="1">IF(TodaysDate&gt;=B171,SUMIF('On The Board'!F$5:F$219,"&lt;="&amp;$B171,'On The Board'!$M$5:$M$219)-SUM(F171:J171),"")</f>
        <v/>
      </c>
      <c r="E171" s="12">
        <f ca="1">IF(TodaysDate&gt;=B171,SUMIF('On The Board'!F$5:F$219,"&lt;="&amp;$B171,'On The Board'!$M$5:$M$219)-SUM(F171:J171),E170)</f>
        <v>47</v>
      </c>
      <c r="F171" s="12">
        <f>SUMIF('On The Board'!G$5:G$219,"&lt;="&amp;$B171,'On The Board'!$M$5:$M$219)-SUM(G171:J171)</f>
        <v>0</v>
      </c>
      <c r="G171" s="12">
        <f>SUMIF('On The Board'!H$5:H$219,"&lt;="&amp;$B171,'On The Board'!$M$5:$M$219)-SUM(H171:J171)</f>
        <v>5</v>
      </c>
      <c r="H171" s="12">
        <f>SUMIF('On The Board'!I$5:I$219,"&lt;="&amp;$B171,'On The Board'!$M$5:$M$219)-SUM(I171,J171)</f>
        <v>2</v>
      </c>
      <c r="I171" s="12">
        <f>SUMIF('On The Board'!J$5:J$219,"&lt;="&amp;$B171,'On The Board'!$M$5:$M$219)-SUM(J171)</f>
        <v>0</v>
      </c>
      <c r="J171" s="12">
        <f>SUMIF('On The Board'!K$5:K$219,"&lt;="&amp;$B171,'On The Board'!$M$5:$M$219)</f>
        <v>70</v>
      </c>
      <c r="K171" s="10">
        <f t="shared" si="19"/>
        <v>77</v>
      </c>
      <c r="L171" s="10" t="e">
        <f ca="1">IF(TodaysDate&gt;=B171,SUM(F171:I171),NA())</f>
        <v>#N/A</v>
      </c>
      <c r="M171" s="44" t="e">
        <f t="shared" ca="1" si="21"/>
        <v>#N/A</v>
      </c>
      <c r="N171" s="44" t="e">
        <f ca="1">IF(ISNUMBER(M171),(J171-J161)/NETWORKDAYS(B161,B171,BankHolidays),NA())</f>
        <v>#N/A</v>
      </c>
      <c r="O171" s="44" t="e">
        <f t="shared" ca="1" si="20"/>
        <v>#N/A</v>
      </c>
      <c r="P171" s="53" t="e">
        <f t="shared" ca="1" si="22"/>
        <v>#N/A</v>
      </c>
      <c r="Q171" s="53" t="str">
        <f ca="1">IFERROR(DayByDayTable[[#This Row],[Lead Time]],"")</f>
        <v/>
      </c>
      <c r="R171" s="44" t="e">
        <f t="shared" ca="1" si="23"/>
        <v>#N/A</v>
      </c>
      <c r="S171" s="44">
        <f ca="1">ROUND(PERCENTILE(DayByDayTable[[#Data],[BlankLeadTime]],0.8),0)</f>
        <v>8</v>
      </c>
    </row>
    <row r="172" spans="1:19">
      <c r="A172" s="51">
        <f t="shared" si="17"/>
        <v>42653</v>
      </c>
      <c r="B172" s="11">
        <f t="shared" si="18"/>
        <v>42653</v>
      </c>
      <c r="C172" s="47">
        <f>SUMIFS('On The Board'!$M$5:$M$219,'On The Board'!F$5:F$219,"&lt;="&amp;$B172,'On The Board'!E$5:E$219,"="&amp;FutureWork)</f>
        <v>0</v>
      </c>
      <c r="D172" s="47" t="str">
        <f ca="1">IF(TodaysDate&gt;=B172,SUMIF('On The Board'!F$5:F$219,"&lt;="&amp;$B172,'On The Board'!$M$5:$M$219)-SUM(F172:J172),"")</f>
        <v/>
      </c>
      <c r="E172" s="12">
        <f ca="1">IF(TodaysDate&gt;=B172,SUMIF('On The Board'!F$5:F$219,"&lt;="&amp;$B172,'On The Board'!$M$5:$M$219)-SUM(F172:J172),E171)</f>
        <v>47</v>
      </c>
      <c r="F172" s="12">
        <f>SUMIF('On The Board'!G$5:G$219,"&lt;="&amp;$B172,'On The Board'!$M$5:$M$219)-SUM(G172:J172)</f>
        <v>0</v>
      </c>
      <c r="G172" s="12">
        <f>SUMIF('On The Board'!H$5:H$219,"&lt;="&amp;$B172,'On The Board'!$M$5:$M$219)-SUM(H172:J172)</f>
        <v>5</v>
      </c>
      <c r="H172" s="12">
        <f>SUMIF('On The Board'!I$5:I$219,"&lt;="&amp;$B172,'On The Board'!$M$5:$M$219)-SUM(I172,J172)</f>
        <v>2</v>
      </c>
      <c r="I172" s="12">
        <f>SUMIF('On The Board'!J$5:J$219,"&lt;="&amp;$B172,'On The Board'!$M$5:$M$219)-SUM(J172)</f>
        <v>0</v>
      </c>
      <c r="J172" s="12">
        <f>SUMIF('On The Board'!K$5:K$219,"&lt;="&amp;$B172,'On The Board'!$M$5:$M$219)</f>
        <v>70</v>
      </c>
      <c r="K172" s="10">
        <f t="shared" si="19"/>
        <v>77</v>
      </c>
      <c r="L172" s="10" t="e">
        <f ca="1">IF(TodaysDate&gt;=B172,SUM(F172:I172),NA())</f>
        <v>#N/A</v>
      </c>
      <c r="M172" s="44" t="e">
        <f t="shared" ca="1" si="21"/>
        <v>#N/A</v>
      </c>
      <c r="N172" s="44" t="e">
        <f ca="1">IF(ISNUMBER(M172),(J172-J162)/NETWORKDAYS(B162,B172,BankHolidays),NA())</f>
        <v>#N/A</v>
      </c>
      <c r="O172" s="44" t="e">
        <f t="shared" ca="1" si="20"/>
        <v>#N/A</v>
      </c>
      <c r="P172" s="53" t="e">
        <f t="shared" ca="1" si="22"/>
        <v>#N/A</v>
      </c>
      <c r="Q172" s="53" t="str">
        <f ca="1">IFERROR(DayByDayTable[[#This Row],[Lead Time]],"")</f>
        <v/>
      </c>
      <c r="R172" s="44" t="e">
        <f t="shared" ca="1" si="23"/>
        <v>#N/A</v>
      </c>
      <c r="S172" s="44">
        <f ca="1">ROUND(PERCENTILE(DayByDayTable[[#Data],[BlankLeadTime]],0.8),0)</f>
        <v>8</v>
      </c>
    </row>
    <row r="173" spans="1:19">
      <c r="A173" s="51">
        <f t="shared" si="17"/>
        <v>42654</v>
      </c>
      <c r="B173" s="11">
        <f t="shared" si="18"/>
        <v>42654</v>
      </c>
      <c r="C173" s="47">
        <f>SUMIFS('On The Board'!$M$5:$M$219,'On The Board'!F$5:F$219,"&lt;="&amp;$B173,'On The Board'!E$5:E$219,"="&amp;FutureWork)</f>
        <v>0</v>
      </c>
      <c r="D173" s="47" t="str">
        <f ca="1">IF(TodaysDate&gt;=B173,SUMIF('On The Board'!F$5:F$219,"&lt;="&amp;$B173,'On The Board'!$M$5:$M$219)-SUM(F173:J173),"")</f>
        <v/>
      </c>
      <c r="E173" s="12">
        <f ca="1">IF(TodaysDate&gt;=B173,SUMIF('On The Board'!F$5:F$219,"&lt;="&amp;$B173,'On The Board'!$M$5:$M$219)-SUM(F173:J173),E172)</f>
        <v>47</v>
      </c>
      <c r="F173" s="12">
        <f>SUMIF('On The Board'!G$5:G$219,"&lt;="&amp;$B173,'On The Board'!$M$5:$M$219)-SUM(G173:J173)</f>
        <v>0</v>
      </c>
      <c r="G173" s="12">
        <f>SUMIF('On The Board'!H$5:H$219,"&lt;="&amp;$B173,'On The Board'!$M$5:$M$219)-SUM(H173:J173)</f>
        <v>5</v>
      </c>
      <c r="H173" s="12">
        <f>SUMIF('On The Board'!I$5:I$219,"&lt;="&amp;$B173,'On The Board'!$M$5:$M$219)-SUM(I173,J173)</f>
        <v>2</v>
      </c>
      <c r="I173" s="12">
        <f>SUMIF('On The Board'!J$5:J$219,"&lt;="&amp;$B173,'On The Board'!$M$5:$M$219)-SUM(J173)</f>
        <v>0</v>
      </c>
      <c r="J173" s="12">
        <f>SUMIF('On The Board'!K$5:K$219,"&lt;="&amp;$B173,'On The Board'!$M$5:$M$219)</f>
        <v>70</v>
      </c>
      <c r="K173" s="10">
        <f t="shared" si="19"/>
        <v>77</v>
      </c>
      <c r="L173" s="10" t="e">
        <f ca="1">IF(TodaysDate&gt;=B173,SUM(F173:I173),NA())</f>
        <v>#N/A</v>
      </c>
      <c r="M173" s="44" t="e">
        <f t="shared" ca="1" si="21"/>
        <v>#N/A</v>
      </c>
      <c r="N173" s="44" t="e">
        <f ca="1">IF(ISNUMBER(M173),(J173-J163)/NETWORKDAYS(B163,B173,BankHolidays),NA())</f>
        <v>#N/A</v>
      </c>
      <c r="O173" s="44" t="e">
        <f t="shared" ca="1" si="20"/>
        <v>#N/A</v>
      </c>
      <c r="P173" s="53" t="e">
        <f t="shared" ca="1" si="22"/>
        <v>#N/A</v>
      </c>
      <c r="Q173" s="53" t="str">
        <f ca="1">IFERROR(DayByDayTable[[#This Row],[Lead Time]],"")</f>
        <v/>
      </c>
      <c r="R173" s="44" t="e">
        <f t="shared" ca="1" si="23"/>
        <v>#N/A</v>
      </c>
      <c r="S173" s="44">
        <f ca="1">ROUND(PERCENTILE(DayByDayTable[[#Data],[BlankLeadTime]],0.8),0)</f>
        <v>8</v>
      </c>
    </row>
    <row r="174" spans="1:19">
      <c r="A174" s="51">
        <f t="shared" si="17"/>
        <v>42655</v>
      </c>
      <c r="B174" s="11">
        <f t="shared" si="18"/>
        <v>42655</v>
      </c>
      <c r="C174" s="47">
        <f>SUMIFS('On The Board'!$M$5:$M$219,'On The Board'!F$5:F$219,"&lt;="&amp;$B174,'On The Board'!E$5:E$219,"="&amp;FutureWork)</f>
        <v>0</v>
      </c>
      <c r="D174" s="47" t="str">
        <f ca="1">IF(TodaysDate&gt;=B174,SUMIF('On The Board'!F$5:F$219,"&lt;="&amp;$B174,'On The Board'!$M$5:$M$219)-SUM(F174:J174),"")</f>
        <v/>
      </c>
      <c r="E174" s="12">
        <f ca="1">IF(TodaysDate&gt;=B174,SUMIF('On The Board'!F$5:F$219,"&lt;="&amp;$B174,'On The Board'!$M$5:$M$219)-SUM(F174:J174),E173)</f>
        <v>47</v>
      </c>
      <c r="F174" s="12">
        <f>SUMIF('On The Board'!G$5:G$219,"&lt;="&amp;$B174,'On The Board'!$M$5:$M$219)-SUM(G174:J174)</f>
        <v>0</v>
      </c>
      <c r="G174" s="12">
        <f>SUMIF('On The Board'!H$5:H$219,"&lt;="&amp;$B174,'On The Board'!$M$5:$M$219)-SUM(H174:J174)</f>
        <v>5</v>
      </c>
      <c r="H174" s="12">
        <f>SUMIF('On The Board'!I$5:I$219,"&lt;="&amp;$B174,'On The Board'!$M$5:$M$219)-SUM(I174,J174)</f>
        <v>2</v>
      </c>
      <c r="I174" s="12">
        <f>SUMIF('On The Board'!J$5:J$219,"&lt;="&amp;$B174,'On The Board'!$M$5:$M$219)-SUM(J174)</f>
        <v>0</v>
      </c>
      <c r="J174" s="12">
        <f>SUMIF('On The Board'!K$5:K$219,"&lt;="&amp;$B174,'On The Board'!$M$5:$M$219)</f>
        <v>70</v>
      </c>
      <c r="K174" s="10">
        <f t="shared" si="19"/>
        <v>77</v>
      </c>
      <c r="L174" s="10" t="e">
        <f ca="1">IF(TodaysDate&gt;=B174,SUM(F174:I174),NA())</f>
        <v>#N/A</v>
      </c>
      <c r="M174" s="44" t="e">
        <f t="shared" ca="1" si="21"/>
        <v>#N/A</v>
      </c>
      <c r="N174" s="44" t="e">
        <f ca="1">IF(ISNUMBER(M174),(J174-J164)/NETWORKDAYS(B164,B174,BankHolidays),NA())</f>
        <v>#N/A</v>
      </c>
      <c r="O174" s="44" t="e">
        <f t="shared" ca="1" si="20"/>
        <v>#N/A</v>
      </c>
      <c r="P174" s="53" t="e">
        <f t="shared" ca="1" si="22"/>
        <v>#N/A</v>
      </c>
      <c r="Q174" s="53" t="str">
        <f ca="1">IFERROR(DayByDayTable[[#This Row],[Lead Time]],"")</f>
        <v/>
      </c>
      <c r="R174" s="44" t="e">
        <f t="shared" ca="1" si="23"/>
        <v>#N/A</v>
      </c>
      <c r="S174" s="44">
        <f ca="1">ROUND(PERCENTILE(DayByDayTable[[#Data],[BlankLeadTime]],0.8),0)</f>
        <v>8</v>
      </c>
    </row>
    <row r="175" spans="1:19">
      <c r="A175" s="51">
        <f t="shared" si="17"/>
        <v>42656</v>
      </c>
      <c r="B175" s="11">
        <f t="shared" si="18"/>
        <v>42656</v>
      </c>
      <c r="C175" s="47">
        <f>SUMIFS('On The Board'!$M$5:$M$219,'On The Board'!F$5:F$219,"&lt;="&amp;$B175,'On The Board'!E$5:E$219,"="&amp;FutureWork)</f>
        <v>0</v>
      </c>
      <c r="D175" s="47" t="str">
        <f ca="1">IF(TodaysDate&gt;=B175,SUMIF('On The Board'!F$5:F$219,"&lt;="&amp;$B175,'On The Board'!$M$5:$M$219)-SUM(F175:J175),"")</f>
        <v/>
      </c>
      <c r="E175" s="12">
        <f ca="1">IF(TodaysDate&gt;=B175,SUMIF('On The Board'!F$5:F$219,"&lt;="&amp;$B175,'On The Board'!$M$5:$M$219)-SUM(F175:J175),E174)</f>
        <v>47</v>
      </c>
      <c r="F175" s="12">
        <f>SUMIF('On The Board'!G$5:G$219,"&lt;="&amp;$B175,'On The Board'!$M$5:$M$219)-SUM(G175:J175)</f>
        <v>0</v>
      </c>
      <c r="G175" s="12">
        <f>SUMIF('On The Board'!H$5:H$219,"&lt;="&amp;$B175,'On The Board'!$M$5:$M$219)-SUM(H175:J175)</f>
        <v>5</v>
      </c>
      <c r="H175" s="12">
        <f>SUMIF('On The Board'!I$5:I$219,"&lt;="&amp;$B175,'On The Board'!$M$5:$M$219)-SUM(I175,J175)</f>
        <v>2</v>
      </c>
      <c r="I175" s="12">
        <f>SUMIF('On The Board'!J$5:J$219,"&lt;="&amp;$B175,'On The Board'!$M$5:$M$219)-SUM(J175)</f>
        <v>0</v>
      </c>
      <c r="J175" s="12">
        <f>SUMIF('On The Board'!K$5:K$219,"&lt;="&amp;$B175,'On The Board'!$M$5:$M$219)</f>
        <v>70</v>
      </c>
      <c r="K175" s="10">
        <f t="shared" si="19"/>
        <v>77</v>
      </c>
      <c r="L175" s="10" t="e">
        <f ca="1">IF(TodaysDate&gt;=B175,SUM(F175:I175),NA())</f>
        <v>#N/A</v>
      </c>
      <c r="M175" s="44" t="e">
        <f t="shared" ca="1" si="21"/>
        <v>#N/A</v>
      </c>
      <c r="N175" s="44" t="e">
        <f ca="1">IF(ISNUMBER(M175),(J175-J165)/NETWORKDAYS(B165,B175,BankHolidays),NA())</f>
        <v>#N/A</v>
      </c>
      <c r="O175" s="44" t="e">
        <f t="shared" ca="1" si="20"/>
        <v>#N/A</v>
      </c>
      <c r="P175" s="53" t="e">
        <f t="shared" ca="1" si="22"/>
        <v>#N/A</v>
      </c>
      <c r="Q175" s="53" t="str">
        <f ca="1">IFERROR(DayByDayTable[[#This Row],[Lead Time]],"")</f>
        <v/>
      </c>
      <c r="R175" s="44" t="e">
        <f t="shared" ca="1" si="23"/>
        <v>#N/A</v>
      </c>
      <c r="S175" s="44">
        <f ca="1">ROUND(PERCENTILE(DayByDayTable[[#Data],[BlankLeadTime]],0.8),0)</f>
        <v>8</v>
      </c>
    </row>
    <row r="176" spans="1:19">
      <c r="A176" s="51">
        <f t="shared" si="17"/>
        <v>42657</v>
      </c>
      <c r="B176" s="11">
        <f t="shared" si="18"/>
        <v>42657</v>
      </c>
      <c r="C176" s="47">
        <f>SUMIFS('On The Board'!$M$5:$M$219,'On The Board'!F$5:F$219,"&lt;="&amp;$B176,'On The Board'!E$5:E$219,"="&amp;FutureWork)</f>
        <v>0</v>
      </c>
      <c r="D176" s="47" t="str">
        <f ca="1">IF(TodaysDate&gt;=B176,SUMIF('On The Board'!F$5:F$219,"&lt;="&amp;$B176,'On The Board'!$M$5:$M$219)-SUM(F176:J176),"")</f>
        <v/>
      </c>
      <c r="E176" s="12">
        <f ca="1">IF(TodaysDate&gt;=B176,SUMIF('On The Board'!F$5:F$219,"&lt;="&amp;$B176,'On The Board'!$M$5:$M$219)-SUM(F176:J176),E175)</f>
        <v>47</v>
      </c>
      <c r="F176" s="12">
        <f>SUMIF('On The Board'!G$5:G$219,"&lt;="&amp;$B176,'On The Board'!$M$5:$M$219)-SUM(G176:J176)</f>
        <v>0</v>
      </c>
      <c r="G176" s="12">
        <f>SUMIF('On The Board'!H$5:H$219,"&lt;="&amp;$B176,'On The Board'!$M$5:$M$219)-SUM(H176:J176)</f>
        <v>5</v>
      </c>
      <c r="H176" s="12">
        <f>SUMIF('On The Board'!I$5:I$219,"&lt;="&amp;$B176,'On The Board'!$M$5:$M$219)-SUM(I176,J176)</f>
        <v>2</v>
      </c>
      <c r="I176" s="12">
        <f>SUMIF('On The Board'!J$5:J$219,"&lt;="&amp;$B176,'On The Board'!$M$5:$M$219)-SUM(J176)</f>
        <v>0</v>
      </c>
      <c r="J176" s="12">
        <f>SUMIF('On The Board'!K$5:K$219,"&lt;="&amp;$B176,'On The Board'!$M$5:$M$219)</f>
        <v>70</v>
      </c>
      <c r="K176" s="10">
        <f t="shared" si="19"/>
        <v>77</v>
      </c>
      <c r="L176" s="10" t="e">
        <f ca="1">IF(TodaysDate&gt;=B176,SUM(F176:I176),NA())</f>
        <v>#N/A</v>
      </c>
      <c r="M176" s="44" t="e">
        <f t="shared" ca="1" si="21"/>
        <v>#N/A</v>
      </c>
      <c r="N176" s="44" t="e">
        <f ca="1">IF(ISNUMBER(M176),(J176-J166)/NETWORKDAYS(B166,B176,BankHolidays),NA())</f>
        <v>#N/A</v>
      </c>
      <c r="O176" s="44" t="e">
        <f t="shared" ca="1" si="20"/>
        <v>#N/A</v>
      </c>
      <c r="P176" s="53" t="e">
        <f t="shared" ca="1" si="22"/>
        <v>#N/A</v>
      </c>
      <c r="Q176" s="53" t="str">
        <f ca="1">IFERROR(DayByDayTable[[#This Row],[Lead Time]],"")</f>
        <v/>
      </c>
      <c r="R176" s="44" t="e">
        <f t="shared" ca="1" si="23"/>
        <v>#N/A</v>
      </c>
      <c r="S176" s="44">
        <f ca="1">ROUND(PERCENTILE(DayByDayTable[[#Data],[BlankLeadTime]],0.8),0)</f>
        <v>8</v>
      </c>
    </row>
    <row r="177" spans="1:19">
      <c r="A177" s="51">
        <f t="shared" si="17"/>
        <v>42660</v>
      </c>
      <c r="B177" s="11">
        <f t="shared" si="18"/>
        <v>42660</v>
      </c>
      <c r="C177" s="47">
        <f>SUMIFS('On The Board'!$M$5:$M$219,'On The Board'!F$5:F$219,"&lt;="&amp;$B177,'On The Board'!E$5:E$219,"="&amp;FutureWork)</f>
        <v>0</v>
      </c>
      <c r="D177" s="47" t="str">
        <f ca="1">IF(TodaysDate&gt;=B177,SUMIF('On The Board'!F$5:F$219,"&lt;="&amp;$B177,'On The Board'!$M$5:$M$219)-SUM(F177:J177),"")</f>
        <v/>
      </c>
      <c r="E177" s="12">
        <f ca="1">IF(TodaysDate&gt;=B177,SUMIF('On The Board'!F$5:F$219,"&lt;="&amp;$B177,'On The Board'!$M$5:$M$219)-SUM(F177:J177),E176)</f>
        <v>47</v>
      </c>
      <c r="F177" s="12">
        <f>SUMIF('On The Board'!G$5:G$219,"&lt;="&amp;$B177,'On The Board'!$M$5:$M$219)-SUM(G177:J177)</f>
        <v>0</v>
      </c>
      <c r="G177" s="12">
        <f>SUMIF('On The Board'!H$5:H$219,"&lt;="&amp;$B177,'On The Board'!$M$5:$M$219)-SUM(H177:J177)</f>
        <v>5</v>
      </c>
      <c r="H177" s="12">
        <f>SUMIF('On The Board'!I$5:I$219,"&lt;="&amp;$B177,'On The Board'!$M$5:$M$219)-SUM(I177,J177)</f>
        <v>2</v>
      </c>
      <c r="I177" s="12">
        <f>SUMIF('On The Board'!J$5:J$219,"&lt;="&amp;$B177,'On The Board'!$M$5:$M$219)-SUM(J177)</f>
        <v>0</v>
      </c>
      <c r="J177" s="12">
        <f>SUMIF('On The Board'!K$5:K$219,"&lt;="&amp;$B177,'On The Board'!$M$5:$M$219)</f>
        <v>70</v>
      </c>
      <c r="K177" s="10">
        <f t="shared" si="19"/>
        <v>77</v>
      </c>
      <c r="L177" s="10" t="e">
        <f ca="1">IF(TodaysDate&gt;=B177,SUM(F177:I177),NA())</f>
        <v>#N/A</v>
      </c>
      <c r="M177" s="44" t="e">
        <f t="shared" ca="1" si="21"/>
        <v>#N/A</v>
      </c>
      <c r="N177" s="44" t="e">
        <f ca="1">IF(ISNUMBER(M177),(J177-J167)/NETWORKDAYS(B167,B177,BankHolidays),NA())</f>
        <v>#N/A</v>
      </c>
      <c r="O177" s="44" t="e">
        <f t="shared" ca="1" si="20"/>
        <v>#N/A</v>
      </c>
      <c r="P177" s="53" t="e">
        <f t="shared" ca="1" si="22"/>
        <v>#N/A</v>
      </c>
      <c r="Q177" s="53" t="str">
        <f ca="1">IFERROR(DayByDayTable[[#This Row],[Lead Time]],"")</f>
        <v/>
      </c>
      <c r="R177" s="44" t="e">
        <f t="shared" ca="1" si="23"/>
        <v>#N/A</v>
      </c>
      <c r="S177" s="44">
        <f ca="1">ROUND(PERCENTILE(DayByDayTable[[#Data],[BlankLeadTime]],0.8),0)</f>
        <v>8</v>
      </c>
    </row>
    <row r="178" spans="1:19">
      <c r="A178" s="51">
        <f t="shared" si="17"/>
        <v>42661</v>
      </c>
      <c r="B178" s="11">
        <f t="shared" si="18"/>
        <v>42661</v>
      </c>
      <c r="C178" s="47">
        <f>SUMIFS('On The Board'!$M$5:$M$219,'On The Board'!F$5:F$219,"&lt;="&amp;$B178,'On The Board'!E$5:E$219,"="&amp;FutureWork)</f>
        <v>0</v>
      </c>
      <c r="D178" s="47" t="str">
        <f ca="1">IF(TodaysDate&gt;=B178,SUMIF('On The Board'!F$5:F$219,"&lt;="&amp;$B178,'On The Board'!$M$5:$M$219)-SUM(F178:J178),"")</f>
        <v/>
      </c>
      <c r="E178" s="12">
        <f ca="1">IF(TodaysDate&gt;=B178,SUMIF('On The Board'!F$5:F$219,"&lt;="&amp;$B178,'On The Board'!$M$5:$M$219)-SUM(F178:J178),E177)</f>
        <v>47</v>
      </c>
      <c r="F178" s="12">
        <f>SUMIF('On The Board'!G$5:G$219,"&lt;="&amp;$B178,'On The Board'!$M$5:$M$219)-SUM(G178:J178)</f>
        <v>0</v>
      </c>
      <c r="G178" s="12">
        <f>SUMIF('On The Board'!H$5:H$219,"&lt;="&amp;$B178,'On The Board'!$M$5:$M$219)-SUM(H178:J178)</f>
        <v>5</v>
      </c>
      <c r="H178" s="12">
        <f>SUMIF('On The Board'!I$5:I$219,"&lt;="&amp;$B178,'On The Board'!$M$5:$M$219)-SUM(I178,J178)</f>
        <v>2</v>
      </c>
      <c r="I178" s="12">
        <f>SUMIF('On The Board'!J$5:J$219,"&lt;="&amp;$B178,'On The Board'!$M$5:$M$219)-SUM(J178)</f>
        <v>0</v>
      </c>
      <c r="J178" s="12">
        <f>SUMIF('On The Board'!K$5:K$219,"&lt;="&amp;$B178,'On The Board'!$M$5:$M$219)</f>
        <v>70</v>
      </c>
      <c r="K178" s="10">
        <f t="shared" si="19"/>
        <v>77</v>
      </c>
      <c r="L178" s="10" t="e">
        <f ca="1">IF(TodaysDate&gt;=B178,SUM(F178:I178),NA())</f>
        <v>#N/A</v>
      </c>
      <c r="M178" s="44" t="e">
        <f t="shared" ca="1" si="21"/>
        <v>#N/A</v>
      </c>
      <c r="N178" s="44" t="e">
        <f ca="1">IF(ISNUMBER(M178),(J178-J168)/NETWORKDAYS(B168,B178,BankHolidays),NA())</f>
        <v>#N/A</v>
      </c>
      <c r="O178" s="44" t="e">
        <f t="shared" ca="1" si="20"/>
        <v>#N/A</v>
      </c>
      <c r="P178" s="53" t="e">
        <f t="shared" ca="1" si="22"/>
        <v>#N/A</v>
      </c>
      <c r="Q178" s="53" t="str">
        <f ca="1">IFERROR(DayByDayTable[[#This Row],[Lead Time]],"")</f>
        <v/>
      </c>
      <c r="R178" s="44" t="e">
        <f t="shared" ca="1" si="23"/>
        <v>#N/A</v>
      </c>
      <c r="S178" s="44">
        <f ca="1">ROUND(PERCENTILE(DayByDayTable[[#Data],[BlankLeadTime]],0.8),0)</f>
        <v>8</v>
      </c>
    </row>
    <row r="179" spans="1:19">
      <c r="A179" s="51">
        <f t="shared" si="17"/>
        <v>42662</v>
      </c>
      <c r="B179" s="11">
        <f t="shared" si="18"/>
        <v>42662</v>
      </c>
      <c r="C179" s="47">
        <f>SUMIFS('On The Board'!$M$5:$M$219,'On The Board'!F$5:F$219,"&lt;="&amp;$B179,'On The Board'!E$5:E$219,"="&amp;FutureWork)</f>
        <v>0</v>
      </c>
      <c r="D179" s="47" t="str">
        <f ca="1">IF(TodaysDate&gt;=B179,SUMIF('On The Board'!F$5:F$219,"&lt;="&amp;$B179,'On The Board'!$M$5:$M$219)-SUM(F179:J179),"")</f>
        <v/>
      </c>
      <c r="E179" s="12">
        <f ca="1">IF(TodaysDate&gt;=B179,SUMIF('On The Board'!F$5:F$219,"&lt;="&amp;$B179,'On The Board'!$M$5:$M$219)-SUM(F179:J179),E178)</f>
        <v>47</v>
      </c>
      <c r="F179" s="12">
        <f>SUMIF('On The Board'!G$5:G$219,"&lt;="&amp;$B179,'On The Board'!$M$5:$M$219)-SUM(G179:J179)</f>
        <v>0</v>
      </c>
      <c r="G179" s="12">
        <f>SUMIF('On The Board'!H$5:H$219,"&lt;="&amp;$B179,'On The Board'!$M$5:$M$219)-SUM(H179:J179)</f>
        <v>5</v>
      </c>
      <c r="H179" s="12">
        <f>SUMIF('On The Board'!I$5:I$219,"&lt;="&amp;$B179,'On The Board'!$M$5:$M$219)-SUM(I179,J179)</f>
        <v>2</v>
      </c>
      <c r="I179" s="12">
        <f>SUMIF('On The Board'!J$5:J$219,"&lt;="&amp;$B179,'On The Board'!$M$5:$M$219)-SUM(J179)</f>
        <v>0</v>
      </c>
      <c r="J179" s="12">
        <f>SUMIF('On The Board'!K$5:K$219,"&lt;="&amp;$B179,'On The Board'!$M$5:$M$219)</f>
        <v>70</v>
      </c>
      <c r="K179" s="10">
        <f t="shared" si="19"/>
        <v>77</v>
      </c>
      <c r="L179" s="10" t="e">
        <f ca="1">IF(TodaysDate&gt;=B179,SUM(F179:I179),NA())</f>
        <v>#N/A</v>
      </c>
      <c r="M179" s="44" t="e">
        <f t="shared" ca="1" si="21"/>
        <v>#N/A</v>
      </c>
      <c r="N179" s="44" t="e">
        <f ca="1">IF(ISNUMBER(M179),(J179-J169)/NETWORKDAYS(B169,B179,BankHolidays),NA())</f>
        <v>#N/A</v>
      </c>
      <c r="O179" s="44" t="e">
        <f t="shared" ca="1" si="20"/>
        <v>#N/A</v>
      </c>
      <c r="P179" s="53" t="e">
        <f t="shared" ca="1" si="22"/>
        <v>#N/A</v>
      </c>
      <c r="Q179" s="53" t="str">
        <f ca="1">IFERROR(DayByDayTable[[#This Row],[Lead Time]],"")</f>
        <v/>
      </c>
      <c r="R179" s="44" t="e">
        <f t="shared" ca="1" si="23"/>
        <v>#N/A</v>
      </c>
      <c r="S179" s="44">
        <f ca="1">ROUND(PERCENTILE(DayByDayTable[[#Data],[BlankLeadTime]],0.8),0)</f>
        <v>8</v>
      </c>
    </row>
    <row r="180" spans="1:19">
      <c r="A180" s="51">
        <f t="shared" si="17"/>
        <v>42663</v>
      </c>
      <c r="B180" s="11">
        <f t="shared" si="18"/>
        <v>42663</v>
      </c>
      <c r="C180" s="47">
        <f>SUMIFS('On The Board'!$M$5:$M$219,'On The Board'!F$5:F$219,"&lt;="&amp;$B180,'On The Board'!E$5:E$219,"="&amp;FutureWork)</f>
        <v>0</v>
      </c>
      <c r="D180" s="47" t="str">
        <f ca="1">IF(TodaysDate&gt;=B180,SUMIF('On The Board'!F$5:F$219,"&lt;="&amp;$B180,'On The Board'!$M$5:$M$219)-SUM(F180:J180),"")</f>
        <v/>
      </c>
      <c r="E180" s="12">
        <f ca="1">IF(TodaysDate&gt;=B180,SUMIF('On The Board'!F$5:F$219,"&lt;="&amp;$B180,'On The Board'!$M$5:$M$219)-SUM(F180:J180),E179)</f>
        <v>47</v>
      </c>
      <c r="F180" s="12">
        <f>SUMIF('On The Board'!G$5:G$219,"&lt;="&amp;$B180,'On The Board'!$M$5:$M$219)-SUM(G180:J180)</f>
        <v>0</v>
      </c>
      <c r="G180" s="12">
        <f>SUMIF('On The Board'!H$5:H$219,"&lt;="&amp;$B180,'On The Board'!$M$5:$M$219)-SUM(H180:J180)</f>
        <v>5</v>
      </c>
      <c r="H180" s="12">
        <f>SUMIF('On The Board'!I$5:I$219,"&lt;="&amp;$B180,'On The Board'!$M$5:$M$219)-SUM(I180,J180)</f>
        <v>2</v>
      </c>
      <c r="I180" s="12">
        <f>SUMIF('On The Board'!J$5:J$219,"&lt;="&amp;$B180,'On The Board'!$M$5:$M$219)-SUM(J180)</f>
        <v>0</v>
      </c>
      <c r="J180" s="12">
        <f>SUMIF('On The Board'!K$5:K$219,"&lt;="&amp;$B180,'On The Board'!$M$5:$M$219)</f>
        <v>70</v>
      </c>
      <c r="K180" s="10">
        <f t="shared" si="19"/>
        <v>77</v>
      </c>
      <c r="L180" s="10" t="e">
        <f ca="1">IF(TodaysDate&gt;=B180,SUM(F180:I180),NA())</f>
        <v>#N/A</v>
      </c>
      <c r="M180" s="44" t="e">
        <f t="shared" ca="1" si="21"/>
        <v>#N/A</v>
      </c>
      <c r="N180" s="44" t="e">
        <f ca="1">IF(ISNUMBER(M180),(J180-J170)/NETWORKDAYS(B170,B180,BankHolidays),NA())</f>
        <v>#N/A</v>
      </c>
      <c r="O180" s="44" t="e">
        <f t="shared" ca="1" si="20"/>
        <v>#N/A</v>
      </c>
      <c r="P180" s="53" t="e">
        <f t="shared" ca="1" si="22"/>
        <v>#N/A</v>
      </c>
      <c r="Q180" s="53" t="str">
        <f ca="1">IFERROR(DayByDayTable[[#This Row],[Lead Time]],"")</f>
        <v/>
      </c>
      <c r="R180" s="44" t="e">
        <f t="shared" ca="1" si="23"/>
        <v>#N/A</v>
      </c>
      <c r="S180" s="44">
        <f ca="1">ROUND(PERCENTILE(DayByDayTable[[#Data],[BlankLeadTime]],0.8),0)</f>
        <v>8</v>
      </c>
    </row>
    <row r="181" spans="1:19">
      <c r="A181" s="51">
        <f t="shared" si="17"/>
        <v>42664</v>
      </c>
      <c r="B181" s="11">
        <f t="shared" si="18"/>
        <v>42664</v>
      </c>
      <c r="C181" s="47">
        <f>SUMIFS('On The Board'!$M$5:$M$219,'On The Board'!F$5:F$219,"&lt;="&amp;$B181,'On The Board'!E$5:E$219,"="&amp;FutureWork)</f>
        <v>0</v>
      </c>
      <c r="D181" s="47" t="str">
        <f ca="1">IF(TodaysDate&gt;=B181,SUMIF('On The Board'!F$5:F$219,"&lt;="&amp;$B181,'On The Board'!$M$5:$M$219)-SUM(F181:J181),"")</f>
        <v/>
      </c>
      <c r="E181" s="12">
        <f ca="1">IF(TodaysDate&gt;=B181,SUMIF('On The Board'!F$5:F$219,"&lt;="&amp;$B181,'On The Board'!$M$5:$M$219)-SUM(F181:J181),E180)</f>
        <v>47</v>
      </c>
      <c r="F181" s="12">
        <f>SUMIF('On The Board'!G$5:G$219,"&lt;="&amp;$B181,'On The Board'!$M$5:$M$219)-SUM(G181:J181)</f>
        <v>0</v>
      </c>
      <c r="G181" s="12">
        <f>SUMIF('On The Board'!H$5:H$219,"&lt;="&amp;$B181,'On The Board'!$M$5:$M$219)-SUM(H181:J181)</f>
        <v>5</v>
      </c>
      <c r="H181" s="12">
        <f>SUMIF('On The Board'!I$5:I$219,"&lt;="&amp;$B181,'On The Board'!$M$5:$M$219)-SUM(I181,J181)</f>
        <v>2</v>
      </c>
      <c r="I181" s="12">
        <f>SUMIF('On The Board'!J$5:J$219,"&lt;="&amp;$B181,'On The Board'!$M$5:$M$219)-SUM(J181)</f>
        <v>0</v>
      </c>
      <c r="J181" s="12">
        <f>SUMIF('On The Board'!K$5:K$219,"&lt;="&amp;$B181,'On The Board'!$M$5:$M$219)</f>
        <v>70</v>
      </c>
      <c r="K181" s="10">
        <f t="shared" si="19"/>
        <v>77</v>
      </c>
      <c r="L181" s="10" t="e">
        <f ca="1">IF(TodaysDate&gt;=B181,SUM(F181:I181),NA())</f>
        <v>#N/A</v>
      </c>
      <c r="M181" s="44" t="e">
        <f t="shared" ca="1" si="21"/>
        <v>#N/A</v>
      </c>
      <c r="N181" s="44" t="e">
        <f ca="1">IF(ISNUMBER(M181),(J181-J171)/NETWORKDAYS(B171,B181,BankHolidays),NA())</f>
        <v>#N/A</v>
      </c>
      <c r="O181" s="44" t="e">
        <f t="shared" ca="1" si="20"/>
        <v>#N/A</v>
      </c>
      <c r="P181" s="53" t="e">
        <f t="shared" ca="1" si="22"/>
        <v>#N/A</v>
      </c>
      <c r="Q181" s="53" t="str">
        <f ca="1">IFERROR(DayByDayTable[[#This Row],[Lead Time]],"")</f>
        <v/>
      </c>
      <c r="R181" s="44" t="e">
        <f t="shared" ca="1" si="23"/>
        <v>#N/A</v>
      </c>
      <c r="S181" s="44">
        <f ca="1">ROUND(PERCENTILE(DayByDayTable[[#Data],[BlankLeadTime]],0.8),0)</f>
        <v>8</v>
      </c>
    </row>
    <row r="182" spans="1:19">
      <c r="A182" s="51">
        <f t="shared" si="17"/>
        <v>42667</v>
      </c>
      <c r="B182" s="11">
        <f t="shared" si="18"/>
        <v>42667</v>
      </c>
      <c r="C182" s="47">
        <f>SUMIFS('On The Board'!$M$5:$M$219,'On The Board'!F$5:F$219,"&lt;="&amp;$B182,'On The Board'!E$5:E$219,"="&amp;FutureWork)</f>
        <v>0</v>
      </c>
      <c r="D182" s="47" t="str">
        <f ca="1">IF(TodaysDate&gt;=B182,SUMIF('On The Board'!F$5:F$219,"&lt;="&amp;$B182,'On The Board'!$M$5:$M$219)-SUM(F182:J182),"")</f>
        <v/>
      </c>
      <c r="E182" s="12">
        <f ca="1">IF(TodaysDate&gt;=B182,SUMIF('On The Board'!F$5:F$219,"&lt;="&amp;$B182,'On The Board'!$M$5:$M$219)-SUM(F182:J182),E181)</f>
        <v>47</v>
      </c>
      <c r="F182" s="12">
        <f>SUMIF('On The Board'!G$5:G$219,"&lt;="&amp;$B182,'On The Board'!$M$5:$M$219)-SUM(G182:J182)</f>
        <v>0</v>
      </c>
      <c r="G182" s="12">
        <f>SUMIF('On The Board'!H$5:H$219,"&lt;="&amp;$B182,'On The Board'!$M$5:$M$219)-SUM(H182:J182)</f>
        <v>5</v>
      </c>
      <c r="H182" s="12">
        <f>SUMIF('On The Board'!I$5:I$219,"&lt;="&amp;$B182,'On The Board'!$M$5:$M$219)-SUM(I182,J182)</f>
        <v>2</v>
      </c>
      <c r="I182" s="12">
        <f>SUMIF('On The Board'!J$5:J$219,"&lt;="&amp;$B182,'On The Board'!$M$5:$M$219)-SUM(J182)</f>
        <v>0</v>
      </c>
      <c r="J182" s="12">
        <f>SUMIF('On The Board'!K$5:K$219,"&lt;="&amp;$B182,'On The Board'!$M$5:$M$219)</f>
        <v>70</v>
      </c>
      <c r="K182" s="10">
        <f t="shared" si="19"/>
        <v>77</v>
      </c>
      <c r="L182" s="10" t="e">
        <f ca="1">IF(TodaysDate&gt;=B182,SUM(F182:I182),NA())</f>
        <v>#N/A</v>
      </c>
      <c r="M182" s="44" t="e">
        <f t="shared" ca="1" si="21"/>
        <v>#N/A</v>
      </c>
      <c r="N182" s="44" t="e">
        <f ca="1">IF(ISNUMBER(M182),(J182-J172)/NETWORKDAYS(B172,B182,BankHolidays),NA())</f>
        <v>#N/A</v>
      </c>
      <c r="O182" s="44" t="e">
        <f t="shared" ca="1" si="20"/>
        <v>#N/A</v>
      </c>
      <c r="P182" s="53" t="e">
        <f t="shared" ca="1" si="22"/>
        <v>#N/A</v>
      </c>
      <c r="Q182" s="53" t="str">
        <f ca="1">IFERROR(DayByDayTable[[#This Row],[Lead Time]],"")</f>
        <v/>
      </c>
      <c r="R182" s="44" t="e">
        <f t="shared" ca="1" si="23"/>
        <v>#N/A</v>
      </c>
      <c r="S182" s="44">
        <f ca="1">ROUND(PERCENTILE(DayByDayTable[[#Data],[BlankLeadTime]],0.8),0)</f>
        <v>8</v>
      </c>
    </row>
    <row r="183" spans="1:19">
      <c r="A183" s="51">
        <f t="shared" si="17"/>
        <v>42668</v>
      </c>
      <c r="B183" s="11">
        <f t="shared" si="18"/>
        <v>42668</v>
      </c>
      <c r="C183" s="47">
        <f>SUMIFS('On The Board'!$M$5:$M$219,'On The Board'!F$5:F$219,"&lt;="&amp;$B183,'On The Board'!E$5:E$219,"="&amp;FutureWork)</f>
        <v>0</v>
      </c>
      <c r="D183" s="47" t="str">
        <f ca="1">IF(TodaysDate&gt;=B183,SUMIF('On The Board'!F$5:F$219,"&lt;="&amp;$B183,'On The Board'!$M$5:$M$219)-SUM(F183:J183),"")</f>
        <v/>
      </c>
      <c r="E183" s="12">
        <f ca="1">IF(TodaysDate&gt;=B183,SUMIF('On The Board'!F$5:F$219,"&lt;="&amp;$B183,'On The Board'!$M$5:$M$219)-SUM(F183:J183),E182)</f>
        <v>47</v>
      </c>
      <c r="F183" s="12">
        <f>SUMIF('On The Board'!G$5:G$219,"&lt;="&amp;$B183,'On The Board'!$M$5:$M$219)-SUM(G183:J183)</f>
        <v>0</v>
      </c>
      <c r="G183" s="12">
        <f>SUMIF('On The Board'!H$5:H$219,"&lt;="&amp;$B183,'On The Board'!$M$5:$M$219)-SUM(H183:J183)</f>
        <v>5</v>
      </c>
      <c r="H183" s="12">
        <f>SUMIF('On The Board'!I$5:I$219,"&lt;="&amp;$B183,'On The Board'!$M$5:$M$219)-SUM(I183,J183)</f>
        <v>2</v>
      </c>
      <c r="I183" s="12">
        <f>SUMIF('On The Board'!J$5:J$219,"&lt;="&amp;$B183,'On The Board'!$M$5:$M$219)-SUM(J183)</f>
        <v>0</v>
      </c>
      <c r="J183" s="12">
        <f>SUMIF('On The Board'!K$5:K$219,"&lt;="&amp;$B183,'On The Board'!$M$5:$M$219)</f>
        <v>70</v>
      </c>
      <c r="K183" s="10">
        <f t="shared" si="19"/>
        <v>77</v>
      </c>
      <c r="L183" s="10" t="e">
        <f ca="1">IF(TodaysDate&gt;=B183,SUM(F183:I183),NA())</f>
        <v>#N/A</v>
      </c>
      <c r="M183" s="44" t="e">
        <f t="shared" ca="1" si="21"/>
        <v>#N/A</v>
      </c>
      <c r="N183" s="44" t="e">
        <f ca="1">IF(ISNUMBER(M183),(J183-J173)/NETWORKDAYS(B173,B183,BankHolidays),NA())</f>
        <v>#N/A</v>
      </c>
      <c r="O183" s="44" t="e">
        <f t="shared" ca="1" si="20"/>
        <v>#N/A</v>
      </c>
      <c r="P183" s="53" t="e">
        <f t="shared" ca="1" si="22"/>
        <v>#N/A</v>
      </c>
      <c r="Q183" s="53" t="str">
        <f ca="1">IFERROR(DayByDayTable[[#This Row],[Lead Time]],"")</f>
        <v/>
      </c>
      <c r="R183" s="44" t="e">
        <f t="shared" ca="1" si="23"/>
        <v>#N/A</v>
      </c>
      <c r="S183" s="44">
        <f ca="1">ROUND(PERCENTILE(DayByDayTable[[#Data],[BlankLeadTime]],0.8),0)</f>
        <v>8</v>
      </c>
    </row>
    <row r="184" spans="1:19">
      <c r="A184" s="51">
        <f t="shared" si="17"/>
        <v>42669</v>
      </c>
      <c r="B184" s="11">
        <f t="shared" si="18"/>
        <v>42669</v>
      </c>
      <c r="C184" s="47">
        <f>SUMIFS('On The Board'!$M$5:$M$219,'On The Board'!F$5:F$219,"&lt;="&amp;$B184,'On The Board'!E$5:E$219,"="&amp;FutureWork)</f>
        <v>0</v>
      </c>
      <c r="D184" s="47" t="str">
        <f ca="1">IF(TodaysDate&gt;=B184,SUMIF('On The Board'!F$5:F$219,"&lt;="&amp;$B184,'On The Board'!$M$5:$M$219)-SUM(F184:J184),"")</f>
        <v/>
      </c>
      <c r="E184" s="12">
        <f ca="1">IF(TodaysDate&gt;=B184,SUMIF('On The Board'!F$5:F$219,"&lt;="&amp;$B184,'On The Board'!$M$5:$M$219)-SUM(F184:J184),E183)</f>
        <v>47</v>
      </c>
      <c r="F184" s="12">
        <f>SUMIF('On The Board'!G$5:G$219,"&lt;="&amp;$B184,'On The Board'!$M$5:$M$219)-SUM(G184:J184)</f>
        <v>0</v>
      </c>
      <c r="G184" s="12">
        <f>SUMIF('On The Board'!H$5:H$219,"&lt;="&amp;$B184,'On The Board'!$M$5:$M$219)-SUM(H184:J184)</f>
        <v>5</v>
      </c>
      <c r="H184" s="12">
        <f>SUMIF('On The Board'!I$5:I$219,"&lt;="&amp;$B184,'On The Board'!$M$5:$M$219)-SUM(I184,J184)</f>
        <v>2</v>
      </c>
      <c r="I184" s="12">
        <f>SUMIF('On The Board'!J$5:J$219,"&lt;="&amp;$B184,'On The Board'!$M$5:$M$219)-SUM(J184)</f>
        <v>0</v>
      </c>
      <c r="J184" s="12">
        <f>SUMIF('On The Board'!K$5:K$219,"&lt;="&amp;$B184,'On The Board'!$M$5:$M$219)</f>
        <v>70</v>
      </c>
      <c r="K184" s="10">
        <f t="shared" si="19"/>
        <v>77</v>
      </c>
      <c r="L184" s="10" t="e">
        <f ca="1">IF(TodaysDate&gt;=B184,SUM(F184:I184),NA())</f>
        <v>#N/A</v>
      </c>
      <c r="M184" s="44" t="e">
        <f t="shared" ca="1" si="21"/>
        <v>#N/A</v>
      </c>
      <c r="N184" s="44" t="e">
        <f ca="1">IF(ISNUMBER(M184),(J184-J174)/NETWORKDAYS(B174,B184,BankHolidays),NA())</f>
        <v>#N/A</v>
      </c>
      <c r="O184" s="44" t="e">
        <f t="shared" ca="1" si="20"/>
        <v>#N/A</v>
      </c>
      <c r="P184" s="53" t="e">
        <f t="shared" ca="1" si="22"/>
        <v>#N/A</v>
      </c>
      <c r="Q184" s="53" t="str">
        <f ca="1">IFERROR(DayByDayTable[[#This Row],[Lead Time]],"")</f>
        <v/>
      </c>
      <c r="R184" s="44" t="e">
        <f t="shared" ca="1" si="23"/>
        <v>#N/A</v>
      </c>
      <c r="S184" s="44">
        <f ca="1">ROUND(PERCENTILE(DayByDayTable[[#Data],[BlankLeadTime]],0.8),0)</f>
        <v>8</v>
      </c>
    </row>
    <row r="185" spans="1:19">
      <c r="A185" s="51">
        <f t="shared" si="17"/>
        <v>42670</v>
      </c>
      <c r="B185" s="11">
        <f t="shared" si="18"/>
        <v>42670</v>
      </c>
      <c r="C185" s="47">
        <f>SUMIFS('On The Board'!$M$5:$M$219,'On The Board'!F$5:F$219,"&lt;="&amp;$B185,'On The Board'!E$5:E$219,"="&amp;FutureWork)</f>
        <v>0</v>
      </c>
      <c r="D185" s="47" t="str">
        <f ca="1">IF(TodaysDate&gt;=B185,SUMIF('On The Board'!F$5:F$219,"&lt;="&amp;$B185,'On The Board'!$M$5:$M$219)-SUM(F185:J185),"")</f>
        <v/>
      </c>
      <c r="E185" s="12">
        <f ca="1">IF(TodaysDate&gt;=B185,SUMIF('On The Board'!F$5:F$219,"&lt;="&amp;$B185,'On The Board'!$M$5:$M$219)-SUM(F185:J185),E184)</f>
        <v>47</v>
      </c>
      <c r="F185" s="12">
        <f>SUMIF('On The Board'!G$5:G$219,"&lt;="&amp;$B185,'On The Board'!$M$5:$M$219)-SUM(G185:J185)</f>
        <v>0</v>
      </c>
      <c r="G185" s="12">
        <f>SUMIF('On The Board'!H$5:H$219,"&lt;="&amp;$B185,'On The Board'!$M$5:$M$219)-SUM(H185:J185)</f>
        <v>5</v>
      </c>
      <c r="H185" s="12">
        <f>SUMIF('On The Board'!I$5:I$219,"&lt;="&amp;$B185,'On The Board'!$M$5:$M$219)-SUM(I185,J185)</f>
        <v>2</v>
      </c>
      <c r="I185" s="12">
        <f>SUMIF('On The Board'!J$5:J$219,"&lt;="&amp;$B185,'On The Board'!$M$5:$M$219)-SUM(J185)</f>
        <v>0</v>
      </c>
      <c r="J185" s="12">
        <f>SUMIF('On The Board'!K$5:K$219,"&lt;="&amp;$B185,'On The Board'!$M$5:$M$219)</f>
        <v>70</v>
      </c>
      <c r="K185" s="10">
        <f t="shared" si="19"/>
        <v>77</v>
      </c>
      <c r="L185" s="10" t="e">
        <f ca="1">IF(TodaysDate&gt;=B185,SUM(F185:I185),NA())</f>
        <v>#N/A</v>
      </c>
      <c r="M185" s="44" t="e">
        <f t="shared" ca="1" si="21"/>
        <v>#N/A</v>
      </c>
      <c r="N185" s="44" t="e">
        <f ca="1">IF(ISNUMBER(M185),(J185-J175)/NETWORKDAYS(B175,B185,BankHolidays),NA())</f>
        <v>#N/A</v>
      </c>
      <c r="O185" s="44" t="e">
        <f t="shared" ca="1" si="20"/>
        <v>#N/A</v>
      </c>
      <c r="P185" s="53" t="e">
        <f t="shared" ca="1" si="22"/>
        <v>#N/A</v>
      </c>
      <c r="Q185" s="53" t="str">
        <f ca="1">IFERROR(DayByDayTable[[#This Row],[Lead Time]],"")</f>
        <v/>
      </c>
      <c r="R185" s="44" t="e">
        <f t="shared" ca="1" si="23"/>
        <v>#N/A</v>
      </c>
      <c r="S185" s="44">
        <f ca="1">ROUND(PERCENTILE(DayByDayTable[[#Data],[BlankLeadTime]],0.8),0)</f>
        <v>8</v>
      </c>
    </row>
    <row r="186" spans="1:19">
      <c r="A186" s="51">
        <f t="shared" si="17"/>
        <v>42671</v>
      </c>
      <c r="B186" s="11">
        <f t="shared" si="18"/>
        <v>42671</v>
      </c>
      <c r="C186" s="47">
        <f>SUMIFS('On The Board'!$M$5:$M$219,'On The Board'!F$5:F$219,"&lt;="&amp;$B186,'On The Board'!E$5:E$219,"="&amp;FutureWork)</f>
        <v>0</v>
      </c>
      <c r="D186" s="47" t="str">
        <f ca="1">IF(TodaysDate&gt;=B186,SUMIF('On The Board'!F$5:F$219,"&lt;="&amp;$B186,'On The Board'!$M$5:$M$219)-SUM(F186:J186),"")</f>
        <v/>
      </c>
      <c r="E186" s="12">
        <f ca="1">IF(TodaysDate&gt;=B186,SUMIF('On The Board'!F$5:F$219,"&lt;="&amp;$B186,'On The Board'!$M$5:$M$219)-SUM(F186:J186),E185)</f>
        <v>47</v>
      </c>
      <c r="F186" s="12">
        <f>SUMIF('On The Board'!G$5:G$219,"&lt;="&amp;$B186,'On The Board'!$M$5:$M$219)-SUM(G186:J186)</f>
        <v>0</v>
      </c>
      <c r="G186" s="12">
        <f>SUMIF('On The Board'!H$5:H$219,"&lt;="&amp;$B186,'On The Board'!$M$5:$M$219)-SUM(H186:J186)</f>
        <v>5</v>
      </c>
      <c r="H186" s="12">
        <f>SUMIF('On The Board'!I$5:I$219,"&lt;="&amp;$B186,'On The Board'!$M$5:$M$219)-SUM(I186,J186)</f>
        <v>2</v>
      </c>
      <c r="I186" s="12">
        <f>SUMIF('On The Board'!J$5:J$219,"&lt;="&amp;$B186,'On The Board'!$M$5:$M$219)-SUM(J186)</f>
        <v>0</v>
      </c>
      <c r="J186" s="12">
        <f>SUMIF('On The Board'!K$5:K$219,"&lt;="&amp;$B186,'On The Board'!$M$5:$M$219)</f>
        <v>70</v>
      </c>
      <c r="K186" s="10">
        <f t="shared" si="19"/>
        <v>77</v>
      </c>
      <c r="L186" s="10" t="e">
        <f ca="1">IF(TodaysDate&gt;=B186,SUM(F186:I186),NA())</f>
        <v>#N/A</v>
      </c>
      <c r="M186" s="44" t="e">
        <f t="shared" ca="1" si="21"/>
        <v>#N/A</v>
      </c>
      <c r="N186" s="44" t="e">
        <f ca="1">IF(ISNUMBER(M186),(J186-J176)/NETWORKDAYS(B176,B186,BankHolidays),NA())</f>
        <v>#N/A</v>
      </c>
      <c r="O186" s="44" t="e">
        <f t="shared" ca="1" si="20"/>
        <v>#N/A</v>
      </c>
      <c r="P186" s="53" t="e">
        <f t="shared" ca="1" si="22"/>
        <v>#N/A</v>
      </c>
      <c r="Q186" s="53" t="str">
        <f ca="1">IFERROR(DayByDayTable[[#This Row],[Lead Time]],"")</f>
        <v/>
      </c>
      <c r="R186" s="44" t="e">
        <f t="shared" ca="1" si="23"/>
        <v>#N/A</v>
      </c>
      <c r="S186" s="44">
        <f ca="1">ROUND(PERCENTILE(DayByDayTable[[#Data],[BlankLeadTime]],0.8),0)</f>
        <v>8</v>
      </c>
    </row>
    <row r="187" spans="1:19">
      <c r="A187" s="51">
        <f t="shared" si="17"/>
        <v>42674</v>
      </c>
      <c r="B187" s="11">
        <f t="shared" si="18"/>
        <v>42674</v>
      </c>
      <c r="C187" s="47">
        <f>SUMIFS('On The Board'!$M$5:$M$219,'On The Board'!F$5:F$219,"&lt;="&amp;$B187,'On The Board'!E$5:E$219,"="&amp;FutureWork)</f>
        <v>0</v>
      </c>
      <c r="D187" s="47" t="str">
        <f ca="1">IF(TodaysDate&gt;=B187,SUMIF('On The Board'!F$5:F$219,"&lt;="&amp;$B187,'On The Board'!$M$5:$M$219)-SUM(F187:J187),"")</f>
        <v/>
      </c>
      <c r="E187" s="12">
        <f ca="1">IF(TodaysDate&gt;=B187,SUMIF('On The Board'!F$5:F$219,"&lt;="&amp;$B187,'On The Board'!$M$5:$M$219)-SUM(F187:J187),E186)</f>
        <v>47</v>
      </c>
      <c r="F187" s="12">
        <f>SUMIF('On The Board'!G$5:G$219,"&lt;="&amp;$B187,'On The Board'!$M$5:$M$219)-SUM(G187:J187)</f>
        <v>0</v>
      </c>
      <c r="G187" s="12">
        <f>SUMIF('On The Board'!H$5:H$219,"&lt;="&amp;$B187,'On The Board'!$M$5:$M$219)-SUM(H187:J187)</f>
        <v>5</v>
      </c>
      <c r="H187" s="12">
        <f>SUMIF('On The Board'!I$5:I$219,"&lt;="&amp;$B187,'On The Board'!$M$5:$M$219)-SUM(I187,J187)</f>
        <v>2</v>
      </c>
      <c r="I187" s="12">
        <f>SUMIF('On The Board'!J$5:J$219,"&lt;="&amp;$B187,'On The Board'!$M$5:$M$219)-SUM(J187)</f>
        <v>0</v>
      </c>
      <c r="J187" s="12">
        <f>SUMIF('On The Board'!K$5:K$219,"&lt;="&amp;$B187,'On The Board'!$M$5:$M$219)</f>
        <v>70</v>
      </c>
      <c r="K187" s="10">
        <f t="shared" si="19"/>
        <v>77</v>
      </c>
      <c r="L187" s="10" t="e">
        <f ca="1">IF(TodaysDate&gt;=B187,SUM(F187:I187),NA())</f>
        <v>#N/A</v>
      </c>
      <c r="M187" s="44" t="e">
        <f t="shared" ca="1" si="21"/>
        <v>#N/A</v>
      </c>
      <c r="N187" s="44" t="e">
        <f ca="1">IF(ISNUMBER(M187),(J187-J177)/NETWORKDAYS(B177,B187,BankHolidays),NA())</f>
        <v>#N/A</v>
      </c>
      <c r="O187" s="44" t="e">
        <f t="shared" ca="1" si="20"/>
        <v>#N/A</v>
      </c>
      <c r="P187" s="53" t="e">
        <f t="shared" ca="1" si="22"/>
        <v>#N/A</v>
      </c>
      <c r="Q187" s="53" t="str">
        <f ca="1">IFERROR(DayByDayTable[[#This Row],[Lead Time]],"")</f>
        <v/>
      </c>
      <c r="R187" s="44" t="e">
        <f t="shared" ca="1" si="23"/>
        <v>#N/A</v>
      </c>
      <c r="S187" s="44">
        <f ca="1">ROUND(PERCENTILE(DayByDayTable[[#Data],[BlankLeadTime]],0.8),0)</f>
        <v>8</v>
      </c>
    </row>
    <row r="188" spans="1:19">
      <c r="A188" s="51">
        <f t="shared" si="17"/>
        <v>42675</v>
      </c>
      <c r="B188" s="11">
        <f t="shared" si="18"/>
        <v>42675</v>
      </c>
      <c r="C188" s="47">
        <f>SUMIFS('On The Board'!$M$5:$M$219,'On The Board'!F$5:F$219,"&lt;="&amp;$B188,'On The Board'!E$5:E$219,"="&amp;FutureWork)</f>
        <v>0</v>
      </c>
      <c r="D188" s="47" t="str">
        <f ca="1">IF(TodaysDate&gt;=B188,SUMIF('On The Board'!F$5:F$219,"&lt;="&amp;$B188,'On The Board'!$M$5:$M$219)-SUM(F188:J188),"")</f>
        <v/>
      </c>
      <c r="E188" s="12">
        <f ca="1">IF(TodaysDate&gt;=B188,SUMIF('On The Board'!F$5:F$219,"&lt;="&amp;$B188,'On The Board'!$M$5:$M$219)-SUM(F188:J188),E187)</f>
        <v>47</v>
      </c>
      <c r="F188" s="12">
        <f>SUMIF('On The Board'!G$5:G$219,"&lt;="&amp;$B188,'On The Board'!$M$5:$M$219)-SUM(G188:J188)</f>
        <v>0</v>
      </c>
      <c r="G188" s="12">
        <f>SUMIF('On The Board'!H$5:H$219,"&lt;="&amp;$B188,'On The Board'!$M$5:$M$219)-SUM(H188:J188)</f>
        <v>5</v>
      </c>
      <c r="H188" s="12">
        <f>SUMIF('On The Board'!I$5:I$219,"&lt;="&amp;$B188,'On The Board'!$M$5:$M$219)-SUM(I188,J188)</f>
        <v>2</v>
      </c>
      <c r="I188" s="12">
        <f>SUMIF('On The Board'!J$5:J$219,"&lt;="&amp;$B188,'On The Board'!$M$5:$M$219)-SUM(J188)</f>
        <v>0</v>
      </c>
      <c r="J188" s="12">
        <f>SUMIF('On The Board'!K$5:K$219,"&lt;="&amp;$B188,'On The Board'!$M$5:$M$219)</f>
        <v>70</v>
      </c>
      <c r="K188" s="10">
        <f t="shared" si="19"/>
        <v>77</v>
      </c>
      <c r="L188" s="10" t="e">
        <f ca="1">IF(TodaysDate&gt;=B188,SUM(F188:I188),NA())</f>
        <v>#N/A</v>
      </c>
      <c r="M188" s="44" t="e">
        <f t="shared" ca="1" si="21"/>
        <v>#N/A</v>
      </c>
      <c r="N188" s="44" t="e">
        <f ca="1">IF(ISNUMBER(M188),(J188-J178)/NETWORKDAYS(B178,B188,BankHolidays),NA())</f>
        <v>#N/A</v>
      </c>
      <c r="O188" s="44" t="e">
        <f t="shared" ca="1" si="20"/>
        <v>#N/A</v>
      </c>
      <c r="P188" s="53" t="e">
        <f t="shared" ca="1" si="22"/>
        <v>#N/A</v>
      </c>
      <c r="Q188" s="53" t="str">
        <f ca="1">IFERROR(DayByDayTable[[#This Row],[Lead Time]],"")</f>
        <v/>
      </c>
      <c r="R188" s="44" t="e">
        <f t="shared" ca="1" si="23"/>
        <v>#N/A</v>
      </c>
      <c r="S188" s="44">
        <f ca="1">ROUND(PERCENTILE(DayByDayTable[[#Data],[BlankLeadTime]],0.8),0)</f>
        <v>8</v>
      </c>
    </row>
    <row r="189" spans="1:19">
      <c r="A189" s="51">
        <f t="shared" si="17"/>
        <v>42676</v>
      </c>
      <c r="B189" s="11">
        <f t="shared" si="18"/>
        <v>42676</v>
      </c>
      <c r="C189" s="47">
        <f>SUMIFS('On The Board'!$M$5:$M$219,'On The Board'!F$5:F$219,"&lt;="&amp;$B189,'On The Board'!E$5:E$219,"="&amp;FutureWork)</f>
        <v>0</v>
      </c>
      <c r="D189" s="47" t="str">
        <f ca="1">IF(TodaysDate&gt;=B189,SUMIF('On The Board'!F$5:F$219,"&lt;="&amp;$B189,'On The Board'!$M$5:$M$219)-SUM(F189:J189),"")</f>
        <v/>
      </c>
      <c r="E189" s="12">
        <f ca="1">IF(TodaysDate&gt;=B189,SUMIF('On The Board'!F$5:F$219,"&lt;="&amp;$B189,'On The Board'!$M$5:$M$219)-SUM(F189:J189),E188)</f>
        <v>47</v>
      </c>
      <c r="F189" s="12">
        <f>SUMIF('On The Board'!G$5:G$219,"&lt;="&amp;$B189,'On The Board'!$M$5:$M$219)-SUM(G189:J189)</f>
        <v>0</v>
      </c>
      <c r="G189" s="12">
        <f>SUMIF('On The Board'!H$5:H$219,"&lt;="&amp;$B189,'On The Board'!$M$5:$M$219)-SUM(H189:J189)</f>
        <v>5</v>
      </c>
      <c r="H189" s="12">
        <f>SUMIF('On The Board'!I$5:I$219,"&lt;="&amp;$B189,'On The Board'!$M$5:$M$219)-SUM(I189,J189)</f>
        <v>2</v>
      </c>
      <c r="I189" s="12">
        <f>SUMIF('On The Board'!J$5:J$219,"&lt;="&amp;$B189,'On The Board'!$M$5:$M$219)-SUM(J189)</f>
        <v>0</v>
      </c>
      <c r="J189" s="12">
        <f>SUMIF('On The Board'!K$5:K$219,"&lt;="&amp;$B189,'On The Board'!$M$5:$M$219)</f>
        <v>70</v>
      </c>
      <c r="K189" s="10">
        <f t="shared" si="19"/>
        <v>77</v>
      </c>
      <c r="L189" s="10" t="e">
        <f ca="1">IF(TodaysDate&gt;=B189,SUM(F189:I189),NA())</f>
        <v>#N/A</v>
      </c>
      <c r="M189" s="44" t="e">
        <f t="shared" ca="1" si="21"/>
        <v>#N/A</v>
      </c>
      <c r="N189" s="44" t="e">
        <f ca="1">IF(ISNUMBER(M189),(J189-J179)/NETWORKDAYS(B179,B189,BankHolidays),NA())</f>
        <v>#N/A</v>
      </c>
      <c r="O189" s="44" t="e">
        <f t="shared" ca="1" si="20"/>
        <v>#N/A</v>
      </c>
      <c r="P189" s="53" t="e">
        <f t="shared" ca="1" si="22"/>
        <v>#N/A</v>
      </c>
      <c r="Q189" s="53" t="str">
        <f ca="1">IFERROR(DayByDayTable[[#This Row],[Lead Time]],"")</f>
        <v/>
      </c>
      <c r="R189" s="44" t="e">
        <f t="shared" ca="1" si="23"/>
        <v>#N/A</v>
      </c>
      <c r="S189" s="44">
        <f ca="1">ROUND(PERCENTILE(DayByDayTable[[#Data],[BlankLeadTime]],0.8),0)</f>
        <v>8</v>
      </c>
    </row>
    <row r="190" spans="1:19">
      <c r="A190" s="51">
        <f t="shared" si="17"/>
        <v>42677</v>
      </c>
      <c r="B190" s="11">
        <f t="shared" si="18"/>
        <v>42677</v>
      </c>
      <c r="C190" s="47">
        <f>SUMIFS('On The Board'!$M$5:$M$219,'On The Board'!F$5:F$219,"&lt;="&amp;$B190,'On The Board'!E$5:E$219,"="&amp;FutureWork)</f>
        <v>0</v>
      </c>
      <c r="D190" s="47" t="str">
        <f ca="1">IF(TodaysDate&gt;=B190,SUMIF('On The Board'!F$5:F$219,"&lt;="&amp;$B190,'On The Board'!$M$5:$M$219)-SUM(F190:J190),"")</f>
        <v/>
      </c>
      <c r="E190" s="12">
        <f ca="1">IF(TodaysDate&gt;=B190,SUMIF('On The Board'!F$5:F$219,"&lt;="&amp;$B190,'On The Board'!$M$5:$M$219)-SUM(F190:J190),E189)</f>
        <v>47</v>
      </c>
      <c r="F190" s="12">
        <f>SUMIF('On The Board'!G$5:G$219,"&lt;="&amp;$B190,'On The Board'!$M$5:$M$219)-SUM(G190:J190)</f>
        <v>0</v>
      </c>
      <c r="G190" s="12">
        <f>SUMIF('On The Board'!H$5:H$219,"&lt;="&amp;$B190,'On The Board'!$M$5:$M$219)-SUM(H190:J190)</f>
        <v>5</v>
      </c>
      <c r="H190" s="12">
        <f>SUMIF('On The Board'!I$5:I$219,"&lt;="&amp;$B190,'On The Board'!$M$5:$M$219)-SUM(I190,J190)</f>
        <v>2</v>
      </c>
      <c r="I190" s="12">
        <f>SUMIF('On The Board'!J$5:J$219,"&lt;="&amp;$B190,'On The Board'!$M$5:$M$219)-SUM(J190)</f>
        <v>0</v>
      </c>
      <c r="J190" s="12">
        <f>SUMIF('On The Board'!K$5:K$219,"&lt;="&amp;$B190,'On The Board'!$M$5:$M$219)</f>
        <v>70</v>
      </c>
      <c r="K190" s="10">
        <f t="shared" si="19"/>
        <v>77</v>
      </c>
      <c r="L190" s="10" t="e">
        <f ca="1">IF(TodaysDate&gt;=B190,SUM(F190:I190),NA())</f>
        <v>#N/A</v>
      </c>
      <c r="M190" s="44" t="e">
        <f t="shared" ca="1" si="21"/>
        <v>#N/A</v>
      </c>
      <c r="N190" s="44" t="e">
        <f ca="1">IF(ISNUMBER(M190),(J190-J180)/NETWORKDAYS(B180,B190,BankHolidays),NA())</f>
        <v>#N/A</v>
      </c>
      <c r="O190" s="44" t="e">
        <f t="shared" ca="1" si="20"/>
        <v>#N/A</v>
      </c>
      <c r="P190" s="53" t="e">
        <f t="shared" ca="1" si="22"/>
        <v>#N/A</v>
      </c>
      <c r="Q190" s="53" t="str">
        <f ca="1">IFERROR(DayByDayTable[[#This Row],[Lead Time]],"")</f>
        <v/>
      </c>
      <c r="R190" s="44" t="e">
        <f t="shared" ca="1" si="23"/>
        <v>#N/A</v>
      </c>
      <c r="S190" s="44">
        <f ca="1">ROUND(PERCENTILE(DayByDayTable[[#Data],[BlankLeadTime]],0.8),0)</f>
        <v>8</v>
      </c>
    </row>
    <row r="191" spans="1:19">
      <c r="A191" s="51">
        <f t="shared" ref="A191:A254" si="24">B191</f>
        <v>42678</v>
      </c>
      <c r="B191" s="11">
        <f t="shared" si="18"/>
        <v>42678</v>
      </c>
      <c r="C191" s="47">
        <f>SUMIFS('On The Board'!$M$5:$M$219,'On The Board'!F$5:F$219,"&lt;="&amp;$B191,'On The Board'!E$5:E$219,"="&amp;FutureWork)</f>
        <v>0</v>
      </c>
      <c r="D191" s="47" t="str">
        <f ca="1">IF(TodaysDate&gt;=B191,SUMIF('On The Board'!F$5:F$219,"&lt;="&amp;$B191,'On The Board'!$M$5:$M$219)-SUM(F191:J191),"")</f>
        <v/>
      </c>
      <c r="E191" s="12">
        <f ca="1">IF(TodaysDate&gt;=B191,SUMIF('On The Board'!F$5:F$219,"&lt;="&amp;$B191,'On The Board'!$M$5:$M$219)-SUM(F191:J191),E190)</f>
        <v>47</v>
      </c>
      <c r="F191" s="12">
        <f>SUMIF('On The Board'!G$5:G$219,"&lt;="&amp;$B191,'On The Board'!$M$5:$M$219)-SUM(G191:J191)</f>
        <v>0</v>
      </c>
      <c r="G191" s="12">
        <f>SUMIF('On The Board'!H$5:H$219,"&lt;="&amp;$B191,'On The Board'!$M$5:$M$219)-SUM(H191:J191)</f>
        <v>5</v>
      </c>
      <c r="H191" s="12">
        <f>SUMIF('On The Board'!I$5:I$219,"&lt;="&amp;$B191,'On The Board'!$M$5:$M$219)-SUM(I191,J191)</f>
        <v>2</v>
      </c>
      <c r="I191" s="12">
        <f>SUMIF('On The Board'!J$5:J$219,"&lt;="&amp;$B191,'On The Board'!$M$5:$M$219)-SUM(J191)</f>
        <v>0</v>
      </c>
      <c r="J191" s="12">
        <f>SUMIF('On The Board'!K$5:K$219,"&lt;="&amp;$B191,'On The Board'!$M$5:$M$219)</f>
        <v>70</v>
      </c>
      <c r="K191" s="10">
        <f t="shared" ref="K191:K254" si="25">SUM(F191:J191)</f>
        <v>77</v>
      </c>
      <c r="L191" s="10" t="e">
        <f ca="1">IF(TodaysDate&gt;=B191,SUM(F191:I191),NA())</f>
        <v>#N/A</v>
      </c>
      <c r="M191" s="44" t="e">
        <f t="shared" ca="1" si="21"/>
        <v>#N/A</v>
      </c>
      <c r="N191" s="44" t="e">
        <f ca="1">IF(ISNUMBER(M191),(J191-J181)/NETWORKDAYS(B181,B191,BankHolidays),NA())</f>
        <v>#N/A</v>
      </c>
      <c r="O191" s="44" t="e">
        <f t="shared" ca="1" si="20"/>
        <v>#N/A</v>
      </c>
      <c r="P191" s="53" t="e">
        <f t="shared" ca="1" si="22"/>
        <v>#N/A</v>
      </c>
      <c r="Q191" s="53" t="str">
        <f ca="1">IFERROR(DayByDayTable[[#This Row],[Lead Time]],"")</f>
        <v/>
      </c>
      <c r="R191" s="44" t="e">
        <f t="shared" ca="1" si="23"/>
        <v>#N/A</v>
      </c>
      <c r="S191" s="44">
        <f ca="1">ROUND(PERCENTILE(DayByDayTable[[#Data],[BlankLeadTime]],0.8),0)</f>
        <v>8</v>
      </c>
    </row>
    <row r="192" spans="1:19">
      <c r="A192" s="51">
        <f t="shared" si="24"/>
        <v>42681</v>
      </c>
      <c r="B192" s="11">
        <f t="shared" si="18"/>
        <v>42681</v>
      </c>
      <c r="C192" s="47">
        <f>SUMIFS('On The Board'!$M$5:$M$219,'On The Board'!F$5:F$219,"&lt;="&amp;$B192,'On The Board'!E$5:E$219,"="&amp;FutureWork)</f>
        <v>0</v>
      </c>
      <c r="D192" s="47" t="str">
        <f ca="1">IF(TodaysDate&gt;=B192,SUMIF('On The Board'!F$5:F$219,"&lt;="&amp;$B192,'On The Board'!$M$5:$M$219)-SUM(F192:J192),"")</f>
        <v/>
      </c>
      <c r="E192" s="12">
        <f ca="1">IF(TodaysDate&gt;=B192,SUMIF('On The Board'!F$5:F$219,"&lt;="&amp;$B192,'On The Board'!$M$5:$M$219)-SUM(F192:J192),E191)</f>
        <v>47</v>
      </c>
      <c r="F192" s="12">
        <f>SUMIF('On The Board'!G$5:G$219,"&lt;="&amp;$B192,'On The Board'!$M$5:$M$219)-SUM(G192:J192)</f>
        <v>0</v>
      </c>
      <c r="G192" s="12">
        <f>SUMIF('On The Board'!H$5:H$219,"&lt;="&amp;$B192,'On The Board'!$M$5:$M$219)-SUM(H192:J192)</f>
        <v>5</v>
      </c>
      <c r="H192" s="12">
        <f>SUMIF('On The Board'!I$5:I$219,"&lt;="&amp;$B192,'On The Board'!$M$5:$M$219)-SUM(I192,J192)</f>
        <v>2</v>
      </c>
      <c r="I192" s="12">
        <f>SUMIF('On The Board'!J$5:J$219,"&lt;="&amp;$B192,'On The Board'!$M$5:$M$219)-SUM(J192)</f>
        <v>0</v>
      </c>
      <c r="J192" s="12">
        <f>SUMIF('On The Board'!K$5:K$219,"&lt;="&amp;$B192,'On The Board'!$M$5:$M$219)</f>
        <v>70</v>
      </c>
      <c r="K192" s="10">
        <f t="shared" si="25"/>
        <v>77</v>
      </c>
      <c r="L192" s="10" t="e">
        <f ca="1">IF(TodaysDate&gt;=B192,SUM(F192:I192),NA())</f>
        <v>#N/A</v>
      </c>
      <c r="M192" s="44" t="e">
        <f t="shared" ca="1" si="21"/>
        <v>#N/A</v>
      </c>
      <c r="N192" s="44" t="e">
        <f ca="1">IF(ISNUMBER(M192),(J192-J182)/NETWORKDAYS(B182,B192,BankHolidays),NA())</f>
        <v>#N/A</v>
      </c>
      <c r="O192" s="44" t="e">
        <f t="shared" ca="1" si="20"/>
        <v>#N/A</v>
      </c>
      <c r="P192" s="53" t="e">
        <f t="shared" ca="1" si="22"/>
        <v>#N/A</v>
      </c>
      <c r="Q192" s="53" t="str">
        <f ca="1">IFERROR(DayByDayTable[[#This Row],[Lead Time]],"")</f>
        <v/>
      </c>
      <c r="R192" s="44" t="e">
        <f t="shared" ca="1" si="23"/>
        <v>#N/A</v>
      </c>
      <c r="S192" s="44">
        <f ca="1">ROUND(PERCENTILE(DayByDayTable[[#Data],[BlankLeadTime]],0.8),0)</f>
        <v>8</v>
      </c>
    </row>
    <row r="193" spans="1:19">
      <c r="A193" s="51">
        <f t="shared" si="24"/>
        <v>42682</v>
      </c>
      <c r="B193" s="11">
        <f t="shared" si="18"/>
        <v>42682</v>
      </c>
      <c r="C193" s="47">
        <f>SUMIFS('On The Board'!$M$5:$M$219,'On The Board'!F$5:F$219,"&lt;="&amp;$B193,'On The Board'!E$5:E$219,"="&amp;FutureWork)</f>
        <v>0</v>
      </c>
      <c r="D193" s="47" t="str">
        <f ca="1">IF(TodaysDate&gt;=B193,SUMIF('On The Board'!F$5:F$219,"&lt;="&amp;$B193,'On The Board'!$M$5:$M$219)-SUM(F193:J193),"")</f>
        <v/>
      </c>
      <c r="E193" s="12">
        <f ca="1">IF(TodaysDate&gt;=B193,SUMIF('On The Board'!F$5:F$219,"&lt;="&amp;$B193,'On The Board'!$M$5:$M$219)-SUM(F193:J193),E192)</f>
        <v>47</v>
      </c>
      <c r="F193" s="12">
        <f>SUMIF('On The Board'!G$5:G$219,"&lt;="&amp;$B193,'On The Board'!$M$5:$M$219)-SUM(G193:J193)</f>
        <v>0</v>
      </c>
      <c r="G193" s="12">
        <f>SUMIF('On The Board'!H$5:H$219,"&lt;="&amp;$B193,'On The Board'!$M$5:$M$219)-SUM(H193:J193)</f>
        <v>5</v>
      </c>
      <c r="H193" s="12">
        <f>SUMIF('On The Board'!I$5:I$219,"&lt;="&amp;$B193,'On The Board'!$M$5:$M$219)-SUM(I193,J193)</f>
        <v>2</v>
      </c>
      <c r="I193" s="12">
        <f>SUMIF('On The Board'!J$5:J$219,"&lt;="&amp;$B193,'On The Board'!$M$5:$M$219)-SUM(J193)</f>
        <v>0</v>
      </c>
      <c r="J193" s="12">
        <f>SUMIF('On The Board'!K$5:K$219,"&lt;="&amp;$B193,'On The Board'!$M$5:$M$219)</f>
        <v>70</v>
      </c>
      <c r="K193" s="10">
        <f t="shared" si="25"/>
        <v>77</v>
      </c>
      <c r="L193" s="10" t="e">
        <f ca="1">IF(TodaysDate&gt;=B193,SUM(F193:I193),NA())</f>
        <v>#N/A</v>
      </c>
      <c r="M193" s="44" t="e">
        <f t="shared" ca="1" si="21"/>
        <v>#N/A</v>
      </c>
      <c r="N193" s="44" t="e">
        <f ca="1">IF(ISNUMBER(M193),(J193-J183)/NETWORKDAYS(B183,B193,BankHolidays),NA())</f>
        <v>#N/A</v>
      </c>
      <c r="O193" s="44" t="e">
        <f t="shared" ca="1" si="20"/>
        <v>#N/A</v>
      </c>
      <c r="P193" s="53" t="e">
        <f t="shared" ca="1" si="22"/>
        <v>#N/A</v>
      </c>
      <c r="Q193" s="53" t="str">
        <f ca="1">IFERROR(DayByDayTable[[#This Row],[Lead Time]],"")</f>
        <v/>
      </c>
      <c r="R193" s="44" t="e">
        <f t="shared" ca="1" si="23"/>
        <v>#N/A</v>
      </c>
      <c r="S193" s="44">
        <f ca="1">ROUND(PERCENTILE(DayByDayTable[[#Data],[BlankLeadTime]],0.8),0)</f>
        <v>8</v>
      </c>
    </row>
    <row r="194" spans="1:19">
      <c r="A194" s="51">
        <f t="shared" si="24"/>
        <v>42683</v>
      </c>
      <c r="B194" s="11">
        <f t="shared" si="18"/>
        <v>42683</v>
      </c>
      <c r="C194" s="47">
        <f>SUMIFS('On The Board'!$M$5:$M$219,'On The Board'!F$5:F$219,"&lt;="&amp;$B194,'On The Board'!E$5:E$219,"="&amp;FutureWork)</f>
        <v>0</v>
      </c>
      <c r="D194" s="47" t="str">
        <f ca="1">IF(TodaysDate&gt;=B194,SUMIF('On The Board'!F$5:F$219,"&lt;="&amp;$B194,'On The Board'!$M$5:$M$219)-SUM(F194:J194),"")</f>
        <v/>
      </c>
      <c r="E194" s="12">
        <f ca="1">IF(TodaysDate&gt;=B194,SUMIF('On The Board'!F$5:F$219,"&lt;="&amp;$B194,'On The Board'!$M$5:$M$219)-SUM(F194:J194),E193)</f>
        <v>47</v>
      </c>
      <c r="F194" s="12">
        <f>SUMIF('On The Board'!G$5:G$219,"&lt;="&amp;$B194,'On The Board'!$M$5:$M$219)-SUM(G194:J194)</f>
        <v>0</v>
      </c>
      <c r="G194" s="12">
        <f>SUMIF('On The Board'!H$5:H$219,"&lt;="&amp;$B194,'On The Board'!$M$5:$M$219)-SUM(H194:J194)</f>
        <v>5</v>
      </c>
      <c r="H194" s="12">
        <f>SUMIF('On The Board'!I$5:I$219,"&lt;="&amp;$B194,'On The Board'!$M$5:$M$219)-SUM(I194,J194)</f>
        <v>2</v>
      </c>
      <c r="I194" s="12">
        <f>SUMIF('On The Board'!J$5:J$219,"&lt;="&amp;$B194,'On The Board'!$M$5:$M$219)-SUM(J194)</f>
        <v>0</v>
      </c>
      <c r="J194" s="12">
        <f>SUMIF('On The Board'!K$5:K$219,"&lt;="&amp;$B194,'On The Board'!$M$5:$M$219)</f>
        <v>70</v>
      </c>
      <c r="K194" s="10">
        <f t="shared" si="25"/>
        <v>77</v>
      </c>
      <c r="L194" s="10" t="e">
        <f ca="1">IF(TodaysDate&gt;=B194,SUM(F194:I194),NA())</f>
        <v>#N/A</v>
      </c>
      <c r="M194" s="44" t="e">
        <f t="shared" ca="1" si="21"/>
        <v>#N/A</v>
      </c>
      <c r="N194" s="44" t="e">
        <f ca="1">IF(ISNUMBER(M194),(J194-J184)/NETWORKDAYS(B184,B194,BankHolidays),NA())</f>
        <v>#N/A</v>
      </c>
      <c r="O194" s="44" t="e">
        <f t="shared" ca="1" si="20"/>
        <v>#N/A</v>
      </c>
      <c r="P194" s="53" t="e">
        <f t="shared" ca="1" si="22"/>
        <v>#N/A</v>
      </c>
      <c r="Q194" s="53" t="str">
        <f ca="1">IFERROR(DayByDayTable[[#This Row],[Lead Time]],"")</f>
        <v/>
      </c>
      <c r="R194" s="44" t="e">
        <f t="shared" ca="1" si="23"/>
        <v>#N/A</v>
      </c>
      <c r="S194" s="44">
        <f ca="1">ROUND(PERCENTILE(DayByDayTable[[#Data],[BlankLeadTime]],0.8),0)</f>
        <v>8</v>
      </c>
    </row>
    <row r="195" spans="1:19">
      <c r="A195" s="51">
        <f t="shared" si="24"/>
        <v>42684</v>
      </c>
      <c r="B195" s="11">
        <f t="shared" ref="B195:B258" si="26">IF(NETWORKDAYS(B194,B194+1,BankHolidays)=2,B194+1,IF(NETWORKDAYS(B194,B194+2,BankHolidays)=2,B194+2,IF(NETWORKDAYS(B194,B194+3,BankHolidays)=2,B194+3,IF(NETWORKDAYS(B194,B194+4,BankHolidays)=2,B194+4,IF(NETWORKDAYS(B194,B194+5,BankHolidays)=2,B194+5,NA())))))</f>
        <v>42684</v>
      </c>
      <c r="C195" s="47">
        <f>SUMIFS('On The Board'!$M$5:$M$219,'On The Board'!F$5:F$219,"&lt;="&amp;$B195,'On The Board'!E$5:E$219,"="&amp;FutureWork)</f>
        <v>0</v>
      </c>
      <c r="D195" s="47" t="str">
        <f ca="1">IF(TodaysDate&gt;=B195,SUMIF('On The Board'!F$5:F$219,"&lt;="&amp;$B195,'On The Board'!$M$5:$M$219)-SUM(F195:J195),"")</f>
        <v/>
      </c>
      <c r="E195" s="12">
        <f ca="1">IF(TodaysDate&gt;=B195,SUMIF('On The Board'!F$5:F$219,"&lt;="&amp;$B195,'On The Board'!$M$5:$M$219)-SUM(F195:J195),E194)</f>
        <v>47</v>
      </c>
      <c r="F195" s="12">
        <f>SUMIF('On The Board'!G$5:G$219,"&lt;="&amp;$B195,'On The Board'!$M$5:$M$219)-SUM(G195:J195)</f>
        <v>0</v>
      </c>
      <c r="G195" s="12">
        <f>SUMIF('On The Board'!H$5:H$219,"&lt;="&amp;$B195,'On The Board'!$M$5:$M$219)-SUM(H195:J195)</f>
        <v>5</v>
      </c>
      <c r="H195" s="12">
        <f>SUMIF('On The Board'!I$5:I$219,"&lt;="&amp;$B195,'On The Board'!$M$5:$M$219)-SUM(I195,J195)</f>
        <v>2</v>
      </c>
      <c r="I195" s="12">
        <f>SUMIF('On The Board'!J$5:J$219,"&lt;="&amp;$B195,'On The Board'!$M$5:$M$219)-SUM(J195)</f>
        <v>0</v>
      </c>
      <c r="J195" s="12">
        <f>SUMIF('On The Board'!K$5:K$219,"&lt;="&amp;$B195,'On The Board'!$M$5:$M$219)</f>
        <v>70</v>
      </c>
      <c r="K195" s="10">
        <f t="shared" si="25"/>
        <v>77</v>
      </c>
      <c r="L195" s="10" t="e">
        <f ca="1">IF(TodaysDate&gt;=B195,SUM(F195:I195),NA())</f>
        <v>#N/A</v>
      </c>
      <c r="M195" s="44" t="e">
        <f t="shared" ca="1" si="21"/>
        <v>#N/A</v>
      </c>
      <c r="N195" s="44" t="e">
        <f ca="1">IF(ISNUMBER(M195),(J195-J185)/NETWORKDAYS(B185,B195,BankHolidays),NA())</f>
        <v>#N/A</v>
      </c>
      <c r="O195" s="44" t="e">
        <f t="shared" ref="O195:O258" ca="1" si="27">IF(N195&gt;0,M195/N195,NA())</f>
        <v>#N/A</v>
      </c>
      <c r="P195" s="53" t="e">
        <f t="shared" ca="1" si="22"/>
        <v>#N/A</v>
      </c>
      <c r="Q195" s="53" t="str">
        <f ca="1">IFERROR(DayByDayTable[[#This Row],[Lead Time]],"")</f>
        <v/>
      </c>
      <c r="R195" s="44" t="e">
        <f t="shared" ca="1" si="23"/>
        <v>#N/A</v>
      </c>
      <c r="S195" s="44">
        <f ca="1">ROUND(PERCENTILE(DayByDayTable[[#Data],[BlankLeadTime]],0.8),0)</f>
        <v>8</v>
      </c>
    </row>
    <row r="196" spans="1:19">
      <c r="A196" s="51">
        <f t="shared" si="24"/>
        <v>42685</v>
      </c>
      <c r="B196" s="11">
        <f t="shared" si="26"/>
        <v>42685</v>
      </c>
      <c r="C196" s="47">
        <f>SUMIFS('On The Board'!$M$5:$M$219,'On The Board'!F$5:F$219,"&lt;="&amp;$B196,'On The Board'!E$5:E$219,"="&amp;FutureWork)</f>
        <v>0</v>
      </c>
      <c r="D196" s="47" t="str">
        <f ca="1">IF(TodaysDate&gt;=B196,SUMIF('On The Board'!F$5:F$219,"&lt;="&amp;$B196,'On The Board'!$M$5:$M$219)-SUM(F196:J196),"")</f>
        <v/>
      </c>
      <c r="E196" s="12">
        <f ca="1">IF(TodaysDate&gt;=B196,SUMIF('On The Board'!F$5:F$219,"&lt;="&amp;$B196,'On The Board'!$M$5:$M$219)-SUM(F196:J196),E195)</f>
        <v>47</v>
      </c>
      <c r="F196" s="12">
        <f>SUMIF('On The Board'!G$5:G$219,"&lt;="&amp;$B196,'On The Board'!$M$5:$M$219)-SUM(G196:J196)</f>
        <v>0</v>
      </c>
      <c r="G196" s="12">
        <f>SUMIF('On The Board'!H$5:H$219,"&lt;="&amp;$B196,'On The Board'!$M$5:$M$219)-SUM(H196:J196)</f>
        <v>5</v>
      </c>
      <c r="H196" s="12">
        <f>SUMIF('On The Board'!I$5:I$219,"&lt;="&amp;$B196,'On The Board'!$M$5:$M$219)-SUM(I196,J196)</f>
        <v>2</v>
      </c>
      <c r="I196" s="12">
        <f>SUMIF('On The Board'!J$5:J$219,"&lt;="&amp;$B196,'On The Board'!$M$5:$M$219)-SUM(J196)</f>
        <v>0</v>
      </c>
      <c r="J196" s="12">
        <f>SUMIF('On The Board'!K$5:K$219,"&lt;="&amp;$B196,'On The Board'!$M$5:$M$219)</f>
        <v>70</v>
      </c>
      <c r="K196" s="10">
        <f t="shared" si="25"/>
        <v>77</v>
      </c>
      <c r="L196" s="10" t="e">
        <f ca="1">IF(TodaysDate&gt;=B196,SUM(F196:I196),NA())</f>
        <v>#N/A</v>
      </c>
      <c r="M196" s="44" t="e">
        <f t="shared" ca="1" si="21"/>
        <v>#N/A</v>
      </c>
      <c r="N196" s="44" t="e">
        <f ca="1">IF(ISNUMBER(M196),(J196-J186)/NETWORKDAYS(B186,B196,BankHolidays),NA())</f>
        <v>#N/A</v>
      </c>
      <c r="O196" s="44" t="e">
        <f t="shared" ca="1" si="27"/>
        <v>#N/A</v>
      </c>
      <c r="P196" s="53" t="e">
        <f t="shared" ca="1" si="22"/>
        <v>#N/A</v>
      </c>
      <c r="Q196" s="53" t="str">
        <f ca="1">IFERROR(DayByDayTable[[#This Row],[Lead Time]],"")</f>
        <v/>
      </c>
      <c r="R196" s="44" t="e">
        <f t="shared" ca="1" si="23"/>
        <v>#N/A</v>
      </c>
      <c r="S196" s="44">
        <f ca="1">ROUND(PERCENTILE(DayByDayTable[[#Data],[BlankLeadTime]],0.8),0)</f>
        <v>8</v>
      </c>
    </row>
    <row r="197" spans="1:19">
      <c r="A197" s="51">
        <f t="shared" si="24"/>
        <v>42688</v>
      </c>
      <c r="B197" s="11">
        <f t="shared" si="26"/>
        <v>42688</v>
      </c>
      <c r="C197" s="47">
        <f>SUMIFS('On The Board'!$M$5:$M$219,'On The Board'!F$5:F$219,"&lt;="&amp;$B197,'On The Board'!E$5:E$219,"="&amp;FutureWork)</f>
        <v>0</v>
      </c>
      <c r="D197" s="47" t="str">
        <f ca="1">IF(TodaysDate&gt;=B197,SUMIF('On The Board'!F$5:F$219,"&lt;="&amp;$B197,'On The Board'!$M$5:$M$219)-SUM(F197:J197),"")</f>
        <v/>
      </c>
      <c r="E197" s="12">
        <f ca="1">IF(TodaysDate&gt;=B197,SUMIF('On The Board'!F$5:F$219,"&lt;="&amp;$B197,'On The Board'!$M$5:$M$219)-SUM(F197:J197),E196)</f>
        <v>47</v>
      </c>
      <c r="F197" s="12">
        <f>SUMIF('On The Board'!G$5:G$219,"&lt;="&amp;$B197,'On The Board'!$M$5:$M$219)-SUM(G197:J197)</f>
        <v>0</v>
      </c>
      <c r="G197" s="12">
        <f>SUMIF('On The Board'!H$5:H$219,"&lt;="&amp;$B197,'On The Board'!$M$5:$M$219)-SUM(H197:J197)</f>
        <v>5</v>
      </c>
      <c r="H197" s="12">
        <f>SUMIF('On The Board'!I$5:I$219,"&lt;="&amp;$B197,'On The Board'!$M$5:$M$219)-SUM(I197,J197)</f>
        <v>2</v>
      </c>
      <c r="I197" s="12">
        <f>SUMIF('On The Board'!J$5:J$219,"&lt;="&amp;$B197,'On The Board'!$M$5:$M$219)-SUM(J197)</f>
        <v>0</v>
      </c>
      <c r="J197" s="12">
        <f>SUMIF('On The Board'!K$5:K$219,"&lt;="&amp;$B197,'On The Board'!$M$5:$M$219)</f>
        <v>70</v>
      </c>
      <c r="K197" s="10">
        <f t="shared" si="25"/>
        <v>77</v>
      </c>
      <c r="L197" s="10" t="e">
        <f ca="1">IF(TodaysDate&gt;=B197,SUM(F197:I197),NA())</f>
        <v>#N/A</v>
      </c>
      <c r="M197" s="44" t="e">
        <f t="shared" ca="1" si="21"/>
        <v>#N/A</v>
      </c>
      <c r="N197" s="44" t="e">
        <f ca="1">IF(ISNUMBER(M197),(J197-J187)/NETWORKDAYS(B187,B197,BankHolidays),NA())</f>
        <v>#N/A</v>
      </c>
      <c r="O197" s="44" t="e">
        <f t="shared" ca="1" si="27"/>
        <v>#N/A</v>
      </c>
      <c r="P197" s="53" t="e">
        <f t="shared" ca="1" si="22"/>
        <v>#N/A</v>
      </c>
      <c r="Q197" s="53" t="str">
        <f ca="1">IFERROR(DayByDayTable[[#This Row],[Lead Time]],"")</f>
        <v/>
      </c>
      <c r="R197" s="44" t="e">
        <f t="shared" ca="1" si="23"/>
        <v>#N/A</v>
      </c>
      <c r="S197" s="44">
        <f ca="1">ROUND(PERCENTILE(DayByDayTable[[#Data],[BlankLeadTime]],0.8),0)</f>
        <v>8</v>
      </c>
    </row>
    <row r="198" spans="1:19">
      <c r="A198" s="51">
        <f t="shared" si="24"/>
        <v>42689</v>
      </c>
      <c r="B198" s="11">
        <f t="shared" si="26"/>
        <v>42689</v>
      </c>
      <c r="C198" s="47">
        <f>SUMIFS('On The Board'!$M$5:$M$219,'On The Board'!F$5:F$219,"&lt;="&amp;$B198,'On The Board'!E$5:E$219,"="&amp;FutureWork)</f>
        <v>0</v>
      </c>
      <c r="D198" s="47" t="str">
        <f ca="1">IF(TodaysDate&gt;=B198,SUMIF('On The Board'!F$5:F$219,"&lt;="&amp;$B198,'On The Board'!$M$5:$M$219)-SUM(F198:J198),"")</f>
        <v/>
      </c>
      <c r="E198" s="12">
        <f ca="1">IF(TodaysDate&gt;=B198,SUMIF('On The Board'!F$5:F$219,"&lt;="&amp;$B198,'On The Board'!$M$5:$M$219)-SUM(F198:J198),E197)</f>
        <v>47</v>
      </c>
      <c r="F198" s="12">
        <f>SUMIF('On The Board'!G$5:G$219,"&lt;="&amp;$B198,'On The Board'!$M$5:$M$219)-SUM(G198:J198)</f>
        <v>0</v>
      </c>
      <c r="G198" s="12">
        <f>SUMIF('On The Board'!H$5:H$219,"&lt;="&amp;$B198,'On The Board'!$M$5:$M$219)-SUM(H198:J198)</f>
        <v>5</v>
      </c>
      <c r="H198" s="12">
        <f>SUMIF('On The Board'!I$5:I$219,"&lt;="&amp;$B198,'On The Board'!$M$5:$M$219)-SUM(I198,J198)</f>
        <v>2</v>
      </c>
      <c r="I198" s="12">
        <f>SUMIF('On The Board'!J$5:J$219,"&lt;="&amp;$B198,'On The Board'!$M$5:$M$219)-SUM(J198)</f>
        <v>0</v>
      </c>
      <c r="J198" s="12">
        <f>SUMIF('On The Board'!K$5:K$219,"&lt;="&amp;$B198,'On The Board'!$M$5:$M$219)</f>
        <v>70</v>
      </c>
      <c r="K198" s="10">
        <f t="shared" si="25"/>
        <v>77</v>
      </c>
      <c r="L198" s="10" t="e">
        <f ca="1">IF(TodaysDate&gt;=B198,SUM(F198:I198),NA())</f>
        <v>#N/A</v>
      </c>
      <c r="M198" s="44" t="e">
        <f t="shared" ca="1" si="21"/>
        <v>#N/A</v>
      </c>
      <c r="N198" s="44" t="e">
        <f ca="1">IF(ISNUMBER(M198),(J198-J188)/NETWORKDAYS(B188,B198,BankHolidays),NA())</f>
        <v>#N/A</v>
      </c>
      <c r="O198" s="44" t="e">
        <f t="shared" ca="1" si="27"/>
        <v>#N/A</v>
      </c>
      <c r="P198" s="53" t="e">
        <f t="shared" ca="1" si="22"/>
        <v>#N/A</v>
      </c>
      <c r="Q198" s="53" t="str">
        <f ca="1">IFERROR(DayByDayTable[[#This Row],[Lead Time]],"")</f>
        <v/>
      </c>
      <c r="R198" s="44" t="e">
        <f t="shared" ca="1" si="23"/>
        <v>#N/A</v>
      </c>
      <c r="S198" s="44">
        <f ca="1">ROUND(PERCENTILE(DayByDayTable[[#Data],[BlankLeadTime]],0.8),0)</f>
        <v>8</v>
      </c>
    </row>
    <row r="199" spans="1:19">
      <c r="A199" s="51">
        <f t="shared" si="24"/>
        <v>42690</v>
      </c>
      <c r="B199" s="11">
        <f t="shared" si="26"/>
        <v>42690</v>
      </c>
      <c r="C199" s="47">
        <f>SUMIFS('On The Board'!$M$5:$M$219,'On The Board'!F$5:F$219,"&lt;="&amp;$B199,'On The Board'!E$5:E$219,"="&amp;FutureWork)</f>
        <v>0</v>
      </c>
      <c r="D199" s="47" t="str">
        <f ca="1">IF(TodaysDate&gt;=B199,SUMIF('On The Board'!F$5:F$219,"&lt;="&amp;$B199,'On The Board'!$M$5:$M$219)-SUM(F199:J199),"")</f>
        <v/>
      </c>
      <c r="E199" s="12">
        <f ca="1">IF(TodaysDate&gt;=B199,SUMIF('On The Board'!F$5:F$219,"&lt;="&amp;$B199,'On The Board'!$M$5:$M$219)-SUM(F199:J199),E198)</f>
        <v>47</v>
      </c>
      <c r="F199" s="12">
        <f>SUMIF('On The Board'!G$5:G$219,"&lt;="&amp;$B199,'On The Board'!$M$5:$M$219)-SUM(G199:J199)</f>
        <v>0</v>
      </c>
      <c r="G199" s="12">
        <f>SUMIF('On The Board'!H$5:H$219,"&lt;="&amp;$B199,'On The Board'!$M$5:$M$219)-SUM(H199:J199)</f>
        <v>5</v>
      </c>
      <c r="H199" s="12">
        <f>SUMIF('On The Board'!I$5:I$219,"&lt;="&amp;$B199,'On The Board'!$M$5:$M$219)-SUM(I199,J199)</f>
        <v>2</v>
      </c>
      <c r="I199" s="12">
        <f>SUMIF('On The Board'!J$5:J$219,"&lt;="&amp;$B199,'On The Board'!$M$5:$M$219)-SUM(J199)</f>
        <v>0</v>
      </c>
      <c r="J199" s="12">
        <f>SUMIF('On The Board'!K$5:K$219,"&lt;="&amp;$B199,'On The Board'!$M$5:$M$219)</f>
        <v>70</v>
      </c>
      <c r="K199" s="10">
        <f t="shared" si="25"/>
        <v>77</v>
      </c>
      <c r="L199" s="10" t="e">
        <f ca="1">IF(TodaysDate&gt;=B199,SUM(F199:I199),NA())</f>
        <v>#N/A</v>
      </c>
      <c r="M199" s="44" t="e">
        <f t="shared" ca="1" si="21"/>
        <v>#N/A</v>
      </c>
      <c r="N199" s="44" t="e">
        <f ca="1">IF(ISNUMBER(M199),(J199-J189)/NETWORKDAYS(B189,B199,BankHolidays),NA())</f>
        <v>#N/A</v>
      </c>
      <c r="O199" s="44" t="e">
        <f t="shared" ca="1" si="27"/>
        <v>#N/A</v>
      </c>
      <c r="P199" s="53" t="e">
        <f t="shared" ca="1" si="22"/>
        <v>#N/A</v>
      </c>
      <c r="Q199" s="53" t="str">
        <f ca="1">IFERROR(DayByDayTable[[#This Row],[Lead Time]],"")</f>
        <v/>
      </c>
      <c r="R199" s="44" t="e">
        <f t="shared" ca="1" si="23"/>
        <v>#N/A</v>
      </c>
      <c r="S199" s="44">
        <f ca="1">ROUND(PERCENTILE(DayByDayTable[[#Data],[BlankLeadTime]],0.8),0)</f>
        <v>8</v>
      </c>
    </row>
    <row r="200" spans="1:19">
      <c r="A200" s="51">
        <f t="shared" si="24"/>
        <v>42691</v>
      </c>
      <c r="B200" s="11">
        <f t="shared" si="26"/>
        <v>42691</v>
      </c>
      <c r="C200" s="47">
        <f>SUMIFS('On The Board'!$M$5:$M$219,'On The Board'!F$5:F$219,"&lt;="&amp;$B200,'On The Board'!E$5:E$219,"="&amp;FutureWork)</f>
        <v>0</v>
      </c>
      <c r="D200" s="47" t="str">
        <f ca="1">IF(TodaysDate&gt;=B200,SUMIF('On The Board'!F$5:F$219,"&lt;="&amp;$B200,'On The Board'!$M$5:$M$219)-SUM(F200:J200),"")</f>
        <v/>
      </c>
      <c r="E200" s="12">
        <f ca="1">IF(TodaysDate&gt;=B200,SUMIF('On The Board'!F$5:F$219,"&lt;="&amp;$B200,'On The Board'!$M$5:$M$219)-SUM(F200:J200),E199)</f>
        <v>47</v>
      </c>
      <c r="F200" s="12">
        <f>SUMIF('On The Board'!G$5:G$219,"&lt;="&amp;$B200,'On The Board'!$M$5:$M$219)-SUM(G200:J200)</f>
        <v>0</v>
      </c>
      <c r="G200" s="12">
        <f>SUMIF('On The Board'!H$5:H$219,"&lt;="&amp;$B200,'On The Board'!$M$5:$M$219)-SUM(H200:J200)</f>
        <v>5</v>
      </c>
      <c r="H200" s="12">
        <f>SUMIF('On The Board'!I$5:I$219,"&lt;="&amp;$B200,'On The Board'!$M$5:$M$219)-SUM(I200,J200)</f>
        <v>2</v>
      </c>
      <c r="I200" s="12">
        <f>SUMIF('On The Board'!J$5:J$219,"&lt;="&amp;$B200,'On The Board'!$M$5:$M$219)-SUM(J200)</f>
        <v>0</v>
      </c>
      <c r="J200" s="12">
        <f>SUMIF('On The Board'!K$5:K$219,"&lt;="&amp;$B200,'On The Board'!$M$5:$M$219)</f>
        <v>70</v>
      </c>
      <c r="K200" s="10">
        <f t="shared" si="25"/>
        <v>77</v>
      </c>
      <c r="L200" s="10" t="e">
        <f ca="1">IF(TodaysDate&gt;=B200,SUM(F200:I200),NA())</f>
        <v>#N/A</v>
      </c>
      <c r="M200" s="44" t="e">
        <f t="shared" ca="1" si="21"/>
        <v>#N/A</v>
      </c>
      <c r="N200" s="44" t="e">
        <f ca="1">IF(ISNUMBER(M200),(J200-J190)/NETWORKDAYS(B190,B200,BankHolidays),NA())</f>
        <v>#N/A</v>
      </c>
      <c r="O200" s="44" t="e">
        <f t="shared" ca="1" si="27"/>
        <v>#N/A</v>
      </c>
      <c r="P200" s="53" t="e">
        <f t="shared" ca="1" si="22"/>
        <v>#N/A</v>
      </c>
      <c r="Q200" s="53" t="str">
        <f ca="1">IFERROR(DayByDayTable[[#This Row],[Lead Time]],"")</f>
        <v/>
      </c>
      <c r="R200" s="44" t="e">
        <f t="shared" ca="1" si="23"/>
        <v>#N/A</v>
      </c>
      <c r="S200" s="44">
        <f ca="1">ROUND(PERCENTILE(DayByDayTable[[#Data],[BlankLeadTime]],0.8),0)</f>
        <v>8</v>
      </c>
    </row>
    <row r="201" spans="1:19">
      <c r="A201" s="51">
        <f t="shared" si="24"/>
        <v>42692</v>
      </c>
      <c r="B201" s="11">
        <f t="shared" si="26"/>
        <v>42692</v>
      </c>
      <c r="C201" s="47">
        <f>SUMIFS('On The Board'!$M$5:$M$219,'On The Board'!F$5:F$219,"&lt;="&amp;$B201,'On The Board'!E$5:E$219,"="&amp;FutureWork)</f>
        <v>0</v>
      </c>
      <c r="D201" s="47" t="str">
        <f ca="1">IF(TodaysDate&gt;=B201,SUMIF('On The Board'!F$5:F$219,"&lt;="&amp;$B201,'On The Board'!$M$5:$M$219)-SUM(F201:J201),"")</f>
        <v/>
      </c>
      <c r="E201" s="12">
        <f ca="1">IF(TodaysDate&gt;=B201,SUMIF('On The Board'!F$5:F$219,"&lt;="&amp;$B201,'On The Board'!$M$5:$M$219)-SUM(F201:J201),E200)</f>
        <v>47</v>
      </c>
      <c r="F201" s="12">
        <f>SUMIF('On The Board'!G$5:G$219,"&lt;="&amp;$B201,'On The Board'!$M$5:$M$219)-SUM(G201:J201)</f>
        <v>0</v>
      </c>
      <c r="G201" s="12">
        <f>SUMIF('On The Board'!H$5:H$219,"&lt;="&amp;$B201,'On The Board'!$M$5:$M$219)-SUM(H201:J201)</f>
        <v>5</v>
      </c>
      <c r="H201" s="12">
        <f>SUMIF('On The Board'!I$5:I$219,"&lt;="&amp;$B201,'On The Board'!$M$5:$M$219)-SUM(I201,J201)</f>
        <v>2</v>
      </c>
      <c r="I201" s="12">
        <f>SUMIF('On The Board'!J$5:J$219,"&lt;="&amp;$B201,'On The Board'!$M$5:$M$219)-SUM(J201)</f>
        <v>0</v>
      </c>
      <c r="J201" s="12">
        <f>SUMIF('On The Board'!K$5:K$219,"&lt;="&amp;$B201,'On The Board'!$M$5:$M$219)</f>
        <v>70</v>
      </c>
      <c r="K201" s="10">
        <f t="shared" si="25"/>
        <v>77</v>
      </c>
      <c r="L201" s="10" t="e">
        <f ca="1">IF(TodaysDate&gt;=B201,SUM(F201:I201),NA())</f>
        <v>#N/A</v>
      </c>
      <c r="M201" s="44" t="e">
        <f t="shared" ca="1" si="21"/>
        <v>#N/A</v>
      </c>
      <c r="N201" s="44" t="e">
        <f ca="1">IF(ISNUMBER(M201),(J201-J191)/NETWORKDAYS(B191,B201,BankHolidays),NA())</f>
        <v>#N/A</v>
      </c>
      <c r="O201" s="44" t="e">
        <f t="shared" ca="1" si="27"/>
        <v>#N/A</v>
      </c>
      <c r="P201" s="53" t="e">
        <f t="shared" ca="1" si="22"/>
        <v>#N/A</v>
      </c>
      <c r="Q201" s="53" t="str">
        <f ca="1">IFERROR(DayByDayTable[[#This Row],[Lead Time]],"")</f>
        <v/>
      </c>
      <c r="R201" s="44" t="e">
        <f t="shared" ca="1" si="23"/>
        <v>#N/A</v>
      </c>
      <c r="S201" s="44">
        <f ca="1">ROUND(PERCENTILE(DayByDayTable[[#Data],[BlankLeadTime]],0.8),0)</f>
        <v>8</v>
      </c>
    </row>
    <row r="202" spans="1:19">
      <c r="A202" s="51">
        <f t="shared" si="24"/>
        <v>42695</v>
      </c>
      <c r="B202" s="11">
        <f t="shared" si="26"/>
        <v>42695</v>
      </c>
      <c r="C202" s="47">
        <f>SUMIFS('On The Board'!$M$5:$M$219,'On The Board'!F$5:F$219,"&lt;="&amp;$B202,'On The Board'!E$5:E$219,"="&amp;FutureWork)</f>
        <v>0</v>
      </c>
      <c r="D202" s="47" t="str">
        <f ca="1">IF(TodaysDate&gt;=B202,SUMIF('On The Board'!F$5:F$219,"&lt;="&amp;$B202,'On The Board'!$M$5:$M$219)-SUM(F202:J202),"")</f>
        <v/>
      </c>
      <c r="E202" s="12">
        <f ca="1">IF(TodaysDate&gt;=B202,SUMIF('On The Board'!F$5:F$219,"&lt;="&amp;$B202,'On The Board'!$M$5:$M$219)-SUM(F202:J202),E201)</f>
        <v>47</v>
      </c>
      <c r="F202" s="12">
        <f>SUMIF('On The Board'!G$5:G$219,"&lt;="&amp;$B202,'On The Board'!$M$5:$M$219)-SUM(G202:J202)</f>
        <v>0</v>
      </c>
      <c r="G202" s="12">
        <f>SUMIF('On The Board'!H$5:H$219,"&lt;="&amp;$B202,'On The Board'!$M$5:$M$219)-SUM(H202:J202)</f>
        <v>5</v>
      </c>
      <c r="H202" s="12">
        <f>SUMIF('On The Board'!I$5:I$219,"&lt;="&amp;$B202,'On The Board'!$M$5:$M$219)-SUM(I202,J202)</f>
        <v>2</v>
      </c>
      <c r="I202" s="12">
        <f>SUMIF('On The Board'!J$5:J$219,"&lt;="&amp;$B202,'On The Board'!$M$5:$M$219)-SUM(J202)</f>
        <v>0</v>
      </c>
      <c r="J202" s="12">
        <f>SUMIF('On The Board'!K$5:K$219,"&lt;="&amp;$B202,'On The Board'!$M$5:$M$219)</f>
        <v>70</v>
      </c>
      <c r="K202" s="10">
        <f t="shared" si="25"/>
        <v>77</v>
      </c>
      <c r="L202" s="10" t="e">
        <f ca="1">IF(TodaysDate&gt;=B202,SUM(F202:I202),NA())</f>
        <v>#N/A</v>
      </c>
      <c r="M202" s="44" t="e">
        <f t="shared" ca="1" si="21"/>
        <v>#N/A</v>
      </c>
      <c r="N202" s="44" t="e">
        <f ca="1">IF(ISNUMBER(M202),(J202-J192)/NETWORKDAYS(B192,B202,BankHolidays),NA())</f>
        <v>#N/A</v>
      </c>
      <c r="O202" s="44" t="e">
        <f t="shared" ca="1" si="27"/>
        <v>#N/A</v>
      </c>
      <c r="P202" s="53" t="e">
        <f t="shared" ca="1" si="22"/>
        <v>#N/A</v>
      </c>
      <c r="Q202" s="53" t="str">
        <f ca="1">IFERROR(DayByDayTable[[#This Row],[Lead Time]],"")</f>
        <v/>
      </c>
      <c r="R202" s="44" t="e">
        <f t="shared" ca="1" si="23"/>
        <v>#N/A</v>
      </c>
      <c r="S202" s="44">
        <f ca="1">ROUND(PERCENTILE(DayByDayTable[[#Data],[BlankLeadTime]],0.8),0)</f>
        <v>8</v>
      </c>
    </row>
    <row r="203" spans="1:19">
      <c r="A203" s="51">
        <f t="shared" si="24"/>
        <v>42696</v>
      </c>
      <c r="B203" s="11">
        <f t="shared" si="26"/>
        <v>42696</v>
      </c>
      <c r="C203" s="47">
        <f>SUMIFS('On The Board'!$M$5:$M$219,'On The Board'!F$5:F$219,"&lt;="&amp;$B203,'On The Board'!E$5:E$219,"="&amp;FutureWork)</f>
        <v>0</v>
      </c>
      <c r="D203" s="47" t="str">
        <f ca="1">IF(TodaysDate&gt;=B203,SUMIF('On The Board'!F$5:F$219,"&lt;="&amp;$B203,'On The Board'!$M$5:$M$219)-SUM(F203:J203),"")</f>
        <v/>
      </c>
      <c r="E203" s="12">
        <f ca="1">IF(TodaysDate&gt;=B203,SUMIF('On The Board'!F$5:F$219,"&lt;="&amp;$B203,'On The Board'!$M$5:$M$219)-SUM(F203:J203),E202)</f>
        <v>47</v>
      </c>
      <c r="F203" s="12">
        <f>SUMIF('On The Board'!G$5:G$219,"&lt;="&amp;$B203,'On The Board'!$M$5:$M$219)-SUM(G203:J203)</f>
        <v>0</v>
      </c>
      <c r="G203" s="12">
        <f>SUMIF('On The Board'!H$5:H$219,"&lt;="&amp;$B203,'On The Board'!$M$5:$M$219)-SUM(H203:J203)</f>
        <v>5</v>
      </c>
      <c r="H203" s="12">
        <f>SUMIF('On The Board'!I$5:I$219,"&lt;="&amp;$B203,'On The Board'!$M$5:$M$219)-SUM(I203,J203)</f>
        <v>2</v>
      </c>
      <c r="I203" s="12">
        <f>SUMIF('On The Board'!J$5:J$219,"&lt;="&amp;$B203,'On The Board'!$M$5:$M$219)-SUM(J203)</f>
        <v>0</v>
      </c>
      <c r="J203" s="12">
        <f>SUMIF('On The Board'!K$5:K$219,"&lt;="&amp;$B203,'On The Board'!$M$5:$M$219)</f>
        <v>70</v>
      </c>
      <c r="K203" s="10">
        <f t="shared" si="25"/>
        <v>77</v>
      </c>
      <c r="L203" s="10" t="e">
        <f ca="1">IF(TodaysDate&gt;=B203,SUM(F203:I203),NA())</f>
        <v>#N/A</v>
      </c>
      <c r="M203" s="44" t="e">
        <f t="shared" ca="1" si="21"/>
        <v>#N/A</v>
      </c>
      <c r="N203" s="44" t="e">
        <f ca="1">IF(ISNUMBER(M203),(J203-J193)/NETWORKDAYS(B193,B203,BankHolidays),NA())</f>
        <v>#N/A</v>
      </c>
      <c r="O203" s="44" t="e">
        <f t="shared" ca="1" si="27"/>
        <v>#N/A</v>
      </c>
      <c r="P203" s="53" t="e">
        <f t="shared" ca="1" si="22"/>
        <v>#N/A</v>
      </c>
      <c r="Q203" s="53" t="str">
        <f ca="1">IFERROR(DayByDayTable[[#This Row],[Lead Time]],"")</f>
        <v/>
      </c>
      <c r="R203" s="44" t="e">
        <f t="shared" ca="1" si="23"/>
        <v>#N/A</v>
      </c>
      <c r="S203" s="44">
        <f ca="1">ROUND(PERCENTILE(DayByDayTable[[#Data],[BlankLeadTime]],0.8),0)</f>
        <v>8</v>
      </c>
    </row>
    <row r="204" spans="1:19">
      <c r="A204" s="51">
        <f t="shared" si="24"/>
        <v>42697</v>
      </c>
      <c r="B204" s="11">
        <f t="shared" si="26"/>
        <v>42697</v>
      </c>
      <c r="C204" s="47">
        <f>SUMIFS('On The Board'!$M$5:$M$219,'On The Board'!F$5:F$219,"&lt;="&amp;$B204,'On The Board'!E$5:E$219,"="&amp;FutureWork)</f>
        <v>0</v>
      </c>
      <c r="D204" s="47" t="str">
        <f ca="1">IF(TodaysDate&gt;=B204,SUMIF('On The Board'!F$5:F$219,"&lt;="&amp;$B204,'On The Board'!$M$5:$M$219)-SUM(F204:J204),"")</f>
        <v/>
      </c>
      <c r="E204" s="12">
        <f ca="1">IF(TodaysDate&gt;=B204,SUMIF('On The Board'!F$5:F$219,"&lt;="&amp;$B204,'On The Board'!$M$5:$M$219)-SUM(F204:J204),E203)</f>
        <v>47</v>
      </c>
      <c r="F204" s="12">
        <f>SUMIF('On The Board'!G$5:G$219,"&lt;="&amp;$B204,'On The Board'!$M$5:$M$219)-SUM(G204:J204)</f>
        <v>0</v>
      </c>
      <c r="G204" s="12">
        <f>SUMIF('On The Board'!H$5:H$219,"&lt;="&amp;$B204,'On The Board'!$M$5:$M$219)-SUM(H204:J204)</f>
        <v>5</v>
      </c>
      <c r="H204" s="12">
        <f>SUMIF('On The Board'!I$5:I$219,"&lt;="&amp;$B204,'On The Board'!$M$5:$M$219)-SUM(I204,J204)</f>
        <v>2</v>
      </c>
      <c r="I204" s="12">
        <f>SUMIF('On The Board'!J$5:J$219,"&lt;="&amp;$B204,'On The Board'!$M$5:$M$219)-SUM(J204)</f>
        <v>0</v>
      </c>
      <c r="J204" s="12">
        <f>SUMIF('On The Board'!K$5:K$219,"&lt;="&amp;$B204,'On The Board'!$M$5:$M$219)</f>
        <v>70</v>
      </c>
      <c r="K204" s="10">
        <f t="shared" si="25"/>
        <v>77</v>
      </c>
      <c r="L204" s="10" t="e">
        <f ca="1">IF(TodaysDate&gt;=B204,SUM(F204:I204),NA())</f>
        <v>#N/A</v>
      </c>
      <c r="M204" s="44" t="e">
        <f t="shared" ca="1" si="21"/>
        <v>#N/A</v>
      </c>
      <c r="N204" s="44" t="e">
        <f ca="1">IF(ISNUMBER(M204),(J204-J194)/NETWORKDAYS(B194,B204,BankHolidays),NA())</f>
        <v>#N/A</v>
      </c>
      <c r="O204" s="44" t="e">
        <f t="shared" ca="1" si="27"/>
        <v>#N/A</v>
      </c>
      <c r="P204" s="53" t="e">
        <f t="shared" ca="1" si="22"/>
        <v>#N/A</v>
      </c>
      <c r="Q204" s="53" t="str">
        <f ca="1">IFERROR(DayByDayTable[[#This Row],[Lead Time]],"")</f>
        <v/>
      </c>
      <c r="R204" s="44" t="e">
        <f t="shared" ca="1" si="23"/>
        <v>#N/A</v>
      </c>
      <c r="S204" s="44">
        <f ca="1">ROUND(PERCENTILE(DayByDayTable[[#Data],[BlankLeadTime]],0.8),0)</f>
        <v>8</v>
      </c>
    </row>
    <row r="205" spans="1:19">
      <c r="A205" s="51">
        <f t="shared" si="24"/>
        <v>42698</v>
      </c>
      <c r="B205" s="11">
        <f t="shared" si="26"/>
        <v>42698</v>
      </c>
      <c r="C205" s="47">
        <f>SUMIFS('On The Board'!$M$5:$M$219,'On The Board'!F$5:F$219,"&lt;="&amp;$B205,'On The Board'!E$5:E$219,"="&amp;FutureWork)</f>
        <v>0</v>
      </c>
      <c r="D205" s="47" t="str">
        <f ca="1">IF(TodaysDate&gt;=B205,SUMIF('On The Board'!F$5:F$219,"&lt;="&amp;$B205,'On The Board'!$M$5:$M$219)-SUM(F205:J205),"")</f>
        <v/>
      </c>
      <c r="E205" s="12">
        <f ca="1">IF(TodaysDate&gt;=B205,SUMIF('On The Board'!F$5:F$219,"&lt;="&amp;$B205,'On The Board'!$M$5:$M$219)-SUM(F205:J205),E204)</f>
        <v>47</v>
      </c>
      <c r="F205" s="12">
        <f>SUMIF('On The Board'!G$5:G$219,"&lt;="&amp;$B205,'On The Board'!$M$5:$M$219)-SUM(G205:J205)</f>
        <v>0</v>
      </c>
      <c r="G205" s="12">
        <f>SUMIF('On The Board'!H$5:H$219,"&lt;="&amp;$B205,'On The Board'!$M$5:$M$219)-SUM(H205:J205)</f>
        <v>5</v>
      </c>
      <c r="H205" s="12">
        <f>SUMIF('On The Board'!I$5:I$219,"&lt;="&amp;$B205,'On The Board'!$M$5:$M$219)-SUM(I205,J205)</f>
        <v>2</v>
      </c>
      <c r="I205" s="12">
        <f>SUMIF('On The Board'!J$5:J$219,"&lt;="&amp;$B205,'On The Board'!$M$5:$M$219)-SUM(J205)</f>
        <v>0</v>
      </c>
      <c r="J205" s="12">
        <f>SUMIF('On The Board'!K$5:K$219,"&lt;="&amp;$B205,'On The Board'!$M$5:$M$219)</f>
        <v>70</v>
      </c>
      <c r="K205" s="10">
        <f t="shared" si="25"/>
        <v>77</v>
      </c>
      <c r="L205" s="10" t="e">
        <f ca="1">IF(TodaysDate&gt;=B205,SUM(F205:I205),NA())</f>
        <v>#N/A</v>
      </c>
      <c r="M205" s="44" t="e">
        <f t="shared" ref="M205:M268" ca="1" si="28">AVERAGE(L195:L205)</f>
        <v>#N/A</v>
      </c>
      <c r="N205" s="44" t="e">
        <f ca="1">IF(ISNUMBER(M205),(J205-J195)/NETWORKDAYS(B195,B205,BankHolidays),NA())</f>
        <v>#N/A</v>
      </c>
      <c r="O205" s="44" t="e">
        <f t="shared" ca="1" si="27"/>
        <v>#N/A</v>
      </c>
      <c r="P205" s="53" t="e">
        <f t="shared" ref="P205:P268" ca="1" si="29">AVERAGE(O195:O205)</f>
        <v>#N/A</v>
      </c>
      <c r="Q205" s="53" t="str">
        <f ca="1">IFERROR(DayByDayTable[[#This Row],[Lead Time]],"")</f>
        <v/>
      </c>
      <c r="R205" s="44" t="e">
        <f t="shared" ca="1" si="23"/>
        <v>#N/A</v>
      </c>
      <c r="S205" s="44">
        <f ca="1">ROUND(PERCENTILE(DayByDayTable[[#Data],[BlankLeadTime]],0.8),0)</f>
        <v>8</v>
      </c>
    </row>
    <row r="206" spans="1:19">
      <c r="A206" s="51">
        <f t="shared" si="24"/>
        <v>42699</v>
      </c>
      <c r="B206" s="11">
        <f t="shared" si="26"/>
        <v>42699</v>
      </c>
      <c r="C206" s="47">
        <f>SUMIFS('On The Board'!$M$5:$M$219,'On The Board'!F$5:F$219,"&lt;="&amp;$B206,'On The Board'!E$5:E$219,"="&amp;FutureWork)</f>
        <v>0</v>
      </c>
      <c r="D206" s="47" t="str">
        <f ca="1">IF(TodaysDate&gt;=B206,SUMIF('On The Board'!F$5:F$219,"&lt;="&amp;$B206,'On The Board'!$M$5:$M$219)-SUM(F206:J206),"")</f>
        <v/>
      </c>
      <c r="E206" s="12">
        <f ca="1">IF(TodaysDate&gt;=B206,SUMIF('On The Board'!F$5:F$219,"&lt;="&amp;$B206,'On The Board'!$M$5:$M$219)-SUM(F206:J206),E205)</f>
        <v>47</v>
      </c>
      <c r="F206" s="12">
        <f>SUMIF('On The Board'!G$5:G$219,"&lt;="&amp;$B206,'On The Board'!$M$5:$M$219)-SUM(G206:J206)</f>
        <v>0</v>
      </c>
      <c r="G206" s="12">
        <f>SUMIF('On The Board'!H$5:H$219,"&lt;="&amp;$B206,'On The Board'!$M$5:$M$219)-SUM(H206:J206)</f>
        <v>5</v>
      </c>
      <c r="H206" s="12">
        <f>SUMIF('On The Board'!I$5:I$219,"&lt;="&amp;$B206,'On The Board'!$M$5:$M$219)-SUM(I206,J206)</f>
        <v>2</v>
      </c>
      <c r="I206" s="12">
        <f>SUMIF('On The Board'!J$5:J$219,"&lt;="&amp;$B206,'On The Board'!$M$5:$M$219)-SUM(J206)</f>
        <v>0</v>
      </c>
      <c r="J206" s="12">
        <f>SUMIF('On The Board'!K$5:K$219,"&lt;="&amp;$B206,'On The Board'!$M$5:$M$219)</f>
        <v>70</v>
      </c>
      <c r="K206" s="10">
        <f t="shared" si="25"/>
        <v>77</v>
      </c>
      <c r="L206" s="10" t="e">
        <f ca="1">IF(TodaysDate&gt;=B206,SUM(F206:I206),NA())</f>
        <v>#N/A</v>
      </c>
      <c r="M206" s="44" t="e">
        <f t="shared" ca="1" si="28"/>
        <v>#N/A</v>
      </c>
      <c r="N206" s="44" t="e">
        <f ca="1">IF(ISNUMBER(M206),(J206-J196)/NETWORKDAYS(B196,B206,BankHolidays),NA())</f>
        <v>#N/A</v>
      </c>
      <c r="O206" s="44" t="e">
        <f t="shared" ca="1" si="27"/>
        <v>#N/A</v>
      </c>
      <c r="P206" s="53" t="e">
        <f t="shared" ca="1" si="29"/>
        <v>#N/A</v>
      </c>
      <c r="Q206" s="53" t="str">
        <f ca="1">IFERROR(DayByDayTable[[#This Row],[Lead Time]],"")</f>
        <v/>
      </c>
      <c r="R206" s="44" t="e">
        <f t="shared" ca="1" si="23"/>
        <v>#N/A</v>
      </c>
      <c r="S206" s="44">
        <f ca="1">ROUND(PERCENTILE(DayByDayTable[[#Data],[BlankLeadTime]],0.8),0)</f>
        <v>8</v>
      </c>
    </row>
    <row r="207" spans="1:19">
      <c r="A207" s="51">
        <f t="shared" si="24"/>
        <v>42702</v>
      </c>
      <c r="B207" s="11">
        <f t="shared" si="26"/>
        <v>42702</v>
      </c>
      <c r="C207" s="47">
        <f>SUMIFS('On The Board'!$M$5:$M$219,'On The Board'!F$5:F$219,"&lt;="&amp;$B207,'On The Board'!E$5:E$219,"="&amp;FutureWork)</f>
        <v>0</v>
      </c>
      <c r="D207" s="47" t="str">
        <f ca="1">IF(TodaysDate&gt;=B207,SUMIF('On The Board'!F$5:F$219,"&lt;="&amp;$B207,'On The Board'!$M$5:$M$219)-SUM(F207:J207),"")</f>
        <v/>
      </c>
      <c r="E207" s="12">
        <f ca="1">IF(TodaysDate&gt;=B207,SUMIF('On The Board'!F$5:F$219,"&lt;="&amp;$B207,'On The Board'!$M$5:$M$219)-SUM(F207:J207),E206)</f>
        <v>47</v>
      </c>
      <c r="F207" s="12">
        <f>SUMIF('On The Board'!G$5:G$219,"&lt;="&amp;$B207,'On The Board'!$M$5:$M$219)-SUM(G207:J207)</f>
        <v>0</v>
      </c>
      <c r="G207" s="12">
        <f>SUMIF('On The Board'!H$5:H$219,"&lt;="&amp;$B207,'On The Board'!$M$5:$M$219)-SUM(H207:J207)</f>
        <v>5</v>
      </c>
      <c r="H207" s="12">
        <f>SUMIF('On The Board'!I$5:I$219,"&lt;="&amp;$B207,'On The Board'!$M$5:$M$219)-SUM(I207,J207)</f>
        <v>2</v>
      </c>
      <c r="I207" s="12">
        <f>SUMIF('On The Board'!J$5:J$219,"&lt;="&amp;$B207,'On The Board'!$M$5:$M$219)-SUM(J207)</f>
        <v>0</v>
      </c>
      <c r="J207" s="12">
        <f>SUMIF('On The Board'!K$5:K$219,"&lt;="&amp;$B207,'On The Board'!$M$5:$M$219)</f>
        <v>70</v>
      </c>
      <c r="K207" s="10">
        <f t="shared" si="25"/>
        <v>77</v>
      </c>
      <c r="L207" s="10" t="e">
        <f ca="1">IF(TodaysDate&gt;=B207,SUM(F207:I207),NA())</f>
        <v>#N/A</v>
      </c>
      <c r="M207" s="44" t="e">
        <f t="shared" ca="1" si="28"/>
        <v>#N/A</v>
      </c>
      <c r="N207" s="44" t="e">
        <f ca="1">IF(ISNUMBER(M207),(J207-J197)/NETWORKDAYS(B197,B207,BankHolidays),NA())</f>
        <v>#N/A</v>
      </c>
      <c r="O207" s="44" t="e">
        <f t="shared" ca="1" si="27"/>
        <v>#N/A</v>
      </c>
      <c r="P207" s="53" t="e">
        <f t="shared" ca="1" si="29"/>
        <v>#N/A</v>
      </c>
      <c r="Q207" s="53" t="str">
        <f ca="1">IFERROR(DayByDayTable[[#This Row],[Lead Time]],"")</f>
        <v/>
      </c>
      <c r="R207" s="44" t="e">
        <f t="shared" ca="1" si="23"/>
        <v>#N/A</v>
      </c>
      <c r="S207" s="44">
        <f ca="1">ROUND(PERCENTILE(DayByDayTable[[#Data],[BlankLeadTime]],0.8),0)</f>
        <v>8</v>
      </c>
    </row>
    <row r="208" spans="1:19">
      <c r="A208" s="51">
        <f t="shared" si="24"/>
        <v>42703</v>
      </c>
      <c r="B208" s="11">
        <f t="shared" si="26"/>
        <v>42703</v>
      </c>
      <c r="C208" s="47">
        <f>SUMIFS('On The Board'!$M$5:$M$219,'On The Board'!F$5:F$219,"&lt;="&amp;$B208,'On The Board'!E$5:E$219,"="&amp;FutureWork)</f>
        <v>0</v>
      </c>
      <c r="D208" s="47" t="str">
        <f ca="1">IF(TodaysDate&gt;=B208,SUMIF('On The Board'!F$5:F$219,"&lt;="&amp;$B208,'On The Board'!$M$5:$M$219)-SUM(F208:J208),"")</f>
        <v/>
      </c>
      <c r="E208" s="12">
        <f ca="1">IF(TodaysDate&gt;=B208,SUMIF('On The Board'!F$5:F$219,"&lt;="&amp;$B208,'On The Board'!$M$5:$M$219)-SUM(F208:J208),E207)</f>
        <v>47</v>
      </c>
      <c r="F208" s="12">
        <f>SUMIF('On The Board'!G$5:G$219,"&lt;="&amp;$B208,'On The Board'!$M$5:$M$219)-SUM(G208:J208)</f>
        <v>0</v>
      </c>
      <c r="G208" s="12">
        <f>SUMIF('On The Board'!H$5:H$219,"&lt;="&amp;$B208,'On The Board'!$M$5:$M$219)-SUM(H208:J208)</f>
        <v>5</v>
      </c>
      <c r="H208" s="12">
        <f>SUMIF('On The Board'!I$5:I$219,"&lt;="&amp;$B208,'On The Board'!$M$5:$M$219)-SUM(I208,J208)</f>
        <v>2</v>
      </c>
      <c r="I208" s="12">
        <f>SUMIF('On The Board'!J$5:J$219,"&lt;="&amp;$B208,'On The Board'!$M$5:$M$219)-SUM(J208)</f>
        <v>0</v>
      </c>
      <c r="J208" s="12">
        <f>SUMIF('On The Board'!K$5:K$219,"&lt;="&amp;$B208,'On The Board'!$M$5:$M$219)</f>
        <v>70</v>
      </c>
      <c r="K208" s="10">
        <f t="shared" si="25"/>
        <v>77</v>
      </c>
      <c r="L208" s="10" t="e">
        <f ca="1">IF(TodaysDate&gt;=B208,SUM(F208:I208),NA())</f>
        <v>#N/A</v>
      </c>
      <c r="M208" s="44" t="e">
        <f t="shared" ca="1" si="28"/>
        <v>#N/A</v>
      </c>
      <c r="N208" s="44" t="e">
        <f ca="1">IF(ISNUMBER(M208),(J208-J198)/NETWORKDAYS(B198,B208,BankHolidays),NA())</f>
        <v>#N/A</v>
      </c>
      <c r="O208" s="44" t="e">
        <f t="shared" ca="1" si="27"/>
        <v>#N/A</v>
      </c>
      <c r="P208" s="53" t="e">
        <f t="shared" ca="1" si="29"/>
        <v>#N/A</v>
      </c>
      <c r="Q208" s="53" t="str">
        <f ca="1">IFERROR(DayByDayTable[[#This Row],[Lead Time]],"")</f>
        <v/>
      </c>
      <c r="R208" s="44" t="e">
        <f t="shared" ref="R208:R271" ca="1" si="30">PERCENTILE(O197:O208,0.8)</f>
        <v>#N/A</v>
      </c>
      <c r="S208" s="44">
        <f ca="1">ROUND(PERCENTILE(DayByDayTable[[#Data],[BlankLeadTime]],0.8),0)</f>
        <v>8</v>
      </c>
    </row>
    <row r="209" spans="1:19">
      <c r="A209" s="51">
        <f t="shared" si="24"/>
        <v>42704</v>
      </c>
      <c r="B209" s="11">
        <f t="shared" si="26"/>
        <v>42704</v>
      </c>
      <c r="C209" s="47">
        <f>SUMIFS('On The Board'!$M$5:$M$219,'On The Board'!F$5:F$219,"&lt;="&amp;$B209,'On The Board'!E$5:E$219,"="&amp;FutureWork)</f>
        <v>0</v>
      </c>
      <c r="D209" s="47" t="str">
        <f ca="1">IF(TodaysDate&gt;=B209,SUMIF('On The Board'!F$5:F$219,"&lt;="&amp;$B209,'On The Board'!$M$5:$M$219)-SUM(F209:J209),"")</f>
        <v/>
      </c>
      <c r="E209" s="12">
        <f ca="1">IF(TodaysDate&gt;=B209,SUMIF('On The Board'!F$5:F$219,"&lt;="&amp;$B209,'On The Board'!$M$5:$M$219)-SUM(F209:J209),E208)</f>
        <v>47</v>
      </c>
      <c r="F209" s="12">
        <f>SUMIF('On The Board'!G$5:G$219,"&lt;="&amp;$B209,'On The Board'!$M$5:$M$219)-SUM(G209:J209)</f>
        <v>0</v>
      </c>
      <c r="G209" s="12">
        <f>SUMIF('On The Board'!H$5:H$219,"&lt;="&amp;$B209,'On The Board'!$M$5:$M$219)-SUM(H209:J209)</f>
        <v>5</v>
      </c>
      <c r="H209" s="12">
        <f>SUMIF('On The Board'!I$5:I$219,"&lt;="&amp;$B209,'On The Board'!$M$5:$M$219)-SUM(I209,J209)</f>
        <v>2</v>
      </c>
      <c r="I209" s="12">
        <f>SUMIF('On The Board'!J$5:J$219,"&lt;="&amp;$B209,'On The Board'!$M$5:$M$219)-SUM(J209)</f>
        <v>0</v>
      </c>
      <c r="J209" s="12">
        <f>SUMIF('On The Board'!K$5:K$219,"&lt;="&amp;$B209,'On The Board'!$M$5:$M$219)</f>
        <v>70</v>
      </c>
      <c r="K209" s="10">
        <f t="shared" si="25"/>
        <v>77</v>
      </c>
      <c r="L209" s="10" t="e">
        <f ca="1">IF(TodaysDate&gt;=B209,SUM(F209:I209),NA())</f>
        <v>#N/A</v>
      </c>
      <c r="M209" s="44" t="e">
        <f t="shared" ca="1" si="28"/>
        <v>#N/A</v>
      </c>
      <c r="N209" s="44" t="e">
        <f ca="1">IF(ISNUMBER(M209),(J209-J199)/NETWORKDAYS(B199,B209,BankHolidays),NA())</f>
        <v>#N/A</v>
      </c>
      <c r="O209" s="44" t="e">
        <f t="shared" ca="1" si="27"/>
        <v>#N/A</v>
      </c>
      <c r="P209" s="53" t="e">
        <f t="shared" ca="1" si="29"/>
        <v>#N/A</v>
      </c>
      <c r="Q209" s="53" t="str">
        <f ca="1">IFERROR(DayByDayTable[[#This Row],[Lead Time]],"")</f>
        <v/>
      </c>
      <c r="R209" s="44" t="e">
        <f t="shared" ca="1" si="30"/>
        <v>#N/A</v>
      </c>
      <c r="S209" s="44">
        <f ca="1">ROUND(PERCENTILE(DayByDayTable[[#Data],[BlankLeadTime]],0.8),0)</f>
        <v>8</v>
      </c>
    </row>
    <row r="210" spans="1:19">
      <c r="A210" s="51">
        <f t="shared" si="24"/>
        <v>42705</v>
      </c>
      <c r="B210" s="11">
        <f t="shared" si="26"/>
        <v>42705</v>
      </c>
      <c r="C210" s="47">
        <f>SUMIFS('On The Board'!$M$5:$M$219,'On The Board'!F$5:F$219,"&lt;="&amp;$B210,'On The Board'!E$5:E$219,"="&amp;FutureWork)</f>
        <v>0</v>
      </c>
      <c r="D210" s="47" t="str">
        <f ca="1">IF(TodaysDate&gt;=B210,SUMIF('On The Board'!F$5:F$219,"&lt;="&amp;$B210,'On The Board'!$M$5:$M$219)-SUM(F210:J210),"")</f>
        <v/>
      </c>
      <c r="E210" s="12">
        <f ca="1">IF(TodaysDate&gt;=B210,SUMIF('On The Board'!F$5:F$219,"&lt;="&amp;$B210,'On The Board'!$M$5:$M$219)-SUM(F210:J210),E209)</f>
        <v>47</v>
      </c>
      <c r="F210" s="12">
        <f>SUMIF('On The Board'!G$5:G$219,"&lt;="&amp;$B210,'On The Board'!$M$5:$M$219)-SUM(G210:J210)</f>
        <v>0</v>
      </c>
      <c r="G210" s="12">
        <f>SUMIF('On The Board'!H$5:H$219,"&lt;="&amp;$B210,'On The Board'!$M$5:$M$219)-SUM(H210:J210)</f>
        <v>5</v>
      </c>
      <c r="H210" s="12">
        <f>SUMIF('On The Board'!I$5:I$219,"&lt;="&amp;$B210,'On The Board'!$M$5:$M$219)-SUM(I210,J210)</f>
        <v>2</v>
      </c>
      <c r="I210" s="12">
        <f>SUMIF('On The Board'!J$5:J$219,"&lt;="&amp;$B210,'On The Board'!$M$5:$M$219)-SUM(J210)</f>
        <v>0</v>
      </c>
      <c r="J210" s="12">
        <f>SUMIF('On The Board'!K$5:K$219,"&lt;="&amp;$B210,'On The Board'!$M$5:$M$219)</f>
        <v>70</v>
      </c>
      <c r="K210" s="10">
        <f t="shared" si="25"/>
        <v>77</v>
      </c>
      <c r="L210" s="10" t="e">
        <f ca="1">IF(TodaysDate&gt;=B210,SUM(F210:I210),NA())</f>
        <v>#N/A</v>
      </c>
      <c r="M210" s="44" t="e">
        <f t="shared" ca="1" si="28"/>
        <v>#N/A</v>
      </c>
      <c r="N210" s="44" t="e">
        <f ca="1">IF(ISNUMBER(M210),(J210-J200)/NETWORKDAYS(B200,B210,BankHolidays),NA())</f>
        <v>#N/A</v>
      </c>
      <c r="O210" s="44" t="e">
        <f t="shared" ca="1" si="27"/>
        <v>#N/A</v>
      </c>
      <c r="P210" s="53" t="e">
        <f t="shared" ca="1" si="29"/>
        <v>#N/A</v>
      </c>
      <c r="Q210" s="53" t="str">
        <f ca="1">IFERROR(DayByDayTable[[#This Row],[Lead Time]],"")</f>
        <v/>
      </c>
      <c r="R210" s="44" t="e">
        <f t="shared" ca="1" si="30"/>
        <v>#N/A</v>
      </c>
      <c r="S210" s="44">
        <f ca="1">ROUND(PERCENTILE(DayByDayTable[[#Data],[BlankLeadTime]],0.8),0)</f>
        <v>8</v>
      </c>
    </row>
    <row r="211" spans="1:19">
      <c r="A211" s="51">
        <f t="shared" si="24"/>
        <v>42706</v>
      </c>
      <c r="B211" s="11">
        <f t="shared" si="26"/>
        <v>42706</v>
      </c>
      <c r="C211" s="47">
        <f>SUMIFS('On The Board'!$M$5:$M$219,'On The Board'!F$5:F$219,"&lt;="&amp;$B211,'On The Board'!E$5:E$219,"="&amp;FutureWork)</f>
        <v>0</v>
      </c>
      <c r="D211" s="47" t="str">
        <f ca="1">IF(TodaysDate&gt;=B211,SUMIF('On The Board'!F$5:F$219,"&lt;="&amp;$B211,'On The Board'!$M$5:$M$219)-SUM(F211:J211),"")</f>
        <v/>
      </c>
      <c r="E211" s="12">
        <f ca="1">IF(TodaysDate&gt;=B211,SUMIF('On The Board'!F$5:F$219,"&lt;="&amp;$B211,'On The Board'!$M$5:$M$219)-SUM(F211:J211),E210)</f>
        <v>47</v>
      </c>
      <c r="F211" s="12">
        <f>SUMIF('On The Board'!G$5:G$219,"&lt;="&amp;$B211,'On The Board'!$M$5:$M$219)-SUM(G211:J211)</f>
        <v>0</v>
      </c>
      <c r="G211" s="12">
        <f>SUMIF('On The Board'!H$5:H$219,"&lt;="&amp;$B211,'On The Board'!$M$5:$M$219)-SUM(H211:J211)</f>
        <v>5</v>
      </c>
      <c r="H211" s="12">
        <f>SUMIF('On The Board'!I$5:I$219,"&lt;="&amp;$B211,'On The Board'!$M$5:$M$219)-SUM(I211,J211)</f>
        <v>2</v>
      </c>
      <c r="I211" s="12">
        <f>SUMIF('On The Board'!J$5:J$219,"&lt;="&amp;$B211,'On The Board'!$M$5:$M$219)-SUM(J211)</f>
        <v>0</v>
      </c>
      <c r="J211" s="12">
        <f>SUMIF('On The Board'!K$5:K$219,"&lt;="&amp;$B211,'On The Board'!$M$5:$M$219)</f>
        <v>70</v>
      </c>
      <c r="K211" s="10">
        <f t="shared" si="25"/>
        <v>77</v>
      </c>
      <c r="L211" s="10" t="e">
        <f ca="1">IF(TodaysDate&gt;=B211,SUM(F211:I211),NA())</f>
        <v>#N/A</v>
      </c>
      <c r="M211" s="44" t="e">
        <f t="shared" ca="1" si="28"/>
        <v>#N/A</v>
      </c>
      <c r="N211" s="44" t="e">
        <f ca="1">IF(ISNUMBER(M211),(J211-J201)/NETWORKDAYS(B201,B211,BankHolidays),NA())</f>
        <v>#N/A</v>
      </c>
      <c r="O211" s="44" t="e">
        <f t="shared" ca="1" si="27"/>
        <v>#N/A</v>
      </c>
      <c r="P211" s="53" t="e">
        <f t="shared" ca="1" si="29"/>
        <v>#N/A</v>
      </c>
      <c r="Q211" s="53" t="str">
        <f ca="1">IFERROR(DayByDayTable[[#This Row],[Lead Time]],"")</f>
        <v/>
      </c>
      <c r="R211" s="44" t="e">
        <f t="shared" ca="1" si="30"/>
        <v>#N/A</v>
      </c>
      <c r="S211" s="44">
        <f ca="1">ROUND(PERCENTILE(DayByDayTable[[#Data],[BlankLeadTime]],0.8),0)</f>
        <v>8</v>
      </c>
    </row>
    <row r="212" spans="1:19">
      <c r="A212" s="51">
        <f t="shared" si="24"/>
        <v>42709</v>
      </c>
      <c r="B212" s="11">
        <f t="shared" si="26"/>
        <v>42709</v>
      </c>
      <c r="C212" s="47">
        <f>SUMIFS('On The Board'!$M$5:$M$219,'On The Board'!F$5:F$219,"&lt;="&amp;$B212,'On The Board'!E$5:E$219,"="&amp;FutureWork)</f>
        <v>0</v>
      </c>
      <c r="D212" s="47" t="str">
        <f ca="1">IF(TodaysDate&gt;=B212,SUMIF('On The Board'!F$5:F$219,"&lt;="&amp;$B212,'On The Board'!$M$5:$M$219)-SUM(F212:J212),"")</f>
        <v/>
      </c>
      <c r="E212" s="12">
        <f ca="1">IF(TodaysDate&gt;=B212,SUMIF('On The Board'!F$5:F$219,"&lt;="&amp;$B212,'On The Board'!$M$5:$M$219)-SUM(F212:J212),E211)</f>
        <v>47</v>
      </c>
      <c r="F212" s="12">
        <f>SUMIF('On The Board'!G$5:G$219,"&lt;="&amp;$B212,'On The Board'!$M$5:$M$219)-SUM(G212:J212)</f>
        <v>0</v>
      </c>
      <c r="G212" s="12">
        <f>SUMIF('On The Board'!H$5:H$219,"&lt;="&amp;$B212,'On The Board'!$M$5:$M$219)-SUM(H212:J212)</f>
        <v>5</v>
      </c>
      <c r="H212" s="12">
        <f>SUMIF('On The Board'!I$5:I$219,"&lt;="&amp;$B212,'On The Board'!$M$5:$M$219)-SUM(I212,J212)</f>
        <v>2</v>
      </c>
      <c r="I212" s="12">
        <f>SUMIF('On The Board'!J$5:J$219,"&lt;="&amp;$B212,'On The Board'!$M$5:$M$219)-SUM(J212)</f>
        <v>0</v>
      </c>
      <c r="J212" s="12">
        <f>SUMIF('On The Board'!K$5:K$219,"&lt;="&amp;$B212,'On The Board'!$M$5:$M$219)</f>
        <v>70</v>
      </c>
      <c r="K212" s="10">
        <f t="shared" si="25"/>
        <v>77</v>
      </c>
      <c r="L212" s="10" t="e">
        <f ca="1">IF(TodaysDate&gt;=B212,SUM(F212:I212),NA())</f>
        <v>#N/A</v>
      </c>
      <c r="M212" s="44" t="e">
        <f t="shared" ca="1" si="28"/>
        <v>#N/A</v>
      </c>
      <c r="N212" s="44" t="e">
        <f ca="1">IF(ISNUMBER(M212),(J212-J202)/NETWORKDAYS(B202,B212,BankHolidays),NA())</f>
        <v>#N/A</v>
      </c>
      <c r="O212" s="44" t="e">
        <f t="shared" ca="1" si="27"/>
        <v>#N/A</v>
      </c>
      <c r="P212" s="53" t="e">
        <f t="shared" ca="1" si="29"/>
        <v>#N/A</v>
      </c>
      <c r="Q212" s="53" t="str">
        <f ca="1">IFERROR(DayByDayTable[[#This Row],[Lead Time]],"")</f>
        <v/>
      </c>
      <c r="R212" s="44" t="e">
        <f t="shared" ca="1" si="30"/>
        <v>#N/A</v>
      </c>
      <c r="S212" s="44">
        <f ca="1">ROUND(PERCENTILE(DayByDayTable[[#Data],[BlankLeadTime]],0.8),0)</f>
        <v>8</v>
      </c>
    </row>
    <row r="213" spans="1:19">
      <c r="A213" s="51">
        <f t="shared" si="24"/>
        <v>42710</v>
      </c>
      <c r="B213" s="11">
        <f t="shared" si="26"/>
        <v>42710</v>
      </c>
      <c r="C213" s="47">
        <f>SUMIFS('On The Board'!$M$5:$M$219,'On The Board'!F$5:F$219,"&lt;="&amp;$B213,'On The Board'!E$5:E$219,"="&amp;FutureWork)</f>
        <v>0</v>
      </c>
      <c r="D213" s="47" t="str">
        <f ca="1">IF(TodaysDate&gt;=B213,SUMIF('On The Board'!F$5:F$219,"&lt;="&amp;$B213,'On The Board'!$M$5:$M$219)-SUM(F213:J213),"")</f>
        <v/>
      </c>
      <c r="E213" s="12">
        <f ca="1">IF(TodaysDate&gt;=B213,SUMIF('On The Board'!F$5:F$219,"&lt;="&amp;$B213,'On The Board'!$M$5:$M$219)-SUM(F213:J213),E212)</f>
        <v>47</v>
      </c>
      <c r="F213" s="12">
        <f>SUMIF('On The Board'!G$5:G$219,"&lt;="&amp;$B213,'On The Board'!$M$5:$M$219)-SUM(G213:J213)</f>
        <v>0</v>
      </c>
      <c r="G213" s="12">
        <f>SUMIF('On The Board'!H$5:H$219,"&lt;="&amp;$B213,'On The Board'!$M$5:$M$219)-SUM(H213:J213)</f>
        <v>5</v>
      </c>
      <c r="H213" s="12">
        <f>SUMIF('On The Board'!I$5:I$219,"&lt;="&amp;$B213,'On The Board'!$M$5:$M$219)-SUM(I213,J213)</f>
        <v>2</v>
      </c>
      <c r="I213" s="12">
        <f>SUMIF('On The Board'!J$5:J$219,"&lt;="&amp;$B213,'On The Board'!$M$5:$M$219)-SUM(J213)</f>
        <v>0</v>
      </c>
      <c r="J213" s="12">
        <f>SUMIF('On The Board'!K$5:K$219,"&lt;="&amp;$B213,'On The Board'!$M$5:$M$219)</f>
        <v>70</v>
      </c>
      <c r="K213" s="10">
        <f t="shared" si="25"/>
        <v>77</v>
      </c>
      <c r="L213" s="10" t="e">
        <f ca="1">IF(TodaysDate&gt;=B213,SUM(F213:I213),NA())</f>
        <v>#N/A</v>
      </c>
      <c r="M213" s="44" t="e">
        <f t="shared" ca="1" si="28"/>
        <v>#N/A</v>
      </c>
      <c r="N213" s="44" t="e">
        <f ca="1">IF(ISNUMBER(M213),(J213-J203)/NETWORKDAYS(B203,B213,BankHolidays),NA())</f>
        <v>#N/A</v>
      </c>
      <c r="O213" s="44" t="e">
        <f t="shared" ca="1" si="27"/>
        <v>#N/A</v>
      </c>
      <c r="P213" s="53" t="e">
        <f t="shared" ca="1" si="29"/>
        <v>#N/A</v>
      </c>
      <c r="Q213" s="53" t="str">
        <f ca="1">IFERROR(DayByDayTable[[#This Row],[Lead Time]],"")</f>
        <v/>
      </c>
      <c r="R213" s="44" t="e">
        <f t="shared" ca="1" si="30"/>
        <v>#N/A</v>
      </c>
      <c r="S213" s="44">
        <f ca="1">ROUND(PERCENTILE(DayByDayTable[[#Data],[BlankLeadTime]],0.8),0)</f>
        <v>8</v>
      </c>
    </row>
    <row r="214" spans="1:19">
      <c r="A214" s="51">
        <f t="shared" si="24"/>
        <v>42711</v>
      </c>
      <c r="B214" s="11">
        <f t="shared" si="26"/>
        <v>42711</v>
      </c>
      <c r="C214" s="47">
        <f>SUMIFS('On The Board'!$M$5:$M$219,'On The Board'!F$5:F$219,"&lt;="&amp;$B214,'On The Board'!E$5:E$219,"="&amp;FutureWork)</f>
        <v>0</v>
      </c>
      <c r="D214" s="47" t="str">
        <f ca="1">IF(TodaysDate&gt;=B214,SUMIF('On The Board'!F$5:F$219,"&lt;="&amp;$B214,'On The Board'!$M$5:$M$219)-SUM(F214:J214),"")</f>
        <v/>
      </c>
      <c r="E214" s="12">
        <f ca="1">IF(TodaysDate&gt;=B214,SUMIF('On The Board'!F$5:F$219,"&lt;="&amp;$B214,'On The Board'!$M$5:$M$219)-SUM(F214:J214),E213)</f>
        <v>47</v>
      </c>
      <c r="F214" s="12">
        <f>SUMIF('On The Board'!G$5:G$219,"&lt;="&amp;$B214,'On The Board'!$M$5:$M$219)-SUM(G214:J214)</f>
        <v>0</v>
      </c>
      <c r="G214" s="12">
        <f>SUMIF('On The Board'!H$5:H$219,"&lt;="&amp;$B214,'On The Board'!$M$5:$M$219)-SUM(H214:J214)</f>
        <v>5</v>
      </c>
      <c r="H214" s="12">
        <f>SUMIF('On The Board'!I$5:I$219,"&lt;="&amp;$B214,'On The Board'!$M$5:$M$219)-SUM(I214,J214)</f>
        <v>2</v>
      </c>
      <c r="I214" s="12">
        <f>SUMIF('On The Board'!J$5:J$219,"&lt;="&amp;$B214,'On The Board'!$M$5:$M$219)-SUM(J214)</f>
        <v>0</v>
      </c>
      <c r="J214" s="12">
        <f>SUMIF('On The Board'!K$5:K$219,"&lt;="&amp;$B214,'On The Board'!$M$5:$M$219)</f>
        <v>70</v>
      </c>
      <c r="K214" s="10">
        <f t="shared" si="25"/>
        <v>77</v>
      </c>
      <c r="L214" s="10" t="e">
        <f ca="1">IF(TodaysDate&gt;=B214,SUM(F214:I214),NA())</f>
        <v>#N/A</v>
      </c>
      <c r="M214" s="44" t="e">
        <f t="shared" ca="1" si="28"/>
        <v>#N/A</v>
      </c>
      <c r="N214" s="44" t="e">
        <f ca="1">IF(ISNUMBER(M214),(J214-J204)/NETWORKDAYS(B204,B214,BankHolidays),NA())</f>
        <v>#N/A</v>
      </c>
      <c r="O214" s="44" t="e">
        <f t="shared" ca="1" si="27"/>
        <v>#N/A</v>
      </c>
      <c r="P214" s="53" t="e">
        <f t="shared" ca="1" si="29"/>
        <v>#N/A</v>
      </c>
      <c r="Q214" s="53" t="str">
        <f ca="1">IFERROR(DayByDayTable[[#This Row],[Lead Time]],"")</f>
        <v/>
      </c>
      <c r="R214" s="44" t="e">
        <f t="shared" ca="1" si="30"/>
        <v>#N/A</v>
      </c>
      <c r="S214" s="44">
        <f ca="1">ROUND(PERCENTILE(DayByDayTable[[#Data],[BlankLeadTime]],0.8),0)</f>
        <v>8</v>
      </c>
    </row>
    <row r="215" spans="1:19">
      <c r="A215" s="51">
        <f t="shared" si="24"/>
        <v>42712</v>
      </c>
      <c r="B215" s="11">
        <f t="shared" si="26"/>
        <v>42712</v>
      </c>
      <c r="C215" s="47">
        <f>SUMIFS('On The Board'!$M$5:$M$219,'On The Board'!F$5:F$219,"&lt;="&amp;$B215,'On The Board'!E$5:E$219,"="&amp;FutureWork)</f>
        <v>0</v>
      </c>
      <c r="D215" s="47" t="str">
        <f ca="1">IF(TodaysDate&gt;=B215,SUMIF('On The Board'!F$5:F$219,"&lt;="&amp;$B215,'On The Board'!$M$5:$M$219)-SUM(F215:J215),"")</f>
        <v/>
      </c>
      <c r="E215" s="12">
        <f ca="1">IF(TodaysDate&gt;=B215,SUMIF('On The Board'!F$5:F$219,"&lt;="&amp;$B215,'On The Board'!$M$5:$M$219)-SUM(F215:J215),E214)</f>
        <v>47</v>
      </c>
      <c r="F215" s="12">
        <f>SUMIF('On The Board'!G$5:G$219,"&lt;="&amp;$B215,'On The Board'!$M$5:$M$219)-SUM(G215:J215)</f>
        <v>0</v>
      </c>
      <c r="G215" s="12">
        <f>SUMIF('On The Board'!H$5:H$219,"&lt;="&amp;$B215,'On The Board'!$M$5:$M$219)-SUM(H215:J215)</f>
        <v>5</v>
      </c>
      <c r="H215" s="12">
        <f>SUMIF('On The Board'!I$5:I$219,"&lt;="&amp;$B215,'On The Board'!$M$5:$M$219)-SUM(I215,J215)</f>
        <v>2</v>
      </c>
      <c r="I215" s="12">
        <f>SUMIF('On The Board'!J$5:J$219,"&lt;="&amp;$B215,'On The Board'!$M$5:$M$219)-SUM(J215)</f>
        <v>0</v>
      </c>
      <c r="J215" s="12">
        <f>SUMIF('On The Board'!K$5:K$219,"&lt;="&amp;$B215,'On The Board'!$M$5:$M$219)</f>
        <v>70</v>
      </c>
      <c r="K215" s="10">
        <f t="shared" si="25"/>
        <v>77</v>
      </c>
      <c r="L215" s="10" t="e">
        <f ca="1">IF(TodaysDate&gt;=B215,SUM(F215:I215),NA())</f>
        <v>#N/A</v>
      </c>
      <c r="M215" s="44" t="e">
        <f t="shared" ca="1" si="28"/>
        <v>#N/A</v>
      </c>
      <c r="N215" s="44" t="e">
        <f ca="1">IF(ISNUMBER(M215),(J215-J205)/NETWORKDAYS(B205,B215,BankHolidays),NA())</f>
        <v>#N/A</v>
      </c>
      <c r="O215" s="44" t="e">
        <f t="shared" ca="1" si="27"/>
        <v>#N/A</v>
      </c>
      <c r="P215" s="53" t="e">
        <f t="shared" ca="1" si="29"/>
        <v>#N/A</v>
      </c>
      <c r="Q215" s="53" t="str">
        <f ca="1">IFERROR(DayByDayTable[[#This Row],[Lead Time]],"")</f>
        <v/>
      </c>
      <c r="R215" s="44" t="e">
        <f t="shared" ca="1" si="30"/>
        <v>#N/A</v>
      </c>
      <c r="S215" s="44">
        <f ca="1">ROUND(PERCENTILE(DayByDayTable[[#Data],[BlankLeadTime]],0.8),0)</f>
        <v>8</v>
      </c>
    </row>
    <row r="216" spans="1:19">
      <c r="A216" s="51">
        <f t="shared" si="24"/>
        <v>42713</v>
      </c>
      <c r="B216" s="11">
        <f t="shared" si="26"/>
        <v>42713</v>
      </c>
      <c r="C216" s="47">
        <f>SUMIFS('On The Board'!$M$5:$M$219,'On The Board'!F$5:F$219,"&lt;="&amp;$B216,'On The Board'!E$5:E$219,"="&amp;FutureWork)</f>
        <v>0</v>
      </c>
      <c r="D216" s="47" t="str">
        <f ca="1">IF(TodaysDate&gt;=B216,SUMIF('On The Board'!F$5:F$219,"&lt;="&amp;$B216,'On The Board'!$M$5:$M$219)-SUM(F216:J216),"")</f>
        <v/>
      </c>
      <c r="E216" s="12">
        <f ca="1">IF(TodaysDate&gt;=B216,SUMIF('On The Board'!F$5:F$219,"&lt;="&amp;$B216,'On The Board'!$M$5:$M$219)-SUM(F216:J216),E215)</f>
        <v>47</v>
      </c>
      <c r="F216" s="12">
        <f>SUMIF('On The Board'!G$5:G$219,"&lt;="&amp;$B216,'On The Board'!$M$5:$M$219)-SUM(G216:J216)</f>
        <v>0</v>
      </c>
      <c r="G216" s="12">
        <f>SUMIF('On The Board'!H$5:H$219,"&lt;="&amp;$B216,'On The Board'!$M$5:$M$219)-SUM(H216:J216)</f>
        <v>5</v>
      </c>
      <c r="H216" s="12">
        <f>SUMIF('On The Board'!I$5:I$219,"&lt;="&amp;$B216,'On The Board'!$M$5:$M$219)-SUM(I216,J216)</f>
        <v>2</v>
      </c>
      <c r="I216" s="12">
        <f>SUMIF('On The Board'!J$5:J$219,"&lt;="&amp;$B216,'On The Board'!$M$5:$M$219)-SUM(J216)</f>
        <v>0</v>
      </c>
      <c r="J216" s="12">
        <f>SUMIF('On The Board'!K$5:K$219,"&lt;="&amp;$B216,'On The Board'!$M$5:$M$219)</f>
        <v>70</v>
      </c>
      <c r="K216" s="10">
        <f t="shared" si="25"/>
        <v>77</v>
      </c>
      <c r="L216" s="10" t="e">
        <f ca="1">IF(TodaysDate&gt;=B216,SUM(F216:I216),NA())</f>
        <v>#N/A</v>
      </c>
      <c r="M216" s="44" t="e">
        <f t="shared" ca="1" si="28"/>
        <v>#N/A</v>
      </c>
      <c r="N216" s="44" t="e">
        <f ca="1">IF(ISNUMBER(M216),(J216-J206)/NETWORKDAYS(B206,B216,BankHolidays),NA())</f>
        <v>#N/A</v>
      </c>
      <c r="O216" s="44" t="e">
        <f t="shared" ca="1" si="27"/>
        <v>#N/A</v>
      </c>
      <c r="P216" s="53" t="e">
        <f t="shared" ca="1" si="29"/>
        <v>#N/A</v>
      </c>
      <c r="Q216" s="53" t="str">
        <f ca="1">IFERROR(DayByDayTable[[#This Row],[Lead Time]],"")</f>
        <v/>
      </c>
      <c r="R216" s="44" t="e">
        <f t="shared" ca="1" si="30"/>
        <v>#N/A</v>
      </c>
      <c r="S216" s="44">
        <f ca="1">ROUND(PERCENTILE(DayByDayTable[[#Data],[BlankLeadTime]],0.8),0)</f>
        <v>8</v>
      </c>
    </row>
    <row r="217" spans="1:19">
      <c r="A217" s="51">
        <f t="shared" si="24"/>
        <v>42716</v>
      </c>
      <c r="B217" s="11">
        <f t="shared" si="26"/>
        <v>42716</v>
      </c>
      <c r="C217" s="47">
        <f>SUMIFS('On The Board'!$M$5:$M$219,'On The Board'!F$5:F$219,"&lt;="&amp;$B217,'On The Board'!E$5:E$219,"="&amp;FutureWork)</f>
        <v>0</v>
      </c>
      <c r="D217" s="47" t="str">
        <f ca="1">IF(TodaysDate&gt;=B217,SUMIF('On The Board'!F$5:F$219,"&lt;="&amp;$B217,'On The Board'!$M$5:$M$219)-SUM(F217:J217),"")</f>
        <v/>
      </c>
      <c r="E217" s="12">
        <f ca="1">IF(TodaysDate&gt;=B217,SUMIF('On The Board'!F$5:F$219,"&lt;="&amp;$B217,'On The Board'!$M$5:$M$219)-SUM(F217:J217),E216)</f>
        <v>47</v>
      </c>
      <c r="F217" s="12">
        <f>SUMIF('On The Board'!G$5:G$219,"&lt;="&amp;$B217,'On The Board'!$M$5:$M$219)-SUM(G217:J217)</f>
        <v>0</v>
      </c>
      <c r="G217" s="12">
        <f>SUMIF('On The Board'!H$5:H$219,"&lt;="&amp;$B217,'On The Board'!$M$5:$M$219)-SUM(H217:J217)</f>
        <v>5</v>
      </c>
      <c r="H217" s="12">
        <f>SUMIF('On The Board'!I$5:I$219,"&lt;="&amp;$B217,'On The Board'!$M$5:$M$219)-SUM(I217,J217)</f>
        <v>2</v>
      </c>
      <c r="I217" s="12">
        <f>SUMIF('On The Board'!J$5:J$219,"&lt;="&amp;$B217,'On The Board'!$M$5:$M$219)-SUM(J217)</f>
        <v>0</v>
      </c>
      <c r="J217" s="12">
        <f>SUMIF('On The Board'!K$5:K$219,"&lt;="&amp;$B217,'On The Board'!$M$5:$M$219)</f>
        <v>70</v>
      </c>
      <c r="K217" s="10">
        <f t="shared" si="25"/>
        <v>77</v>
      </c>
      <c r="L217" s="10" t="e">
        <f ca="1">IF(TodaysDate&gt;=B217,SUM(F217:I217),NA())</f>
        <v>#N/A</v>
      </c>
      <c r="M217" s="44" t="e">
        <f t="shared" ca="1" si="28"/>
        <v>#N/A</v>
      </c>
      <c r="N217" s="44" t="e">
        <f ca="1">IF(ISNUMBER(M217),(J217-J207)/NETWORKDAYS(B207,B217,BankHolidays),NA())</f>
        <v>#N/A</v>
      </c>
      <c r="O217" s="44" t="e">
        <f t="shared" ca="1" si="27"/>
        <v>#N/A</v>
      </c>
      <c r="P217" s="53" t="e">
        <f t="shared" ca="1" si="29"/>
        <v>#N/A</v>
      </c>
      <c r="Q217" s="53" t="str">
        <f ca="1">IFERROR(DayByDayTable[[#This Row],[Lead Time]],"")</f>
        <v/>
      </c>
      <c r="R217" s="44" t="e">
        <f t="shared" ca="1" si="30"/>
        <v>#N/A</v>
      </c>
      <c r="S217" s="44">
        <f ca="1">ROUND(PERCENTILE(DayByDayTable[[#Data],[BlankLeadTime]],0.8),0)</f>
        <v>8</v>
      </c>
    </row>
    <row r="218" spans="1:19">
      <c r="A218" s="51">
        <f t="shared" si="24"/>
        <v>42717</v>
      </c>
      <c r="B218" s="11">
        <f t="shared" si="26"/>
        <v>42717</v>
      </c>
      <c r="C218" s="47">
        <f>SUMIFS('On The Board'!$M$5:$M$219,'On The Board'!F$5:F$219,"&lt;="&amp;$B218,'On The Board'!E$5:E$219,"="&amp;FutureWork)</f>
        <v>0</v>
      </c>
      <c r="D218" s="47" t="str">
        <f ca="1">IF(TodaysDate&gt;=B218,SUMIF('On The Board'!F$5:F$219,"&lt;="&amp;$B218,'On The Board'!$M$5:$M$219)-SUM(F218:J218),"")</f>
        <v/>
      </c>
      <c r="E218" s="12">
        <f ca="1">IF(TodaysDate&gt;=B218,SUMIF('On The Board'!F$5:F$219,"&lt;="&amp;$B218,'On The Board'!$M$5:$M$219)-SUM(F218:J218),E217)</f>
        <v>47</v>
      </c>
      <c r="F218" s="12">
        <f>SUMIF('On The Board'!G$5:G$219,"&lt;="&amp;$B218,'On The Board'!$M$5:$M$219)-SUM(G218:J218)</f>
        <v>0</v>
      </c>
      <c r="G218" s="12">
        <f>SUMIF('On The Board'!H$5:H$219,"&lt;="&amp;$B218,'On The Board'!$M$5:$M$219)-SUM(H218:J218)</f>
        <v>5</v>
      </c>
      <c r="H218" s="12">
        <f>SUMIF('On The Board'!I$5:I$219,"&lt;="&amp;$B218,'On The Board'!$M$5:$M$219)-SUM(I218,J218)</f>
        <v>2</v>
      </c>
      <c r="I218" s="12">
        <f>SUMIF('On The Board'!J$5:J$219,"&lt;="&amp;$B218,'On The Board'!$M$5:$M$219)-SUM(J218)</f>
        <v>0</v>
      </c>
      <c r="J218" s="12">
        <f>SUMIF('On The Board'!K$5:K$219,"&lt;="&amp;$B218,'On The Board'!$M$5:$M$219)</f>
        <v>70</v>
      </c>
      <c r="K218" s="10">
        <f t="shared" si="25"/>
        <v>77</v>
      </c>
      <c r="L218" s="10" t="e">
        <f ca="1">IF(TodaysDate&gt;=B218,SUM(F218:I218),NA())</f>
        <v>#N/A</v>
      </c>
      <c r="M218" s="44" t="e">
        <f t="shared" ca="1" si="28"/>
        <v>#N/A</v>
      </c>
      <c r="N218" s="44" t="e">
        <f ca="1">IF(ISNUMBER(M218),(J218-J208)/NETWORKDAYS(B208,B218,BankHolidays),NA())</f>
        <v>#N/A</v>
      </c>
      <c r="O218" s="44" t="e">
        <f t="shared" ca="1" si="27"/>
        <v>#N/A</v>
      </c>
      <c r="P218" s="53" t="e">
        <f t="shared" ca="1" si="29"/>
        <v>#N/A</v>
      </c>
      <c r="Q218" s="53" t="str">
        <f ca="1">IFERROR(DayByDayTable[[#This Row],[Lead Time]],"")</f>
        <v/>
      </c>
      <c r="R218" s="44" t="e">
        <f t="shared" ca="1" si="30"/>
        <v>#N/A</v>
      </c>
      <c r="S218" s="44">
        <f ca="1">ROUND(PERCENTILE(DayByDayTable[[#Data],[BlankLeadTime]],0.8),0)</f>
        <v>8</v>
      </c>
    </row>
    <row r="219" spans="1:19">
      <c r="A219" s="51">
        <f t="shared" si="24"/>
        <v>42718</v>
      </c>
      <c r="B219" s="11">
        <f t="shared" si="26"/>
        <v>42718</v>
      </c>
      <c r="C219" s="47">
        <f>SUMIFS('On The Board'!$M$5:$M$219,'On The Board'!F$5:F$219,"&lt;="&amp;$B219,'On The Board'!E$5:E$219,"="&amp;FutureWork)</f>
        <v>0</v>
      </c>
      <c r="D219" s="47" t="str">
        <f ca="1">IF(TodaysDate&gt;=B219,SUMIF('On The Board'!F$5:F$219,"&lt;="&amp;$B219,'On The Board'!$M$5:$M$219)-SUM(F219:J219),"")</f>
        <v/>
      </c>
      <c r="E219" s="12">
        <f ca="1">IF(TodaysDate&gt;=B219,SUMIF('On The Board'!F$5:F$219,"&lt;="&amp;$B219,'On The Board'!$M$5:$M$219)-SUM(F219:J219),E218)</f>
        <v>47</v>
      </c>
      <c r="F219" s="12">
        <f>SUMIF('On The Board'!G$5:G$219,"&lt;="&amp;$B219,'On The Board'!$M$5:$M$219)-SUM(G219:J219)</f>
        <v>0</v>
      </c>
      <c r="G219" s="12">
        <f>SUMIF('On The Board'!H$5:H$219,"&lt;="&amp;$B219,'On The Board'!$M$5:$M$219)-SUM(H219:J219)</f>
        <v>5</v>
      </c>
      <c r="H219" s="12">
        <f>SUMIF('On The Board'!I$5:I$219,"&lt;="&amp;$B219,'On The Board'!$M$5:$M$219)-SUM(I219,J219)</f>
        <v>2</v>
      </c>
      <c r="I219" s="12">
        <f>SUMIF('On The Board'!J$5:J$219,"&lt;="&amp;$B219,'On The Board'!$M$5:$M$219)-SUM(J219)</f>
        <v>0</v>
      </c>
      <c r="J219" s="12">
        <f>SUMIF('On The Board'!K$5:K$219,"&lt;="&amp;$B219,'On The Board'!$M$5:$M$219)</f>
        <v>70</v>
      </c>
      <c r="K219" s="10">
        <f t="shared" si="25"/>
        <v>77</v>
      </c>
      <c r="L219" s="10" t="e">
        <f ca="1">IF(TodaysDate&gt;=B219,SUM(F219:I219),NA())</f>
        <v>#N/A</v>
      </c>
      <c r="M219" s="44" t="e">
        <f t="shared" ca="1" si="28"/>
        <v>#N/A</v>
      </c>
      <c r="N219" s="44" t="e">
        <f ca="1">IF(ISNUMBER(M219),(J219-J209)/NETWORKDAYS(B209,B219,BankHolidays),NA())</f>
        <v>#N/A</v>
      </c>
      <c r="O219" s="44" t="e">
        <f t="shared" ca="1" si="27"/>
        <v>#N/A</v>
      </c>
      <c r="P219" s="53" t="e">
        <f t="shared" ca="1" si="29"/>
        <v>#N/A</v>
      </c>
      <c r="Q219" s="53" t="str">
        <f ca="1">IFERROR(DayByDayTable[[#This Row],[Lead Time]],"")</f>
        <v/>
      </c>
      <c r="R219" s="44" t="e">
        <f t="shared" ca="1" si="30"/>
        <v>#N/A</v>
      </c>
      <c r="S219" s="44">
        <f ca="1">ROUND(PERCENTILE(DayByDayTable[[#Data],[BlankLeadTime]],0.8),0)</f>
        <v>8</v>
      </c>
    </row>
    <row r="220" spans="1:19">
      <c r="A220" s="51">
        <f t="shared" si="24"/>
        <v>42719</v>
      </c>
      <c r="B220" s="11">
        <f t="shared" si="26"/>
        <v>42719</v>
      </c>
      <c r="C220" s="47">
        <f>SUMIFS('On The Board'!$M$5:$M$219,'On The Board'!F$5:F$219,"&lt;="&amp;$B220,'On The Board'!E$5:E$219,"="&amp;FutureWork)</f>
        <v>0</v>
      </c>
      <c r="D220" s="47" t="str">
        <f ca="1">IF(TodaysDate&gt;=B220,SUMIF('On The Board'!F$5:F$219,"&lt;="&amp;$B220,'On The Board'!$M$5:$M$219)-SUM(F220:J220),"")</f>
        <v/>
      </c>
      <c r="E220" s="12">
        <f ca="1">IF(TodaysDate&gt;=B220,SUMIF('On The Board'!F$5:F$219,"&lt;="&amp;$B220,'On The Board'!$M$5:$M$219)-SUM(F220:J220),E219)</f>
        <v>47</v>
      </c>
      <c r="F220" s="12">
        <f>SUMIF('On The Board'!G$5:G$219,"&lt;="&amp;$B220,'On The Board'!$M$5:$M$219)-SUM(G220:J220)</f>
        <v>0</v>
      </c>
      <c r="G220" s="12">
        <f>SUMIF('On The Board'!H$5:H$219,"&lt;="&amp;$B220,'On The Board'!$M$5:$M$219)-SUM(H220:J220)</f>
        <v>5</v>
      </c>
      <c r="H220" s="12">
        <f>SUMIF('On The Board'!I$5:I$219,"&lt;="&amp;$B220,'On The Board'!$M$5:$M$219)-SUM(I220,J220)</f>
        <v>2</v>
      </c>
      <c r="I220" s="12">
        <f>SUMIF('On The Board'!J$5:J$219,"&lt;="&amp;$B220,'On The Board'!$M$5:$M$219)-SUM(J220)</f>
        <v>0</v>
      </c>
      <c r="J220" s="12">
        <f>SUMIF('On The Board'!K$5:K$219,"&lt;="&amp;$B220,'On The Board'!$M$5:$M$219)</f>
        <v>70</v>
      </c>
      <c r="K220" s="10">
        <f t="shared" si="25"/>
        <v>77</v>
      </c>
      <c r="L220" s="10" t="e">
        <f ca="1">IF(TodaysDate&gt;=B220,SUM(F220:I220),NA())</f>
        <v>#N/A</v>
      </c>
      <c r="M220" s="44" t="e">
        <f t="shared" ca="1" si="28"/>
        <v>#N/A</v>
      </c>
      <c r="N220" s="44" t="e">
        <f ca="1">IF(ISNUMBER(M220),(J220-J210)/NETWORKDAYS(B210,B220,BankHolidays),NA())</f>
        <v>#N/A</v>
      </c>
      <c r="O220" s="44" t="e">
        <f t="shared" ca="1" si="27"/>
        <v>#N/A</v>
      </c>
      <c r="P220" s="53" t="e">
        <f t="shared" ca="1" si="29"/>
        <v>#N/A</v>
      </c>
      <c r="Q220" s="53" t="str">
        <f ca="1">IFERROR(DayByDayTable[[#This Row],[Lead Time]],"")</f>
        <v/>
      </c>
      <c r="R220" s="44" t="e">
        <f t="shared" ca="1" si="30"/>
        <v>#N/A</v>
      </c>
      <c r="S220" s="44">
        <f ca="1">ROUND(PERCENTILE(DayByDayTable[[#Data],[BlankLeadTime]],0.8),0)</f>
        <v>8</v>
      </c>
    </row>
    <row r="221" spans="1:19">
      <c r="A221" s="51">
        <f t="shared" si="24"/>
        <v>42720</v>
      </c>
      <c r="B221" s="11">
        <f t="shared" si="26"/>
        <v>42720</v>
      </c>
      <c r="C221" s="47">
        <f>SUMIFS('On The Board'!$M$5:$M$219,'On The Board'!F$5:F$219,"&lt;="&amp;$B221,'On The Board'!E$5:E$219,"="&amp;FutureWork)</f>
        <v>0</v>
      </c>
      <c r="D221" s="47" t="str">
        <f ca="1">IF(TodaysDate&gt;=B221,SUMIF('On The Board'!F$5:F$219,"&lt;="&amp;$B221,'On The Board'!$M$5:$M$219)-SUM(F221:J221),"")</f>
        <v/>
      </c>
      <c r="E221" s="12">
        <f ca="1">IF(TodaysDate&gt;=B221,SUMIF('On The Board'!F$5:F$219,"&lt;="&amp;$B221,'On The Board'!$M$5:$M$219)-SUM(F221:J221),E220)</f>
        <v>47</v>
      </c>
      <c r="F221" s="12">
        <f>SUMIF('On The Board'!G$5:G$219,"&lt;="&amp;$B221,'On The Board'!$M$5:$M$219)-SUM(G221:J221)</f>
        <v>0</v>
      </c>
      <c r="G221" s="12">
        <f>SUMIF('On The Board'!H$5:H$219,"&lt;="&amp;$B221,'On The Board'!$M$5:$M$219)-SUM(H221:J221)</f>
        <v>5</v>
      </c>
      <c r="H221" s="12">
        <f>SUMIF('On The Board'!I$5:I$219,"&lt;="&amp;$B221,'On The Board'!$M$5:$M$219)-SUM(I221,J221)</f>
        <v>2</v>
      </c>
      <c r="I221" s="12">
        <f>SUMIF('On The Board'!J$5:J$219,"&lt;="&amp;$B221,'On The Board'!$M$5:$M$219)-SUM(J221)</f>
        <v>0</v>
      </c>
      <c r="J221" s="12">
        <f>SUMIF('On The Board'!K$5:K$219,"&lt;="&amp;$B221,'On The Board'!$M$5:$M$219)</f>
        <v>70</v>
      </c>
      <c r="K221" s="10">
        <f t="shared" si="25"/>
        <v>77</v>
      </c>
      <c r="L221" s="10" t="e">
        <f ca="1">IF(TodaysDate&gt;=B221,SUM(F221:I221),NA())</f>
        <v>#N/A</v>
      </c>
      <c r="M221" s="44" t="e">
        <f t="shared" ca="1" si="28"/>
        <v>#N/A</v>
      </c>
      <c r="N221" s="44" t="e">
        <f ca="1">IF(ISNUMBER(M221),(J221-J211)/NETWORKDAYS(B211,B221,BankHolidays),NA())</f>
        <v>#N/A</v>
      </c>
      <c r="O221" s="44" t="e">
        <f t="shared" ca="1" si="27"/>
        <v>#N/A</v>
      </c>
      <c r="P221" s="53" t="e">
        <f t="shared" ca="1" si="29"/>
        <v>#N/A</v>
      </c>
      <c r="Q221" s="53" t="str">
        <f ca="1">IFERROR(DayByDayTable[[#This Row],[Lead Time]],"")</f>
        <v/>
      </c>
      <c r="R221" s="44" t="e">
        <f t="shared" ca="1" si="30"/>
        <v>#N/A</v>
      </c>
      <c r="S221" s="44">
        <f ca="1">ROUND(PERCENTILE(DayByDayTable[[#Data],[BlankLeadTime]],0.8),0)</f>
        <v>8</v>
      </c>
    </row>
    <row r="222" spans="1:19">
      <c r="A222" s="51">
        <f t="shared" si="24"/>
        <v>42723</v>
      </c>
      <c r="B222" s="11">
        <f t="shared" si="26"/>
        <v>42723</v>
      </c>
      <c r="C222" s="47">
        <f>SUMIFS('On The Board'!$M$5:$M$219,'On The Board'!F$5:F$219,"&lt;="&amp;$B222,'On The Board'!E$5:E$219,"="&amp;FutureWork)</f>
        <v>0</v>
      </c>
      <c r="D222" s="47" t="str">
        <f ca="1">IF(TodaysDate&gt;=B222,SUMIF('On The Board'!F$5:F$219,"&lt;="&amp;$B222,'On The Board'!$M$5:$M$219)-SUM(F222:J222),"")</f>
        <v/>
      </c>
      <c r="E222" s="12">
        <f ca="1">IF(TodaysDate&gt;=B222,SUMIF('On The Board'!F$5:F$219,"&lt;="&amp;$B222,'On The Board'!$M$5:$M$219)-SUM(F222:J222),E221)</f>
        <v>47</v>
      </c>
      <c r="F222" s="12">
        <f>SUMIF('On The Board'!G$5:G$219,"&lt;="&amp;$B222,'On The Board'!$M$5:$M$219)-SUM(G222:J222)</f>
        <v>0</v>
      </c>
      <c r="G222" s="12">
        <f>SUMIF('On The Board'!H$5:H$219,"&lt;="&amp;$B222,'On The Board'!$M$5:$M$219)-SUM(H222:J222)</f>
        <v>5</v>
      </c>
      <c r="H222" s="12">
        <f>SUMIF('On The Board'!I$5:I$219,"&lt;="&amp;$B222,'On The Board'!$M$5:$M$219)-SUM(I222,J222)</f>
        <v>2</v>
      </c>
      <c r="I222" s="12">
        <f>SUMIF('On The Board'!J$5:J$219,"&lt;="&amp;$B222,'On The Board'!$M$5:$M$219)-SUM(J222)</f>
        <v>0</v>
      </c>
      <c r="J222" s="12">
        <f>SUMIF('On The Board'!K$5:K$219,"&lt;="&amp;$B222,'On The Board'!$M$5:$M$219)</f>
        <v>70</v>
      </c>
      <c r="K222" s="10">
        <f t="shared" si="25"/>
        <v>77</v>
      </c>
      <c r="L222" s="10" t="e">
        <f ca="1">IF(TodaysDate&gt;=B222,SUM(F222:I222),NA())</f>
        <v>#N/A</v>
      </c>
      <c r="M222" s="44" t="e">
        <f t="shared" ca="1" si="28"/>
        <v>#N/A</v>
      </c>
      <c r="N222" s="44" t="e">
        <f ca="1">IF(ISNUMBER(M222),(J222-J212)/NETWORKDAYS(B212,B222,BankHolidays),NA())</f>
        <v>#N/A</v>
      </c>
      <c r="O222" s="44" t="e">
        <f t="shared" ca="1" si="27"/>
        <v>#N/A</v>
      </c>
      <c r="P222" s="53" t="e">
        <f t="shared" ca="1" si="29"/>
        <v>#N/A</v>
      </c>
      <c r="Q222" s="53" t="str">
        <f ca="1">IFERROR(DayByDayTable[[#This Row],[Lead Time]],"")</f>
        <v/>
      </c>
      <c r="R222" s="44" t="e">
        <f t="shared" ca="1" si="30"/>
        <v>#N/A</v>
      </c>
      <c r="S222" s="44">
        <f ca="1">ROUND(PERCENTILE(DayByDayTable[[#Data],[BlankLeadTime]],0.8),0)</f>
        <v>8</v>
      </c>
    </row>
    <row r="223" spans="1:19">
      <c r="A223" s="51">
        <f t="shared" si="24"/>
        <v>42724</v>
      </c>
      <c r="B223" s="11">
        <f t="shared" si="26"/>
        <v>42724</v>
      </c>
      <c r="C223" s="47">
        <f>SUMIFS('On The Board'!$M$5:$M$219,'On The Board'!F$5:F$219,"&lt;="&amp;$B223,'On The Board'!E$5:E$219,"="&amp;FutureWork)</f>
        <v>0</v>
      </c>
      <c r="D223" s="47" t="str">
        <f ca="1">IF(TodaysDate&gt;=B223,SUMIF('On The Board'!F$5:F$219,"&lt;="&amp;$B223,'On The Board'!$M$5:$M$219)-SUM(F223:J223),"")</f>
        <v/>
      </c>
      <c r="E223" s="12">
        <f ca="1">IF(TodaysDate&gt;=B223,SUMIF('On The Board'!F$5:F$219,"&lt;="&amp;$B223,'On The Board'!$M$5:$M$219)-SUM(F223:J223),E222)</f>
        <v>47</v>
      </c>
      <c r="F223" s="12">
        <f>SUMIF('On The Board'!G$5:G$219,"&lt;="&amp;$B223,'On The Board'!$M$5:$M$219)-SUM(G223:J223)</f>
        <v>0</v>
      </c>
      <c r="G223" s="12">
        <f>SUMIF('On The Board'!H$5:H$219,"&lt;="&amp;$B223,'On The Board'!$M$5:$M$219)-SUM(H223:J223)</f>
        <v>5</v>
      </c>
      <c r="H223" s="12">
        <f>SUMIF('On The Board'!I$5:I$219,"&lt;="&amp;$B223,'On The Board'!$M$5:$M$219)-SUM(I223,J223)</f>
        <v>2</v>
      </c>
      <c r="I223" s="12">
        <f>SUMIF('On The Board'!J$5:J$219,"&lt;="&amp;$B223,'On The Board'!$M$5:$M$219)-SUM(J223)</f>
        <v>0</v>
      </c>
      <c r="J223" s="12">
        <f>SUMIF('On The Board'!K$5:K$219,"&lt;="&amp;$B223,'On The Board'!$M$5:$M$219)</f>
        <v>70</v>
      </c>
      <c r="K223" s="10">
        <f t="shared" si="25"/>
        <v>77</v>
      </c>
      <c r="L223" s="10" t="e">
        <f ca="1">IF(TodaysDate&gt;=B223,SUM(F223:I223),NA())</f>
        <v>#N/A</v>
      </c>
      <c r="M223" s="44" t="e">
        <f t="shared" ca="1" si="28"/>
        <v>#N/A</v>
      </c>
      <c r="N223" s="44" t="e">
        <f ca="1">IF(ISNUMBER(M223),(J223-J213)/NETWORKDAYS(B213,B223,BankHolidays),NA())</f>
        <v>#N/A</v>
      </c>
      <c r="O223" s="44" t="e">
        <f t="shared" ca="1" si="27"/>
        <v>#N/A</v>
      </c>
      <c r="P223" s="53" t="e">
        <f t="shared" ca="1" si="29"/>
        <v>#N/A</v>
      </c>
      <c r="Q223" s="53" t="str">
        <f ca="1">IFERROR(DayByDayTable[[#This Row],[Lead Time]],"")</f>
        <v/>
      </c>
      <c r="R223" s="44" t="e">
        <f t="shared" ca="1" si="30"/>
        <v>#N/A</v>
      </c>
      <c r="S223" s="44">
        <f ca="1">ROUND(PERCENTILE(DayByDayTable[[#Data],[BlankLeadTime]],0.8),0)</f>
        <v>8</v>
      </c>
    </row>
    <row r="224" spans="1:19">
      <c r="A224" s="51">
        <f t="shared" si="24"/>
        <v>42725</v>
      </c>
      <c r="B224" s="11">
        <f t="shared" si="26"/>
        <v>42725</v>
      </c>
      <c r="C224" s="47">
        <f>SUMIFS('On The Board'!$M$5:$M$219,'On The Board'!F$5:F$219,"&lt;="&amp;$B224,'On The Board'!E$5:E$219,"="&amp;FutureWork)</f>
        <v>0</v>
      </c>
      <c r="D224" s="47" t="str">
        <f ca="1">IF(TodaysDate&gt;=B224,SUMIF('On The Board'!F$5:F$219,"&lt;="&amp;$B224,'On The Board'!$M$5:$M$219)-SUM(F224:J224),"")</f>
        <v/>
      </c>
      <c r="E224" s="12">
        <f ca="1">IF(TodaysDate&gt;=B224,SUMIF('On The Board'!F$5:F$219,"&lt;="&amp;$B224,'On The Board'!$M$5:$M$219)-SUM(F224:J224),E223)</f>
        <v>47</v>
      </c>
      <c r="F224" s="12">
        <f>SUMIF('On The Board'!G$5:G$219,"&lt;="&amp;$B224,'On The Board'!$M$5:$M$219)-SUM(G224:J224)</f>
        <v>0</v>
      </c>
      <c r="G224" s="12">
        <f>SUMIF('On The Board'!H$5:H$219,"&lt;="&amp;$B224,'On The Board'!$M$5:$M$219)-SUM(H224:J224)</f>
        <v>5</v>
      </c>
      <c r="H224" s="12">
        <f>SUMIF('On The Board'!I$5:I$219,"&lt;="&amp;$B224,'On The Board'!$M$5:$M$219)-SUM(I224,J224)</f>
        <v>2</v>
      </c>
      <c r="I224" s="12">
        <f>SUMIF('On The Board'!J$5:J$219,"&lt;="&amp;$B224,'On The Board'!$M$5:$M$219)-SUM(J224)</f>
        <v>0</v>
      </c>
      <c r="J224" s="12">
        <f>SUMIF('On The Board'!K$5:K$219,"&lt;="&amp;$B224,'On The Board'!$M$5:$M$219)</f>
        <v>70</v>
      </c>
      <c r="K224" s="10">
        <f t="shared" si="25"/>
        <v>77</v>
      </c>
      <c r="L224" s="10" t="e">
        <f ca="1">IF(TodaysDate&gt;=B224,SUM(F224:I224),NA())</f>
        <v>#N/A</v>
      </c>
      <c r="M224" s="44" t="e">
        <f t="shared" ca="1" si="28"/>
        <v>#N/A</v>
      </c>
      <c r="N224" s="44" t="e">
        <f ca="1">IF(ISNUMBER(M224),(J224-J214)/NETWORKDAYS(B214,B224,BankHolidays),NA())</f>
        <v>#N/A</v>
      </c>
      <c r="O224" s="44" t="e">
        <f t="shared" ca="1" si="27"/>
        <v>#N/A</v>
      </c>
      <c r="P224" s="53" t="e">
        <f t="shared" ca="1" si="29"/>
        <v>#N/A</v>
      </c>
      <c r="Q224" s="53" t="str">
        <f ca="1">IFERROR(DayByDayTable[[#This Row],[Lead Time]],"")</f>
        <v/>
      </c>
      <c r="R224" s="44" t="e">
        <f t="shared" ca="1" si="30"/>
        <v>#N/A</v>
      </c>
      <c r="S224" s="44">
        <f ca="1">ROUND(PERCENTILE(DayByDayTable[[#Data],[BlankLeadTime]],0.8),0)</f>
        <v>8</v>
      </c>
    </row>
    <row r="225" spans="1:19">
      <c r="A225" s="51">
        <f t="shared" si="24"/>
        <v>42726</v>
      </c>
      <c r="B225" s="11">
        <f t="shared" si="26"/>
        <v>42726</v>
      </c>
      <c r="C225" s="47">
        <f>SUMIFS('On The Board'!$M$5:$M$219,'On The Board'!F$5:F$219,"&lt;="&amp;$B225,'On The Board'!E$5:E$219,"="&amp;FutureWork)</f>
        <v>0</v>
      </c>
      <c r="D225" s="47" t="str">
        <f ca="1">IF(TodaysDate&gt;=B225,SUMIF('On The Board'!F$5:F$219,"&lt;="&amp;$B225,'On The Board'!$M$5:$M$219)-SUM(F225:J225),"")</f>
        <v/>
      </c>
      <c r="E225" s="12">
        <f ca="1">IF(TodaysDate&gt;=B225,SUMIF('On The Board'!F$5:F$219,"&lt;="&amp;$B225,'On The Board'!$M$5:$M$219)-SUM(F225:J225),E224)</f>
        <v>47</v>
      </c>
      <c r="F225" s="12">
        <f>SUMIF('On The Board'!G$5:G$219,"&lt;="&amp;$B225,'On The Board'!$M$5:$M$219)-SUM(G225:J225)</f>
        <v>0</v>
      </c>
      <c r="G225" s="12">
        <f>SUMIF('On The Board'!H$5:H$219,"&lt;="&amp;$B225,'On The Board'!$M$5:$M$219)-SUM(H225:J225)</f>
        <v>5</v>
      </c>
      <c r="H225" s="12">
        <f>SUMIF('On The Board'!I$5:I$219,"&lt;="&amp;$B225,'On The Board'!$M$5:$M$219)-SUM(I225,J225)</f>
        <v>2</v>
      </c>
      <c r="I225" s="12">
        <f>SUMIF('On The Board'!J$5:J$219,"&lt;="&amp;$B225,'On The Board'!$M$5:$M$219)-SUM(J225)</f>
        <v>0</v>
      </c>
      <c r="J225" s="12">
        <f>SUMIF('On The Board'!K$5:K$219,"&lt;="&amp;$B225,'On The Board'!$M$5:$M$219)</f>
        <v>70</v>
      </c>
      <c r="K225" s="10">
        <f t="shared" si="25"/>
        <v>77</v>
      </c>
      <c r="L225" s="10" t="e">
        <f ca="1">IF(TodaysDate&gt;=B225,SUM(F225:I225),NA())</f>
        <v>#N/A</v>
      </c>
      <c r="M225" s="44" t="e">
        <f t="shared" ca="1" si="28"/>
        <v>#N/A</v>
      </c>
      <c r="N225" s="44" t="e">
        <f ca="1">IF(ISNUMBER(M225),(J225-J215)/NETWORKDAYS(B215,B225,BankHolidays),NA())</f>
        <v>#N/A</v>
      </c>
      <c r="O225" s="44" t="e">
        <f t="shared" ca="1" si="27"/>
        <v>#N/A</v>
      </c>
      <c r="P225" s="53" t="e">
        <f t="shared" ca="1" si="29"/>
        <v>#N/A</v>
      </c>
      <c r="Q225" s="53" t="str">
        <f ca="1">IFERROR(DayByDayTable[[#This Row],[Lead Time]],"")</f>
        <v/>
      </c>
      <c r="R225" s="44" t="e">
        <f t="shared" ca="1" si="30"/>
        <v>#N/A</v>
      </c>
      <c r="S225" s="44">
        <f ca="1">ROUND(PERCENTILE(DayByDayTable[[#Data],[BlankLeadTime]],0.8),0)</f>
        <v>8</v>
      </c>
    </row>
    <row r="226" spans="1:19">
      <c r="A226" s="51">
        <f t="shared" si="24"/>
        <v>42727</v>
      </c>
      <c r="B226" s="11">
        <f t="shared" si="26"/>
        <v>42727</v>
      </c>
      <c r="C226" s="47">
        <f>SUMIFS('On The Board'!$M$5:$M$219,'On The Board'!F$5:F$219,"&lt;="&amp;$B226,'On The Board'!E$5:E$219,"="&amp;FutureWork)</f>
        <v>0</v>
      </c>
      <c r="D226" s="47" t="str">
        <f ca="1">IF(TodaysDate&gt;=B226,SUMIF('On The Board'!F$5:F$219,"&lt;="&amp;$B226,'On The Board'!$M$5:$M$219)-SUM(F226:J226),"")</f>
        <v/>
      </c>
      <c r="E226" s="12">
        <f ca="1">IF(TodaysDate&gt;=B226,SUMIF('On The Board'!F$5:F$219,"&lt;="&amp;$B226,'On The Board'!$M$5:$M$219)-SUM(F226:J226),E225)</f>
        <v>47</v>
      </c>
      <c r="F226" s="12">
        <f>SUMIF('On The Board'!G$5:G$219,"&lt;="&amp;$B226,'On The Board'!$M$5:$M$219)-SUM(G226:J226)</f>
        <v>0</v>
      </c>
      <c r="G226" s="12">
        <f>SUMIF('On The Board'!H$5:H$219,"&lt;="&amp;$B226,'On The Board'!$M$5:$M$219)-SUM(H226:J226)</f>
        <v>5</v>
      </c>
      <c r="H226" s="12">
        <f>SUMIF('On The Board'!I$5:I$219,"&lt;="&amp;$B226,'On The Board'!$M$5:$M$219)-SUM(I226,J226)</f>
        <v>2</v>
      </c>
      <c r="I226" s="12">
        <f>SUMIF('On The Board'!J$5:J$219,"&lt;="&amp;$B226,'On The Board'!$M$5:$M$219)-SUM(J226)</f>
        <v>0</v>
      </c>
      <c r="J226" s="12">
        <f>SUMIF('On The Board'!K$5:K$219,"&lt;="&amp;$B226,'On The Board'!$M$5:$M$219)</f>
        <v>70</v>
      </c>
      <c r="K226" s="10">
        <f t="shared" si="25"/>
        <v>77</v>
      </c>
      <c r="L226" s="10" t="e">
        <f ca="1">IF(TodaysDate&gt;=B226,SUM(F226:I226),NA())</f>
        <v>#N/A</v>
      </c>
      <c r="M226" s="44" t="e">
        <f t="shared" ca="1" si="28"/>
        <v>#N/A</v>
      </c>
      <c r="N226" s="44" t="e">
        <f ca="1">IF(ISNUMBER(M226),(J226-J216)/NETWORKDAYS(B216,B226,BankHolidays),NA())</f>
        <v>#N/A</v>
      </c>
      <c r="O226" s="44" t="e">
        <f t="shared" ca="1" si="27"/>
        <v>#N/A</v>
      </c>
      <c r="P226" s="53" t="e">
        <f t="shared" ca="1" si="29"/>
        <v>#N/A</v>
      </c>
      <c r="Q226" s="53" t="str">
        <f ca="1">IFERROR(DayByDayTable[[#This Row],[Lead Time]],"")</f>
        <v/>
      </c>
      <c r="R226" s="44" t="e">
        <f t="shared" ca="1" si="30"/>
        <v>#N/A</v>
      </c>
      <c r="S226" s="44">
        <f ca="1">ROUND(PERCENTILE(DayByDayTable[[#Data],[BlankLeadTime]],0.8),0)</f>
        <v>8</v>
      </c>
    </row>
    <row r="227" spans="1:19">
      <c r="A227" s="51">
        <f t="shared" si="24"/>
        <v>42732</v>
      </c>
      <c r="B227" s="11">
        <f t="shared" si="26"/>
        <v>42732</v>
      </c>
      <c r="C227" s="47">
        <f>SUMIFS('On The Board'!$M$5:$M$219,'On The Board'!F$5:F$219,"&lt;="&amp;$B227,'On The Board'!E$5:E$219,"="&amp;FutureWork)</f>
        <v>0</v>
      </c>
      <c r="D227" s="47" t="str">
        <f ca="1">IF(TodaysDate&gt;=B227,SUMIF('On The Board'!F$5:F$219,"&lt;="&amp;$B227,'On The Board'!$M$5:$M$219)-SUM(F227:J227),"")</f>
        <v/>
      </c>
      <c r="E227" s="12">
        <f ca="1">IF(TodaysDate&gt;=B227,SUMIF('On The Board'!F$5:F$219,"&lt;="&amp;$B227,'On The Board'!$M$5:$M$219)-SUM(F227:J227),E226)</f>
        <v>47</v>
      </c>
      <c r="F227" s="12">
        <f>SUMIF('On The Board'!G$5:G$219,"&lt;="&amp;$B227,'On The Board'!$M$5:$M$219)-SUM(G227:J227)</f>
        <v>0</v>
      </c>
      <c r="G227" s="12">
        <f>SUMIF('On The Board'!H$5:H$219,"&lt;="&amp;$B227,'On The Board'!$M$5:$M$219)-SUM(H227:J227)</f>
        <v>5</v>
      </c>
      <c r="H227" s="12">
        <f>SUMIF('On The Board'!I$5:I$219,"&lt;="&amp;$B227,'On The Board'!$M$5:$M$219)-SUM(I227,J227)</f>
        <v>2</v>
      </c>
      <c r="I227" s="12">
        <f>SUMIF('On The Board'!J$5:J$219,"&lt;="&amp;$B227,'On The Board'!$M$5:$M$219)-SUM(J227)</f>
        <v>0</v>
      </c>
      <c r="J227" s="12">
        <f>SUMIF('On The Board'!K$5:K$219,"&lt;="&amp;$B227,'On The Board'!$M$5:$M$219)</f>
        <v>70</v>
      </c>
      <c r="K227" s="10">
        <f t="shared" si="25"/>
        <v>77</v>
      </c>
      <c r="L227" s="10" t="e">
        <f ca="1">IF(TodaysDate&gt;=B227,SUM(F227:I227),NA())</f>
        <v>#N/A</v>
      </c>
      <c r="M227" s="44" t="e">
        <f t="shared" ca="1" si="28"/>
        <v>#N/A</v>
      </c>
      <c r="N227" s="44" t="e">
        <f ca="1">IF(ISNUMBER(M227),(J227-J217)/NETWORKDAYS(B217,B227,BankHolidays),NA())</f>
        <v>#N/A</v>
      </c>
      <c r="O227" s="44" t="e">
        <f t="shared" ca="1" si="27"/>
        <v>#N/A</v>
      </c>
      <c r="P227" s="53" t="e">
        <f t="shared" ca="1" si="29"/>
        <v>#N/A</v>
      </c>
      <c r="Q227" s="53" t="str">
        <f ca="1">IFERROR(DayByDayTable[[#This Row],[Lead Time]],"")</f>
        <v/>
      </c>
      <c r="R227" s="44" t="e">
        <f t="shared" ca="1" si="30"/>
        <v>#N/A</v>
      </c>
      <c r="S227" s="44">
        <f ca="1">ROUND(PERCENTILE(DayByDayTable[[#Data],[BlankLeadTime]],0.8),0)</f>
        <v>8</v>
      </c>
    </row>
    <row r="228" spans="1:19">
      <c r="A228" s="51">
        <f t="shared" si="24"/>
        <v>42733</v>
      </c>
      <c r="B228" s="11">
        <f t="shared" si="26"/>
        <v>42733</v>
      </c>
      <c r="C228" s="47">
        <f>SUMIFS('On The Board'!$M$5:$M$219,'On The Board'!F$5:F$219,"&lt;="&amp;$B228,'On The Board'!E$5:E$219,"="&amp;FutureWork)</f>
        <v>0</v>
      </c>
      <c r="D228" s="47" t="str">
        <f ca="1">IF(TodaysDate&gt;=B228,SUMIF('On The Board'!F$5:F$219,"&lt;="&amp;$B228,'On The Board'!$M$5:$M$219)-SUM(F228:J228),"")</f>
        <v/>
      </c>
      <c r="E228" s="12">
        <f ca="1">IF(TodaysDate&gt;=B228,SUMIF('On The Board'!F$5:F$219,"&lt;="&amp;$B228,'On The Board'!$M$5:$M$219)-SUM(F228:J228),E227)</f>
        <v>47</v>
      </c>
      <c r="F228" s="12">
        <f>SUMIF('On The Board'!G$5:G$219,"&lt;="&amp;$B228,'On The Board'!$M$5:$M$219)-SUM(G228:J228)</f>
        <v>0</v>
      </c>
      <c r="G228" s="12">
        <f>SUMIF('On The Board'!H$5:H$219,"&lt;="&amp;$B228,'On The Board'!$M$5:$M$219)-SUM(H228:J228)</f>
        <v>5</v>
      </c>
      <c r="H228" s="12">
        <f>SUMIF('On The Board'!I$5:I$219,"&lt;="&amp;$B228,'On The Board'!$M$5:$M$219)-SUM(I228,J228)</f>
        <v>2</v>
      </c>
      <c r="I228" s="12">
        <f>SUMIF('On The Board'!J$5:J$219,"&lt;="&amp;$B228,'On The Board'!$M$5:$M$219)-SUM(J228)</f>
        <v>0</v>
      </c>
      <c r="J228" s="12">
        <f>SUMIF('On The Board'!K$5:K$219,"&lt;="&amp;$B228,'On The Board'!$M$5:$M$219)</f>
        <v>70</v>
      </c>
      <c r="K228" s="10">
        <f t="shared" si="25"/>
        <v>77</v>
      </c>
      <c r="L228" s="10" t="e">
        <f ca="1">IF(TodaysDate&gt;=B228,SUM(F228:I228),NA())</f>
        <v>#N/A</v>
      </c>
      <c r="M228" s="44" t="e">
        <f t="shared" ca="1" si="28"/>
        <v>#N/A</v>
      </c>
      <c r="N228" s="44" t="e">
        <f ca="1">IF(ISNUMBER(M228),(J228-J218)/NETWORKDAYS(B218,B228,BankHolidays),NA())</f>
        <v>#N/A</v>
      </c>
      <c r="O228" s="44" t="e">
        <f t="shared" ca="1" si="27"/>
        <v>#N/A</v>
      </c>
      <c r="P228" s="53" t="e">
        <f t="shared" ca="1" si="29"/>
        <v>#N/A</v>
      </c>
      <c r="Q228" s="53" t="str">
        <f ca="1">IFERROR(DayByDayTable[[#This Row],[Lead Time]],"")</f>
        <v/>
      </c>
      <c r="R228" s="44" t="e">
        <f t="shared" ca="1" si="30"/>
        <v>#N/A</v>
      </c>
      <c r="S228" s="44">
        <f ca="1">ROUND(PERCENTILE(DayByDayTable[[#Data],[BlankLeadTime]],0.8),0)</f>
        <v>8</v>
      </c>
    </row>
    <row r="229" spans="1:19">
      <c r="A229" s="51">
        <f t="shared" si="24"/>
        <v>42734</v>
      </c>
      <c r="B229" s="11">
        <f t="shared" si="26"/>
        <v>42734</v>
      </c>
      <c r="C229" s="47">
        <f>SUMIFS('On The Board'!$M$5:$M$219,'On The Board'!F$5:F$219,"&lt;="&amp;$B229,'On The Board'!E$5:E$219,"="&amp;FutureWork)</f>
        <v>0</v>
      </c>
      <c r="D229" s="47" t="str">
        <f ca="1">IF(TodaysDate&gt;=B229,SUMIF('On The Board'!F$5:F$219,"&lt;="&amp;$B229,'On The Board'!$M$5:$M$219)-SUM(F229:J229),"")</f>
        <v/>
      </c>
      <c r="E229" s="12">
        <f ca="1">IF(TodaysDate&gt;=B229,SUMIF('On The Board'!F$5:F$219,"&lt;="&amp;$B229,'On The Board'!$M$5:$M$219)-SUM(F229:J229),E228)</f>
        <v>47</v>
      </c>
      <c r="F229" s="12">
        <f>SUMIF('On The Board'!G$5:G$219,"&lt;="&amp;$B229,'On The Board'!$M$5:$M$219)-SUM(G229:J229)</f>
        <v>0</v>
      </c>
      <c r="G229" s="12">
        <f>SUMIF('On The Board'!H$5:H$219,"&lt;="&amp;$B229,'On The Board'!$M$5:$M$219)-SUM(H229:J229)</f>
        <v>5</v>
      </c>
      <c r="H229" s="12">
        <f>SUMIF('On The Board'!I$5:I$219,"&lt;="&amp;$B229,'On The Board'!$M$5:$M$219)-SUM(I229,J229)</f>
        <v>2</v>
      </c>
      <c r="I229" s="12">
        <f>SUMIF('On The Board'!J$5:J$219,"&lt;="&amp;$B229,'On The Board'!$M$5:$M$219)-SUM(J229)</f>
        <v>0</v>
      </c>
      <c r="J229" s="12">
        <f>SUMIF('On The Board'!K$5:K$219,"&lt;="&amp;$B229,'On The Board'!$M$5:$M$219)</f>
        <v>70</v>
      </c>
      <c r="K229" s="10">
        <f t="shared" si="25"/>
        <v>77</v>
      </c>
      <c r="L229" s="10" t="e">
        <f ca="1">IF(TodaysDate&gt;=B229,SUM(F229:I229),NA())</f>
        <v>#N/A</v>
      </c>
      <c r="M229" s="44" t="e">
        <f t="shared" ca="1" si="28"/>
        <v>#N/A</v>
      </c>
      <c r="N229" s="44" t="e">
        <f ca="1">IF(ISNUMBER(M229),(J229-J219)/NETWORKDAYS(B219,B229,BankHolidays),NA())</f>
        <v>#N/A</v>
      </c>
      <c r="O229" s="44" t="e">
        <f t="shared" ca="1" si="27"/>
        <v>#N/A</v>
      </c>
      <c r="P229" s="53" t="e">
        <f t="shared" ca="1" si="29"/>
        <v>#N/A</v>
      </c>
      <c r="Q229" s="53" t="str">
        <f ca="1">IFERROR(DayByDayTable[[#This Row],[Lead Time]],"")</f>
        <v/>
      </c>
      <c r="R229" s="44" t="e">
        <f t="shared" ca="1" si="30"/>
        <v>#N/A</v>
      </c>
      <c r="S229" s="44">
        <f ca="1">ROUND(PERCENTILE(DayByDayTable[[#Data],[BlankLeadTime]],0.8),0)</f>
        <v>8</v>
      </c>
    </row>
    <row r="230" spans="1:19">
      <c r="A230" s="51">
        <f t="shared" si="24"/>
        <v>42738</v>
      </c>
      <c r="B230" s="11">
        <f t="shared" si="26"/>
        <v>42738</v>
      </c>
      <c r="C230" s="47">
        <f>SUMIFS('On The Board'!$M$5:$M$219,'On The Board'!F$5:F$219,"&lt;="&amp;$B230,'On The Board'!E$5:E$219,"="&amp;FutureWork)</f>
        <v>0</v>
      </c>
      <c r="D230" s="47" t="str">
        <f ca="1">IF(TodaysDate&gt;=B230,SUMIF('On The Board'!F$5:F$219,"&lt;="&amp;$B230,'On The Board'!$M$5:$M$219)-SUM(F230:J230),"")</f>
        <v/>
      </c>
      <c r="E230" s="12">
        <f ca="1">IF(TodaysDate&gt;=B230,SUMIF('On The Board'!F$5:F$219,"&lt;="&amp;$B230,'On The Board'!$M$5:$M$219)-SUM(F230:J230),E229)</f>
        <v>47</v>
      </c>
      <c r="F230" s="12">
        <f>SUMIF('On The Board'!G$5:G$219,"&lt;="&amp;$B230,'On The Board'!$M$5:$M$219)-SUM(G230:J230)</f>
        <v>0</v>
      </c>
      <c r="G230" s="12">
        <f>SUMIF('On The Board'!H$5:H$219,"&lt;="&amp;$B230,'On The Board'!$M$5:$M$219)-SUM(H230:J230)</f>
        <v>5</v>
      </c>
      <c r="H230" s="12">
        <f>SUMIF('On The Board'!I$5:I$219,"&lt;="&amp;$B230,'On The Board'!$M$5:$M$219)-SUM(I230,J230)</f>
        <v>2</v>
      </c>
      <c r="I230" s="12">
        <f>SUMIF('On The Board'!J$5:J$219,"&lt;="&amp;$B230,'On The Board'!$M$5:$M$219)-SUM(J230)</f>
        <v>0</v>
      </c>
      <c r="J230" s="12">
        <f>SUMIF('On The Board'!K$5:K$219,"&lt;="&amp;$B230,'On The Board'!$M$5:$M$219)</f>
        <v>70</v>
      </c>
      <c r="K230" s="10">
        <f t="shared" si="25"/>
        <v>77</v>
      </c>
      <c r="L230" s="10" t="e">
        <f ca="1">IF(TodaysDate&gt;=B230,SUM(F230:I230),NA())</f>
        <v>#N/A</v>
      </c>
      <c r="M230" s="44" t="e">
        <f t="shared" ca="1" si="28"/>
        <v>#N/A</v>
      </c>
      <c r="N230" s="44" t="e">
        <f ca="1">IF(ISNUMBER(M230),(J230-J220)/NETWORKDAYS(B220,B230,BankHolidays),NA())</f>
        <v>#N/A</v>
      </c>
      <c r="O230" s="44" t="e">
        <f t="shared" ca="1" si="27"/>
        <v>#N/A</v>
      </c>
      <c r="P230" s="53" t="e">
        <f t="shared" ca="1" si="29"/>
        <v>#N/A</v>
      </c>
      <c r="Q230" s="53" t="str">
        <f ca="1">IFERROR(DayByDayTable[[#This Row],[Lead Time]],"")</f>
        <v/>
      </c>
      <c r="R230" s="44" t="e">
        <f t="shared" ca="1" si="30"/>
        <v>#N/A</v>
      </c>
      <c r="S230" s="44">
        <f ca="1">ROUND(PERCENTILE(DayByDayTable[[#Data],[BlankLeadTime]],0.8),0)</f>
        <v>8</v>
      </c>
    </row>
    <row r="231" spans="1:19">
      <c r="A231" s="51">
        <f t="shared" si="24"/>
        <v>42739</v>
      </c>
      <c r="B231" s="11">
        <f t="shared" si="26"/>
        <v>42739</v>
      </c>
      <c r="C231" s="47">
        <f>SUMIFS('On The Board'!$M$5:$M$219,'On The Board'!F$5:F$219,"&lt;="&amp;$B231,'On The Board'!E$5:E$219,"="&amp;FutureWork)</f>
        <v>0</v>
      </c>
      <c r="D231" s="47" t="str">
        <f ca="1">IF(TodaysDate&gt;=B231,SUMIF('On The Board'!F$5:F$219,"&lt;="&amp;$B231,'On The Board'!$M$5:$M$219)-SUM(F231:J231),"")</f>
        <v/>
      </c>
      <c r="E231" s="12">
        <f ca="1">IF(TodaysDate&gt;=B231,SUMIF('On The Board'!F$5:F$219,"&lt;="&amp;$B231,'On The Board'!$M$5:$M$219)-SUM(F231:J231),E230)</f>
        <v>47</v>
      </c>
      <c r="F231" s="12">
        <f>SUMIF('On The Board'!G$5:G$219,"&lt;="&amp;$B231,'On The Board'!$M$5:$M$219)-SUM(G231:J231)</f>
        <v>0</v>
      </c>
      <c r="G231" s="12">
        <f>SUMIF('On The Board'!H$5:H$219,"&lt;="&amp;$B231,'On The Board'!$M$5:$M$219)-SUM(H231:J231)</f>
        <v>5</v>
      </c>
      <c r="H231" s="12">
        <f>SUMIF('On The Board'!I$5:I$219,"&lt;="&amp;$B231,'On The Board'!$M$5:$M$219)-SUM(I231,J231)</f>
        <v>2</v>
      </c>
      <c r="I231" s="12">
        <f>SUMIF('On The Board'!J$5:J$219,"&lt;="&amp;$B231,'On The Board'!$M$5:$M$219)-SUM(J231)</f>
        <v>0</v>
      </c>
      <c r="J231" s="12">
        <f>SUMIF('On The Board'!K$5:K$219,"&lt;="&amp;$B231,'On The Board'!$M$5:$M$219)</f>
        <v>70</v>
      </c>
      <c r="K231" s="10">
        <f t="shared" si="25"/>
        <v>77</v>
      </c>
      <c r="L231" s="10" t="e">
        <f ca="1">IF(TodaysDate&gt;=B231,SUM(F231:I231),NA())</f>
        <v>#N/A</v>
      </c>
      <c r="M231" s="44" t="e">
        <f t="shared" ca="1" si="28"/>
        <v>#N/A</v>
      </c>
      <c r="N231" s="44" t="e">
        <f ca="1">IF(ISNUMBER(M231),(J231-J221)/NETWORKDAYS(B221,B231,BankHolidays),NA())</f>
        <v>#N/A</v>
      </c>
      <c r="O231" s="44" t="e">
        <f t="shared" ca="1" si="27"/>
        <v>#N/A</v>
      </c>
      <c r="P231" s="53" t="e">
        <f t="shared" ca="1" si="29"/>
        <v>#N/A</v>
      </c>
      <c r="Q231" s="53" t="str">
        <f ca="1">IFERROR(DayByDayTable[[#This Row],[Lead Time]],"")</f>
        <v/>
      </c>
      <c r="R231" s="44" t="e">
        <f t="shared" ca="1" si="30"/>
        <v>#N/A</v>
      </c>
      <c r="S231" s="44">
        <f ca="1">ROUND(PERCENTILE(DayByDayTable[[#Data],[BlankLeadTime]],0.8),0)</f>
        <v>8</v>
      </c>
    </row>
    <row r="232" spans="1:19">
      <c r="A232" s="51">
        <f t="shared" si="24"/>
        <v>42740</v>
      </c>
      <c r="B232" s="11">
        <f t="shared" si="26"/>
        <v>42740</v>
      </c>
      <c r="C232" s="47">
        <f>SUMIFS('On The Board'!$M$5:$M$219,'On The Board'!F$5:F$219,"&lt;="&amp;$B232,'On The Board'!E$5:E$219,"="&amp;FutureWork)</f>
        <v>0</v>
      </c>
      <c r="D232" s="47" t="str">
        <f ca="1">IF(TodaysDate&gt;=B232,SUMIF('On The Board'!F$5:F$219,"&lt;="&amp;$B232,'On The Board'!$M$5:$M$219)-SUM(F232:J232),"")</f>
        <v/>
      </c>
      <c r="E232" s="12">
        <f ca="1">IF(TodaysDate&gt;=B232,SUMIF('On The Board'!F$5:F$219,"&lt;="&amp;$B232,'On The Board'!$M$5:$M$219)-SUM(F232:J232),E231)</f>
        <v>47</v>
      </c>
      <c r="F232" s="12">
        <f>SUMIF('On The Board'!G$5:G$219,"&lt;="&amp;$B232,'On The Board'!$M$5:$M$219)-SUM(G232:J232)</f>
        <v>0</v>
      </c>
      <c r="G232" s="12">
        <f>SUMIF('On The Board'!H$5:H$219,"&lt;="&amp;$B232,'On The Board'!$M$5:$M$219)-SUM(H232:J232)</f>
        <v>5</v>
      </c>
      <c r="H232" s="12">
        <f>SUMIF('On The Board'!I$5:I$219,"&lt;="&amp;$B232,'On The Board'!$M$5:$M$219)-SUM(I232,J232)</f>
        <v>2</v>
      </c>
      <c r="I232" s="12">
        <f>SUMIF('On The Board'!J$5:J$219,"&lt;="&amp;$B232,'On The Board'!$M$5:$M$219)-SUM(J232)</f>
        <v>0</v>
      </c>
      <c r="J232" s="12">
        <f>SUMIF('On The Board'!K$5:K$219,"&lt;="&amp;$B232,'On The Board'!$M$5:$M$219)</f>
        <v>70</v>
      </c>
      <c r="K232" s="10">
        <f t="shared" si="25"/>
        <v>77</v>
      </c>
      <c r="L232" s="10" t="e">
        <f ca="1">IF(TodaysDate&gt;=B232,SUM(F232:I232),NA())</f>
        <v>#N/A</v>
      </c>
      <c r="M232" s="44" t="e">
        <f t="shared" ca="1" si="28"/>
        <v>#N/A</v>
      </c>
      <c r="N232" s="44" t="e">
        <f ca="1">IF(ISNUMBER(M232),(J232-J222)/NETWORKDAYS(B222,B232,BankHolidays),NA())</f>
        <v>#N/A</v>
      </c>
      <c r="O232" s="44" t="e">
        <f t="shared" ca="1" si="27"/>
        <v>#N/A</v>
      </c>
      <c r="P232" s="53" t="e">
        <f t="shared" ca="1" si="29"/>
        <v>#N/A</v>
      </c>
      <c r="Q232" s="53" t="str">
        <f ca="1">IFERROR(DayByDayTable[[#This Row],[Lead Time]],"")</f>
        <v/>
      </c>
      <c r="R232" s="44" t="e">
        <f t="shared" ca="1" si="30"/>
        <v>#N/A</v>
      </c>
      <c r="S232" s="44">
        <f ca="1">ROUND(PERCENTILE(DayByDayTable[[#Data],[BlankLeadTime]],0.8),0)</f>
        <v>8</v>
      </c>
    </row>
    <row r="233" spans="1:19">
      <c r="A233" s="51">
        <f t="shared" si="24"/>
        <v>42741</v>
      </c>
      <c r="B233" s="11">
        <f t="shared" si="26"/>
        <v>42741</v>
      </c>
      <c r="C233" s="47">
        <f>SUMIFS('On The Board'!$M$5:$M$219,'On The Board'!F$5:F$219,"&lt;="&amp;$B233,'On The Board'!E$5:E$219,"="&amp;FutureWork)</f>
        <v>0</v>
      </c>
      <c r="D233" s="47" t="str">
        <f ca="1">IF(TodaysDate&gt;=B233,SUMIF('On The Board'!F$5:F$219,"&lt;="&amp;$B233,'On The Board'!$M$5:$M$219)-SUM(F233:J233),"")</f>
        <v/>
      </c>
      <c r="E233" s="12">
        <f ca="1">IF(TodaysDate&gt;=B233,SUMIF('On The Board'!F$5:F$219,"&lt;="&amp;$B233,'On The Board'!$M$5:$M$219)-SUM(F233:J233),E232)</f>
        <v>47</v>
      </c>
      <c r="F233" s="12">
        <f>SUMIF('On The Board'!G$5:G$219,"&lt;="&amp;$B233,'On The Board'!$M$5:$M$219)-SUM(G233:J233)</f>
        <v>0</v>
      </c>
      <c r="G233" s="12">
        <f>SUMIF('On The Board'!H$5:H$219,"&lt;="&amp;$B233,'On The Board'!$M$5:$M$219)-SUM(H233:J233)</f>
        <v>5</v>
      </c>
      <c r="H233" s="12">
        <f>SUMIF('On The Board'!I$5:I$219,"&lt;="&amp;$B233,'On The Board'!$M$5:$M$219)-SUM(I233,J233)</f>
        <v>2</v>
      </c>
      <c r="I233" s="12">
        <f>SUMIF('On The Board'!J$5:J$219,"&lt;="&amp;$B233,'On The Board'!$M$5:$M$219)-SUM(J233)</f>
        <v>0</v>
      </c>
      <c r="J233" s="12">
        <f>SUMIF('On The Board'!K$5:K$219,"&lt;="&amp;$B233,'On The Board'!$M$5:$M$219)</f>
        <v>70</v>
      </c>
      <c r="K233" s="10">
        <f t="shared" si="25"/>
        <v>77</v>
      </c>
      <c r="L233" s="10" t="e">
        <f ca="1">IF(TodaysDate&gt;=B233,SUM(F233:I233),NA())</f>
        <v>#N/A</v>
      </c>
      <c r="M233" s="44" t="e">
        <f t="shared" ca="1" si="28"/>
        <v>#N/A</v>
      </c>
      <c r="N233" s="44" t="e">
        <f ca="1">IF(ISNUMBER(M233),(J233-J223)/NETWORKDAYS(B223,B233,BankHolidays),NA())</f>
        <v>#N/A</v>
      </c>
      <c r="O233" s="44" t="e">
        <f t="shared" ca="1" si="27"/>
        <v>#N/A</v>
      </c>
      <c r="P233" s="53" t="e">
        <f t="shared" ca="1" si="29"/>
        <v>#N/A</v>
      </c>
      <c r="Q233" s="53" t="str">
        <f ca="1">IFERROR(DayByDayTable[[#This Row],[Lead Time]],"")</f>
        <v/>
      </c>
      <c r="R233" s="44" t="e">
        <f t="shared" ca="1" si="30"/>
        <v>#N/A</v>
      </c>
      <c r="S233" s="44">
        <f ca="1">ROUND(PERCENTILE(DayByDayTable[[#Data],[BlankLeadTime]],0.8),0)</f>
        <v>8</v>
      </c>
    </row>
    <row r="234" spans="1:19">
      <c r="A234" s="51">
        <f t="shared" si="24"/>
        <v>42744</v>
      </c>
      <c r="B234" s="11">
        <f t="shared" si="26"/>
        <v>42744</v>
      </c>
      <c r="C234" s="47">
        <f>SUMIFS('On The Board'!$M$5:$M$219,'On The Board'!F$5:F$219,"&lt;="&amp;$B234,'On The Board'!E$5:E$219,"="&amp;FutureWork)</f>
        <v>0</v>
      </c>
      <c r="D234" s="47" t="str">
        <f ca="1">IF(TodaysDate&gt;=B234,SUMIF('On The Board'!F$5:F$219,"&lt;="&amp;$B234,'On The Board'!$M$5:$M$219)-SUM(F234:J234),"")</f>
        <v/>
      </c>
      <c r="E234" s="12">
        <f ca="1">IF(TodaysDate&gt;=B234,SUMIF('On The Board'!F$5:F$219,"&lt;="&amp;$B234,'On The Board'!$M$5:$M$219)-SUM(F234:J234),E233)</f>
        <v>47</v>
      </c>
      <c r="F234" s="12">
        <f>SUMIF('On The Board'!G$5:G$219,"&lt;="&amp;$B234,'On The Board'!$M$5:$M$219)-SUM(G234:J234)</f>
        <v>0</v>
      </c>
      <c r="G234" s="12">
        <f>SUMIF('On The Board'!H$5:H$219,"&lt;="&amp;$B234,'On The Board'!$M$5:$M$219)-SUM(H234:J234)</f>
        <v>5</v>
      </c>
      <c r="H234" s="12">
        <f>SUMIF('On The Board'!I$5:I$219,"&lt;="&amp;$B234,'On The Board'!$M$5:$M$219)-SUM(I234,J234)</f>
        <v>2</v>
      </c>
      <c r="I234" s="12">
        <f>SUMIF('On The Board'!J$5:J$219,"&lt;="&amp;$B234,'On The Board'!$M$5:$M$219)-SUM(J234)</f>
        <v>0</v>
      </c>
      <c r="J234" s="12">
        <f>SUMIF('On The Board'!K$5:K$219,"&lt;="&amp;$B234,'On The Board'!$M$5:$M$219)</f>
        <v>70</v>
      </c>
      <c r="K234" s="10">
        <f t="shared" si="25"/>
        <v>77</v>
      </c>
      <c r="L234" s="10" t="e">
        <f ca="1">IF(TodaysDate&gt;=B234,SUM(F234:I234),NA())</f>
        <v>#N/A</v>
      </c>
      <c r="M234" s="44" t="e">
        <f t="shared" ca="1" si="28"/>
        <v>#N/A</v>
      </c>
      <c r="N234" s="44" t="e">
        <f ca="1">IF(ISNUMBER(M234),(J234-J224)/NETWORKDAYS(B224,B234,BankHolidays),NA())</f>
        <v>#N/A</v>
      </c>
      <c r="O234" s="44" t="e">
        <f t="shared" ca="1" si="27"/>
        <v>#N/A</v>
      </c>
      <c r="P234" s="53" t="e">
        <f t="shared" ca="1" si="29"/>
        <v>#N/A</v>
      </c>
      <c r="Q234" s="53" t="str">
        <f ca="1">IFERROR(DayByDayTable[[#This Row],[Lead Time]],"")</f>
        <v/>
      </c>
      <c r="R234" s="44" t="e">
        <f t="shared" ca="1" si="30"/>
        <v>#N/A</v>
      </c>
      <c r="S234" s="44">
        <f ca="1">ROUND(PERCENTILE(DayByDayTable[[#Data],[BlankLeadTime]],0.8),0)</f>
        <v>8</v>
      </c>
    </row>
    <row r="235" spans="1:19">
      <c r="A235" s="51">
        <f t="shared" si="24"/>
        <v>42745</v>
      </c>
      <c r="B235" s="11">
        <f t="shared" si="26"/>
        <v>42745</v>
      </c>
      <c r="C235" s="47">
        <f>SUMIFS('On The Board'!$M$5:$M$219,'On The Board'!F$5:F$219,"&lt;="&amp;$B235,'On The Board'!E$5:E$219,"="&amp;FutureWork)</f>
        <v>0</v>
      </c>
      <c r="D235" s="47" t="str">
        <f ca="1">IF(TodaysDate&gt;=B235,SUMIF('On The Board'!F$5:F$219,"&lt;="&amp;$B235,'On The Board'!$M$5:$M$219)-SUM(F235:J235),"")</f>
        <v/>
      </c>
      <c r="E235" s="12">
        <f ca="1">IF(TodaysDate&gt;=B235,SUMIF('On The Board'!F$5:F$219,"&lt;="&amp;$B235,'On The Board'!$M$5:$M$219)-SUM(F235:J235),E234)</f>
        <v>47</v>
      </c>
      <c r="F235" s="12">
        <f>SUMIF('On The Board'!G$5:G$219,"&lt;="&amp;$B235,'On The Board'!$M$5:$M$219)-SUM(G235:J235)</f>
        <v>0</v>
      </c>
      <c r="G235" s="12">
        <f>SUMIF('On The Board'!H$5:H$219,"&lt;="&amp;$B235,'On The Board'!$M$5:$M$219)-SUM(H235:J235)</f>
        <v>5</v>
      </c>
      <c r="H235" s="12">
        <f>SUMIF('On The Board'!I$5:I$219,"&lt;="&amp;$B235,'On The Board'!$M$5:$M$219)-SUM(I235,J235)</f>
        <v>2</v>
      </c>
      <c r="I235" s="12">
        <f>SUMIF('On The Board'!J$5:J$219,"&lt;="&amp;$B235,'On The Board'!$M$5:$M$219)-SUM(J235)</f>
        <v>0</v>
      </c>
      <c r="J235" s="12">
        <f>SUMIF('On The Board'!K$5:K$219,"&lt;="&amp;$B235,'On The Board'!$M$5:$M$219)</f>
        <v>70</v>
      </c>
      <c r="K235" s="10">
        <f t="shared" si="25"/>
        <v>77</v>
      </c>
      <c r="L235" s="10" t="e">
        <f ca="1">IF(TodaysDate&gt;=B235,SUM(F235:I235),NA())</f>
        <v>#N/A</v>
      </c>
      <c r="M235" s="44" t="e">
        <f t="shared" ca="1" si="28"/>
        <v>#N/A</v>
      </c>
      <c r="N235" s="44" t="e">
        <f ca="1">IF(ISNUMBER(M235),(J235-J225)/NETWORKDAYS(B225,B235,BankHolidays),NA())</f>
        <v>#N/A</v>
      </c>
      <c r="O235" s="44" t="e">
        <f t="shared" ca="1" si="27"/>
        <v>#N/A</v>
      </c>
      <c r="P235" s="53" t="e">
        <f t="shared" ca="1" si="29"/>
        <v>#N/A</v>
      </c>
      <c r="Q235" s="53" t="str">
        <f ca="1">IFERROR(DayByDayTable[[#This Row],[Lead Time]],"")</f>
        <v/>
      </c>
      <c r="R235" s="44" t="e">
        <f t="shared" ca="1" si="30"/>
        <v>#N/A</v>
      </c>
      <c r="S235" s="44">
        <f ca="1">ROUND(PERCENTILE(DayByDayTable[[#Data],[BlankLeadTime]],0.8),0)</f>
        <v>8</v>
      </c>
    </row>
    <row r="236" spans="1:19">
      <c r="A236" s="51">
        <f t="shared" si="24"/>
        <v>42746</v>
      </c>
      <c r="B236" s="11">
        <f t="shared" si="26"/>
        <v>42746</v>
      </c>
      <c r="C236" s="47">
        <f>SUMIFS('On The Board'!$M$5:$M$219,'On The Board'!F$5:F$219,"&lt;="&amp;$B236,'On The Board'!E$5:E$219,"="&amp;FutureWork)</f>
        <v>0</v>
      </c>
      <c r="D236" s="47" t="str">
        <f ca="1">IF(TodaysDate&gt;=B236,SUMIF('On The Board'!F$5:F$219,"&lt;="&amp;$B236,'On The Board'!$M$5:$M$219)-SUM(F236:J236),"")</f>
        <v/>
      </c>
      <c r="E236" s="12">
        <f ca="1">IF(TodaysDate&gt;=B236,SUMIF('On The Board'!F$5:F$219,"&lt;="&amp;$B236,'On The Board'!$M$5:$M$219)-SUM(F236:J236),E235)</f>
        <v>47</v>
      </c>
      <c r="F236" s="12">
        <f>SUMIF('On The Board'!G$5:G$219,"&lt;="&amp;$B236,'On The Board'!$M$5:$M$219)-SUM(G236:J236)</f>
        <v>0</v>
      </c>
      <c r="G236" s="12">
        <f>SUMIF('On The Board'!H$5:H$219,"&lt;="&amp;$B236,'On The Board'!$M$5:$M$219)-SUM(H236:J236)</f>
        <v>5</v>
      </c>
      <c r="H236" s="12">
        <f>SUMIF('On The Board'!I$5:I$219,"&lt;="&amp;$B236,'On The Board'!$M$5:$M$219)-SUM(I236,J236)</f>
        <v>2</v>
      </c>
      <c r="I236" s="12">
        <f>SUMIF('On The Board'!J$5:J$219,"&lt;="&amp;$B236,'On The Board'!$M$5:$M$219)-SUM(J236)</f>
        <v>0</v>
      </c>
      <c r="J236" s="12">
        <f>SUMIF('On The Board'!K$5:K$219,"&lt;="&amp;$B236,'On The Board'!$M$5:$M$219)</f>
        <v>70</v>
      </c>
      <c r="K236" s="10">
        <f t="shared" si="25"/>
        <v>77</v>
      </c>
      <c r="L236" s="10" t="e">
        <f ca="1">IF(TodaysDate&gt;=B236,SUM(F236:I236),NA())</f>
        <v>#N/A</v>
      </c>
      <c r="M236" s="44" t="e">
        <f t="shared" ca="1" si="28"/>
        <v>#N/A</v>
      </c>
      <c r="N236" s="44" t="e">
        <f ca="1">IF(ISNUMBER(M236),(J236-J226)/NETWORKDAYS(B226,B236,BankHolidays),NA())</f>
        <v>#N/A</v>
      </c>
      <c r="O236" s="44" t="e">
        <f t="shared" ca="1" si="27"/>
        <v>#N/A</v>
      </c>
      <c r="P236" s="53" t="e">
        <f t="shared" ca="1" si="29"/>
        <v>#N/A</v>
      </c>
      <c r="Q236" s="53" t="str">
        <f ca="1">IFERROR(DayByDayTable[[#This Row],[Lead Time]],"")</f>
        <v/>
      </c>
      <c r="R236" s="44" t="e">
        <f t="shared" ca="1" si="30"/>
        <v>#N/A</v>
      </c>
      <c r="S236" s="44">
        <f ca="1">ROUND(PERCENTILE(DayByDayTable[[#Data],[BlankLeadTime]],0.8),0)</f>
        <v>8</v>
      </c>
    </row>
    <row r="237" spans="1:19">
      <c r="A237" s="51">
        <f t="shared" si="24"/>
        <v>42747</v>
      </c>
      <c r="B237" s="11">
        <f t="shared" si="26"/>
        <v>42747</v>
      </c>
      <c r="C237" s="47">
        <f>SUMIFS('On The Board'!$M$5:$M$219,'On The Board'!F$5:F$219,"&lt;="&amp;$B237,'On The Board'!E$5:E$219,"="&amp;FutureWork)</f>
        <v>0</v>
      </c>
      <c r="D237" s="47" t="str">
        <f ca="1">IF(TodaysDate&gt;=B237,SUMIF('On The Board'!F$5:F$219,"&lt;="&amp;$B237,'On The Board'!$M$5:$M$219)-SUM(F237:J237),"")</f>
        <v/>
      </c>
      <c r="E237" s="12">
        <f ca="1">IF(TodaysDate&gt;=B237,SUMIF('On The Board'!F$5:F$219,"&lt;="&amp;$B237,'On The Board'!$M$5:$M$219)-SUM(F237:J237),E236)</f>
        <v>47</v>
      </c>
      <c r="F237" s="12">
        <f>SUMIF('On The Board'!G$5:G$219,"&lt;="&amp;$B237,'On The Board'!$M$5:$M$219)-SUM(G237:J237)</f>
        <v>0</v>
      </c>
      <c r="G237" s="12">
        <f>SUMIF('On The Board'!H$5:H$219,"&lt;="&amp;$B237,'On The Board'!$M$5:$M$219)-SUM(H237:J237)</f>
        <v>5</v>
      </c>
      <c r="H237" s="12">
        <f>SUMIF('On The Board'!I$5:I$219,"&lt;="&amp;$B237,'On The Board'!$M$5:$M$219)-SUM(I237,J237)</f>
        <v>2</v>
      </c>
      <c r="I237" s="12">
        <f>SUMIF('On The Board'!J$5:J$219,"&lt;="&amp;$B237,'On The Board'!$M$5:$M$219)-SUM(J237)</f>
        <v>0</v>
      </c>
      <c r="J237" s="12">
        <f>SUMIF('On The Board'!K$5:K$219,"&lt;="&amp;$B237,'On The Board'!$M$5:$M$219)</f>
        <v>70</v>
      </c>
      <c r="K237" s="10">
        <f t="shared" si="25"/>
        <v>77</v>
      </c>
      <c r="L237" s="10" t="e">
        <f ca="1">IF(TodaysDate&gt;=B237,SUM(F237:I237),NA())</f>
        <v>#N/A</v>
      </c>
      <c r="M237" s="44" t="e">
        <f t="shared" ca="1" si="28"/>
        <v>#N/A</v>
      </c>
      <c r="N237" s="44" t="e">
        <f ca="1">IF(ISNUMBER(M237),(J237-J227)/NETWORKDAYS(B227,B237,BankHolidays),NA())</f>
        <v>#N/A</v>
      </c>
      <c r="O237" s="44" t="e">
        <f t="shared" ca="1" si="27"/>
        <v>#N/A</v>
      </c>
      <c r="P237" s="53" t="e">
        <f t="shared" ca="1" si="29"/>
        <v>#N/A</v>
      </c>
      <c r="Q237" s="53" t="str">
        <f ca="1">IFERROR(DayByDayTable[[#This Row],[Lead Time]],"")</f>
        <v/>
      </c>
      <c r="R237" s="44" t="e">
        <f t="shared" ca="1" si="30"/>
        <v>#N/A</v>
      </c>
      <c r="S237" s="44">
        <f ca="1">ROUND(PERCENTILE(DayByDayTable[[#Data],[BlankLeadTime]],0.8),0)</f>
        <v>8</v>
      </c>
    </row>
    <row r="238" spans="1:19">
      <c r="A238" s="51">
        <f t="shared" si="24"/>
        <v>42748</v>
      </c>
      <c r="B238" s="11">
        <f t="shared" si="26"/>
        <v>42748</v>
      </c>
      <c r="C238" s="47">
        <f>SUMIFS('On The Board'!$M$5:$M$219,'On The Board'!F$5:F$219,"&lt;="&amp;$B238,'On The Board'!E$5:E$219,"="&amp;FutureWork)</f>
        <v>0</v>
      </c>
      <c r="D238" s="47" t="str">
        <f ca="1">IF(TodaysDate&gt;=B238,SUMIF('On The Board'!F$5:F$219,"&lt;="&amp;$B238,'On The Board'!$M$5:$M$219)-SUM(F238:J238),"")</f>
        <v/>
      </c>
      <c r="E238" s="12">
        <f ca="1">IF(TodaysDate&gt;=B238,SUMIF('On The Board'!F$5:F$219,"&lt;="&amp;$B238,'On The Board'!$M$5:$M$219)-SUM(F238:J238),E237)</f>
        <v>47</v>
      </c>
      <c r="F238" s="12">
        <f>SUMIF('On The Board'!G$5:G$219,"&lt;="&amp;$B238,'On The Board'!$M$5:$M$219)-SUM(G238:J238)</f>
        <v>0</v>
      </c>
      <c r="G238" s="12">
        <f>SUMIF('On The Board'!H$5:H$219,"&lt;="&amp;$B238,'On The Board'!$M$5:$M$219)-SUM(H238:J238)</f>
        <v>5</v>
      </c>
      <c r="H238" s="12">
        <f>SUMIF('On The Board'!I$5:I$219,"&lt;="&amp;$B238,'On The Board'!$M$5:$M$219)-SUM(I238,J238)</f>
        <v>2</v>
      </c>
      <c r="I238" s="12">
        <f>SUMIF('On The Board'!J$5:J$219,"&lt;="&amp;$B238,'On The Board'!$M$5:$M$219)-SUM(J238)</f>
        <v>0</v>
      </c>
      <c r="J238" s="12">
        <f>SUMIF('On The Board'!K$5:K$219,"&lt;="&amp;$B238,'On The Board'!$M$5:$M$219)</f>
        <v>70</v>
      </c>
      <c r="K238" s="10">
        <f t="shared" si="25"/>
        <v>77</v>
      </c>
      <c r="L238" s="10" t="e">
        <f ca="1">IF(TodaysDate&gt;=B238,SUM(F238:I238),NA())</f>
        <v>#N/A</v>
      </c>
      <c r="M238" s="44" t="e">
        <f t="shared" ca="1" si="28"/>
        <v>#N/A</v>
      </c>
      <c r="N238" s="44" t="e">
        <f ca="1">IF(ISNUMBER(M238),(J238-J228)/NETWORKDAYS(B228,B238,BankHolidays),NA())</f>
        <v>#N/A</v>
      </c>
      <c r="O238" s="44" t="e">
        <f t="shared" ca="1" si="27"/>
        <v>#N/A</v>
      </c>
      <c r="P238" s="53" t="e">
        <f t="shared" ca="1" si="29"/>
        <v>#N/A</v>
      </c>
      <c r="Q238" s="53" t="str">
        <f ca="1">IFERROR(DayByDayTable[[#This Row],[Lead Time]],"")</f>
        <v/>
      </c>
      <c r="R238" s="44" t="e">
        <f t="shared" ca="1" si="30"/>
        <v>#N/A</v>
      </c>
      <c r="S238" s="44">
        <f ca="1">ROUND(PERCENTILE(DayByDayTable[[#Data],[BlankLeadTime]],0.8),0)</f>
        <v>8</v>
      </c>
    </row>
    <row r="239" spans="1:19">
      <c r="A239" s="51">
        <f t="shared" si="24"/>
        <v>42751</v>
      </c>
      <c r="B239" s="11">
        <f t="shared" si="26"/>
        <v>42751</v>
      </c>
      <c r="C239" s="47">
        <f>SUMIFS('On The Board'!$M$5:$M$219,'On The Board'!F$5:F$219,"&lt;="&amp;$B239,'On The Board'!E$5:E$219,"="&amp;FutureWork)</f>
        <v>0</v>
      </c>
      <c r="D239" s="47" t="str">
        <f ca="1">IF(TodaysDate&gt;=B239,SUMIF('On The Board'!F$5:F$219,"&lt;="&amp;$B239,'On The Board'!$M$5:$M$219)-SUM(F239:J239),"")</f>
        <v/>
      </c>
      <c r="E239" s="12">
        <f ca="1">IF(TodaysDate&gt;=B239,SUMIF('On The Board'!F$5:F$219,"&lt;="&amp;$B239,'On The Board'!$M$5:$M$219)-SUM(F239:J239),E238)</f>
        <v>47</v>
      </c>
      <c r="F239" s="12">
        <f>SUMIF('On The Board'!G$5:G$219,"&lt;="&amp;$B239,'On The Board'!$M$5:$M$219)-SUM(G239:J239)</f>
        <v>0</v>
      </c>
      <c r="G239" s="12">
        <f>SUMIF('On The Board'!H$5:H$219,"&lt;="&amp;$B239,'On The Board'!$M$5:$M$219)-SUM(H239:J239)</f>
        <v>5</v>
      </c>
      <c r="H239" s="12">
        <f>SUMIF('On The Board'!I$5:I$219,"&lt;="&amp;$B239,'On The Board'!$M$5:$M$219)-SUM(I239,J239)</f>
        <v>2</v>
      </c>
      <c r="I239" s="12">
        <f>SUMIF('On The Board'!J$5:J$219,"&lt;="&amp;$B239,'On The Board'!$M$5:$M$219)-SUM(J239)</f>
        <v>0</v>
      </c>
      <c r="J239" s="12">
        <f>SUMIF('On The Board'!K$5:K$219,"&lt;="&amp;$B239,'On The Board'!$M$5:$M$219)</f>
        <v>70</v>
      </c>
      <c r="K239" s="10">
        <f t="shared" si="25"/>
        <v>77</v>
      </c>
      <c r="L239" s="10" t="e">
        <f ca="1">IF(TodaysDate&gt;=B239,SUM(F239:I239),NA())</f>
        <v>#N/A</v>
      </c>
      <c r="M239" s="44" t="e">
        <f t="shared" ca="1" si="28"/>
        <v>#N/A</v>
      </c>
      <c r="N239" s="44" t="e">
        <f ca="1">IF(ISNUMBER(M239),(J239-J229)/NETWORKDAYS(B229,B239,BankHolidays),NA())</f>
        <v>#N/A</v>
      </c>
      <c r="O239" s="44" t="e">
        <f t="shared" ca="1" si="27"/>
        <v>#N/A</v>
      </c>
      <c r="P239" s="53" t="e">
        <f t="shared" ca="1" si="29"/>
        <v>#N/A</v>
      </c>
      <c r="Q239" s="53" t="str">
        <f ca="1">IFERROR(DayByDayTable[[#This Row],[Lead Time]],"")</f>
        <v/>
      </c>
      <c r="R239" s="44" t="e">
        <f t="shared" ca="1" si="30"/>
        <v>#N/A</v>
      </c>
      <c r="S239" s="44">
        <f ca="1">ROUND(PERCENTILE(DayByDayTable[[#Data],[BlankLeadTime]],0.8),0)</f>
        <v>8</v>
      </c>
    </row>
    <row r="240" spans="1:19">
      <c r="A240" s="51">
        <f t="shared" si="24"/>
        <v>42752</v>
      </c>
      <c r="B240" s="11">
        <f t="shared" si="26"/>
        <v>42752</v>
      </c>
      <c r="C240" s="47">
        <f>SUMIFS('On The Board'!$M$5:$M$219,'On The Board'!F$5:F$219,"&lt;="&amp;$B240,'On The Board'!E$5:E$219,"="&amp;FutureWork)</f>
        <v>0</v>
      </c>
      <c r="D240" s="47" t="str">
        <f ca="1">IF(TodaysDate&gt;=B240,SUMIF('On The Board'!F$5:F$219,"&lt;="&amp;$B240,'On The Board'!$M$5:$M$219)-SUM(F240:J240),"")</f>
        <v/>
      </c>
      <c r="E240" s="12">
        <f ca="1">IF(TodaysDate&gt;=B240,SUMIF('On The Board'!F$5:F$219,"&lt;="&amp;$B240,'On The Board'!$M$5:$M$219)-SUM(F240:J240),E239)</f>
        <v>47</v>
      </c>
      <c r="F240" s="12">
        <f>SUMIF('On The Board'!G$5:G$219,"&lt;="&amp;$B240,'On The Board'!$M$5:$M$219)-SUM(G240:J240)</f>
        <v>0</v>
      </c>
      <c r="G240" s="12">
        <f>SUMIF('On The Board'!H$5:H$219,"&lt;="&amp;$B240,'On The Board'!$M$5:$M$219)-SUM(H240:J240)</f>
        <v>5</v>
      </c>
      <c r="H240" s="12">
        <f>SUMIF('On The Board'!I$5:I$219,"&lt;="&amp;$B240,'On The Board'!$M$5:$M$219)-SUM(I240,J240)</f>
        <v>2</v>
      </c>
      <c r="I240" s="12">
        <f>SUMIF('On The Board'!J$5:J$219,"&lt;="&amp;$B240,'On The Board'!$M$5:$M$219)-SUM(J240)</f>
        <v>0</v>
      </c>
      <c r="J240" s="12">
        <f>SUMIF('On The Board'!K$5:K$219,"&lt;="&amp;$B240,'On The Board'!$M$5:$M$219)</f>
        <v>70</v>
      </c>
      <c r="K240" s="10">
        <f t="shared" si="25"/>
        <v>77</v>
      </c>
      <c r="L240" s="10" t="e">
        <f ca="1">IF(TodaysDate&gt;=B240,SUM(F240:I240),NA())</f>
        <v>#N/A</v>
      </c>
      <c r="M240" s="44" t="e">
        <f t="shared" ca="1" si="28"/>
        <v>#N/A</v>
      </c>
      <c r="N240" s="44" t="e">
        <f ca="1">IF(ISNUMBER(M240),(J240-J230)/NETWORKDAYS(B230,B240,BankHolidays),NA())</f>
        <v>#N/A</v>
      </c>
      <c r="O240" s="44" t="e">
        <f t="shared" ca="1" si="27"/>
        <v>#N/A</v>
      </c>
      <c r="P240" s="53" t="e">
        <f t="shared" ca="1" si="29"/>
        <v>#N/A</v>
      </c>
      <c r="Q240" s="53" t="str">
        <f ca="1">IFERROR(DayByDayTable[[#This Row],[Lead Time]],"")</f>
        <v/>
      </c>
      <c r="R240" s="44" t="e">
        <f t="shared" ca="1" si="30"/>
        <v>#N/A</v>
      </c>
      <c r="S240" s="44">
        <f ca="1">ROUND(PERCENTILE(DayByDayTable[[#Data],[BlankLeadTime]],0.8),0)</f>
        <v>8</v>
      </c>
    </row>
    <row r="241" spans="1:19">
      <c r="A241" s="51">
        <f t="shared" si="24"/>
        <v>42753</v>
      </c>
      <c r="B241" s="11">
        <f t="shared" si="26"/>
        <v>42753</v>
      </c>
      <c r="C241" s="47">
        <f>SUMIFS('On The Board'!$M$5:$M$219,'On The Board'!F$5:F$219,"&lt;="&amp;$B241,'On The Board'!E$5:E$219,"="&amp;FutureWork)</f>
        <v>0</v>
      </c>
      <c r="D241" s="47" t="str">
        <f ca="1">IF(TodaysDate&gt;=B241,SUMIF('On The Board'!F$5:F$219,"&lt;="&amp;$B241,'On The Board'!$M$5:$M$219)-SUM(F241:J241),"")</f>
        <v/>
      </c>
      <c r="E241" s="12">
        <f ca="1">IF(TodaysDate&gt;=B241,SUMIF('On The Board'!F$5:F$219,"&lt;="&amp;$B241,'On The Board'!$M$5:$M$219)-SUM(F241:J241),E240)</f>
        <v>47</v>
      </c>
      <c r="F241" s="12">
        <f>SUMIF('On The Board'!G$5:G$219,"&lt;="&amp;$B241,'On The Board'!$M$5:$M$219)-SUM(G241:J241)</f>
        <v>0</v>
      </c>
      <c r="G241" s="12">
        <f>SUMIF('On The Board'!H$5:H$219,"&lt;="&amp;$B241,'On The Board'!$M$5:$M$219)-SUM(H241:J241)</f>
        <v>5</v>
      </c>
      <c r="H241" s="12">
        <f>SUMIF('On The Board'!I$5:I$219,"&lt;="&amp;$B241,'On The Board'!$M$5:$M$219)-SUM(I241,J241)</f>
        <v>2</v>
      </c>
      <c r="I241" s="12">
        <f>SUMIF('On The Board'!J$5:J$219,"&lt;="&amp;$B241,'On The Board'!$M$5:$M$219)-SUM(J241)</f>
        <v>0</v>
      </c>
      <c r="J241" s="12">
        <f>SUMIF('On The Board'!K$5:K$219,"&lt;="&amp;$B241,'On The Board'!$M$5:$M$219)</f>
        <v>70</v>
      </c>
      <c r="K241" s="10">
        <f t="shared" si="25"/>
        <v>77</v>
      </c>
      <c r="L241" s="10" t="e">
        <f ca="1">IF(TodaysDate&gt;=B241,SUM(F241:I241),NA())</f>
        <v>#N/A</v>
      </c>
      <c r="M241" s="44" t="e">
        <f t="shared" ca="1" si="28"/>
        <v>#N/A</v>
      </c>
      <c r="N241" s="44" t="e">
        <f ca="1">IF(ISNUMBER(M241),(J241-J231)/NETWORKDAYS(B231,B241,BankHolidays),NA())</f>
        <v>#N/A</v>
      </c>
      <c r="O241" s="44" t="e">
        <f t="shared" ca="1" si="27"/>
        <v>#N/A</v>
      </c>
      <c r="P241" s="53" t="e">
        <f t="shared" ca="1" si="29"/>
        <v>#N/A</v>
      </c>
      <c r="Q241" s="53" t="str">
        <f ca="1">IFERROR(DayByDayTable[[#This Row],[Lead Time]],"")</f>
        <v/>
      </c>
      <c r="R241" s="44" t="e">
        <f t="shared" ca="1" si="30"/>
        <v>#N/A</v>
      </c>
      <c r="S241" s="44">
        <f ca="1">ROUND(PERCENTILE(DayByDayTable[[#Data],[BlankLeadTime]],0.8),0)</f>
        <v>8</v>
      </c>
    </row>
    <row r="242" spans="1:19">
      <c r="A242" s="51">
        <f t="shared" si="24"/>
        <v>42754</v>
      </c>
      <c r="B242" s="11">
        <f t="shared" si="26"/>
        <v>42754</v>
      </c>
      <c r="C242" s="47">
        <f>SUMIFS('On The Board'!$M$5:$M$219,'On The Board'!F$5:F$219,"&lt;="&amp;$B242,'On The Board'!E$5:E$219,"="&amp;FutureWork)</f>
        <v>0</v>
      </c>
      <c r="D242" s="47" t="str">
        <f ca="1">IF(TodaysDate&gt;=B242,SUMIF('On The Board'!F$5:F$219,"&lt;="&amp;$B242,'On The Board'!$M$5:$M$219)-SUM(F242:J242),"")</f>
        <v/>
      </c>
      <c r="E242" s="12">
        <f ca="1">IF(TodaysDate&gt;=B242,SUMIF('On The Board'!F$5:F$219,"&lt;="&amp;$B242,'On The Board'!$M$5:$M$219)-SUM(F242:J242),E241)</f>
        <v>47</v>
      </c>
      <c r="F242" s="12">
        <f>SUMIF('On The Board'!G$5:G$219,"&lt;="&amp;$B242,'On The Board'!$M$5:$M$219)-SUM(G242:J242)</f>
        <v>0</v>
      </c>
      <c r="G242" s="12">
        <f>SUMIF('On The Board'!H$5:H$219,"&lt;="&amp;$B242,'On The Board'!$M$5:$M$219)-SUM(H242:J242)</f>
        <v>5</v>
      </c>
      <c r="H242" s="12">
        <f>SUMIF('On The Board'!I$5:I$219,"&lt;="&amp;$B242,'On The Board'!$M$5:$M$219)-SUM(I242,J242)</f>
        <v>2</v>
      </c>
      <c r="I242" s="12">
        <f>SUMIF('On The Board'!J$5:J$219,"&lt;="&amp;$B242,'On The Board'!$M$5:$M$219)-SUM(J242)</f>
        <v>0</v>
      </c>
      <c r="J242" s="12">
        <f>SUMIF('On The Board'!K$5:K$219,"&lt;="&amp;$B242,'On The Board'!$M$5:$M$219)</f>
        <v>70</v>
      </c>
      <c r="K242" s="10">
        <f t="shared" si="25"/>
        <v>77</v>
      </c>
      <c r="L242" s="10" t="e">
        <f ca="1">IF(TodaysDate&gt;=B242,SUM(F242:I242),NA())</f>
        <v>#N/A</v>
      </c>
      <c r="M242" s="44" t="e">
        <f t="shared" ca="1" si="28"/>
        <v>#N/A</v>
      </c>
      <c r="N242" s="44" t="e">
        <f ca="1">IF(ISNUMBER(M242),(J242-J232)/NETWORKDAYS(B232,B242,BankHolidays),NA())</f>
        <v>#N/A</v>
      </c>
      <c r="O242" s="44" t="e">
        <f t="shared" ca="1" si="27"/>
        <v>#N/A</v>
      </c>
      <c r="P242" s="53" t="e">
        <f t="shared" ca="1" si="29"/>
        <v>#N/A</v>
      </c>
      <c r="Q242" s="53" t="str">
        <f ca="1">IFERROR(DayByDayTable[[#This Row],[Lead Time]],"")</f>
        <v/>
      </c>
      <c r="R242" s="44" t="e">
        <f t="shared" ca="1" si="30"/>
        <v>#N/A</v>
      </c>
      <c r="S242" s="44">
        <f ca="1">ROUND(PERCENTILE(DayByDayTable[[#Data],[BlankLeadTime]],0.8),0)</f>
        <v>8</v>
      </c>
    </row>
    <row r="243" spans="1:19">
      <c r="A243" s="51">
        <f t="shared" si="24"/>
        <v>42755</v>
      </c>
      <c r="B243" s="11">
        <f t="shared" si="26"/>
        <v>42755</v>
      </c>
      <c r="C243" s="47">
        <f>SUMIFS('On The Board'!$M$5:$M$219,'On The Board'!F$5:F$219,"&lt;="&amp;$B243,'On The Board'!E$5:E$219,"="&amp;FutureWork)</f>
        <v>0</v>
      </c>
      <c r="D243" s="47" t="str">
        <f ca="1">IF(TodaysDate&gt;=B243,SUMIF('On The Board'!F$5:F$219,"&lt;="&amp;$B243,'On The Board'!$M$5:$M$219)-SUM(F243:J243),"")</f>
        <v/>
      </c>
      <c r="E243" s="12">
        <f ca="1">IF(TodaysDate&gt;=B243,SUMIF('On The Board'!F$5:F$219,"&lt;="&amp;$B243,'On The Board'!$M$5:$M$219)-SUM(F243:J243),E242)</f>
        <v>47</v>
      </c>
      <c r="F243" s="12">
        <f>SUMIF('On The Board'!G$5:G$219,"&lt;="&amp;$B243,'On The Board'!$M$5:$M$219)-SUM(G243:J243)</f>
        <v>0</v>
      </c>
      <c r="G243" s="12">
        <f>SUMIF('On The Board'!H$5:H$219,"&lt;="&amp;$B243,'On The Board'!$M$5:$M$219)-SUM(H243:J243)</f>
        <v>5</v>
      </c>
      <c r="H243" s="12">
        <f>SUMIF('On The Board'!I$5:I$219,"&lt;="&amp;$B243,'On The Board'!$M$5:$M$219)-SUM(I243,J243)</f>
        <v>2</v>
      </c>
      <c r="I243" s="12">
        <f>SUMIF('On The Board'!J$5:J$219,"&lt;="&amp;$B243,'On The Board'!$M$5:$M$219)-SUM(J243)</f>
        <v>0</v>
      </c>
      <c r="J243" s="12">
        <f>SUMIF('On The Board'!K$5:K$219,"&lt;="&amp;$B243,'On The Board'!$M$5:$M$219)</f>
        <v>70</v>
      </c>
      <c r="K243" s="10">
        <f t="shared" si="25"/>
        <v>77</v>
      </c>
      <c r="L243" s="10" t="e">
        <f ca="1">IF(TodaysDate&gt;=B243,SUM(F243:I243),NA())</f>
        <v>#N/A</v>
      </c>
      <c r="M243" s="44" t="e">
        <f t="shared" ca="1" si="28"/>
        <v>#N/A</v>
      </c>
      <c r="N243" s="44" t="e">
        <f ca="1">IF(ISNUMBER(M243),(J243-J233)/NETWORKDAYS(B233,B243,BankHolidays),NA())</f>
        <v>#N/A</v>
      </c>
      <c r="O243" s="44" t="e">
        <f t="shared" ca="1" si="27"/>
        <v>#N/A</v>
      </c>
      <c r="P243" s="53" t="e">
        <f t="shared" ca="1" si="29"/>
        <v>#N/A</v>
      </c>
      <c r="Q243" s="53" t="str">
        <f ca="1">IFERROR(DayByDayTable[[#This Row],[Lead Time]],"")</f>
        <v/>
      </c>
      <c r="R243" s="44" t="e">
        <f t="shared" ca="1" si="30"/>
        <v>#N/A</v>
      </c>
      <c r="S243" s="44">
        <f ca="1">ROUND(PERCENTILE(DayByDayTable[[#Data],[BlankLeadTime]],0.8),0)</f>
        <v>8</v>
      </c>
    </row>
    <row r="244" spans="1:19">
      <c r="A244" s="51">
        <f t="shared" si="24"/>
        <v>42758</v>
      </c>
      <c r="B244" s="11">
        <f t="shared" si="26"/>
        <v>42758</v>
      </c>
      <c r="C244" s="47">
        <f>SUMIFS('On The Board'!$M$5:$M$219,'On The Board'!F$5:F$219,"&lt;="&amp;$B244,'On The Board'!E$5:E$219,"="&amp;FutureWork)</f>
        <v>0</v>
      </c>
      <c r="D244" s="47" t="str">
        <f ca="1">IF(TodaysDate&gt;=B244,SUMIF('On The Board'!F$5:F$219,"&lt;="&amp;$B244,'On The Board'!$M$5:$M$219)-SUM(F244:J244),"")</f>
        <v/>
      </c>
      <c r="E244" s="12">
        <f ca="1">IF(TodaysDate&gt;=B244,SUMIF('On The Board'!F$5:F$219,"&lt;="&amp;$B244,'On The Board'!$M$5:$M$219)-SUM(F244:J244),E243)</f>
        <v>47</v>
      </c>
      <c r="F244" s="12">
        <f>SUMIF('On The Board'!G$5:G$219,"&lt;="&amp;$B244,'On The Board'!$M$5:$M$219)-SUM(G244:J244)</f>
        <v>0</v>
      </c>
      <c r="G244" s="12">
        <f>SUMIF('On The Board'!H$5:H$219,"&lt;="&amp;$B244,'On The Board'!$M$5:$M$219)-SUM(H244:J244)</f>
        <v>5</v>
      </c>
      <c r="H244" s="12">
        <f>SUMIF('On The Board'!I$5:I$219,"&lt;="&amp;$B244,'On The Board'!$M$5:$M$219)-SUM(I244,J244)</f>
        <v>2</v>
      </c>
      <c r="I244" s="12">
        <f>SUMIF('On The Board'!J$5:J$219,"&lt;="&amp;$B244,'On The Board'!$M$5:$M$219)-SUM(J244)</f>
        <v>0</v>
      </c>
      <c r="J244" s="12">
        <f>SUMIF('On The Board'!K$5:K$219,"&lt;="&amp;$B244,'On The Board'!$M$5:$M$219)</f>
        <v>70</v>
      </c>
      <c r="K244" s="10">
        <f t="shared" si="25"/>
        <v>77</v>
      </c>
      <c r="L244" s="10" t="e">
        <f ca="1">IF(TodaysDate&gt;=B244,SUM(F244:I244),NA())</f>
        <v>#N/A</v>
      </c>
      <c r="M244" s="44" t="e">
        <f t="shared" ca="1" si="28"/>
        <v>#N/A</v>
      </c>
      <c r="N244" s="44" t="e">
        <f ca="1">IF(ISNUMBER(M244),(J244-J234)/NETWORKDAYS(B234,B244,BankHolidays),NA())</f>
        <v>#N/A</v>
      </c>
      <c r="O244" s="44" t="e">
        <f t="shared" ca="1" si="27"/>
        <v>#N/A</v>
      </c>
      <c r="P244" s="53" t="e">
        <f t="shared" ca="1" si="29"/>
        <v>#N/A</v>
      </c>
      <c r="Q244" s="53" t="str">
        <f ca="1">IFERROR(DayByDayTable[[#This Row],[Lead Time]],"")</f>
        <v/>
      </c>
      <c r="R244" s="44" t="e">
        <f t="shared" ca="1" si="30"/>
        <v>#N/A</v>
      </c>
      <c r="S244" s="44">
        <f ca="1">ROUND(PERCENTILE(DayByDayTable[[#Data],[BlankLeadTime]],0.8),0)</f>
        <v>8</v>
      </c>
    </row>
    <row r="245" spans="1:19">
      <c r="A245" s="51">
        <f t="shared" si="24"/>
        <v>42759</v>
      </c>
      <c r="B245" s="11">
        <f t="shared" si="26"/>
        <v>42759</v>
      </c>
      <c r="C245" s="47">
        <f>SUMIFS('On The Board'!$M$5:$M$219,'On The Board'!F$5:F$219,"&lt;="&amp;$B245,'On The Board'!E$5:E$219,"="&amp;FutureWork)</f>
        <v>0</v>
      </c>
      <c r="D245" s="47" t="str">
        <f ca="1">IF(TodaysDate&gt;=B245,SUMIF('On The Board'!F$5:F$219,"&lt;="&amp;$B245,'On The Board'!$M$5:$M$219)-SUM(F245:J245),"")</f>
        <v/>
      </c>
      <c r="E245" s="12">
        <f ca="1">IF(TodaysDate&gt;=B245,SUMIF('On The Board'!F$5:F$219,"&lt;="&amp;$B245,'On The Board'!$M$5:$M$219)-SUM(F245:J245),E244)</f>
        <v>47</v>
      </c>
      <c r="F245" s="12">
        <f>SUMIF('On The Board'!G$5:G$219,"&lt;="&amp;$B245,'On The Board'!$M$5:$M$219)-SUM(G245:J245)</f>
        <v>0</v>
      </c>
      <c r="G245" s="12">
        <f>SUMIF('On The Board'!H$5:H$219,"&lt;="&amp;$B245,'On The Board'!$M$5:$M$219)-SUM(H245:J245)</f>
        <v>5</v>
      </c>
      <c r="H245" s="12">
        <f>SUMIF('On The Board'!I$5:I$219,"&lt;="&amp;$B245,'On The Board'!$M$5:$M$219)-SUM(I245,J245)</f>
        <v>2</v>
      </c>
      <c r="I245" s="12">
        <f>SUMIF('On The Board'!J$5:J$219,"&lt;="&amp;$B245,'On The Board'!$M$5:$M$219)-SUM(J245)</f>
        <v>0</v>
      </c>
      <c r="J245" s="12">
        <f>SUMIF('On The Board'!K$5:K$219,"&lt;="&amp;$B245,'On The Board'!$M$5:$M$219)</f>
        <v>70</v>
      </c>
      <c r="K245" s="10">
        <f t="shared" si="25"/>
        <v>77</v>
      </c>
      <c r="L245" s="10" t="e">
        <f ca="1">IF(TodaysDate&gt;=B245,SUM(F245:I245),NA())</f>
        <v>#N/A</v>
      </c>
      <c r="M245" s="44" t="e">
        <f t="shared" ca="1" si="28"/>
        <v>#N/A</v>
      </c>
      <c r="N245" s="44" t="e">
        <f ca="1">IF(ISNUMBER(M245),(J245-J235)/NETWORKDAYS(B235,B245,BankHolidays),NA())</f>
        <v>#N/A</v>
      </c>
      <c r="O245" s="44" t="e">
        <f t="shared" ca="1" si="27"/>
        <v>#N/A</v>
      </c>
      <c r="P245" s="53" t="e">
        <f t="shared" ca="1" si="29"/>
        <v>#N/A</v>
      </c>
      <c r="Q245" s="53" t="str">
        <f ca="1">IFERROR(DayByDayTable[[#This Row],[Lead Time]],"")</f>
        <v/>
      </c>
      <c r="R245" s="44" t="e">
        <f t="shared" ca="1" si="30"/>
        <v>#N/A</v>
      </c>
      <c r="S245" s="44">
        <f ca="1">ROUND(PERCENTILE(DayByDayTable[[#Data],[BlankLeadTime]],0.8),0)</f>
        <v>8</v>
      </c>
    </row>
    <row r="246" spans="1:19">
      <c r="A246" s="51">
        <f t="shared" si="24"/>
        <v>42760</v>
      </c>
      <c r="B246" s="11">
        <f t="shared" si="26"/>
        <v>42760</v>
      </c>
      <c r="C246" s="47">
        <f>SUMIFS('On The Board'!$M$5:$M$219,'On The Board'!F$5:F$219,"&lt;="&amp;$B246,'On The Board'!E$5:E$219,"="&amp;FutureWork)</f>
        <v>0</v>
      </c>
      <c r="D246" s="47" t="str">
        <f ca="1">IF(TodaysDate&gt;=B246,SUMIF('On The Board'!F$5:F$219,"&lt;="&amp;$B246,'On The Board'!$M$5:$M$219)-SUM(F246:J246),"")</f>
        <v/>
      </c>
      <c r="E246" s="12">
        <f ca="1">IF(TodaysDate&gt;=B246,SUMIF('On The Board'!F$5:F$219,"&lt;="&amp;$B246,'On The Board'!$M$5:$M$219)-SUM(F246:J246),E245)</f>
        <v>47</v>
      </c>
      <c r="F246" s="12">
        <f>SUMIF('On The Board'!G$5:G$219,"&lt;="&amp;$B246,'On The Board'!$M$5:$M$219)-SUM(G246:J246)</f>
        <v>0</v>
      </c>
      <c r="G246" s="12">
        <f>SUMIF('On The Board'!H$5:H$219,"&lt;="&amp;$B246,'On The Board'!$M$5:$M$219)-SUM(H246:J246)</f>
        <v>5</v>
      </c>
      <c r="H246" s="12">
        <f>SUMIF('On The Board'!I$5:I$219,"&lt;="&amp;$B246,'On The Board'!$M$5:$M$219)-SUM(I246,J246)</f>
        <v>2</v>
      </c>
      <c r="I246" s="12">
        <f>SUMIF('On The Board'!J$5:J$219,"&lt;="&amp;$B246,'On The Board'!$M$5:$M$219)-SUM(J246)</f>
        <v>0</v>
      </c>
      <c r="J246" s="12">
        <f>SUMIF('On The Board'!K$5:K$219,"&lt;="&amp;$B246,'On The Board'!$M$5:$M$219)</f>
        <v>70</v>
      </c>
      <c r="K246" s="10">
        <f t="shared" si="25"/>
        <v>77</v>
      </c>
      <c r="L246" s="10" t="e">
        <f ca="1">IF(TodaysDate&gt;=B246,SUM(F246:I246),NA())</f>
        <v>#N/A</v>
      </c>
      <c r="M246" s="44" t="e">
        <f t="shared" ca="1" si="28"/>
        <v>#N/A</v>
      </c>
      <c r="N246" s="44" t="e">
        <f ca="1">IF(ISNUMBER(M246),(J246-J236)/NETWORKDAYS(B236,B246,BankHolidays),NA())</f>
        <v>#N/A</v>
      </c>
      <c r="O246" s="44" t="e">
        <f t="shared" ca="1" si="27"/>
        <v>#N/A</v>
      </c>
      <c r="P246" s="53" t="e">
        <f t="shared" ca="1" si="29"/>
        <v>#N/A</v>
      </c>
      <c r="Q246" s="53" t="str">
        <f ca="1">IFERROR(DayByDayTable[[#This Row],[Lead Time]],"")</f>
        <v/>
      </c>
      <c r="R246" s="44" t="e">
        <f t="shared" ca="1" si="30"/>
        <v>#N/A</v>
      </c>
      <c r="S246" s="44">
        <f ca="1">ROUND(PERCENTILE(DayByDayTable[[#Data],[BlankLeadTime]],0.8),0)</f>
        <v>8</v>
      </c>
    </row>
    <row r="247" spans="1:19">
      <c r="A247" s="51">
        <f t="shared" si="24"/>
        <v>42761</v>
      </c>
      <c r="B247" s="11">
        <f t="shared" si="26"/>
        <v>42761</v>
      </c>
      <c r="C247" s="47">
        <f>SUMIFS('On The Board'!$M$5:$M$219,'On The Board'!F$5:F$219,"&lt;="&amp;$B247,'On The Board'!E$5:E$219,"="&amp;FutureWork)</f>
        <v>0</v>
      </c>
      <c r="D247" s="47" t="str">
        <f ca="1">IF(TodaysDate&gt;=B247,SUMIF('On The Board'!F$5:F$219,"&lt;="&amp;$B247,'On The Board'!$M$5:$M$219)-SUM(F247:J247),"")</f>
        <v/>
      </c>
      <c r="E247" s="12">
        <f ca="1">IF(TodaysDate&gt;=B247,SUMIF('On The Board'!F$5:F$219,"&lt;="&amp;$B247,'On The Board'!$M$5:$M$219)-SUM(F247:J247),E246)</f>
        <v>47</v>
      </c>
      <c r="F247" s="12">
        <f>SUMIF('On The Board'!G$5:G$219,"&lt;="&amp;$B247,'On The Board'!$M$5:$M$219)-SUM(G247:J247)</f>
        <v>0</v>
      </c>
      <c r="G247" s="12">
        <f>SUMIF('On The Board'!H$5:H$219,"&lt;="&amp;$B247,'On The Board'!$M$5:$M$219)-SUM(H247:J247)</f>
        <v>5</v>
      </c>
      <c r="H247" s="12">
        <f>SUMIF('On The Board'!I$5:I$219,"&lt;="&amp;$B247,'On The Board'!$M$5:$M$219)-SUM(I247,J247)</f>
        <v>2</v>
      </c>
      <c r="I247" s="12">
        <f>SUMIF('On The Board'!J$5:J$219,"&lt;="&amp;$B247,'On The Board'!$M$5:$M$219)-SUM(J247)</f>
        <v>0</v>
      </c>
      <c r="J247" s="12">
        <f>SUMIF('On The Board'!K$5:K$219,"&lt;="&amp;$B247,'On The Board'!$M$5:$M$219)</f>
        <v>70</v>
      </c>
      <c r="K247" s="10">
        <f t="shared" si="25"/>
        <v>77</v>
      </c>
      <c r="L247" s="10" t="e">
        <f ca="1">IF(TodaysDate&gt;=B247,SUM(F247:I247),NA())</f>
        <v>#N/A</v>
      </c>
      <c r="M247" s="44" t="e">
        <f t="shared" ca="1" si="28"/>
        <v>#N/A</v>
      </c>
      <c r="N247" s="44" t="e">
        <f ca="1">IF(ISNUMBER(M247),(J247-J237)/NETWORKDAYS(B237,B247,BankHolidays),NA())</f>
        <v>#N/A</v>
      </c>
      <c r="O247" s="44" t="e">
        <f t="shared" ca="1" si="27"/>
        <v>#N/A</v>
      </c>
      <c r="P247" s="53" t="e">
        <f t="shared" ca="1" si="29"/>
        <v>#N/A</v>
      </c>
      <c r="Q247" s="53" t="str">
        <f ca="1">IFERROR(DayByDayTable[[#This Row],[Lead Time]],"")</f>
        <v/>
      </c>
      <c r="R247" s="44" t="e">
        <f t="shared" ca="1" si="30"/>
        <v>#N/A</v>
      </c>
      <c r="S247" s="44">
        <f ca="1">ROUND(PERCENTILE(DayByDayTable[[#Data],[BlankLeadTime]],0.8),0)</f>
        <v>8</v>
      </c>
    </row>
    <row r="248" spans="1:19">
      <c r="A248" s="51">
        <f t="shared" si="24"/>
        <v>42762</v>
      </c>
      <c r="B248" s="11">
        <f t="shared" si="26"/>
        <v>42762</v>
      </c>
      <c r="C248" s="47">
        <f>SUMIFS('On The Board'!$M$5:$M$219,'On The Board'!F$5:F$219,"&lt;="&amp;$B248,'On The Board'!E$5:E$219,"="&amp;FutureWork)</f>
        <v>0</v>
      </c>
      <c r="D248" s="47" t="str">
        <f ca="1">IF(TodaysDate&gt;=B248,SUMIF('On The Board'!F$5:F$219,"&lt;="&amp;$B248,'On The Board'!$M$5:$M$219)-SUM(F248:J248),"")</f>
        <v/>
      </c>
      <c r="E248" s="12">
        <f ca="1">IF(TodaysDate&gt;=B248,SUMIF('On The Board'!F$5:F$219,"&lt;="&amp;$B248,'On The Board'!$M$5:$M$219)-SUM(F248:J248),E247)</f>
        <v>47</v>
      </c>
      <c r="F248" s="12">
        <f>SUMIF('On The Board'!G$5:G$219,"&lt;="&amp;$B248,'On The Board'!$M$5:$M$219)-SUM(G248:J248)</f>
        <v>0</v>
      </c>
      <c r="G248" s="12">
        <f>SUMIF('On The Board'!H$5:H$219,"&lt;="&amp;$B248,'On The Board'!$M$5:$M$219)-SUM(H248:J248)</f>
        <v>5</v>
      </c>
      <c r="H248" s="12">
        <f>SUMIF('On The Board'!I$5:I$219,"&lt;="&amp;$B248,'On The Board'!$M$5:$M$219)-SUM(I248,J248)</f>
        <v>2</v>
      </c>
      <c r="I248" s="12">
        <f>SUMIF('On The Board'!J$5:J$219,"&lt;="&amp;$B248,'On The Board'!$M$5:$M$219)-SUM(J248)</f>
        <v>0</v>
      </c>
      <c r="J248" s="12">
        <f>SUMIF('On The Board'!K$5:K$219,"&lt;="&amp;$B248,'On The Board'!$M$5:$M$219)</f>
        <v>70</v>
      </c>
      <c r="K248" s="10">
        <f t="shared" si="25"/>
        <v>77</v>
      </c>
      <c r="L248" s="10" t="e">
        <f ca="1">IF(TodaysDate&gt;=B248,SUM(F248:I248),NA())</f>
        <v>#N/A</v>
      </c>
      <c r="M248" s="44" t="e">
        <f t="shared" ca="1" si="28"/>
        <v>#N/A</v>
      </c>
      <c r="N248" s="44" t="e">
        <f ca="1">IF(ISNUMBER(M248),(J248-J238)/NETWORKDAYS(B238,B248,BankHolidays),NA())</f>
        <v>#N/A</v>
      </c>
      <c r="O248" s="44" t="e">
        <f t="shared" ca="1" si="27"/>
        <v>#N/A</v>
      </c>
      <c r="P248" s="53" t="e">
        <f t="shared" ca="1" si="29"/>
        <v>#N/A</v>
      </c>
      <c r="Q248" s="53" t="str">
        <f ca="1">IFERROR(DayByDayTable[[#This Row],[Lead Time]],"")</f>
        <v/>
      </c>
      <c r="R248" s="44" t="e">
        <f t="shared" ca="1" si="30"/>
        <v>#N/A</v>
      </c>
      <c r="S248" s="44">
        <f ca="1">ROUND(PERCENTILE(DayByDayTable[[#Data],[BlankLeadTime]],0.8),0)</f>
        <v>8</v>
      </c>
    </row>
    <row r="249" spans="1:19">
      <c r="A249" s="51">
        <f t="shared" si="24"/>
        <v>42765</v>
      </c>
      <c r="B249" s="11">
        <f t="shared" si="26"/>
        <v>42765</v>
      </c>
      <c r="C249" s="47">
        <f>SUMIFS('On The Board'!$M$5:$M$219,'On The Board'!F$5:F$219,"&lt;="&amp;$B249,'On The Board'!E$5:E$219,"="&amp;FutureWork)</f>
        <v>0</v>
      </c>
      <c r="D249" s="47" t="str">
        <f ca="1">IF(TodaysDate&gt;=B249,SUMIF('On The Board'!F$5:F$219,"&lt;="&amp;$B249,'On The Board'!$M$5:$M$219)-SUM(F249:J249),"")</f>
        <v/>
      </c>
      <c r="E249" s="12">
        <f ca="1">IF(TodaysDate&gt;=B249,SUMIF('On The Board'!F$5:F$219,"&lt;="&amp;$B249,'On The Board'!$M$5:$M$219)-SUM(F249:J249),E248)</f>
        <v>47</v>
      </c>
      <c r="F249" s="12">
        <f>SUMIF('On The Board'!G$5:G$219,"&lt;="&amp;$B249,'On The Board'!$M$5:$M$219)-SUM(G249:J249)</f>
        <v>0</v>
      </c>
      <c r="G249" s="12">
        <f>SUMIF('On The Board'!H$5:H$219,"&lt;="&amp;$B249,'On The Board'!$M$5:$M$219)-SUM(H249:J249)</f>
        <v>5</v>
      </c>
      <c r="H249" s="12">
        <f>SUMIF('On The Board'!I$5:I$219,"&lt;="&amp;$B249,'On The Board'!$M$5:$M$219)-SUM(I249,J249)</f>
        <v>2</v>
      </c>
      <c r="I249" s="12">
        <f>SUMIF('On The Board'!J$5:J$219,"&lt;="&amp;$B249,'On The Board'!$M$5:$M$219)-SUM(J249)</f>
        <v>0</v>
      </c>
      <c r="J249" s="12">
        <f>SUMIF('On The Board'!K$5:K$219,"&lt;="&amp;$B249,'On The Board'!$M$5:$M$219)</f>
        <v>70</v>
      </c>
      <c r="K249" s="10">
        <f t="shared" si="25"/>
        <v>77</v>
      </c>
      <c r="L249" s="10" t="e">
        <f ca="1">IF(TodaysDate&gt;=B249,SUM(F249:I249),NA())</f>
        <v>#N/A</v>
      </c>
      <c r="M249" s="44" t="e">
        <f t="shared" ca="1" si="28"/>
        <v>#N/A</v>
      </c>
      <c r="N249" s="44" t="e">
        <f ca="1">IF(ISNUMBER(M249),(J249-J239)/NETWORKDAYS(B239,B249,BankHolidays),NA())</f>
        <v>#N/A</v>
      </c>
      <c r="O249" s="44" t="e">
        <f t="shared" ca="1" si="27"/>
        <v>#N/A</v>
      </c>
      <c r="P249" s="53" t="e">
        <f t="shared" ca="1" si="29"/>
        <v>#N/A</v>
      </c>
      <c r="Q249" s="53" t="str">
        <f ca="1">IFERROR(DayByDayTable[[#This Row],[Lead Time]],"")</f>
        <v/>
      </c>
      <c r="R249" s="44" t="e">
        <f t="shared" ca="1" si="30"/>
        <v>#N/A</v>
      </c>
      <c r="S249" s="44">
        <f ca="1">ROUND(PERCENTILE(DayByDayTable[[#Data],[BlankLeadTime]],0.8),0)</f>
        <v>8</v>
      </c>
    </row>
    <row r="250" spans="1:19">
      <c r="A250" s="51">
        <f t="shared" si="24"/>
        <v>42766</v>
      </c>
      <c r="B250" s="11">
        <f t="shared" si="26"/>
        <v>42766</v>
      </c>
      <c r="C250" s="47">
        <f>SUMIFS('On The Board'!$M$5:$M$219,'On The Board'!F$5:F$219,"&lt;="&amp;$B250,'On The Board'!E$5:E$219,"="&amp;FutureWork)</f>
        <v>0</v>
      </c>
      <c r="D250" s="47" t="str">
        <f ca="1">IF(TodaysDate&gt;=B250,SUMIF('On The Board'!F$5:F$219,"&lt;="&amp;$B250,'On The Board'!$M$5:$M$219)-SUM(F250:J250),"")</f>
        <v/>
      </c>
      <c r="E250" s="12">
        <f ca="1">IF(TodaysDate&gt;=B250,SUMIF('On The Board'!F$5:F$219,"&lt;="&amp;$B250,'On The Board'!$M$5:$M$219)-SUM(F250:J250),E249)</f>
        <v>47</v>
      </c>
      <c r="F250" s="12">
        <f>SUMIF('On The Board'!G$5:G$219,"&lt;="&amp;$B250,'On The Board'!$M$5:$M$219)-SUM(G250:J250)</f>
        <v>0</v>
      </c>
      <c r="G250" s="12">
        <f>SUMIF('On The Board'!H$5:H$219,"&lt;="&amp;$B250,'On The Board'!$M$5:$M$219)-SUM(H250:J250)</f>
        <v>5</v>
      </c>
      <c r="H250" s="12">
        <f>SUMIF('On The Board'!I$5:I$219,"&lt;="&amp;$B250,'On The Board'!$M$5:$M$219)-SUM(I250,J250)</f>
        <v>2</v>
      </c>
      <c r="I250" s="12">
        <f>SUMIF('On The Board'!J$5:J$219,"&lt;="&amp;$B250,'On The Board'!$M$5:$M$219)-SUM(J250)</f>
        <v>0</v>
      </c>
      <c r="J250" s="12">
        <f>SUMIF('On The Board'!K$5:K$219,"&lt;="&amp;$B250,'On The Board'!$M$5:$M$219)</f>
        <v>70</v>
      </c>
      <c r="K250" s="10">
        <f t="shared" si="25"/>
        <v>77</v>
      </c>
      <c r="L250" s="10" t="e">
        <f ca="1">IF(TodaysDate&gt;=B250,SUM(F250:I250),NA())</f>
        <v>#N/A</v>
      </c>
      <c r="M250" s="44" t="e">
        <f t="shared" ca="1" si="28"/>
        <v>#N/A</v>
      </c>
      <c r="N250" s="44" t="e">
        <f ca="1">IF(ISNUMBER(M250),(J250-J240)/NETWORKDAYS(B240,B250,BankHolidays),NA())</f>
        <v>#N/A</v>
      </c>
      <c r="O250" s="44" t="e">
        <f t="shared" ca="1" si="27"/>
        <v>#N/A</v>
      </c>
      <c r="P250" s="53" t="e">
        <f t="shared" ca="1" si="29"/>
        <v>#N/A</v>
      </c>
      <c r="Q250" s="53" t="str">
        <f ca="1">IFERROR(DayByDayTable[[#This Row],[Lead Time]],"")</f>
        <v/>
      </c>
      <c r="R250" s="44" t="e">
        <f t="shared" ca="1" si="30"/>
        <v>#N/A</v>
      </c>
      <c r="S250" s="44">
        <f ca="1">ROUND(PERCENTILE(DayByDayTable[[#Data],[BlankLeadTime]],0.8),0)</f>
        <v>8</v>
      </c>
    </row>
    <row r="251" spans="1:19">
      <c r="A251" s="51">
        <f t="shared" si="24"/>
        <v>42767</v>
      </c>
      <c r="B251" s="11">
        <f t="shared" si="26"/>
        <v>42767</v>
      </c>
      <c r="C251" s="47">
        <f>SUMIFS('On The Board'!$M$5:$M$219,'On The Board'!F$5:F$219,"&lt;="&amp;$B251,'On The Board'!E$5:E$219,"="&amp;FutureWork)</f>
        <v>0</v>
      </c>
      <c r="D251" s="47" t="str">
        <f ca="1">IF(TodaysDate&gt;=B251,SUMIF('On The Board'!F$5:F$219,"&lt;="&amp;$B251,'On The Board'!$M$5:$M$219)-SUM(F251:J251),"")</f>
        <v/>
      </c>
      <c r="E251" s="12">
        <f ca="1">IF(TodaysDate&gt;=B251,SUMIF('On The Board'!F$5:F$219,"&lt;="&amp;$B251,'On The Board'!$M$5:$M$219)-SUM(F251:J251),E250)</f>
        <v>47</v>
      </c>
      <c r="F251" s="12">
        <f>SUMIF('On The Board'!G$5:G$219,"&lt;="&amp;$B251,'On The Board'!$M$5:$M$219)-SUM(G251:J251)</f>
        <v>0</v>
      </c>
      <c r="G251" s="12">
        <f>SUMIF('On The Board'!H$5:H$219,"&lt;="&amp;$B251,'On The Board'!$M$5:$M$219)-SUM(H251:J251)</f>
        <v>5</v>
      </c>
      <c r="H251" s="12">
        <f>SUMIF('On The Board'!I$5:I$219,"&lt;="&amp;$B251,'On The Board'!$M$5:$M$219)-SUM(I251,J251)</f>
        <v>2</v>
      </c>
      <c r="I251" s="12">
        <f>SUMIF('On The Board'!J$5:J$219,"&lt;="&amp;$B251,'On The Board'!$M$5:$M$219)-SUM(J251)</f>
        <v>0</v>
      </c>
      <c r="J251" s="12">
        <f>SUMIF('On The Board'!K$5:K$219,"&lt;="&amp;$B251,'On The Board'!$M$5:$M$219)</f>
        <v>70</v>
      </c>
      <c r="K251" s="10">
        <f t="shared" si="25"/>
        <v>77</v>
      </c>
      <c r="L251" s="10" t="e">
        <f ca="1">IF(TodaysDate&gt;=B251,SUM(F251:I251),NA())</f>
        <v>#N/A</v>
      </c>
      <c r="M251" s="44" t="e">
        <f t="shared" ca="1" si="28"/>
        <v>#N/A</v>
      </c>
      <c r="N251" s="44" t="e">
        <f ca="1">IF(ISNUMBER(M251),(J251-J241)/NETWORKDAYS(B241,B251,BankHolidays),NA())</f>
        <v>#N/A</v>
      </c>
      <c r="O251" s="44" t="e">
        <f t="shared" ca="1" si="27"/>
        <v>#N/A</v>
      </c>
      <c r="P251" s="53" t="e">
        <f t="shared" ca="1" si="29"/>
        <v>#N/A</v>
      </c>
      <c r="Q251" s="53" t="str">
        <f ca="1">IFERROR(DayByDayTable[[#This Row],[Lead Time]],"")</f>
        <v/>
      </c>
      <c r="R251" s="44" t="e">
        <f t="shared" ca="1" si="30"/>
        <v>#N/A</v>
      </c>
      <c r="S251" s="44">
        <f ca="1">ROUND(PERCENTILE(DayByDayTable[[#Data],[BlankLeadTime]],0.8),0)</f>
        <v>8</v>
      </c>
    </row>
    <row r="252" spans="1:19">
      <c r="A252" s="51">
        <f t="shared" si="24"/>
        <v>42768</v>
      </c>
      <c r="B252" s="11">
        <f t="shared" si="26"/>
        <v>42768</v>
      </c>
      <c r="C252" s="47">
        <f>SUMIFS('On The Board'!$M$5:$M$219,'On The Board'!F$5:F$219,"&lt;="&amp;$B252,'On The Board'!E$5:E$219,"="&amp;FutureWork)</f>
        <v>0</v>
      </c>
      <c r="D252" s="47" t="str">
        <f ca="1">IF(TodaysDate&gt;=B252,SUMIF('On The Board'!F$5:F$219,"&lt;="&amp;$B252,'On The Board'!$M$5:$M$219)-SUM(F252:J252),"")</f>
        <v/>
      </c>
      <c r="E252" s="12">
        <f ca="1">IF(TodaysDate&gt;=B252,SUMIF('On The Board'!F$5:F$219,"&lt;="&amp;$B252,'On The Board'!$M$5:$M$219)-SUM(F252:J252),E251)</f>
        <v>47</v>
      </c>
      <c r="F252" s="12">
        <f>SUMIF('On The Board'!G$5:G$219,"&lt;="&amp;$B252,'On The Board'!$M$5:$M$219)-SUM(G252:J252)</f>
        <v>0</v>
      </c>
      <c r="G252" s="12">
        <f>SUMIF('On The Board'!H$5:H$219,"&lt;="&amp;$B252,'On The Board'!$M$5:$M$219)-SUM(H252:J252)</f>
        <v>5</v>
      </c>
      <c r="H252" s="12">
        <f>SUMIF('On The Board'!I$5:I$219,"&lt;="&amp;$B252,'On The Board'!$M$5:$M$219)-SUM(I252,J252)</f>
        <v>2</v>
      </c>
      <c r="I252" s="12">
        <f>SUMIF('On The Board'!J$5:J$219,"&lt;="&amp;$B252,'On The Board'!$M$5:$M$219)-SUM(J252)</f>
        <v>0</v>
      </c>
      <c r="J252" s="12">
        <f>SUMIF('On The Board'!K$5:K$219,"&lt;="&amp;$B252,'On The Board'!$M$5:$M$219)</f>
        <v>70</v>
      </c>
      <c r="K252" s="10">
        <f t="shared" si="25"/>
        <v>77</v>
      </c>
      <c r="L252" s="10" t="e">
        <f ca="1">IF(TodaysDate&gt;=B252,SUM(F252:I252),NA())</f>
        <v>#N/A</v>
      </c>
      <c r="M252" s="44" t="e">
        <f t="shared" ca="1" si="28"/>
        <v>#N/A</v>
      </c>
      <c r="N252" s="44" t="e">
        <f ca="1">IF(ISNUMBER(M252),(J252-J242)/NETWORKDAYS(B242,B252,BankHolidays),NA())</f>
        <v>#N/A</v>
      </c>
      <c r="O252" s="44" t="e">
        <f t="shared" ca="1" si="27"/>
        <v>#N/A</v>
      </c>
      <c r="P252" s="53" t="e">
        <f t="shared" ca="1" si="29"/>
        <v>#N/A</v>
      </c>
      <c r="Q252" s="53" t="str">
        <f ca="1">IFERROR(DayByDayTable[[#This Row],[Lead Time]],"")</f>
        <v/>
      </c>
      <c r="R252" s="44" t="e">
        <f t="shared" ca="1" si="30"/>
        <v>#N/A</v>
      </c>
      <c r="S252" s="44">
        <f ca="1">ROUND(PERCENTILE(DayByDayTable[[#Data],[BlankLeadTime]],0.8),0)</f>
        <v>8</v>
      </c>
    </row>
    <row r="253" spans="1:19">
      <c r="A253" s="51">
        <f t="shared" si="24"/>
        <v>42769</v>
      </c>
      <c r="B253" s="11">
        <f t="shared" si="26"/>
        <v>42769</v>
      </c>
      <c r="C253" s="47">
        <f>SUMIFS('On The Board'!$M$5:$M$219,'On The Board'!F$5:F$219,"&lt;="&amp;$B253,'On The Board'!E$5:E$219,"="&amp;FutureWork)</f>
        <v>0</v>
      </c>
      <c r="D253" s="47" t="str">
        <f ca="1">IF(TodaysDate&gt;=B253,SUMIF('On The Board'!F$5:F$219,"&lt;="&amp;$B253,'On The Board'!$M$5:$M$219)-SUM(F253:J253),"")</f>
        <v/>
      </c>
      <c r="E253" s="12">
        <f ca="1">IF(TodaysDate&gt;=B253,SUMIF('On The Board'!F$5:F$219,"&lt;="&amp;$B253,'On The Board'!$M$5:$M$219)-SUM(F253:J253),E252)</f>
        <v>47</v>
      </c>
      <c r="F253" s="12">
        <f>SUMIF('On The Board'!G$5:G$219,"&lt;="&amp;$B253,'On The Board'!$M$5:$M$219)-SUM(G253:J253)</f>
        <v>0</v>
      </c>
      <c r="G253" s="12">
        <f>SUMIF('On The Board'!H$5:H$219,"&lt;="&amp;$B253,'On The Board'!$M$5:$M$219)-SUM(H253:J253)</f>
        <v>5</v>
      </c>
      <c r="H253" s="12">
        <f>SUMIF('On The Board'!I$5:I$219,"&lt;="&amp;$B253,'On The Board'!$M$5:$M$219)-SUM(I253,J253)</f>
        <v>2</v>
      </c>
      <c r="I253" s="12">
        <f>SUMIF('On The Board'!J$5:J$219,"&lt;="&amp;$B253,'On The Board'!$M$5:$M$219)-SUM(J253)</f>
        <v>0</v>
      </c>
      <c r="J253" s="12">
        <f>SUMIF('On The Board'!K$5:K$219,"&lt;="&amp;$B253,'On The Board'!$M$5:$M$219)</f>
        <v>70</v>
      </c>
      <c r="K253" s="10">
        <f t="shared" si="25"/>
        <v>77</v>
      </c>
      <c r="L253" s="10" t="e">
        <f ca="1">IF(TodaysDate&gt;=B253,SUM(F253:I253),NA())</f>
        <v>#N/A</v>
      </c>
      <c r="M253" s="44" t="e">
        <f t="shared" ca="1" si="28"/>
        <v>#N/A</v>
      </c>
      <c r="N253" s="44" t="e">
        <f ca="1">IF(ISNUMBER(M253),(J253-J243)/NETWORKDAYS(B243,B253,BankHolidays),NA())</f>
        <v>#N/A</v>
      </c>
      <c r="O253" s="44" t="e">
        <f t="shared" ca="1" si="27"/>
        <v>#N/A</v>
      </c>
      <c r="P253" s="53" t="e">
        <f t="shared" ca="1" si="29"/>
        <v>#N/A</v>
      </c>
      <c r="Q253" s="53" t="str">
        <f ca="1">IFERROR(DayByDayTable[[#This Row],[Lead Time]],"")</f>
        <v/>
      </c>
      <c r="R253" s="44" t="e">
        <f t="shared" ca="1" si="30"/>
        <v>#N/A</v>
      </c>
      <c r="S253" s="44">
        <f ca="1">ROUND(PERCENTILE(DayByDayTable[[#Data],[BlankLeadTime]],0.8),0)</f>
        <v>8</v>
      </c>
    </row>
    <row r="254" spans="1:19">
      <c r="A254" s="51">
        <f t="shared" si="24"/>
        <v>42772</v>
      </c>
      <c r="B254" s="11">
        <f t="shared" si="26"/>
        <v>42772</v>
      </c>
      <c r="C254" s="47">
        <f>SUMIFS('On The Board'!$M$5:$M$219,'On The Board'!F$5:F$219,"&lt;="&amp;$B254,'On The Board'!E$5:E$219,"="&amp;FutureWork)</f>
        <v>0</v>
      </c>
      <c r="D254" s="47" t="str">
        <f ca="1">IF(TodaysDate&gt;=B254,SUMIF('On The Board'!F$5:F$219,"&lt;="&amp;$B254,'On The Board'!$M$5:$M$219)-SUM(F254:J254),"")</f>
        <v/>
      </c>
      <c r="E254" s="12">
        <f ca="1">IF(TodaysDate&gt;=B254,SUMIF('On The Board'!F$5:F$219,"&lt;="&amp;$B254,'On The Board'!$M$5:$M$219)-SUM(F254:J254),E253)</f>
        <v>47</v>
      </c>
      <c r="F254" s="12">
        <f>SUMIF('On The Board'!G$5:G$219,"&lt;="&amp;$B254,'On The Board'!$M$5:$M$219)-SUM(G254:J254)</f>
        <v>0</v>
      </c>
      <c r="G254" s="12">
        <f>SUMIF('On The Board'!H$5:H$219,"&lt;="&amp;$B254,'On The Board'!$M$5:$M$219)-SUM(H254:J254)</f>
        <v>5</v>
      </c>
      <c r="H254" s="12">
        <f>SUMIF('On The Board'!I$5:I$219,"&lt;="&amp;$B254,'On The Board'!$M$5:$M$219)-SUM(I254,J254)</f>
        <v>2</v>
      </c>
      <c r="I254" s="12">
        <f>SUMIF('On The Board'!J$5:J$219,"&lt;="&amp;$B254,'On The Board'!$M$5:$M$219)-SUM(J254)</f>
        <v>0</v>
      </c>
      <c r="J254" s="12">
        <f>SUMIF('On The Board'!K$5:K$219,"&lt;="&amp;$B254,'On The Board'!$M$5:$M$219)</f>
        <v>70</v>
      </c>
      <c r="K254" s="10">
        <f t="shared" si="25"/>
        <v>77</v>
      </c>
      <c r="L254" s="10" t="e">
        <f ca="1">IF(TodaysDate&gt;=B254,SUM(F254:I254),NA())</f>
        <v>#N/A</v>
      </c>
      <c r="M254" s="44" t="e">
        <f t="shared" ca="1" si="28"/>
        <v>#N/A</v>
      </c>
      <c r="N254" s="44" t="e">
        <f ca="1">IF(ISNUMBER(M254),(J254-J244)/NETWORKDAYS(B244,B254,BankHolidays),NA())</f>
        <v>#N/A</v>
      </c>
      <c r="O254" s="44" t="e">
        <f t="shared" ca="1" si="27"/>
        <v>#N/A</v>
      </c>
      <c r="P254" s="53" t="e">
        <f t="shared" ca="1" si="29"/>
        <v>#N/A</v>
      </c>
      <c r="Q254" s="53" t="str">
        <f ca="1">IFERROR(DayByDayTable[[#This Row],[Lead Time]],"")</f>
        <v/>
      </c>
      <c r="R254" s="44" t="e">
        <f t="shared" ca="1" si="30"/>
        <v>#N/A</v>
      </c>
      <c r="S254" s="44">
        <f ca="1">ROUND(PERCENTILE(DayByDayTable[[#Data],[BlankLeadTime]],0.8),0)</f>
        <v>8</v>
      </c>
    </row>
    <row r="255" spans="1:19">
      <c r="A255" s="51">
        <f t="shared" ref="A255:A318" si="31">B255</f>
        <v>42773</v>
      </c>
      <c r="B255" s="11">
        <f t="shared" si="26"/>
        <v>42773</v>
      </c>
      <c r="C255" s="47">
        <f>SUMIFS('On The Board'!$M$5:$M$219,'On The Board'!F$5:F$219,"&lt;="&amp;$B255,'On The Board'!E$5:E$219,"="&amp;FutureWork)</f>
        <v>0</v>
      </c>
      <c r="D255" s="47" t="str">
        <f ca="1">IF(TodaysDate&gt;=B255,SUMIF('On The Board'!F$5:F$219,"&lt;="&amp;$B255,'On The Board'!$M$5:$M$219)-SUM(F255:J255),"")</f>
        <v/>
      </c>
      <c r="E255" s="12">
        <f ca="1">IF(TodaysDate&gt;=B255,SUMIF('On The Board'!F$5:F$219,"&lt;="&amp;$B255,'On The Board'!$M$5:$M$219)-SUM(F255:J255),E254)</f>
        <v>47</v>
      </c>
      <c r="F255" s="12">
        <f>SUMIF('On The Board'!G$5:G$219,"&lt;="&amp;$B255,'On The Board'!$M$5:$M$219)-SUM(G255:J255)</f>
        <v>0</v>
      </c>
      <c r="G255" s="12">
        <f>SUMIF('On The Board'!H$5:H$219,"&lt;="&amp;$B255,'On The Board'!$M$5:$M$219)-SUM(H255:J255)</f>
        <v>5</v>
      </c>
      <c r="H255" s="12">
        <f>SUMIF('On The Board'!I$5:I$219,"&lt;="&amp;$B255,'On The Board'!$M$5:$M$219)-SUM(I255,J255)</f>
        <v>2</v>
      </c>
      <c r="I255" s="12">
        <f>SUMIF('On The Board'!J$5:J$219,"&lt;="&amp;$B255,'On The Board'!$M$5:$M$219)-SUM(J255)</f>
        <v>0</v>
      </c>
      <c r="J255" s="12">
        <f>SUMIF('On The Board'!K$5:K$219,"&lt;="&amp;$B255,'On The Board'!$M$5:$M$219)</f>
        <v>70</v>
      </c>
      <c r="K255" s="10">
        <f t="shared" ref="K255:K318" si="32">SUM(F255:J255)</f>
        <v>77</v>
      </c>
      <c r="L255" s="10" t="e">
        <f ca="1">IF(TodaysDate&gt;=B255,SUM(F255:I255),NA())</f>
        <v>#N/A</v>
      </c>
      <c r="M255" s="44" t="e">
        <f t="shared" ca="1" si="28"/>
        <v>#N/A</v>
      </c>
      <c r="N255" s="44" t="e">
        <f ca="1">IF(ISNUMBER(M255),(J255-J245)/NETWORKDAYS(B245,B255,BankHolidays),NA())</f>
        <v>#N/A</v>
      </c>
      <c r="O255" s="44" t="e">
        <f t="shared" ca="1" si="27"/>
        <v>#N/A</v>
      </c>
      <c r="P255" s="53" t="e">
        <f t="shared" ca="1" si="29"/>
        <v>#N/A</v>
      </c>
      <c r="Q255" s="53" t="str">
        <f ca="1">IFERROR(DayByDayTable[[#This Row],[Lead Time]],"")</f>
        <v/>
      </c>
      <c r="R255" s="44" t="e">
        <f t="shared" ca="1" si="30"/>
        <v>#N/A</v>
      </c>
      <c r="S255" s="44">
        <f ca="1">ROUND(PERCENTILE(DayByDayTable[[#Data],[BlankLeadTime]],0.8),0)</f>
        <v>8</v>
      </c>
    </row>
    <row r="256" spans="1:19">
      <c r="A256" s="51">
        <f t="shared" si="31"/>
        <v>42774</v>
      </c>
      <c r="B256" s="11">
        <f t="shared" si="26"/>
        <v>42774</v>
      </c>
      <c r="C256" s="47">
        <f>SUMIFS('On The Board'!$M$5:$M$219,'On The Board'!F$5:F$219,"&lt;="&amp;$B256,'On The Board'!E$5:E$219,"="&amp;FutureWork)</f>
        <v>0</v>
      </c>
      <c r="D256" s="47" t="str">
        <f ca="1">IF(TodaysDate&gt;=B256,SUMIF('On The Board'!F$5:F$219,"&lt;="&amp;$B256,'On The Board'!$M$5:$M$219)-SUM(F256:J256),"")</f>
        <v/>
      </c>
      <c r="E256" s="12">
        <f ca="1">IF(TodaysDate&gt;=B256,SUMIF('On The Board'!F$5:F$219,"&lt;="&amp;$B256,'On The Board'!$M$5:$M$219)-SUM(F256:J256),E255)</f>
        <v>47</v>
      </c>
      <c r="F256" s="12">
        <f>SUMIF('On The Board'!G$5:G$219,"&lt;="&amp;$B256,'On The Board'!$M$5:$M$219)-SUM(G256:J256)</f>
        <v>0</v>
      </c>
      <c r="G256" s="12">
        <f>SUMIF('On The Board'!H$5:H$219,"&lt;="&amp;$B256,'On The Board'!$M$5:$M$219)-SUM(H256:J256)</f>
        <v>5</v>
      </c>
      <c r="H256" s="12">
        <f>SUMIF('On The Board'!I$5:I$219,"&lt;="&amp;$B256,'On The Board'!$M$5:$M$219)-SUM(I256,J256)</f>
        <v>2</v>
      </c>
      <c r="I256" s="12">
        <f>SUMIF('On The Board'!J$5:J$219,"&lt;="&amp;$B256,'On The Board'!$M$5:$M$219)-SUM(J256)</f>
        <v>0</v>
      </c>
      <c r="J256" s="12">
        <f>SUMIF('On The Board'!K$5:K$219,"&lt;="&amp;$B256,'On The Board'!$M$5:$M$219)</f>
        <v>70</v>
      </c>
      <c r="K256" s="10">
        <f t="shared" si="32"/>
        <v>77</v>
      </c>
      <c r="L256" s="10" t="e">
        <f ca="1">IF(TodaysDate&gt;=B256,SUM(F256:I256),NA())</f>
        <v>#N/A</v>
      </c>
      <c r="M256" s="44" t="e">
        <f t="shared" ca="1" si="28"/>
        <v>#N/A</v>
      </c>
      <c r="N256" s="44" t="e">
        <f ca="1">IF(ISNUMBER(M256),(J256-J246)/NETWORKDAYS(B246,B256,BankHolidays),NA())</f>
        <v>#N/A</v>
      </c>
      <c r="O256" s="44" t="e">
        <f t="shared" ca="1" si="27"/>
        <v>#N/A</v>
      </c>
      <c r="P256" s="53" t="e">
        <f t="shared" ca="1" si="29"/>
        <v>#N/A</v>
      </c>
      <c r="Q256" s="53" t="str">
        <f ca="1">IFERROR(DayByDayTable[[#This Row],[Lead Time]],"")</f>
        <v/>
      </c>
      <c r="R256" s="44" t="e">
        <f t="shared" ca="1" si="30"/>
        <v>#N/A</v>
      </c>
      <c r="S256" s="44">
        <f ca="1">ROUND(PERCENTILE(DayByDayTable[[#Data],[BlankLeadTime]],0.8),0)</f>
        <v>8</v>
      </c>
    </row>
    <row r="257" spans="1:19">
      <c r="A257" s="51">
        <f t="shared" si="31"/>
        <v>42775</v>
      </c>
      <c r="B257" s="11">
        <f t="shared" si="26"/>
        <v>42775</v>
      </c>
      <c r="C257" s="47">
        <f>SUMIFS('On The Board'!$M$5:$M$219,'On The Board'!F$5:F$219,"&lt;="&amp;$B257,'On The Board'!E$5:E$219,"="&amp;FutureWork)</f>
        <v>0</v>
      </c>
      <c r="D257" s="47" t="str">
        <f ca="1">IF(TodaysDate&gt;=B257,SUMIF('On The Board'!F$5:F$219,"&lt;="&amp;$B257,'On The Board'!$M$5:$M$219)-SUM(F257:J257),"")</f>
        <v/>
      </c>
      <c r="E257" s="12">
        <f ca="1">IF(TodaysDate&gt;=B257,SUMIF('On The Board'!F$5:F$219,"&lt;="&amp;$B257,'On The Board'!$M$5:$M$219)-SUM(F257:J257),E256)</f>
        <v>47</v>
      </c>
      <c r="F257" s="12">
        <f>SUMIF('On The Board'!G$5:G$219,"&lt;="&amp;$B257,'On The Board'!$M$5:$M$219)-SUM(G257:J257)</f>
        <v>0</v>
      </c>
      <c r="G257" s="12">
        <f>SUMIF('On The Board'!H$5:H$219,"&lt;="&amp;$B257,'On The Board'!$M$5:$M$219)-SUM(H257:J257)</f>
        <v>5</v>
      </c>
      <c r="H257" s="12">
        <f>SUMIF('On The Board'!I$5:I$219,"&lt;="&amp;$B257,'On The Board'!$M$5:$M$219)-SUM(I257,J257)</f>
        <v>2</v>
      </c>
      <c r="I257" s="12">
        <f>SUMIF('On The Board'!J$5:J$219,"&lt;="&amp;$B257,'On The Board'!$M$5:$M$219)-SUM(J257)</f>
        <v>0</v>
      </c>
      <c r="J257" s="12">
        <f>SUMIF('On The Board'!K$5:K$219,"&lt;="&amp;$B257,'On The Board'!$M$5:$M$219)</f>
        <v>70</v>
      </c>
      <c r="K257" s="10">
        <f t="shared" si="32"/>
        <v>77</v>
      </c>
      <c r="L257" s="10" t="e">
        <f ca="1">IF(TodaysDate&gt;=B257,SUM(F257:I257),NA())</f>
        <v>#N/A</v>
      </c>
      <c r="M257" s="44" t="e">
        <f t="shared" ca="1" si="28"/>
        <v>#N/A</v>
      </c>
      <c r="N257" s="44" t="e">
        <f ca="1">IF(ISNUMBER(M257),(J257-J247)/NETWORKDAYS(B247,B257,BankHolidays),NA())</f>
        <v>#N/A</v>
      </c>
      <c r="O257" s="44" t="e">
        <f t="shared" ca="1" si="27"/>
        <v>#N/A</v>
      </c>
      <c r="P257" s="53" t="e">
        <f t="shared" ca="1" si="29"/>
        <v>#N/A</v>
      </c>
      <c r="Q257" s="53" t="str">
        <f ca="1">IFERROR(DayByDayTable[[#This Row],[Lead Time]],"")</f>
        <v/>
      </c>
      <c r="R257" s="44" t="e">
        <f t="shared" ca="1" si="30"/>
        <v>#N/A</v>
      </c>
      <c r="S257" s="44">
        <f ca="1">ROUND(PERCENTILE(DayByDayTable[[#Data],[BlankLeadTime]],0.8),0)</f>
        <v>8</v>
      </c>
    </row>
    <row r="258" spans="1:19">
      <c r="A258" s="51">
        <f t="shared" si="31"/>
        <v>42776</v>
      </c>
      <c r="B258" s="11">
        <f t="shared" si="26"/>
        <v>42776</v>
      </c>
      <c r="C258" s="47">
        <f>SUMIFS('On The Board'!$M$5:$M$219,'On The Board'!F$5:F$219,"&lt;="&amp;$B258,'On The Board'!E$5:E$219,"="&amp;FutureWork)</f>
        <v>0</v>
      </c>
      <c r="D258" s="47" t="str">
        <f ca="1">IF(TodaysDate&gt;=B258,SUMIF('On The Board'!F$5:F$219,"&lt;="&amp;$B258,'On The Board'!$M$5:$M$219)-SUM(F258:J258),"")</f>
        <v/>
      </c>
      <c r="E258" s="12">
        <f ca="1">IF(TodaysDate&gt;=B258,SUMIF('On The Board'!F$5:F$219,"&lt;="&amp;$B258,'On The Board'!$M$5:$M$219)-SUM(F258:J258),E257)</f>
        <v>47</v>
      </c>
      <c r="F258" s="12">
        <f>SUMIF('On The Board'!G$5:G$219,"&lt;="&amp;$B258,'On The Board'!$M$5:$M$219)-SUM(G258:J258)</f>
        <v>0</v>
      </c>
      <c r="G258" s="12">
        <f>SUMIF('On The Board'!H$5:H$219,"&lt;="&amp;$B258,'On The Board'!$M$5:$M$219)-SUM(H258:J258)</f>
        <v>5</v>
      </c>
      <c r="H258" s="12">
        <f>SUMIF('On The Board'!I$5:I$219,"&lt;="&amp;$B258,'On The Board'!$M$5:$M$219)-SUM(I258,J258)</f>
        <v>2</v>
      </c>
      <c r="I258" s="12">
        <f>SUMIF('On The Board'!J$5:J$219,"&lt;="&amp;$B258,'On The Board'!$M$5:$M$219)-SUM(J258)</f>
        <v>0</v>
      </c>
      <c r="J258" s="12">
        <f>SUMIF('On The Board'!K$5:K$219,"&lt;="&amp;$B258,'On The Board'!$M$5:$M$219)</f>
        <v>70</v>
      </c>
      <c r="K258" s="10">
        <f t="shared" si="32"/>
        <v>77</v>
      </c>
      <c r="L258" s="10" t="e">
        <f ca="1">IF(TodaysDate&gt;=B258,SUM(F258:I258),NA())</f>
        <v>#N/A</v>
      </c>
      <c r="M258" s="44" t="e">
        <f t="shared" ca="1" si="28"/>
        <v>#N/A</v>
      </c>
      <c r="N258" s="44" t="e">
        <f ca="1">IF(ISNUMBER(M258),(J258-J248)/NETWORKDAYS(B248,B258,BankHolidays),NA())</f>
        <v>#N/A</v>
      </c>
      <c r="O258" s="44" t="e">
        <f t="shared" ca="1" si="27"/>
        <v>#N/A</v>
      </c>
      <c r="P258" s="53" t="e">
        <f t="shared" ca="1" si="29"/>
        <v>#N/A</v>
      </c>
      <c r="Q258" s="53" t="str">
        <f ca="1">IFERROR(DayByDayTable[[#This Row],[Lead Time]],"")</f>
        <v/>
      </c>
      <c r="R258" s="44" t="e">
        <f t="shared" ca="1" si="30"/>
        <v>#N/A</v>
      </c>
      <c r="S258" s="44">
        <f ca="1">ROUND(PERCENTILE(DayByDayTable[[#Data],[BlankLeadTime]],0.8),0)</f>
        <v>8</v>
      </c>
    </row>
    <row r="259" spans="1:19">
      <c r="A259" s="51">
        <f t="shared" si="31"/>
        <v>42779</v>
      </c>
      <c r="B259" s="11">
        <f t="shared" ref="B259:B322" si="33">IF(NETWORKDAYS(B258,B258+1,BankHolidays)=2,B258+1,IF(NETWORKDAYS(B258,B258+2,BankHolidays)=2,B258+2,IF(NETWORKDAYS(B258,B258+3,BankHolidays)=2,B258+3,IF(NETWORKDAYS(B258,B258+4,BankHolidays)=2,B258+4,IF(NETWORKDAYS(B258,B258+5,BankHolidays)=2,B258+5,NA())))))</f>
        <v>42779</v>
      </c>
      <c r="C259" s="47">
        <f>SUMIFS('On The Board'!$M$5:$M$219,'On The Board'!F$5:F$219,"&lt;="&amp;$B259,'On The Board'!E$5:E$219,"="&amp;FutureWork)</f>
        <v>0</v>
      </c>
      <c r="D259" s="47" t="str">
        <f ca="1">IF(TodaysDate&gt;=B259,SUMIF('On The Board'!F$5:F$219,"&lt;="&amp;$B259,'On The Board'!$M$5:$M$219)-SUM(F259:J259),"")</f>
        <v/>
      </c>
      <c r="E259" s="12">
        <f ca="1">IF(TodaysDate&gt;=B259,SUMIF('On The Board'!F$5:F$219,"&lt;="&amp;$B259,'On The Board'!$M$5:$M$219)-SUM(F259:J259),E258)</f>
        <v>47</v>
      </c>
      <c r="F259" s="12">
        <f>SUMIF('On The Board'!G$5:G$219,"&lt;="&amp;$B259,'On The Board'!$M$5:$M$219)-SUM(G259:J259)</f>
        <v>0</v>
      </c>
      <c r="G259" s="12">
        <f>SUMIF('On The Board'!H$5:H$219,"&lt;="&amp;$B259,'On The Board'!$M$5:$M$219)-SUM(H259:J259)</f>
        <v>5</v>
      </c>
      <c r="H259" s="12">
        <f>SUMIF('On The Board'!I$5:I$219,"&lt;="&amp;$B259,'On The Board'!$M$5:$M$219)-SUM(I259,J259)</f>
        <v>2</v>
      </c>
      <c r="I259" s="12">
        <f>SUMIF('On The Board'!J$5:J$219,"&lt;="&amp;$B259,'On The Board'!$M$5:$M$219)-SUM(J259)</f>
        <v>0</v>
      </c>
      <c r="J259" s="12">
        <f>SUMIF('On The Board'!K$5:K$219,"&lt;="&amp;$B259,'On The Board'!$M$5:$M$219)</f>
        <v>70</v>
      </c>
      <c r="K259" s="10">
        <f t="shared" si="32"/>
        <v>77</v>
      </c>
      <c r="L259" s="10" t="e">
        <f ca="1">IF(TodaysDate&gt;=B259,SUM(F259:I259),NA())</f>
        <v>#N/A</v>
      </c>
      <c r="M259" s="44" t="e">
        <f t="shared" ca="1" si="28"/>
        <v>#N/A</v>
      </c>
      <c r="N259" s="44" t="e">
        <f ca="1">IF(ISNUMBER(M259),(J259-J249)/NETWORKDAYS(B249,B259,BankHolidays),NA())</f>
        <v>#N/A</v>
      </c>
      <c r="O259" s="44" t="e">
        <f t="shared" ref="O259:O322" ca="1" si="34">IF(N259&gt;0,M259/N259,NA())</f>
        <v>#N/A</v>
      </c>
      <c r="P259" s="53" t="e">
        <f t="shared" ca="1" si="29"/>
        <v>#N/A</v>
      </c>
      <c r="Q259" s="53" t="str">
        <f ca="1">IFERROR(DayByDayTable[[#This Row],[Lead Time]],"")</f>
        <v/>
      </c>
      <c r="R259" s="44" t="e">
        <f t="shared" ca="1" si="30"/>
        <v>#N/A</v>
      </c>
      <c r="S259" s="44">
        <f ca="1">ROUND(PERCENTILE(DayByDayTable[[#Data],[BlankLeadTime]],0.8),0)</f>
        <v>8</v>
      </c>
    </row>
    <row r="260" spans="1:19">
      <c r="A260" s="51">
        <f t="shared" si="31"/>
        <v>42780</v>
      </c>
      <c r="B260" s="11">
        <f t="shared" si="33"/>
        <v>42780</v>
      </c>
      <c r="C260" s="47">
        <f>SUMIFS('On The Board'!$M$5:$M$219,'On The Board'!F$5:F$219,"&lt;="&amp;$B260,'On The Board'!E$5:E$219,"="&amp;FutureWork)</f>
        <v>0</v>
      </c>
      <c r="D260" s="47" t="str">
        <f ca="1">IF(TodaysDate&gt;=B260,SUMIF('On The Board'!F$5:F$219,"&lt;="&amp;$B260,'On The Board'!$M$5:$M$219)-SUM(F260:J260),"")</f>
        <v/>
      </c>
      <c r="E260" s="12">
        <f ca="1">IF(TodaysDate&gt;=B260,SUMIF('On The Board'!F$5:F$219,"&lt;="&amp;$B260,'On The Board'!$M$5:$M$219)-SUM(F260:J260),E259)</f>
        <v>47</v>
      </c>
      <c r="F260" s="12">
        <f>SUMIF('On The Board'!G$5:G$219,"&lt;="&amp;$B260,'On The Board'!$M$5:$M$219)-SUM(G260:J260)</f>
        <v>0</v>
      </c>
      <c r="G260" s="12">
        <f>SUMIF('On The Board'!H$5:H$219,"&lt;="&amp;$B260,'On The Board'!$M$5:$M$219)-SUM(H260:J260)</f>
        <v>5</v>
      </c>
      <c r="H260" s="12">
        <f>SUMIF('On The Board'!I$5:I$219,"&lt;="&amp;$B260,'On The Board'!$M$5:$M$219)-SUM(I260,J260)</f>
        <v>2</v>
      </c>
      <c r="I260" s="12">
        <f>SUMIF('On The Board'!J$5:J$219,"&lt;="&amp;$B260,'On The Board'!$M$5:$M$219)-SUM(J260)</f>
        <v>0</v>
      </c>
      <c r="J260" s="12">
        <f>SUMIF('On The Board'!K$5:K$219,"&lt;="&amp;$B260,'On The Board'!$M$5:$M$219)</f>
        <v>70</v>
      </c>
      <c r="K260" s="10">
        <f t="shared" si="32"/>
        <v>77</v>
      </c>
      <c r="L260" s="10" t="e">
        <f ca="1">IF(TodaysDate&gt;=B260,SUM(F260:I260),NA())</f>
        <v>#N/A</v>
      </c>
      <c r="M260" s="44" t="e">
        <f t="shared" ca="1" si="28"/>
        <v>#N/A</v>
      </c>
      <c r="N260" s="44" t="e">
        <f ca="1">IF(ISNUMBER(M260),(J260-J250)/NETWORKDAYS(B250,B260,BankHolidays),NA())</f>
        <v>#N/A</v>
      </c>
      <c r="O260" s="44" t="e">
        <f t="shared" ca="1" si="34"/>
        <v>#N/A</v>
      </c>
      <c r="P260" s="53" t="e">
        <f t="shared" ca="1" si="29"/>
        <v>#N/A</v>
      </c>
      <c r="Q260" s="53" t="str">
        <f ca="1">IFERROR(DayByDayTable[[#This Row],[Lead Time]],"")</f>
        <v/>
      </c>
      <c r="R260" s="44" t="e">
        <f t="shared" ca="1" si="30"/>
        <v>#N/A</v>
      </c>
      <c r="S260" s="44">
        <f ca="1">ROUND(PERCENTILE(DayByDayTable[[#Data],[BlankLeadTime]],0.8),0)</f>
        <v>8</v>
      </c>
    </row>
    <row r="261" spans="1:19">
      <c r="A261" s="51">
        <f t="shared" si="31"/>
        <v>42781</v>
      </c>
      <c r="B261" s="11">
        <f t="shared" si="33"/>
        <v>42781</v>
      </c>
      <c r="C261" s="47">
        <f>SUMIFS('On The Board'!$M$5:$M$219,'On The Board'!F$5:F$219,"&lt;="&amp;$B261,'On The Board'!E$5:E$219,"="&amp;FutureWork)</f>
        <v>0</v>
      </c>
      <c r="D261" s="47" t="str">
        <f ca="1">IF(TodaysDate&gt;=B261,SUMIF('On The Board'!F$5:F$219,"&lt;="&amp;$B261,'On The Board'!$M$5:$M$219)-SUM(F261:J261),"")</f>
        <v/>
      </c>
      <c r="E261" s="12">
        <f ca="1">IF(TodaysDate&gt;=B261,SUMIF('On The Board'!F$5:F$219,"&lt;="&amp;$B261,'On The Board'!$M$5:$M$219)-SUM(F261:J261),E260)</f>
        <v>47</v>
      </c>
      <c r="F261" s="12">
        <f>SUMIF('On The Board'!G$5:G$219,"&lt;="&amp;$B261,'On The Board'!$M$5:$M$219)-SUM(G261:J261)</f>
        <v>0</v>
      </c>
      <c r="G261" s="12">
        <f>SUMIF('On The Board'!H$5:H$219,"&lt;="&amp;$B261,'On The Board'!$M$5:$M$219)-SUM(H261:J261)</f>
        <v>5</v>
      </c>
      <c r="H261" s="12">
        <f>SUMIF('On The Board'!I$5:I$219,"&lt;="&amp;$B261,'On The Board'!$M$5:$M$219)-SUM(I261,J261)</f>
        <v>2</v>
      </c>
      <c r="I261" s="12">
        <f>SUMIF('On The Board'!J$5:J$219,"&lt;="&amp;$B261,'On The Board'!$M$5:$M$219)-SUM(J261)</f>
        <v>0</v>
      </c>
      <c r="J261" s="12">
        <f>SUMIF('On The Board'!K$5:K$219,"&lt;="&amp;$B261,'On The Board'!$M$5:$M$219)</f>
        <v>70</v>
      </c>
      <c r="K261" s="10">
        <f t="shared" si="32"/>
        <v>77</v>
      </c>
      <c r="L261" s="10" t="e">
        <f ca="1">IF(TodaysDate&gt;=B261,SUM(F261:I261),NA())</f>
        <v>#N/A</v>
      </c>
      <c r="M261" s="44" t="e">
        <f t="shared" ca="1" si="28"/>
        <v>#N/A</v>
      </c>
      <c r="N261" s="44" t="e">
        <f ca="1">IF(ISNUMBER(M261),(J261-J251)/NETWORKDAYS(B251,B261,BankHolidays),NA())</f>
        <v>#N/A</v>
      </c>
      <c r="O261" s="44" t="e">
        <f t="shared" ca="1" si="34"/>
        <v>#N/A</v>
      </c>
      <c r="P261" s="53" t="e">
        <f t="shared" ca="1" si="29"/>
        <v>#N/A</v>
      </c>
      <c r="Q261" s="53" t="str">
        <f ca="1">IFERROR(DayByDayTable[[#This Row],[Lead Time]],"")</f>
        <v/>
      </c>
      <c r="R261" s="44" t="e">
        <f t="shared" ca="1" si="30"/>
        <v>#N/A</v>
      </c>
      <c r="S261" s="44">
        <f ca="1">ROUND(PERCENTILE(DayByDayTable[[#Data],[BlankLeadTime]],0.8),0)</f>
        <v>8</v>
      </c>
    </row>
    <row r="262" spans="1:19">
      <c r="A262" s="51">
        <f t="shared" si="31"/>
        <v>42782</v>
      </c>
      <c r="B262" s="11">
        <f t="shared" si="33"/>
        <v>42782</v>
      </c>
      <c r="C262" s="47">
        <f>SUMIFS('On The Board'!$M$5:$M$219,'On The Board'!F$5:F$219,"&lt;="&amp;$B262,'On The Board'!E$5:E$219,"="&amp;FutureWork)</f>
        <v>0</v>
      </c>
      <c r="D262" s="47" t="str">
        <f ca="1">IF(TodaysDate&gt;=B262,SUMIF('On The Board'!F$5:F$219,"&lt;="&amp;$B262,'On The Board'!$M$5:$M$219)-SUM(F262:J262),"")</f>
        <v/>
      </c>
      <c r="E262" s="12">
        <f ca="1">IF(TodaysDate&gt;=B262,SUMIF('On The Board'!F$5:F$219,"&lt;="&amp;$B262,'On The Board'!$M$5:$M$219)-SUM(F262:J262),E261)</f>
        <v>47</v>
      </c>
      <c r="F262" s="12">
        <f>SUMIF('On The Board'!G$5:G$219,"&lt;="&amp;$B262,'On The Board'!$M$5:$M$219)-SUM(G262:J262)</f>
        <v>0</v>
      </c>
      <c r="G262" s="12">
        <f>SUMIF('On The Board'!H$5:H$219,"&lt;="&amp;$B262,'On The Board'!$M$5:$M$219)-SUM(H262:J262)</f>
        <v>5</v>
      </c>
      <c r="H262" s="12">
        <f>SUMIF('On The Board'!I$5:I$219,"&lt;="&amp;$B262,'On The Board'!$M$5:$M$219)-SUM(I262,J262)</f>
        <v>2</v>
      </c>
      <c r="I262" s="12">
        <f>SUMIF('On The Board'!J$5:J$219,"&lt;="&amp;$B262,'On The Board'!$M$5:$M$219)-SUM(J262)</f>
        <v>0</v>
      </c>
      <c r="J262" s="12">
        <f>SUMIF('On The Board'!K$5:K$219,"&lt;="&amp;$B262,'On The Board'!$M$5:$M$219)</f>
        <v>70</v>
      </c>
      <c r="K262" s="10">
        <f t="shared" si="32"/>
        <v>77</v>
      </c>
      <c r="L262" s="10" t="e">
        <f ca="1">IF(TodaysDate&gt;=B262,SUM(F262:I262),NA())</f>
        <v>#N/A</v>
      </c>
      <c r="M262" s="44" t="e">
        <f t="shared" ca="1" si="28"/>
        <v>#N/A</v>
      </c>
      <c r="N262" s="44" t="e">
        <f ca="1">IF(ISNUMBER(M262),(J262-J252)/NETWORKDAYS(B252,B262,BankHolidays),NA())</f>
        <v>#N/A</v>
      </c>
      <c r="O262" s="44" t="e">
        <f t="shared" ca="1" si="34"/>
        <v>#N/A</v>
      </c>
      <c r="P262" s="53" t="e">
        <f t="shared" ca="1" si="29"/>
        <v>#N/A</v>
      </c>
      <c r="Q262" s="53" t="str">
        <f ca="1">IFERROR(DayByDayTable[[#This Row],[Lead Time]],"")</f>
        <v/>
      </c>
      <c r="R262" s="44" t="e">
        <f t="shared" ca="1" si="30"/>
        <v>#N/A</v>
      </c>
      <c r="S262" s="44">
        <f ca="1">ROUND(PERCENTILE(DayByDayTable[[#Data],[BlankLeadTime]],0.8),0)</f>
        <v>8</v>
      </c>
    </row>
    <row r="263" spans="1:19">
      <c r="A263" s="51">
        <f t="shared" si="31"/>
        <v>42783</v>
      </c>
      <c r="B263" s="11">
        <f t="shared" si="33"/>
        <v>42783</v>
      </c>
      <c r="C263" s="47">
        <f>SUMIFS('On The Board'!$M$5:$M$219,'On The Board'!F$5:F$219,"&lt;="&amp;$B263,'On The Board'!E$5:E$219,"="&amp;FutureWork)</f>
        <v>0</v>
      </c>
      <c r="D263" s="47" t="str">
        <f ca="1">IF(TodaysDate&gt;=B263,SUMIF('On The Board'!F$5:F$219,"&lt;="&amp;$B263,'On The Board'!$M$5:$M$219)-SUM(F263:J263),"")</f>
        <v/>
      </c>
      <c r="E263" s="12">
        <f ca="1">IF(TodaysDate&gt;=B263,SUMIF('On The Board'!F$5:F$219,"&lt;="&amp;$B263,'On The Board'!$M$5:$M$219)-SUM(F263:J263),E262)</f>
        <v>47</v>
      </c>
      <c r="F263" s="12">
        <f>SUMIF('On The Board'!G$5:G$219,"&lt;="&amp;$B263,'On The Board'!$M$5:$M$219)-SUM(G263:J263)</f>
        <v>0</v>
      </c>
      <c r="G263" s="12">
        <f>SUMIF('On The Board'!H$5:H$219,"&lt;="&amp;$B263,'On The Board'!$M$5:$M$219)-SUM(H263:J263)</f>
        <v>5</v>
      </c>
      <c r="H263" s="12">
        <f>SUMIF('On The Board'!I$5:I$219,"&lt;="&amp;$B263,'On The Board'!$M$5:$M$219)-SUM(I263,J263)</f>
        <v>2</v>
      </c>
      <c r="I263" s="12">
        <f>SUMIF('On The Board'!J$5:J$219,"&lt;="&amp;$B263,'On The Board'!$M$5:$M$219)-SUM(J263)</f>
        <v>0</v>
      </c>
      <c r="J263" s="12">
        <f>SUMIF('On The Board'!K$5:K$219,"&lt;="&amp;$B263,'On The Board'!$M$5:$M$219)</f>
        <v>70</v>
      </c>
      <c r="K263" s="10">
        <f t="shared" si="32"/>
        <v>77</v>
      </c>
      <c r="L263" s="10" t="e">
        <f ca="1">IF(TodaysDate&gt;=B263,SUM(F263:I263),NA())</f>
        <v>#N/A</v>
      </c>
      <c r="M263" s="44" t="e">
        <f t="shared" ca="1" si="28"/>
        <v>#N/A</v>
      </c>
      <c r="N263" s="44" t="e">
        <f ca="1">IF(ISNUMBER(M263),(J263-J253)/NETWORKDAYS(B253,B263,BankHolidays),NA())</f>
        <v>#N/A</v>
      </c>
      <c r="O263" s="44" t="e">
        <f t="shared" ca="1" si="34"/>
        <v>#N/A</v>
      </c>
      <c r="P263" s="53" t="e">
        <f t="shared" ca="1" si="29"/>
        <v>#N/A</v>
      </c>
      <c r="Q263" s="53" t="str">
        <f ca="1">IFERROR(DayByDayTable[[#This Row],[Lead Time]],"")</f>
        <v/>
      </c>
      <c r="R263" s="44" t="e">
        <f t="shared" ca="1" si="30"/>
        <v>#N/A</v>
      </c>
      <c r="S263" s="44">
        <f ca="1">ROUND(PERCENTILE(DayByDayTable[[#Data],[BlankLeadTime]],0.8),0)</f>
        <v>8</v>
      </c>
    </row>
    <row r="264" spans="1:19">
      <c r="A264" s="51">
        <f t="shared" si="31"/>
        <v>42786</v>
      </c>
      <c r="B264" s="11">
        <f t="shared" si="33"/>
        <v>42786</v>
      </c>
      <c r="C264" s="47">
        <f>SUMIFS('On The Board'!$M$5:$M$219,'On The Board'!F$5:F$219,"&lt;="&amp;$B264,'On The Board'!E$5:E$219,"="&amp;FutureWork)</f>
        <v>0</v>
      </c>
      <c r="D264" s="47" t="str">
        <f ca="1">IF(TodaysDate&gt;=B264,SUMIF('On The Board'!F$5:F$219,"&lt;="&amp;$B264,'On The Board'!$M$5:$M$219)-SUM(F264:J264),"")</f>
        <v/>
      </c>
      <c r="E264" s="12">
        <f ca="1">IF(TodaysDate&gt;=B264,SUMIF('On The Board'!F$5:F$219,"&lt;="&amp;$B264,'On The Board'!$M$5:$M$219)-SUM(F264:J264),E263)</f>
        <v>47</v>
      </c>
      <c r="F264" s="12">
        <f>SUMIF('On The Board'!G$5:G$219,"&lt;="&amp;$B264,'On The Board'!$M$5:$M$219)-SUM(G264:J264)</f>
        <v>0</v>
      </c>
      <c r="G264" s="12">
        <f>SUMIF('On The Board'!H$5:H$219,"&lt;="&amp;$B264,'On The Board'!$M$5:$M$219)-SUM(H264:J264)</f>
        <v>5</v>
      </c>
      <c r="H264" s="12">
        <f>SUMIF('On The Board'!I$5:I$219,"&lt;="&amp;$B264,'On The Board'!$M$5:$M$219)-SUM(I264,J264)</f>
        <v>2</v>
      </c>
      <c r="I264" s="12">
        <f>SUMIF('On The Board'!J$5:J$219,"&lt;="&amp;$B264,'On The Board'!$M$5:$M$219)-SUM(J264)</f>
        <v>0</v>
      </c>
      <c r="J264" s="12">
        <f>SUMIF('On The Board'!K$5:K$219,"&lt;="&amp;$B264,'On The Board'!$M$5:$M$219)</f>
        <v>70</v>
      </c>
      <c r="K264" s="10">
        <f t="shared" si="32"/>
        <v>77</v>
      </c>
      <c r="L264" s="10" t="e">
        <f ca="1">IF(TodaysDate&gt;=B264,SUM(F264:I264),NA())</f>
        <v>#N/A</v>
      </c>
      <c r="M264" s="44" t="e">
        <f t="shared" ca="1" si="28"/>
        <v>#N/A</v>
      </c>
      <c r="N264" s="44" t="e">
        <f ca="1">IF(ISNUMBER(M264),(J264-J254)/NETWORKDAYS(B254,B264,BankHolidays),NA())</f>
        <v>#N/A</v>
      </c>
      <c r="O264" s="44" t="e">
        <f t="shared" ca="1" si="34"/>
        <v>#N/A</v>
      </c>
      <c r="P264" s="53" t="e">
        <f t="shared" ca="1" si="29"/>
        <v>#N/A</v>
      </c>
      <c r="Q264" s="53" t="str">
        <f ca="1">IFERROR(DayByDayTable[[#This Row],[Lead Time]],"")</f>
        <v/>
      </c>
      <c r="R264" s="44" t="e">
        <f t="shared" ca="1" si="30"/>
        <v>#N/A</v>
      </c>
      <c r="S264" s="44">
        <f ca="1">ROUND(PERCENTILE(DayByDayTable[[#Data],[BlankLeadTime]],0.8),0)</f>
        <v>8</v>
      </c>
    </row>
    <row r="265" spans="1:19">
      <c r="A265" s="51">
        <f t="shared" si="31"/>
        <v>42787</v>
      </c>
      <c r="B265" s="11">
        <f t="shared" si="33"/>
        <v>42787</v>
      </c>
      <c r="C265" s="47">
        <f>SUMIFS('On The Board'!$M$5:$M$219,'On The Board'!F$5:F$219,"&lt;="&amp;$B265,'On The Board'!E$5:E$219,"="&amp;FutureWork)</f>
        <v>0</v>
      </c>
      <c r="D265" s="47" t="str">
        <f ca="1">IF(TodaysDate&gt;=B265,SUMIF('On The Board'!F$5:F$219,"&lt;="&amp;$B265,'On The Board'!$M$5:$M$219)-SUM(F265:J265),"")</f>
        <v/>
      </c>
      <c r="E265" s="12">
        <f ca="1">IF(TodaysDate&gt;=B265,SUMIF('On The Board'!F$5:F$219,"&lt;="&amp;$B265,'On The Board'!$M$5:$M$219)-SUM(F265:J265),E264)</f>
        <v>47</v>
      </c>
      <c r="F265" s="12">
        <f>SUMIF('On The Board'!G$5:G$219,"&lt;="&amp;$B265,'On The Board'!$M$5:$M$219)-SUM(G265:J265)</f>
        <v>0</v>
      </c>
      <c r="G265" s="12">
        <f>SUMIF('On The Board'!H$5:H$219,"&lt;="&amp;$B265,'On The Board'!$M$5:$M$219)-SUM(H265:J265)</f>
        <v>5</v>
      </c>
      <c r="H265" s="12">
        <f>SUMIF('On The Board'!I$5:I$219,"&lt;="&amp;$B265,'On The Board'!$M$5:$M$219)-SUM(I265,J265)</f>
        <v>2</v>
      </c>
      <c r="I265" s="12">
        <f>SUMIF('On The Board'!J$5:J$219,"&lt;="&amp;$B265,'On The Board'!$M$5:$M$219)-SUM(J265)</f>
        <v>0</v>
      </c>
      <c r="J265" s="12">
        <f>SUMIF('On The Board'!K$5:K$219,"&lt;="&amp;$B265,'On The Board'!$M$5:$M$219)</f>
        <v>70</v>
      </c>
      <c r="K265" s="10">
        <f t="shared" si="32"/>
        <v>77</v>
      </c>
      <c r="L265" s="10" t="e">
        <f ca="1">IF(TodaysDate&gt;=B265,SUM(F265:I265),NA())</f>
        <v>#N/A</v>
      </c>
      <c r="M265" s="44" t="e">
        <f t="shared" ca="1" si="28"/>
        <v>#N/A</v>
      </c>
      <c r="N265" s="44" t="e">
        <f ca="1">IF(ISNUMBER(M265),(J265-J255)/NETWORKDAYS(B255,B265,BankHolidays),NA())</f>
        <v>#N/A</v>
      </c>
      <c r="O265" s="44" t="e">
        <f t="shared" ca="1" si="34"/>
        <v>#N/A</v>
      </c>
      <c r="P265" s="53" t="e">
        <f t="shared" ca="1" si="29"/>
        <v>#N/A</v>
      </c>
      <c r="Q265" s="53" t="str">
        <f ca="1">IFERROR(DayByDayTable[[#This Row],[Lead Time]],"")</f>
        <v/>
      </c>
      <c r="R265" s="44" t="e">
        <f t="shared" ca="1" si="30"/>
        <v>#N/A</v>
      </c>
      <c r="S265" s="44">
        <f ca="1">ROUND(PERCENTILE(DayByDayTable[[#Data],[BlankLeadTime]],0.8),0)</f>
        <v>8</v>
      </c>
    </row>
    <row r="266" spans="1:19">
      <c r="A266" s="51">
        <f t="shared" si="31"/>
        <v>42788</v>
      </c>
      <c r="B266" s="11">
        <f t="shared" si="33"/>
        <v>42788</v>
      </c>
      <c r="C266" s="47">
        <f>SUMIFS('On The Board'!$M$5:$M$219,'On The Board'!F$5:F$219,"&lt;="&amp;$B266,'On The Board'!E$5:E$219,"="&amp;FutureWork)</f>
        <v>0</v>
      </c>
      <c r="D266" s="47" t="str">
        <f ca="1">IF(TodaysDate&gt;=B266,SUMIF('On The Board'!F$5:F$219,"&lt;="&amp;$B266,'On The Board'!$M$5:$M$219)-SUM(F266:J266),"")</f>
        <v/>
      </c>
      <c r="E266" s="12">
        <f ca="1">IF(TodaysDate&gt;=B266,SUMIF('On The Board'!F$5:F$219,"&lt;="&amp;$B266,'On The Board'!$M$5:$M$219)-SUM(F266:J266),E265)</f>
        <v>47</v>
      </c>
      <c r="F266" s="12">
        <f>SUMIF('On The Board'!G$5:G$219,"&lt;="&amp;$B266,'On The Board'!$M$5:$M$219)-SUM(G266:J266)</f>
        <v>0</v>
      </c>
      <c r="G266" s="12">
        <f>SUMIF('On The Board'!H$5:H$219,"&lt;="&amp;$B266,'On The Board'!$M$5:$M$219)-SUM(H266:J266)</f>
        <v>5</v>
      </c>
      <c r="H266" s="12">
        <f>SUMIF('On The Board'!I$5:I$219,"&lt;="&amp;$B266,'On The Board'!$M$5:$M$219)-SUM(I266,J266)</f>
        <v>2</v>
      </c>
      <c r="I266" s="12">
        <f>SUMIF('On The Board'!J$5:J$219,"&lt;="&amp;$B266,'On The Board'!$M$5:$M$219)-SUM(J266)</f>
        <v>0</v>
      </c>
      <c r="J266" s="12">
        <f>SUMIF('On The Board'!K$5:K$219,"&lt;="&amp;$B266,'On The Board'!$M$5:$M$219)</f>
        <v>70</v>
      </c>
      <c r="K266" s="10">
        <f t="shared" si="32"/>
        <v>77</v>
      </c>
      <c r="L266" s="10" t="e">
        <f ca="1">IF(TodaysDate&gt;=B266,SUM(F266:I266),NA())</f>
        <v>#N/A</v>
      </c>
      <c r="M266" s="44" t="e">
        <f t="shared" ca="1" si="28"/>
        <v>#N/A</v>
      </c>
      <c r="N266" s="44" t="e">
        <f ca="1">IF(ISNUMBER(M266),(J266-J256)/NETWORKDAYS(B256,B266,BankHolidays),NA())</f>
        <v>#N/A</v>
      </c>
      <c r="O266" s="44" t="e">
        <f t="shared" ca="1" si="34"/>
        <v>#N/A</v>
      </c>
      <c r="P266" s="53" t="e">
        <f t="shared" ca="1" si="29"/>
        <v>#N/A</v>
      </c>
      <c r="Q266" s="53" t="str">
        <f ca="1">IFERROR(DayByDayTable[[#This Row],[Lead Time]],"")</f>
        <v/>
      </c>
      <c r="R266" s="44" t="e">
        <f t="shared" ca="1" si="30"/>
        <v>#N/A</v>
      </c>
      <c r="S266" s="44">
        <f ca="1">ROUND(PERCENTILE(DayByDayTable[[#Data],[BlankLeadTime]],0.8),0)</f>
        <v>8</v>
      </c>
    </row>
    <row r="267" spans="1:19">
      <c r="A267" s="51">
        <f t="shared" si="31"/>
        <v>42789</v>
      </c>
      <c r="B267" s="11">
        <f t="shared" si="33"/>
        <v>42789</v>
      </c>
      <c r="C267" s="47">
        <f>SUMIFS('On The Board'!$M$5:$M$219,'On The Board'!F$5:F$219,"&lt;="&amp;$B267,'On The Board'!E$5:E$219,"="&amp;FutureWork)</f>
        <v>0</v>
      </c>
      <c r="D267" s="47" t="str">
        <f ca="1">IF(TodaysDate&gt;=B267,SUMIF('On The Board'!F$5:F$219,"&lt;="&amp;$B267,'On The Board'!$M$5:$M$219)-SUM(F267:J267),"")</f>
        <v/>
      </c>
      <c r="E267" s="12">
        <f ca="1">IF(TodaysDate&gt;=B267,SUMIF('On The Board'!F$5:F$219,"&lt;="&amp;$B267,'On The Board'!$M$5:$M$219)-SUM(F267:J267),E266)</f>
        <v>47</v>
      </c>
      <c r="F267" s="12">
        <f>SUMIF('On The Board'!G$5:G$219,"&lt;="&amp;$B267,'On The Board'!$M$5:$M$219)-SUM(G267:J267)</f>
        <v>0</v>
      </c>
      <c r="G267" s="12">
        <f>SUMIF('On The Board'!H$5:H$219,"&lt;="&amp;$B267,'On The Board'!$M$5:$M$219)-SUM(H267:J267)</f>
        <v>5</v>
      </c>
      <c r="H267" s="12">
        <f>SUMIF('On The Board'!I$5:I$219,"&lt;="&amp;$B267,'On The Board'!$M$5:$M$219)-SUM(I267,J267)</f>
        <v>2</v>
      </c>
      <c r="I267" s="12">
        <f>SUMIF('On The Board'!J$5:J$219,"&lt;="&amp;$B267,'On The Board'!$M$5:$M$219)-SUM(J267)</f>
        <v>0</v>
      </c>
      <c r="J267" s="12">
        <f>SUMIF('On The Board'!K$5:K$219,"&lt;="&amp;$B267,'On The Board'!$M$5:$M$219)</f>
        <v>70</v>
      </c>
      <c r="K267" s="10">
        <f t="shared" si="32"/>
        <v>77</v>
      </c>
      <c r="L267" s="10" t="e">
        <f ca="1">IF(TodaysDate&gt;=B267,SUM(F267:I267),NA())</f>
        <v>#N/A</v>
      </c>
      <c r="M267" s="44" t="e">
        <f t="shared" ca="1" si="28"/>
        <v>#N/A</v>
      </c>
      <c r="N267" s="44" t="e">
        <f ca="1">IF(ISNUMBER(M267),(J267-J257)/NETWORKDAYS(B257,B267,BankHolidays),NA())</f>
        <v>#N/A</v>
      </c>
      <c r="O267" s="44" t="e">
        <f t="shared" ca="1" si="34"/>
        <v>#N/A</v>
      </c>
      <c r="P267" s="53" t="e">
        <f t="shared" ca="1" si="29"/>
        <v>#N/A</v>
      </c>
      <c r="Q267" s="53" t="str">
        <f ca="1">IFERROR(DayByDayTable[[#This Row],[Lead Time]],"")</f>
        <v/>
      </c>
      <c r="R267" s="44" t="e">
        <f t="shared" ca="1" si="30"/>
        <v>#N/A</v>
      </c>
      <c r="S267" s="44">
        <f ca="1">ROUND(PERCENTILE(DayByDayTable[[#Data],[BlankLeadTime]],0.8),0)</f>
        <v>8</v>
      </c>
    </row>
    <row r="268" spans="1:19">
      <c r="A268" s="51">
        <f t="shared" si="31"/>
        <v>42790</v>
      </c>
      <c r="B268" s="11">
        <f t="shared" si="33"/>
        <v>42790</v>
      </c>
      <c r="C268" s="47">
        <f>SUMIFS('On The Board'!$M$5:$M$219,'On The Board'!F$5:F$219,"&lt;="&amp;$B268,'On The Board'!E$5:E$219,"="&amp;FutureWork)</f>
        <v>0</v>
      </c>
      <c r="D268" s="47" t="str">
        <f ca="1">IF(TodaysDate&gt;=B268,SUMIF('On The Board'!F$5:F$219,"&lt;="&amp;$B268,'On The Board'!$M$5:$M$219)-SUM(F268:J268),"")</f>
        <v/>
      </c>
      <c r="E268" s="12">
        <f ca="1">IF(TodaysDate&gt;=B268,SUMIF('On The Board'!F$5:F$219,"&lt;="&amp;$B268,'On The Board'!$M$5:$M$219)-SUM(F268:J268),E267)</f>
        <v>47</v>
      </c>
      <c r="F268" s="12">
        <f>SUMIF('On The Board'!G$5:G$219,"&lt;="&amp;$B268,'On The Board'!$M$5:$M$219)-SUM(G268:J268)</f>
        <v>0</v>
      </c>
      <c r="G268" s="12">
        <f>SUMIF('On The Board'!H$5:H$219,"&lt;="&amp;$B268,'On The Board'!$M$5:$M$219)-SUM(H268:J268)</f>
        <v>5</v>
      </c>
      <c r="H268" s="12">
        <f>SUMIF('On The Board'!I$5:I$219,"&lt;="&amp;$B268,'On The Board'!$M$5:$M$219)-SUM(I268,J268)</f>
        <v>2</v>
      </c>
      <c r="I268" s="12">
        <f>SUMIF('On The Board'!J$5:J$219,"&lt;="&amp;$B268,'On The Board'!$M$5:$M$219)-SUM(J268)</f>
        <v>0</v>
      </c>
      <c r="J268" s="12">
        <f>SUMIF('On The Board'!K$5:K$219,"&lt;="&amp;$B268,'On The Board'!$M$5:$M$219)</f>
        <v>70</v>
      </c>
      <c r="K268" s="10">
        <f t="shared" si="32"/>
        <v>77</v>
      </c>
      <c r="L268" s="10" t="e">
        <f ca="1">IF(TodaysDate&gt;=B268,SUM(F268:I268),NA())</f>
        <v>#N/A</v>
      </c>
      <c r="M268" s="44" t="e">
        <f t="shared" ca="1" si="28"/>
        <v>#N/A</v>
      </c>
      <c r="N268" s="44" t="e">
        <f ca="1">IF(ISNUMBER(M268),(J268-J258)/NETWORKDAYS(B258,B268,BankHolidays),NA())</f>
        <v>#N/A</v>
      </c>
      <c r="O268" s="44" t="e">
        <f t="shared" ca="1" si="34"/>
        <v>#N/A</v>
      </c>
      <c r="P268" s="53" t="e">
        <f t="shared" ca="1" si="29"/>
        <v>#N/A</v>
      </c>
      <c r="Q268" s="53" t="str">
        <f ca="1">IFERROR(DayByDayTable[[#This Row],[Lead Time]],"")</f>
        <v/>
      </c>
      <c r="R268" s="44" t="e">
        <f t="shared" ca="1" si="30"/>
        <v>#N/A</v>
      </c>
      <c r="S268" s="44">
        <f ca="1">ROUND(PERCENTILE(DayByDayTable[[#Data],[BlankLeadTime]],0.8),0)</f>
        <v>8</v>
      </c>
    </row>
    <row r="269" spans="1:19">
      <c r="A269" s="51">
        <f t="shared" si="31"/>
        <v>42793</v>
      </c>
      <c r="B269" s="11">
        <f t="shared" si="33"/>
        <v>42793</v>
      </c>
      <c r="C269" s="47">
        <f>SUMIFS('On The Board'!$M$5:$M$219,'On The Board'!F$5:F$219,"&lt;="&amp;$B269,'On The Board'!E$5:E$219,"="&amp;FutureWork)</f>
        <v>0</v>
      </c>
      <c r="D269" s="47" t="str">
        <f ca="1">IF(TodaysDate&gt;=B269,SUMIF('On The Board'!F$5:F$219,"&lt;="&amp;$B269,'On The Board'!$M$5:$M$219)-SUM(F269:J269),"")</f>
        <v/>
      </c>
      <c r="E269" s="12">
        <f ca="1">IF(TodaysDate&gt;=B269,SUMIF('On The Board'!F$5:F$219,"&lt;="&amp;$B269,'On The Board'!$M$5:$M$219)-SUM(F269:J269),E268)</f>
        <v>47</v>
      </c>
      <c r="F269" s="12">
        <f>SUMIF('On The Board'!G$5:G$219,"&lt;="&amp;$B269,'On The Board'!$M$5:$M$219)-SUM(G269:J269)</f>
        <v>0</v>
      </c>
      <c r="G269" s="12">
        <f>SUMIF('On The Board'!H$5:H$219,"&lt;="&amp;$B269,'On The Board'!$M$5:$M$219)-SUM(H269:J269)</f>
        <v>5</v>
      </c>
      <c r="H269" s="12">
        <f>SUMIF('On The Board'!I$5:I$219,"&lt;="&amp;$B269,'On The Board'!$M$5:$M$219)-SUM(I269,J269)</f>
        <v>2</v>
      </c>
      <c r="I269" s="12">
        <f>SUMIF('On The Board'!J$5:J$219,"&lt;="&amp;$B269,'On The Board'!$M$5:$M$219)-SUM(J269)</f>
        <v>0</v>
      </c>
      <c r="J269" s="12">
        <f>SUMIF('On The Board'!K$5:K$219,"&lt;="&amp;$B269,'On The Board'!$M$5:$M$219)</f>
        <v>70</v>
      </c>
      <c r="K269" s="10">
        <f t="shared" si="32"/>
        <v>77</v>
      </c>
      <c r="L269" s="10" t="e">
        <f ca="1">IF(TodaysDate&gt;=B269,SUM(F269:I269),NA())</f>
        <v>#N/A</v>
      </c>
      <c r="M269" s="44" t="e">
        <f t="shared" ref="M269:M332" ca="1" si="35">AVERAGE(L259:L269)</f>
        <v>#N/A</v>
      </c>
      <c r="N269" s="44" t="e">
        <f ca="1">IF(ISNUMBER(M269),(J269-J259)/NETWORKDAYS(B259,B269,BankHolidays),NA())</f>
        <v>#N/A</v>
      </c>
      <c r="O269" s="44" t="e">
        <f t="shared" ca="1" si="34"/>
        <v>#N/A</v>
      </c>
      <c r="P269" s="53" t="e">
        <f t="shared" ref="P269:P332" ca="1" si="36">AVERAGE(O259:O269)</f>
        <v>#N/A</v>
      </c>
      <c r="Q269" s="53" t="str">
        <f ca="1">IFERROR(DayByDayTable[[#This Row],[Lead Time]],"")</f>
        <v/>
      </c>
      <c r="R269" s="44" t="e">
        <f t="shared" ca="1" si="30"/>
        <v>#N/A</v>
      </c>
      <c r="S269" s="44">
        <f ca="1">ROUND(PERCENTILE(DayByDayTable[[#Data],[BlankLeadTime]],0.8),0)</f>
        <v>8</v>
      </c>
    </row>
    <row r="270" spans="1:19">
      <c r="A270" s="51">
        <f t="shared" si="31"/>
        <v>42794</v>
      </c>
      <c r="B270" s="11">
        <f t="shared" si="33"/>
        <v>42794</v>
      </c>
      <c r="C270" s="47">
        <f>SUMIFS('On The Board'!$M$5:$M$219,'On The Board'!F$5:F$219,"&lt;="&amp;$B270,'On The Board'!E$5:E$219,"="&amp;FutureWork)</f>
        <v>0</v>
      </c>
      <c r="D270" s="47" t="str">
        <f ca="1">IF(TodaysDate&gt;=B270,SUMIF('On The Board'!F$5:F$219,"&lt;="&amp;$B270,'On The Board'!$M$5:$M$219)-SUM(F270:J270),"")</f>
        <v/>
      </c>
      <c r="E270" s="12">
        <f ca="1">IF(TodaysDate&gt;=B270,SUMIF('On The Board'!F$5:F$219,"&lt;="&amp;$B270,'On The Board'!$M$5:$M$219)-SUM(F270:J270),E269)</f>
        <v>47</v>
      </c>
      <c r="F270" s="12">
        <f>SUMIF('On The Board'!G$5:G$219,"&lt;="&amp;$B270,'On The Board'!$M$5:$M$219)-SUM(G270:J270)</f>
        <v>0</v>
      </c>
      <c r="G270" s="12">
        <f>SUMIF('On The Board'!H$5:H$219,"&lt;="&amp;$B270,'On The Board'!$M$5:$M$219)-SUM(H270:J270)</f>
        <v>5</v>
      </c>
      <c r="H270" s="12">
        <f>SUMIF('On The Board'!I$5:I$219,"&lt;="&amp;$B270,'On The Board'!$M$5:$M$219)-SUM(I270,J270)</f>
        <v>2</v>
      </c>
      <c r="I270" s="12">
        <f>SUMIF('On The Board'!J$5:J$219,"&lt;="&amp;$B270,'On The Board'!$M$5:$M$219)-SUM(J270)</f>
        <v>0</v>
      </c>
      <c r="J270" s="12">
        <f>SUMIF('On The Board'!K$5:K$219,"&lt;="&amp;$B270,'On The Board'!$M$5:$M$219)</f>
        <v>70</v>
      </c>
      <c r="K270" s="10">
        <f t="shared" si="32"/>
        <v>77</v>
      </c>
      <c r="L270" s="10" t="e">
        <f ca="1">IF(TodaysDate&gt;=B270,SUM(F270:I270),NA())</f>
        <v>#N/A</v>
      </c>
      <c r="M270" s="44" t="e">
        <f t="shared" ca="1" si="35"/>
        <v>#N/A</v>
      </c>
      <c r="N270" s="44" t="e">
        <f ca="1">IF(ISNUMBER(M270),(J270-J260)/NETWORKDAYS(B260,B270,BankHolidays),NA())</f>
        <v>#N/A</v>
      </c>
      <c r="O270" s="44" t="e">
        <f t="shared" ca="1" si="34"/>
        <v>#N/A</v>
      </c>
      <c r="P270" s="53" t="e">
        <f t="shared" ca="1" si="36"/>
        <v>#N/A</v>
      </c>
      <c r="Q270" s="53" t="str">
        <f ca="1">IFERROR(DayByDayTable[[#This Row],[Lead Time]],"")</f>
        <v/>
      </c>
      <c r="R270" s="44" t="e">
        <f t="shared" ca="1" si="30"/>
        <v>#N/A</v>
      </c>
      <c r="S270" s="44">
        <f ca="1">ROUND(PERCENTILE(DayByDayTable[[#Data],[BlankLeadTime]],0.8),0)</f>
        <v>8</v>
      </c>
    </row>
    <row r="271" spans="1:19">
      <c r="A271" s="51">
        <f t="shared" si="31"/>
        <v>42795</v>
      </c>
      <c r="B271" s="11">
        <f t="shared" si="33"/>
        <v>42795</v>
      </c>
      <c r="C271" s="47">
        <f>SUMIFS('On The Board'!$M$5:$M$219,'On The Board'!F$5:F$219,"&lt;="&amp;$B271,'On The Board'!E$5:E$219,"="&amp;FutureWork)</f>
        <v>0</v>
      </c>
      <c r="D271" s="47" t="str">
        <f ca="1">IF(TodaysDate&gt;=B271,SUMIF('On The Board'!F$5:F$219,"&lt;="&amp;$B271,'On The Board'!$M$5:$M$219)-SUM(F271:J271),"")</f>
        <v/>
      </c>
      <c r="E271" s="12">
        <f ca="1">IF(TodaysDate&gt;=B271,SUMIF('On The Board'!F$5:F$219,"&lt;="&amp;$B271,'On The Board'!$M$5:$M$219)-SUM(F271:J271),E270)</f>
        <v>47</v>
      </c>
      <c r="F271" s="12">
        <f>SUMIF('On The Board'!G$5:G$219,"&lt;="&amp;$B271,'On The Board'!$M$5:$M$219)-SUM(G271:J271)</f>
        <v>0</v>
      </c>
      <c r="G271" s="12">
        <f>SUMIF('On The Board'!H$5:H$219,"&lt;="&amp;$B271,'On The Board'!$M$5:$M$219)-SUM(H271:J271)</f>
        <v>5</v>
      </c>
      <c r="H271" s="12">
        <f>SUMIF('On The Board'!I$5:I$219,"&lt;="&amp;$B271,'On The Board'!$M$5:$M$219)-SUM(I271,J271)</f>
        <v>2</v>
      </c>
      <c r="I271" s="12">
        <f>SUMIF('On The Board'!J$5:J$219,"&lt;="&amp;$B271,'On The Board'!$M$5:$M$219)-SUM(J271)</f>
        <v>0</v>
      </c>
      <c r="J271" s="12">
        <f>SUMIF('On The Board'!K$5:K$219,"&lt;="&amp;$B271,'On The Board'!$M$5:$M$219)</f>
        <v>70</v>
      </c>
      <c r="K271" s="10">
        <f t="shared" si="32"/>
        <v>77</v>
      </c>
      <c r="L271" s="10" t="e">
        <f ca="1">IF(TodaysDate&gt;=B271,SUM(F271:I271),NA())</f>
        <v>#N/A</v>
      </c>
      <c r="M271" s="44" t="e">
        <f t="shared" ca="1" si="35"/>
        <v>#N/A</v>
      </c>
      <c r="N271" s="44" t="e">
        <f ca="1">IF(ISNUMBER(M271),(J271-J261)/NETWORKDAYS(B261,B271,BankHolidays),NA())</f>
        <v>#N/A</v>
      </c>
      <c r="O271" s="44" t="e">
        <f t="shared" ca="1" si="34"/>
        <v>#N/A</v>
      </c>
      <c r="P271" s="53" t="e">
        <f t="shared" ca="1" si="36"/>
        <v>#N/A</v>
      </c>
      <c r="Q271" s="53" t="str">
        <f ca="1">IFERROR(DayByDayTable[[#This Row],[Lead Time]],"")</f>
        <v/>
      </c>
      <c r="R271" s="44" t="e">
        <f t="shared" ca="1" si="30"/>
        <v>#N/A</v>
      </c>
      <c r="S271" s="44">
        <f ca="1">ROUND(PERCENTILE(DayByDayTable[[#Data],[BlankLeadTime]],0.8),0)</f>
        <v>8</v>
      </c>
    </row>
    <row r="272" spans="1:19">
      <c r="A272" s="51">
        <f t="shared" si="31"/>
        <v>42796</v>
      </c>
      <c r="B272" s="11">
        <f t="shared" si="33"/>
        <v>42796</v>
      </c>
      <c r="C272" s="47">
        <f>SUMIFS('On The Board'!$M$5:$M$219,'On The Board'!F$5:F$219,"&lt;="&amp;$B272,'On The Board'!E$5:E$219,"="&amp;FutureWork)</f>
        <v>0</v>
      </c>
      <c r="D272" s="47" t="str">
        <f ca="1">IF(TodaysDate&gt;=B272,SUMIF('On The Board'!F$5:F$219,"&lt;="&amp;$B272,'On The Board'!$M$5:$M$219)-SUM(F272:J272),"")</f>
        <v/>
      </c>
      <c r="E272" s="12">
        <f ca="1">IF(TodaysDate&gt;=B272,SUMIF('On The Board'!F$5:F$219,"&lt;="&amp;$B272,'On The Board'!$M$5:$M$219)-SUM(F272:J272),E271)</f>
        <v>47</v>
      </c>
      <c r="F272" s="12">
        <f>SUMIF('On The Board'!G$5:G$219,"&lt;="&amp;$B272,'On The Board'!$M$5:$M$219)-SUM(G272:J272)</f>
        <v>0</v>
      </c>
      <c r="G272" s="12">
        <f>SUMIF('On The Board'!H$5:H$219,"&lt;="&amp;$B272,'On The Board'!$M$5:$M$219)-SUM(H272:J272)</f>
        <v>5</v>
      </c>
      <c r="H272" s="12">
        <f>SUMIF('On The Board'!I$5:I$219,"&lt;="&amp;$B272,'On The Board'!$M$5:$M$219)-SUM(I272,J272)</f>
        <v>2</v>
      </c>
      <c r="I272" s="12">
        <f>SUMIF('On The Board'!J$5:J$219,"&lt;="&amp;$B272,'On The Board'!$M$5:$M$219)-SUM(J272)</f>
        <v>0</v>
      </c>
      <c r="J272" s="12">
        <f>SUMIF('On The Board'!K$5:K$219,"&lt;="&amp;$B272,'On The Board'!$M$5:$M$219)</f>
        <v>70</v>
      </c>
      <c r="K272" s="10">
        <f t="shared" si="32"/>
        <v>77</v>
      </c>
      <c r="L272" s="10" t="e">
        <f ca="1">IF(TodaysDate&gt;=B272,SUM(F272:I272),NA())</f>
        <v>#N/A</v>
      </c>
      <c r="M272" s="44" t="e">
        <f t="shared" ca="1" si="35"/>
        <v>#N/A</v>
      </c>
      <c r="N272" s="44" t="e">
        <f ca="1">IF(ISNUMBER(M272),(J272-J262)/NETWORKDAYS(B262,B272,BankHolidays),NA())</f>
        <v>#N/A</v>
      </c>
      <c r="O272" s="44" t="e">
        <f t="shared" ca="1" si="34"/>
        <v>#N/A</v>
      </c>
      <c r="P272" s="53" t="e">
        <f t="shared" ca="1" si="36"/>
        <v>#N/A</v>
      </c>
      <c r="Q272" s="53" t="str">
        <f ca="1">IFERROR(DayByDayTable[[#This Row],[Lead Time]],"")</f>
        <v/>
      </c>
      <c r="R272" s="44" t="e">
        <f t="shared" ref="R272:R335" ca="1" si="37">PERCENTILE(O261:O272,0.8)</f>
        <v>#N/A</v>
      </c>
      <c r="S272" s="44">
        <f ca="1">ROUND(PERCENTILE(DayByDayTable[[#Data],[BlankLeadTime]],0.8),0)</f>
        <v>8</v>
      </c>
    </row>
    <row r="273" spans="1:19">
      <c r="A273" s="51">
        <f t="shared" si="31"/>
        <v>42797</v>
      </c>
      <c r="B273" s="11">
        <f t="shared" si="33"/>
        <v>42797</v>
      </c>
      <c r="C273" s="47">
        <f>SUMIFS('On The Board'!$M$5:$M$219,'On The Board'!F$5:F$219,"&lt;="&amp;$B273,'On The Board'!E$5:E$219,"="&amp;FutureWork)</f>
        <v>0</v>
      </c>
      <c r="D273" s="47" t="str">
        <f ca="1">IF(TodaysDate&gt;=B273,SUMIF('On The Board'!F$5:F$219,"&lt;="&amp;$B273,'On The Board'!$M$5:$M$219)-SUM(F273:J273),"")</f>
        <v/>
      </c>
      <c r="E273" s="12">
        <f ca="1">IF(TodaysDate&gt;=B273,SUMIF('On The Board'!F$5:F$219,"&lt;="&amp;$B273,'On The Board'!$M$5:$M$219)-SUM(F273:J273),E272)</f>
        <v>47</v>
      </c>
      <c r="F273" s="12">
        <f>SUMIF('On The Board'!G$5:G$219,"&lt;="&amp;$B273,'On The Board'!$M$5:$M$219)-SUM(G273:J273)</f>
        <v>0</v>
      </c>
      <c r="G273" s="12">
        <f>SUMIF('On The Board'!H$5:H$219,"&lt;="&amp;$B273,'On The Board'!$M$5:$M$219)-SUM(H273:J273)</f>
        <v>5</v>
      </c>
      <c r="H273" s="12">
        <f>SUMIF('On The Board'!I$5:I$219,"&lt;="&amp;$B273,'On The Board'!$M$5:$M$219)-SUM(I273,J273)</f>
        <v>2</v>
      </c>
      <c r="I273" s="12">
        <f>SUMIF('On The Board'!J$5:J$219,"&lt;="&amp;$B273,'On The Board'!$M$5:$M$219)-SUM(J273)</f>
        <v>0</v>
      </c>
      <c r="J273" s="12">
        <f>SUMIF('On The Board'!K$5:K$219,"&lt;="&amp;$B273,'On The Board'!$M$5:$M$219)</f>
        <v>70</v>
      </c>
      <c r="K273" s="10">
        <f t="shared" si="32"/>
        <v>77</v>
      </c>
      <c r="L273" s="10" t="e">
        <f ca="1">IF(TodaysDate&gt;=B273,SUM(F273:I273),NA())</f>
        <v>#N/A</v>
      </c>
      <c r="M273" s="44" t="e">
        <f t="shared" ca="1" si="35"/>
        <v>#N/A</v>
      </c>
      <c r="N273" s="44" t="e">
        <f ca="1">IF(ISNUMBER(M273),(J273-J263)/NETWORKDAYS(B263,B273,BankHolidays),NA())</f>
        <v>#N/A</v>
      </c>
      <c r="O273" s="44" t="e">
        <f t="shared" ca="1" si="34"/>
        <v>#N/A</v>
      </c>
      <c r="P273" s="53" t="e">
        <f t="shared" ca="1" si="36"/>
        <v>#N/A</v>
      </c>
      <c r="Q273" s="53" t="str">
        <f ca="1">IFERROR(DayByDayTable[[#This Row],[Lead Time]],"")</f>
        <v/>
      </c>
      <c r="R273" s="44" t="e">
        <f t="shared" ca="1" si="37"/>
        <v>#N/A</v>
      </c>
      <c r="S273" s="44">
        <f ca="1">ROUND(PERCENTILE(DayByDayTable[[#Data],[BlankLeadTime]],0.8),0)</f>
        <v>8</v>
      </c>
    </row>
    <row r="274" spans="1:19">
      <c r="A274" s="51">
        <f t="shared" si="31"/>
        <v>42800</v>
      </c>
      <c r="B274" s="11">
        <f t="shared" si="33"/>
        <v>42800</v>
      </c>
      <c r="C274" s="47">
        <f>SUMIFS('On The Board'!$M$5:$M$219,'On The Board'!F$5:F$219,"&lt;="&amp;$B274,'On The Board'!E$5:E$219,"="&amp;FutureWork)</f>
        <v>0</v>
      </c>
      <c r="D274" s="47" t="str">
        <f ca="1">IF(TodaysDate&gt;=B274,SUMIF('On The Board'!F$5:F$219,"&lt;="&amp;$B274,'On The Board'!$M$5:$M$219)-SUM(F274:J274),"")</f>
        <v/>
      </c>
      <c r="E274" s="12">
        <f ca="1">IF(TodaysDate&gt;=B274,SUMIF('On The Board'!F$5:F$219,"&lt;="&amp;$B274,'On The Board'!$M$5:$M$219)-SUM(F274:J274),E273)</f>
        <v>47</v>
      </c>
      <c r="F274" s="12">
        <f>SUMIF('On The Board'!G$5:G$219,"&lt;="&amp;$B274,'On The Board'!$M$5:$M$219)-SUM(G274:J274)</f>
        <v>0</v>
      </c>
      <c r="G274" s="12">
        <f>SUMIF('On The Board'!H$5:H$219,"&lt;="&amp;$B274,'On The Board'!$M$5:$M$219)-SUM(H274:J274)</f>
        <v>5</v>
      </c>
      <c r="H274" s="12">
        <f>SUMIF('On The Board'!I$5:I$219,"&lt;="&amp;$B274,'On The Board'!$M$5:$M$219)-SUM(I274,J274)</f>
        <v>2</v>
      </c>
      <c r="I274" s="12">
        <f>SUMIF('On The Board'!J$5:J$219,"&lt;="&amp;$B274,'On The Board'!$M$5:$M$219)-SUM(J274)</f>
        <v>0</v>
      </c>
      <c r="J274" s="12">
        <f>SUMIF('On The Board'!K$5:K$219,"&lt;="&amp;$B274,'On The Board'!$M$5:$M$219)</f>
        <v>70</v>
      </c>
      <c r="K274" s="10">
        <f t="shared" si="32"/>
        <v>77</v>
      </c>
      <c r="L274" s="10" t="e">
        <f ca="1">IF(TodaysDate&gt;=B274,SUM(F274:I274),NA())</f>
        <v>#N/A</v>
      </c>
      <c r="M274" s="44" t="e">
        <f t="shared" ca="1" si="35"/>
        <v>#N/A</v>
      </c>
      <c r="N274" s="44" t="e">
        <f ca="1">IF(ISNUMBER(M274),(J274-J264)/NETWORKDAYS(B264,B274,BankHolidays),NA())</f>
        <v>#N/A</v>
      </c>
      <c r="O274" s="44" t="e">
        <f t="shared" ca="1" si="34"/>
        <v>#N/A</v>
      </c>
      <c r="P274" s="53" t="e">
        <f t="shared" ca="1" si="36"/>
        <v>#N/A</v>
      </c>
      <c r="Q274" s="53" t="str">
        <f ca="1">IFERROR(DayByDayTable[[#This Row],[Lead Time]],"")</f>
        <v/>
      </c>
      <c r="R274" s="44" t="e">
        <f t="shared" ca="1" si="37"/>
        <v>#N/A</v>
      </c>
      <c r="S274" s="44">
        <f ca="1">ROUND(PERCENTILE(DayByDayTable[[#Data],[BlankLeadTime]],0.8),0)</f>
        <v>8</v>
      </c>
    </row>
    <row r="275" spans="1:19">
      <c r="A275" s="51">
        <f t="shared" si="31"/>
        <v>42801</v>
      </c>
      <c r="B275" s="11">
        <f t="shared" si="33"/>
        <v>42801</v>
      </c>
      <c r="C275" s="47">
        <f>SUMIFS('On The Board'!$M$5:$M$219,'On The Board'!F$5:F$219,"&lt;="&amp;$B275,'On The Board'!E$5:E$219,"="&amp;FutureWork)</f>
        <v>0</v>
      </c>
      <c r="D275" s="47" t="str">
        <f ca="1">IF(TodaysDate&gt;=B275,SUMIF('On The Board'!F$5:F$219,"&lt;="&amp;$B275,'On The Board'!$M$5:$M$219)-SUM(F275:J275),"")</f>
        <v/>
      </c>
      <c r="E275" s="12">
        <f ca="1">IF(TodaysDate&gt;=B275,SUMIF('On The Board'!F$5:F$219,"&lt;="&amp;$B275,'On The Board'!$M$5:$M$219)-SUM(F275:J275),E274)</f>
        <v>47</v>
      </c>
      <c r="F275" s="12">
        <f>SUMIF('On The Board'!G$5:G$219,"&lt;="&amp;$B275,'On The Board'!$M$5:$M$219)-SUM(G275:J275)</f>
        <v>0</v>
      </c>
      <c r="G275" s="12">
        <f>SUMIF('On The Board'!H$5:H$219,"&lt;="&amp;$B275,'On The Board'!$M$5:$M$219)-SUM(H275:J275)</f>
        <v>5</v>
      </c>
      <c r="H275" s="12">
        <f>SUMIF('On The Board'!I$5:I$219,"&lt;="&amp;$B275,'On The Board'!$M$5:$M$219)-SUM(I275,J275)</f>
        <v>2</v>
      </c>
      <c r="I275" s="12">
        <f>SUMIF('On The Board'!J$5:J$219,"&lt;="&amp;$B275,'On The Board'!$M$5:$M$219)-SUM(J275)</f>
        <v>0</v>
      </c>
      <c r="J275" s="12">
        <f>SUMIF('On The Board'!K$5:K$219,"&lt;="&amp;$B275,'On The Board'!$M$5:$M$219)</f>
        <v>70</v>
      </c>
      <c r="K275" s="10">
        <f t="shared" si="32"/>
        <v>77</v>
      </c>
      <c r="L275" s="10" t="e">
        <f ca="1">IF(TodaysDate&gt;=B275,SUM(F275:I275),NA())</f>
        <v>#N/A</v>
      </c>
      <c r="M275" s="44" t="e">
        <f t="shared" ca="1" si="35"/>
        <v>#N/A</v>
      </c>
      <c r="N275" s="44" t="e">
        <f ca="1">IF(ISNUMBER(M275),(J275-J265)/NETWORKDAYS(B265,B275,BankHolidays),NA())</f>
        <v>#N/A</v>
      </c>
      <c r="O275" s="44" t="e">
        <f t="shared" ca="1" si="34"/>
        <v>#N/A</v>
      </c>
      <c r="P275" s="53" t="e">
        <f t="shared" ca="1" si="36"/>
        <v>#N/A</v>
      </c>
      <c r="Q275" s="53" t="str">
        <f ca="1">IFERROR(DayByDayTable[[#This Row],[Lead Time]],"")</f>
        <v/>
      </c>
      <c r="R275" s="44" t="e">
        <f t="shared" ca="1" si="37"/>
        <v>#N/A</v>
      </c>
      <c r="S275" s="44">
        <f ca="1">ROUND(PERCENTILE(DayByDayTable[[#Data],[BlankLeadTime]],0.8),0)</f>
        <v>8</v>
      </c>
    </row>
    <row r="276" spans="1:19">
      <c r="A276" s="51">
        <f t="shared" si="31"/>
        <v>42802</v>
      </c>
      <c r="B276" s="11">
        <f t="shared" si="33"/>
        <v>42802</v>
      </c>
      <c r="C276" s="47">
        <f>SUMIFS('On The Board'!$M$5:$M$219,'On The Board'!F$5:F$219,"&lt;="&amp;$B276,'On The Board'!E$5:E$219,"="&amp;FutureWork)</f>
        <v>0</v>
      </c>
      <c r="D276" s="47" t="str">
        <f ca="1">IF(TodaysDate&gt;=B276,SUMIF('On The Board'!F$5:F$219,"&lt;="&amp;$B276,'On The Board'!$M$5:$M$219)-SUM(F276:J276),"")</f>
        <v/>
      </c>
      <c r="E276" s="12">
        <f ca="1">IF(TodaysDate&gt;=B276,SUMIF('On The Board'!F$5:F$219,"&lt;="&amp;$B276,'On The Board'!$M$5:$M$219)-SUM(F276:J276),E275)</f>
        <v>47</v>
      </c>
      <c r="F276" s="12">
        <f>SUMIF('On The Board'!G$5:G$219,"&lt;="&amp;$B276,'On The Board'!$M$5:$M$219)-SUM(G276:J276)</f>
        <v>0</v>
      </c>
      <c r="G276" s="12">
        <f>SUMIF('On The Board'!H$5:H$219,"&lt;="&amp;$B276,'On The Board'!$M$5:$M$219)-SUM(H276:J276)</f>
        <v>5</v>
      </c>
      <c r="H276" s="12">
        <f>SUMIF('On The Board'!I$5:I$219,"&lt;="&amp;$B276,'On The Board'!$M$5:$M$219)-SUM(I276,J276)</f>
        <v>2</v>
      </c>
      <c r="I276" s="12">
        <f>SUMIF('On The Board'!J$5:J$219,"&lt;="&amp;$B276,'On The Board'!$M$5:$M$219)-SUM(J276)</f>
        <v>0</v>
      </c>
      <c r="J276" s="12">
        <f>SUMIF('On The Board'!K$5:K$219,"&lt;="&amp;$B276,'On The Board'!$M$5:$M$219)</f>
        <v>70</v>
      </c>
      <c r="K276" s="10">
        <f t="shared" si="32"/>
        <v>77</v>
      </c>
      <c r="L276" s="10" t="e">
        <f ca="1">IF(TodaysDate&gt;=B276,SUM(F276:I276),NA())</f>
        <v>#N/A</v>
      </c>
      <c r="M276" s="44" t="e">
        <f t="shared" ca="1" si="35"/>
        <v>#N/A</v>
      </c>
      <c r="N276" s="44" t="e">
        <f ca="1">IF(ISNUMBER(M276),(J276-J266)/NETWORKDAYS(B266,B276,BankHolidays),NA())</f>
        <v>#N/A</v>
      </c>
      <c r="O276" s="44" t="e">
        <f t="shared" ca="1" si="34"/>
        <v>#N/A</v>
      </c>
      <c r="P276" s="53" t="e">
        <f t="shared" ca="1" si="36"/>
        <v>#N/A</v>
      </c>
      <c r="Q276" s="53" t="str">
        <f ca="1">IFERROR(DayByDayTable[[#This Row],[Lead Time]],"")</f>
        <v/>
      </c>
      <c r="R276" s="44" t="e">
        <f t="shared" ca="1" si="37"/>
        <v>#N/A</v>
      </c>
      <c r="S276" s="44">
        <f ca="1">ROUND(PERCENTILE(DayByDayTable[[#Data],[BlankLeadTime]],0.8),0)</f>
        <v>8</v>
      </c>
    </row>
    <row r="277" spans="1:19">
      <c r="A277" s="51">
        <f t="shared" si="31"/>
        <v>42803</v>
      </c>
      <c r="B277" s="11">
        <f t="shared" si="33"/>
        <v>42803</v>
      </c>
      <c r="C277" s="47">
        <f>SUMIFS('On The Board'!$M$5:$M$219,'On The Board'!F$5:F$219,"&lt;="&amp;$B277,'On The Board'!E$5:E$219,"="&amp;FutureWork)</f>
        <v>0</v>
      </c>
      <c r="D277" s="47" t="str">
        <f ca="1">IF(TodaysDate&gt;=B277,SUMIF('On The Board'!F$5:F$219,"&lt;="&amp;$B277,'On The Board'!$M$5:$M$219)-SUM(F277:J277),"")</f>
        <v/>
      </c>
      <c r="E277" s="12">
        <f ca="1">IF(TodaysDate&gt;=B277,SUMIF('On The Board'!F$5:F$219,"&lt;="&amp;$B277,'On The Board'!$M$5:$M$219)-SUM(F277:J277),E276)</f>
        <v>47</v>
      </c>
      <c r="F277" s="12">
        <f>SUMIF('On The Board'!G$5:G$219,"&lt;="&amp;$B277,'On The Board'!$M$5:$M$219)-SUM(G277:J277)</f>
        <v>0</v>
      </c>
      <c r="G277" s="12">
        <f>SUMIF('On The Board'!H$5:H$219,"&lt;="&amp;$B277,'On The Board'!$M$5:$M$219)-SUM(H277:J277)</f>
        <v>5</v>
      </c>
      <c r="H277" s="12">
        <f>SUMIF('On The Board'!I$5:I$219,"&lt;="&amp;$B277,'On The Board'!$M$5:$M$219)-SUM(I277,J277)</f>
        <v>2</v>
      </c>
      <c r="I277" s="12">
        <f>SUMIF('On The Board'!J$5:J$219,"&lt;="&amp;$B277,'On The Board'!$M$5:$M$219)-SUM(J277)</f>
        <v>0</v>
      </c>
      <c r="J277" s="12">
        <f>SUMIF('On The Board'!K$5:K$219,"&lt;="&amp;$B277,'On The Board'!$M$5:$M$219)</f>
        <v>70</v>
      </c>
      <c r="K277" s="10">
        <f t="shared" si="32"/>
        <v>77</v>
      </c>
      <c r="L277" s="10" t="e">
        <f ca="1">IF(TodaysDate&gt;=B277,SUM(F277:I277),NA())</f>
        <v>#N/A</v>
      </c>
      <c r="M277" s="44" t="e">
        <f t="shared" ca="1" si="35"/>
        <v>#N/A</v>
      </c>
      <c r="N277" s="44" t="e">
        <f ca="1">IF(ISNUMBER(M277),(J277-J267)/NETWORKDAYS(B267,B277,BankHolidays),NA())</f>
        <v>#N/A</v>
      </c>
      <c r="O277" s="44" t="e">
        <f t="shared" ca="1" si="34"/>
        <v>#N/A</v>
      </c>
      <c r="P277" s="53" t="e">
        <f t="shared" ca="1" si="36"/>
        <v>#N/A</v>
      </c>
      <c r="Q277" s="53" t="str">
        <f ca="1">IFERROR(DayByDayTable[[#This Row],[Lead Time]],"")</f>
        <v/>
      </c>
      <c r="R277" s="44" t="e">
        <f t="shared" ca="1" si="37"/>
        <v>#N/A</v>
      </c>
      <c r="S277" s="44">
        <f ca="1">ROUND(PERCENTILE(DayByDayTable[[#Data],[BlankLeadTime]],0.8),0)</f>
        <v>8</v>
      </c>
    </row>
    <row r="278" spans="1:19">
      <c r="A278" s="51">
        <f t="shared" si="31"/>
        <v>42804</v>
      </c>
      <c r="B278" s="11">
        <f t="shared" si="33"/>
        <v>42804</v>
      </c>
      <c r="C278" s="47">
        <f>SUMIFS('On The Board'!$M$5:$M$219,'On The Board'!F$5:F$219,"&lt;="&amp;$B278,'On The Board'!E$5:E$219,"="&amp;FutureWork)</f>
        <v>0</v>
      </c>
      <c r="D278" s="47" t="str">
        <f ca="1">IF(TodaysDate&gt;=B278,SUMIF('On The Board'!F$5:F$219,"&lt;="&amp;$B278,'On The Board'!$M$5:$M$219)-SUM(F278:J278),"")</f>
        <v/>
      </c>
      <c r="E278" s="12">
        <f ca="1">IF(TodaysDate&gt;=B278,SUMIF('On The Board'!F$5:F$219,"&lt;="&amp;$B278,'On The Board'!$M$5:$M$219)-SUM(F278:J278),E277)</f>
        <v>47</v>
      </c>
      <c r="F278" s="12">
        <f>SUMIF('On The Board'!G$5:G$219,"&lt;="&amp;$B278,'On The Board'!$M$5:$M$219)-SUM(G278:J278)</f>
        <v>0</v>
      </c>
      <c r="G278" s="12">
        <f>SUMIF('On The Board'!H$5:H$219,"&lt;="&amp;$B278,'On The Board'!$M$5:$M$219)-SUM(H278:J278)</f>
        <v>5</v>
      </c>
      <c r="H278" s="12">
        <f>SUMIF('On The Board'!I$5:I$219,"&lt;="&amp;$B278,'On The Board'!$M$5:$M$219)-SUM(I278,J278)</f>
        <v>2</v>
      </c>
      <c r="I278" s="12">
        <f>SUMIF('On The Board'!J$5:J$219,"&lt;="&amp;$B278,'On The Board'!$M$5:$M$219)-SUM(J278)</f>
        <v>0</v>
      </c>
      <c r="J278" s="12">
        <f>SUMIF('On The Board'!K$5:K$219,"&lt;="&amp;$B278,'On The Board'!$M$5:$M$219)</f>
        <v>70</v>
      </c>
      <c r="K278" s="10">
        <f t="shared" si="32"/>
        <v>77</v>
      </c>
      <c r="L278" s="10" t="e">
        <f ca="1">IF(TodaysDate&gt;=B278,SUM(F278:I278),NA())</f>
        <v>#N/A</v>
      </c>
      <c r="M278" s="44" t="e">
        <f t="shared" ca="1" si="35"/>
        <v>#N/A</v>
      </c>
      <c r="N278" s="44" t="e">
        <f ca="1">IF(ISNUMBER(M278),(J278-J268)/NETWORKDAYS(B268,B278,BankHolidays),NA())</f>
        <v>#N/A</v>
      </c>
      <c r="O278" s="44" t="e">
        <f t="shared" ca="1" si="34"/>
        <v>#N/A</v>
      </c>
      <c r="P278" s="53" t="e">
        <f t="shared" ca="1" si="36"/>
        <v>#N/A</v>
      </c>
      <c r="Q278" s="53" t="str">
        <f ca="1">IFERROR(DayByDayTable[[#This Row],[Lead Time]],"")</f>
        <v/>
      </c>
      <c r="R278" s="44" t="e">
        <f t="shared" ca="1" si="37"/>
        <v>#N/A</v>
      </c>
      <c r="S278" s="44">
        <f ca="1">ROUND(PERCENTILE(DayByDayTable[[#Data],[BlankLeadTime]],0.8),0)</f>
        <v>8</v>
      </c>
    </row>
    <row r="279" spans="1:19">
      <c r="A279" s="51">
        <f t="shared" si="31"/>
        <v>42807</v>
      </c>
      <c r="B279" s="11">
        <f t="shared" si="33"/>
        <v>42807</v>
      </c>
      <c r="C279" s="47">
        <f>SUMIFS('On The Board'!$M$5:$M$219,'On The Board'!F$5:F$219,"&lt;="&amp;$B279,'On The Board'!E$5:E$219,"="&amp;FutureWork)</f>
        <v>0</v>
      </c>
      <c r="D279" s="47" t="str">
        <f ca="1">IF(TodaysDate&gt;=B279,SUMIF('On The Board'!F$5:F$219,"&lt;="&amp;$B279,'On The Board'!$M$5:$M$219)-SUM(F279:J279),"")</f>
        <v/>
      </c>
      <c r="E279" s="12">
        <f ca="1">IF(TodaysDate&gt;=B279,SUMIF('On The Board'!F$5:F$219,"&lt;="&amp;$B279,'On The Board'!$M$5:$M$219)-SUM(F279:J279),E278)</f>
        <v>47</v>
      </c>
      <c r="F279" s="12">
        <f>SUMIF('On The Board'!G$5:G$219,"&lt;="&amp;$B279,'On The Board'!$M$5:$M$219)-SUM(G279:J279)</f>
        <v>0</v>
      </c>
      <c r="G279" s="12">
        <f>SUMIF('On The Board'!H$5:H$219,"&lt;="&amp;$B279,'On The Board'!$M$5:$M$219)-SUM(H279:J279)</f>
        <v>5</v>
      </c>
      <c r="H279" s="12">
        <f>SUMIF('On The Board'!I$5:I$219,"&lt;="&amp;$B279,'On The Board'!$M$5:$M$219)-SUM(I279,J279)</f>
        <v>2</v>
      </c>
      <c r="I279" s="12">
        <f>SUMIF('On The Board'!J$5:J$219,"&lt;="&amp;$B279,'On The Board'!$M$5:$M$219)-SUM(J279)</f>
        <v>0</v>
      </c>
      <c r="J279" s="12">
        <f>SUMIF('On The Board'!K$5:K$219,"&lt;="&amp;$B279,'On The Board'!$M$5:$M$219)</f>
        <v>70</v>
      </c>
      <c r="K279" s="10">
        <f t="shared" si="32"/>
        <v>77</v>
      </c>
      <c r="L279" s="10" t="e">
        <f ca="1">IF(TodaysDate&gt;=B279,SUM(F279:I279),NA())</f>
        <v>#N/A</v>
      </c>
      <c r="M279" s="44" t="e">
        <f t="shared" ca="1" si="35"/>
        <v>#N/A</v>
      </c>
      <c r="N279" s="44" t="e">
        <f ca="1">IF(ISNUMBER(M279),(J279-J269)/NETWORKDAYS(B269,B279,BankHolidays),NA())</f>
        <v>#N/A</v>
      </c>
      <c r="O279" s="44" t="e">
        <f t="shared" ca="1" si="34"/>
        <v>#N/A</v>
      </c>
      <c r="P279" s="53" t="e">
        <f t="shared" ca="1" si="36"/>
        <v>#N/A</v>
      </c>
      <c r="Q279" s="53" t="str">
        <f ca="1">IFERROR(DayByDayTable[[#This Row],[Lead Time]],"")</f>
        <v/>
      </c>
      <c r="R279" s="44" t="e">
        <f t="shared" ca="1" si="37"/>
        <v>#N/A</v>
      </c>
      <c r="S279" s="44">
        <f ca="1">ROUND(PERCENTILE(DayByDayTable[[#Data],[BlankLeadTime]],0.8),0)</f>
        <v>8</v>
      </c>
    </row>
    <row r="280" spans="1:19">
      <c r="A280" s="51">
        <f t="shared" si="31"/>
        <v>42808</v>
      </c>
      <c r="B280" s="11">
        <f t="shared" si="33"/>
        <v>42808</v>
      </c>
      <c r="C280" s="47">
        <f>SUMIFS('On The Board'!$M$5:$M$219,'On The Board'!F$5:F$219,"&lt;="&amp;$B280,'On The Board'!E$5:E$219,"="&amp;FutureWork)</f>
        <v>0</v>
      </c>
      <c r="D280" s="47" t="str">
        <f ca="1">IF(TodaysDate&gt;=B280,SUMIF('On The Board'!F$5:F$219,"&lt;="&amp;$B280,'On The Board'!$M$5:$M$219)-SUM(F280:J280),"")</f>
        <v/>
      </c>
      <c r="E280" s="12">
        <f ca="1">IF(TodaysDate&gt;=B280,SUMIF('On The Board'!F$5:F$219,"&lt;="&amp;$B280,'On The Board'!$M$5:$M$219)-SUM(F280:J280),E279)</f>
        <v>47</v>
      </c>
      <c r="F280" s="12">
        <f>SUMIF('On The Board'!G$5:G$219,"&lt;="&amp;$B280,'On The Board'!$M$5:$M$219)-SUM(G280:J280)</f>
        <v>0</v>
      </c>
      <c r="G280" s="12">
        <f>SUMIF('On The Board'!H$5:H$219,"&lt;="&amp;$B280,'On The Board'!$M$5:$M$219)-SUM(H280:J280)</f>
        <v>5</v>
      </c>
      <c r="H280" s="12">
        <f>SUMIF('On The Board'!I$5:I$219,"&lt;="&amp;$B280,'On The Board'!$M$5:$M$219)-SUM(I280,J280)</f>
        <v>2</v>
      </c>
      <c r="I280" s="12">
        <f>SUMIF('On The Board'!J$5:J$219,"&lt;="&amp;$B280,'On The Board'!$M$5:$M$219)-SUM(J280)</f>
        <v>0</v>
      </c>
      <c r="J280" s="12">
        <f>SUMIF('On The Board'!K$5:K$219,"&lt;="&amp;$B280,'On The Board'!$M$5:$M$219)</f>
        <v>70</v>
      </c>
      <c r="K280" s="10">
        <f t="shared" si="32"/>
        <v>77</v>
      </c>
      <c r="L280" s="10" t="e">
        <f ca="1">IF(TodaysDate&gt;=B280,SUM(F280:I280),NA())</f>
        <v>#N/A</v>
      </c>
      <c r="M280" s="44" t="e">
        <f t="shared" ca="1" si="35"/>
        <v>#N/A</v>
      </c>
      <c r="N280" s="44" t="e">
        <f ca="1">IF(ISNUMBER(M280),(J280-J270)/NETWORKDAYS(B270,B280,BankHolidays),NA())</f>
        <v>#N/A</v>
      </c>
      <c r="O280" s="44" t="e">
        <f t="shared" ca="1" si="34"/>
        <v>#N/A</v>
      </c>
      <c r="P280" s="53" t="e">
        <f t="shared" ca="1" si="36"/>
        <v>#N/A</v>
      </c>
      <c r="Q280" s="53" t="str">
        <f ca="1">IFERROR(DayByDayTable[[#This Row],[Lead Time]],"")</f>
        <v/>
      </c>
      <c r="R280" s="44" t="e">
        <f t="shared" ca="1" si="37"/>
        <v>#N/A</v>
      </c>
      <c r="S280" s="44">
        <f ca="1">ROUND(PERCENTILE(DayByDayTable[[#Data],[BlankLeadTime]],0.8),0)</f>
        <v>8</v>
      </c>
    </row>
    <row r="281" spans="1:19">
      <c r="A281" s="51">
        <f t="shared" si="31"/>
        <v>42809</v>
      </c>
      <c r="B281" s="11">
        <f t="shared" si="33"/>
        <v>42809</v>
      </c>
      <c r="C281" s="47">
        <f>SUMIFS('On The Board'!$M$5:$M$219,'On The Board'!F$5:F$219,"&lt;="&amp;$B281,'On The Board'!E$5:E$219,"="&amp;FutureWork)</f>
        <v>0</v>
      </c>
      <c r="D281" s="47" t="str">
        <f ca="1">IF(TodaysDate&gt;=B281,SUMIF('On The Board'!F$5:F$219,"&lt;="&amp;$B281,'On The Board'!$M$5:$M$219)-SUM(F281:J281),"")</f>
        <v/>
      </c>
      <c r="E281" s="12">
        <f ca="1">IF(TodaysDate&gt;=B281,SUMIF('On The Board'!F$5:F$219,"&lt;="&amp;$B281,'On The Board'!$M$5:$M$219)-SUM(F281:J281),E280)</f>
        <v>47</v>
      </c>
      <c r="F281" s="12">
        <f>SUMIF('On The Board'!G$5:G$219,"&lt;="&amp;$B281,'On The Board'!$M$5:$M$219)-SUM(G281:J281)</f>
        <v>0</v>
      </c>
      <c r="G281" s="12">
        <f>SUMIF('On The Board'!H$5:H$219,"&lt;="&amp;$B281,'On The Board'!$M$5:$M$219)-SUM(H281:J281)</f>
        <v>5</v>
      </c>
      <c r="H281" s="12">
        <f>SUMIF('On The Board'!I$5:I$219,"&lt;="&amp;$B281,'On The Board'!$M$5:$M$219)-SUM(I281,J281)</f>
        <v>2</v>
      </c>
      <c r="I281" s="12">
        <f>SUMIF('On The Board'!J$5:J$219,"&lt;="&amp;$B281,'On The Board'!$M$5:$M$219)-SUM(J281)</f>
        <v>0</v>
      </c>
      <c r="J281" s="12">
        <f>SUMIF('On The Board'!K$5:K$219,"&lt;="&amp;$B281,'On The Board'!$M$5:$M$219)</f>
        <v>70</v>
      </c>
      <c r="K281" s="10">
        <f t="shared" si="32"/>
        <v>77</v>
      </c>
      <c r="L281" s="10" t="e">
        <f ca="1">IF(TodaysDate&gt;=B281,SUM(F281:I281),NA())</f>
        <v>#N/A</v>
      </c>
      <c r="M281" s="44" t="e">
        <f t="shared" ca="1" si="35"/>
        <v>#N/A</v>
      </c>
      <c r="N281" s="44" t="e">
        <f ca="1">IF(ISNUMBER(M281),(J281-J271)/NETWORKDAYS(B271,B281,BankHolidays),NA())</f>
        <v>#N/A</v>
      </c>
      <c r="O281" s="44" t="e">
        <f t="shared" ca="1" si="34"/>
        <v>#N/A</v>
      </c>
      <c r="P281" s="53" t="e">
        <f t="shared" ca="1" si="36"/>
        <v>#N/A</v>
      </c>
      <c r="Q281" s="53" t="str">
        <f ca="1">IFERROR(DayByDayTable[[#This Row],[Lead Time]],"")</f>
        <v/>
      </c>
      <c r="R281" s="44" t="e">
        <f t="shared" ca="1" si="37"/>
        <v>#N/A</v>
      </c>
      <c r="S281" s="44">
        <f ca="1">ROUND(PERCENTILE(DayByDayTable[[#Data],[BlankLeadTime]],0.8),0)</f>
        <v>8</v>
      </c>
    </row>
    <row r="282" spans="1:19">
      <c r="A282" s="51">
        <f t="shared" si="31"/>
        <v>42810</v>
      </c>
      <c r="B282" s="11">
        <f t="shared" si="33"/>
        <v>42810</v>
      </c>
      <c r="C282" s="47">
        <f>SUMIFS('On The Board'!$M$5:$M$219,'On The Board'!F$5:F$219,"&lt;="&amp;$B282,'On The Board'!E$5:E$219,"="&amp;FutureWork)</f>
        <v>0</v>
      </c>
      <c r="D282" s="47" t="str">
        <f ca="1">IF(TodaysDate&gt;=B282,SUMIF('On The Board'!F$5:F$219,"&lt;="&amp;$B282,'On The Board'!$M$5:$M$219)-SUM(F282:J282),"")</f>
        <v/>
      </c>
      <c r="E282" s="12">
        <f ca="1">IF(TodaysDate&gt;=B282,SUMIF('On The Board'!F$5:F$219,"&lt;="&amp;$B282,'On The Board'!$M$5:$M$219)-SUM(F282:J282),E281)</f>
        <v>47</v>
      </c>
      <c r="F282" s="12">
        <f>SUMIF('On The Board'!G$5:G$219,"&lt;="&amp;$B282,'On The Board'!$M$5:$M$219)-SUM(G282:J282)</f>
        <v>0</v>
      </c>
      <c r="G282" s="12">
        <f>SUMIF('On The Board'!H$5:H$219,"&lt;="&amp;$B282,'On The Board'!$M$5:$M$219)-SUM(H282:J282)</f>
        <v>5</v>
      </c>
      <c r="H282" s="12">
        <f>SUMIF('On The Board'!I$5:I$219,"&lt;="&amp;$B282,'On The Board'!$M$5:$M$219)-SUM(I282,J282)</f>
        <v>2</v>
      </c>
      <c r="I282" s="12">
        <f>SUMIF('On The Board'!J$5:J$219,"&lt;="&amp;$B282,'On The Board'!$M$5:$M$219)-SUM(J282)</f>
        <v>0</v>
      </c>
      <c r="J282" s="12">
        <f>SUMIF('On The Board'!K$5:K$219,"&lt;="&amp;$B282,'On The Board'!$M$5:$M$219)</f>
        <v>70</v>
      </c>
      <c r="K282" s="10">
        <f t="shared" si="32"/>
        <v>77</v>
      </c>
      <c r="L282" s="10" t="e">
        <f ca="1">IF(TodaysDate&gt;=B282,SUM(F282:I282),NA())</f>
        <v>#N/A</v>
      </c>
      <c r="M282" s="44" t="e">
        <f t="shared" ca="1" si="35"/>
        <v>#N/A</v>
      </c>
      <c r="N282" s="44" t="e">
        <f ca="1">IF(ISNUMBER(M282),(J282-J272)/NETWORKDAYS(B272,B282,BankHolidays),NA())</f>
        <v>#N/A</v>
      </c>
      <c r="O282" s="44" t="e">
        <f t="shared" ca="1" si="34"/>
        <v>#N/A</v>
      </c>
      <c r="P282" s="53" t="e">
        <f t="shared" ca="1" si="36"/>
        <v>#N/A</v>
      </c>
      <c r="Q282" s="53" t="str">
        <f ca="1">IFERROR(DayByDayTable[[#This Row],[Lead Time]],"")</f>
        <v/>
      </c>
      <c r="R282" s="44" t="e">
        <f t="shared" ca="1" si="37"/>
        <v>#N/A</v>
      </c>
      <c r="S282" s="44">
        <f ca="1">ROUND(PERCENTILE(DayByDayTable[[#Data],[BlankLeadTime]],0.8),0)</f>
        <v>8</v>
      </c>
    </row>
    <row r="283" spans="1:19">
      <c r="A283" s="51">
        <f t="shared" si="31"/>
        <v>42811</v>
      </c>
      <c r="B283" s="11">
        <f t="shared" si="33"/>
        <v>42811</v>
      </c>
      <c r="C283" s="47">
        <f>SUMIFS('On The Board'!$M$5:$M$219,'On The Board'!F$5:F$219,"&lt;="&amp;$B283,'On The Board'!E$5:E$219,"="&amp;FutureWork)</f>
        <v>0</v>
      </c>
      <c r="D283" s="47" t="str">
        <f ca="1">IF(TodaysDate&gt;=B283,SUMIF('On The Board'!F$5:F$219,"&lt;="&amp;$B283,'On The Board'!$M$5:$M$219)-SUM(F283:J283),"")</f>
        <v/>
      </c>
      <c r="E283" s="12">
        <f ca="1">IF(TodaysDate&gt;=B283,SUMIF('On The Board'!F$5:F$219,"&lt;="&amp;$B283,'On The Board'!$M$5:$M$219)-SUM(F283:J283),E282)</f>
        <v>47</v>
      </c>
      <c r="F283" s="12">
        <f>SUMIF('On The Board'!G$5:G$219,"&lt;="&amp;$B283,'On The Board'!$M$5:$M$219)-SUM(G283:J283)</f>
        <v>0</v>
      </c>
      <c r="G283" s="12">
        <f>SUMIF('On The Board'!H$5:H$219,"&lt;="&amp;$B283,'On The Board'!$M$5:$M$219)-SUM(H283:J283)</f>
        <v>5</v>
      </c>
      <c r="H283" s="12">
        <f>SUMIF('On The Board'!I$5:I$219,"&lt;="&amp;$B283,'On The Board'!$M$5:$M$219)-SUM(I283,J283)</f>
        <v>2</v>
      </c>
      <c r="I283" s="12">
        <f>SUMIF('On The Board'!J$5:J$219,"&lt;="&amp;$B283,'On The Board'!$M$5:$M$219)-SUM(J283)</f>
        <v>0</v>
      </c>
      <c r="J283" s="12">
        <f>SUMIF('On The Board'!K$5:K$219,"&lt;="&amp;$B283,'On The Board'!$M$5:$M$219)</f>
        <v>70</v>
      </c>
      <c r="K283" s="10">
        <f t="shared" si="32"/>
        <v>77</v>
      </c>
      <c r="L283" s="10" t="e">
        <f ca="1">IF(TodaysDate&gt;=B283,SUM(F283:I283),NA())</f>
        <v>#N/A</v>
      </c>
      <c r="M283" s="44" t="e">
        <f t="shared" ca="1" si="35"/>
        <v>#N/A</v>
      </c>
      <c r="N283" s="44" t="e">
        <f ca="1">IF(ISNUMBER(M283),(J283-J273)/NETWORKDAYS(B273,B283,BankHolidays),NA())</f>
        <v>#N/A</v>
      </c>
      <c r="O283" s="44" t="e">
        <f t="shared" ca="1" si="34"/>
        <v>#N/A</v>
      </c>
      <c r="P283" s="53" t="e">
        <f t="shared" ca="1" si="36"/>
        <v>#N/A</v>
      </c>
      <c r="Q283" s="53" t="str">
        <f ca="1">IFERROR(DayByDayTable[[#This Row],[Lead Time]],"")</f>
        <v/>
      </c>
      <c r="R283" s="44" t="e">
        <f t="shared" ca="1" si="37"/>
        <v>#N/A</v>
      </c>
      <c r="S283" s="44">
        <f ca="1">ROUND(PERCENTILE(DayByDayTable[[#Data],[BlankLeadTime]],0.8),0)</f>
        <v>8</v>
      </c>
    </row>
    <row r="284" spans="1:19">
      <c r="A284" s="51">
        <f t="shared" si="31"/>
        <v>42814</v>
      </c>
      <c r="B284" s="11">
        <f t="shared" si="33"/>
        <v>42814</v>
      </c>
      <c r="C284" s="47">
        <f>SUMIFS('On The Board'!$M$5:$M$219,'On The Board'!F$5:F$219,"&lt;="&amp;$B284,'On The Board'!E$5:E$219,"="&amp;FutureWork)</f>
        <v>0</v>
      </c>
      <c r="D284" s="47" t="str">
        <f ca="1">IF(TodaysDate&gt;=B284,SUMIF('On The Board'!F$5:F$219,"&lt;="&amp;$B284,'On The Board'!$M$5:$M$219)-SUM(F284:J284),"")</f>
        <v/>
      </c>
      <c r="E284" s="12">
        <f ca="1">IF(TodaysDate&gt;=B284,SUMIF('On The Board'!F$5:F$219,"&lt;="&amp;$B284,'On The Board'!$M$5:$M$219)-SUM(F284:J284),E283)</f>
        <v>47</v>
      </c>
      <c r="F284" s="12">
        <f>SUMIF('On The Board'!G$5:G$219,"&lt;="&amp;$B284,'On The Board'!$M$5:$M$219)-SUM(G284:J284)</f>
        <v>0</v>
      </c>
      <c r="G284" s="12">
        <f>SUMIF('On The Board'!H$5:H$219,"&lt;="&amp;$B284,'On The Board'!$M$5:$M$219)-SUM(H284:J284)</f>
        <v>5</v>
      </c>
      <c r="H284" s="12">
        <f>SUMIF('On The Board'!I$5:I$219,"&lt;="&amp;$B284,'On The Board'!$M$5:$M$219)-SUM(I284,J284)</f>
        <v>2</v>
      </c>
      <c r="I284" s="12">
        <f>SUMIF('On The Board'!J$5:J$219,"&lt;="&amp;$B284,'On The Board'!$M$5:$M$219)-SUM(J284)</f>
        <v>0</v>
      </c>
      <c r="J284" s="12">
        <f>SUMIF('On The Board'!K$5:K$219,"&lt;="&amp;$B284,'On The Board'!$M$5:$M$219)</f>
        <v>70</v>
      </c>
      <c r="K284" s="10">
        <f t="shared" si="32"/>
        <v>77</v>
      </c>
      <c r="L284" s="10" t="e">
        <f ca="1">IF(TodaysDate&gt;=B284,SUM(F284:I284),NA())</f>
        <v>#N/A</v>
      </c>
      <c r="M284" s="44" t="e">
        <f t="shared" ca="1" si="35"/>
        <v>#N/A</v>
      </c>
      <c r="N284" s="44" t="e">
        <f ca="1">IF(ISNUMBER(M284),(J284-J274)/NETWORKDAYS(B274,B284,BankHolidays),NA())</f>
        <v>#N/A</v>
      </c>
      <c r="O284" s="44" t="e">
        <f t="shared" ca="1" si="34"/>
        <v>#N/A</v>
      </c>
      <c r="P284" s="53" t="e">
        <f t="shared" ca="1" si="36"/>
        <v>#N/A</v>
      </c>
      <c r="Q284" s="53" t="str">
        <f ca="1">IFERROR(DayByDayTable[[#This Row],[Lead Time]],"")</f>
        <v/>
      </c>
      <c r="R284" s="44" t="e">
        <f t="shared" ca="1" si="37"/>
        <v>#N/A</v>
      </c>
      <c r="S284" s="44">
        <f ca="1">ROUND(PERCENTILE(DayByDayTable[[#Data],[BlankLeadTime]],0.8),0)</f>
        <v>8</v>
      </c>
    </row>
    <row r="285" spans="1:19">
      <c r="A285" s="51">
        <f t="shared" si="31"/>
        <v>42815</v>
      </c>
      <c r="B285" s="11">
        <f t="shared" si="33"/>
        <v>42815</v>
      </c>
      <c r="C285" s="47">
        <f>SUMIFS('On The Board'!$M$5:$M$219,'On The Board'!F$5:F$219,"&lt;="&amp;$B285,'On The Board'!E$5:E$219,"="&amp;FutureWork)</f>
        <v>0</v>
      </c>
      <c r="D285" s="47" t="str">
        <f ca="1">IF(TodaysDate&gt;=B285,SUMIF('On The Board'!F$5:F$219,"&lt;="&amp;$B285,'On The Board'!$M$5:$M$219)-SUM(F285:J285),"")</f>
        <v/>
      </c>
      <c r="E285" s="12">
        <f ca="1">IF(TodaysDate&gt;=B285,SUMIF('On The Board'!F$5:F$219,"&lt;="&amp;$B285,'On The Board'!$M$5:$M$219)-SUM(F285:J285),E284)</f>
        <v>47</v>
      </c>
      <c r="F285" s="12">
        <f>SUMIF('On The Board'!G$5:G$219,"&lt;="&amp;$B285,'On The Board'!$M$5:$M$219)-SUM(G285:J285)</f>
        <v>0</v>
      </c>
      <c r="G285" s="12">
        <f>SUMIF('On The Board'!H$5:H$219,"&lt;="&amp;$B285,'On The Board'!$M$5:$M$219)-SUM(H285:J285)</f>
        <v>5</v>
      </c>
      <c r="H285" s="12">
        <f>SUMIF('On The Board'!I$5:I$219,"&lt;="&amp;$B285,'On The Board'!$M$5:$M$219)-SUM(I285,J285)</f>
        <v>2</v>
      </c>
      <c r="I285" s="12">
        <f>SUMIF('On The Board'!J$5:J$219,"&lt;="&amp;$B285,'On The Board'!$M$5:$M$219)-SUM(J285)</f>
        <v>0</v>
      </c>
      <c r="J285" s="12">
        <f>SUMIF('On The Board'!K$5:K$219,"&lt;="&amp;$B285,'On The Board'!$M$5:$M$219)</f>
        <v>70</v>
      </c>
      <c r="K285" s="10">
        <f t="shared" si="32"/>
        <v>77</v>
      </c>
      <c r="L285" s="10" t="e">
        <f ca="1">IF(TodaysDate&gt;=B285,SUM(F285:I285),NA())</f>
        <v>#N/A</v>
      </c>
      <c r="M285" s="44" t="e">
        <f t="shared" ca="1" si="35"/>
        <v>#N/A</v>
      </c>
      <c r="N285" s="44" t="e">
        <f ca="1">IF(ISNUMBER(M285),(J285-J275)/NETWORKDAYS(B275,B285,BankHolidays),NA())</f>
        <v>#N/A</v>
      </c>
      <c r="O285" s="44" t="e">
        <f t="shared" ca="1" si="34"/>
        <v>#N/A</v>
      </c>
      <c r="P285" s="53" t="e">
        <f t="shared" ca="1" si="36"/>
        <v>#N/A</v>
      </c>
      <c r="Q285" s="53" t="str">
        <f ca="1">IFERROR(DayByDayTable[[#This Row],[Lead Time]],"")</f>
        <v/>
      </c>
      <c r="R285" s="44" t="e">
        <f t="shared" ca="1" si="37"/>
        <v>#N/A</v>
      </c>
      <c r="S285" s="44">
        <f ca="1">ROUND(PERCENTILE(DayByDayTable[[#Data],[BlankLeadTime]],0.8),0)</f>
        <v>8</v>
      </c>
    </row>
    <row r="286" spans="1:19">
      <c r="A286" s="51">
        <f t="shared" si="31"/>
        <v>42816</v>
      </c>
      <c r="B286" s="11">
        <f t="shared" si="33"/>
        <v>42816</v>
      </c>
      <c r="C286" s="47">
        <f>SUMIFS('On The Board'!$M$5:$M$219,'On The Board'!F$5:F$219,"&lt;="&amp;$B286,'On The Board'!E$5:E$219,"="&amp;FutureWork)</f>
        <v>0</v>
      </c>
      <c r="D286" s="47" t="str">
        <f ca="1">IF(TodaysDate&gt;=B286,SUMIF('On The Board'!F$5:F$219,"&lt;="&amp;$B286,'On The Board'!$M$5:$M$219)-SUM(F286:J286),"")</f>
        <v/>
      </c>
      <c r="E286" s="12">
        <f ca="1">IF(TodaysDate&gt;=B286,SUMIF('On The Board'!F$5:F$219,"&lt;="&amp;$B286,'On The Board'!$M$5:$M$219)-SUM(F286:J286),E285)</f>
        <v>47</v>
      </c>
      <c r="F286" s="12">
        <f>SUMIF('On The Board'!G$5:G$219,"&lt;="&amp;$B286,'On The Board'!$M$5:$M$219)-SUM(G286:J286)</f>
        <v>0</v>
      </c>
      <c r="G286" s="12">
        <f>SUMIF('On The Board'!H$5:H$219,"&lt;="&amp;$B286,'On The Board'!$M$5:$M$219)-SUM(H286:J286)</f>
        <v>5</v>
      </c>
      <c r="H286" s="12">
        <f>SUMIF('On The Board'!I$5:I$219,"&lt;="&amp;$B286,'On The Board'!$M$5:$M$219)-SUM(I286,J286)</f>
        <v>2</v>
      </c>
      <c r="I286" s="12">
        <f>SUMIF('On The Board'!J$5:J$219,"&lt;="&amp;$B286,'On The Board'!$M$5:$M$219)-SUM(J286)</f>
        <v>0</v>
      </c>
      <c r="J286" s="12">
        <f>SUMIF('On The Board'!K$5:K$219,"&lt;="&amp;$B286,'On The Board'!$M$5:$M$219)</f>
        <v>70</v>
      </c>
      <c r="K286" s="10">
        <f t="shared" si="32"/>
        <v>77</v>
      </c>
      <c r="L286" s="10" t="e">
        <f ca="1">IF(TodaysDate&gt;=B286,SUM(F286:I286),NA())</f>
        <v>#N/A</v>
      </c>
      <c r="M286" s="44" t="e">
        <f t="shared" ca="1" si="35"/>
        <v>#N/A</v>
      </c>
      <c r="N286" s="44" t="e">
        <f ca="1">IF(ISNUMBER(M286),(J286-J276)/NETWORKDAYS(B276,B286,BankHolidays),NA())</f>
        <v>#N/A</v>
      </c>
      <c r="O286" s="44" t="e">
        <f t="shared" ca="1" si="34"/>
        <v>#N/A</v>
      </c>
      <c r="P286" s="53" t="e">
        <f t="shared" ca="1" si="36"/>
        <v>#N/A</v>
      </c>
      <c r="Q286" s="53" t="str">
        <f ca="1">IFERROR(DayByDayTable[[#This Row],[Lead Time]],"")</f>
        <v/>
      </c>
      <c r="R286" s="44" t="e">
        <f t="shared" ca="1" si="37"/>
        <v>#N/A</v>
      </c>
      <c r="S286" s="44">
        <f ca="1">ROUND(PERCENTILE(DayByDayTable[[#Data],[BlankLeadTime]],0.8),0)</f>
        <v>8</v>
      </c>
    </row>
    <row r="287" spans="1:19">
      <c r="A287" s="51">
        <f t="shared" si="31"/>
        <v>42817</v>
      </c>
      <c r="B287" s="11">
        <f t="shared" si="33"/>
        <v>42817</v>
      </c>
      <c r="C287" s="47">
        <f>SUMIFS('On The Board'!$M$5:$M$219,'On The Board'!F$5:F$219,"&lt;="&amp;$B287,'On The Board'!E$5:E$219,"="&amp;FutureWork)</f>
        <v>0</v>
      </c>
      <c r="D287" s="47" t="str">
        <f ca="1">IF(TodaysDate&gt;=B287,SUMIF('On The Board'!F$5:F$219,"&lt;="&amp;$B287,'On The Board'!$M$5:$M$219)-SUM(F287:J287),"")</f>
        <v/>
      </c>
      <c r="E287" s="12">
        <f ca="1">IF(TodaysDate&gt;=B287,SUMIF('On The Board'!F$5:F$219,"&lt;="&amp;$B287,'On The Board'!$M$5:$M$219)-SUM(F287:J287),E286)</f>
        <v>47</v>
      </c>
      <c r="F287" s="12">
        <f>SUMIF('On The Board'!G$5:G$219,"&lt;="&amp;$B287,'On The Board'!$M$5:$M$219)-SUM(G287:J287)</f>
        <v>0</v>
      </c>
      <c r="G287" s="12">
        <f>SUMIF('On The Board'!H$5:H$219,"&lt;="&amp;$B287,'On The Board'!$M$5:$M$219)-SUM(H287:J287)</f>
        <v>5</v>
      </c>
      <c r="H287" s="12">
        <f>SUMIF('On The Board'!I$5:I$219,"&lt;="&amp;$B287,'On The Board'!$M$5:$M$219)-SUM(I287,J287)</f>
        <v>2</v>
      </c>
      <c r="I287" s="12">
        <f>SUMIF('On The Board'!J$5:J$219,"&lt;="&amp;$B287,'On The Board'!$M$5:$M$219)-SUM(J287)</f>
        <v>0</v>
      </c>
      <c r="J287" s="12">
        <f>SUMIF('On The Board'!K$5:K$219,"&lt;="&amp;$B287,'On The Board'!$M$5:$M$219)</f>
        <v>70</v>
      </c>
      <c r="K287" s="10">
        <f t="shared" si="32"/>
        <v>77</v>
      </c>
      <c r="L287" s="10" t="e">
        <f ca="1">IF(TodaysDate&gt;=B287,SUM(F287:I287),NA())</f>
        <v>#N/A</v>
      </c>
      <c r="M287" s="44" t="e">
        <f t="shared" ca="1" si="35"/>
        <v>#N/A</v>
      </c>
      <c r="N287" s="44" t="e">
        <f ca="1">IF(ISNUMBER(M287),(J287-J277)/NETWORKDAYS(B277,B287,BankHolidays),NA())</f>
        <v>#N/A</v>
      </c>
      <c r="O287" s="44" t="e">
        <f t="shared" ca="1" si="34"/>
        <v>#N/A</v>
      </c>
      <c r="P287" s="53" t="e">
        <f t="shared" ca="1" si="36"/>
        <v>#N/A</v>
      </c>
      <c r="Q287" s="53" t="str">
        <f ca="1">IFERROR(DayByDayTable[[#This Row],[Lead Time]],"")</f>
        <v/>
      </c>
      <c r="R287" s="44" t="e">
        <f t="shared" ca="1" si="37"/>
        <v>#N/A</v>
      </c>
      <c r="S287" s="44">
        <f ca="1">ROUND(PERCENTILE(DayByDayTable[[#Data],[BlankLeadTime]],0.8),0)</f>
        <v>8</v>
      </c>
    </row>
    <row r="288" spans="1:19">
      <c r="A288" s="51">
        <f t="shared" si="31"/>
        <v>42818</v>
      </c>
      <c r="B288" s="11">
        <f t="shared" si="33"/>
        <v>42818</v>
      </c>
      <c r="C288" s="47">
        <f>SUMIFS('On The Board'!$M$5:$M$219,'On The Board'!F$5:F$219,"&lt;="&amp;$B288,'On The Board'!E$5:E$219,"="&amp;FutureWork)</f>
        <v>0</v>
      </c>
      <c r="D288" s="47" t="str">
        <f ca="1">IF(TodaysDate&gt;=B288,SUMIF('On The Board'!F$5:F$219,"&lt;="&amp;$B288,'On The Board'!$M$5:$M$219)-SUM(F288:J288),"")</f>
        <v/>
      </c>
      <c r="E288" s="12">
        <f ca="1">IF(TodaysDate&gt;=B288,SUMIF('On The Board'!F$5:F$219,"&lt;="&amp;$B288,'On The Board'!$M$5:$M$219)-SUM(F288:J288),E287)</f>
        <v>47</v>
      </c>
      <c r="F288" s="12">
        <f>SUMIF('On The Board'!G$5:G$219,"&lt;="&amp;$B288,'On The Board'!$M$5:$M$219)-SUM(G288:J288)</f>
        <v>0</v>
      </c>
      <c r="G288" s="12">
        <f>SUMIF('On The Board'!H$5:H$219,"&lt;="&amp;$B288,'On The Board'!$M$5:$M$219)-SUM(H288:J288)</f>
        <v>5</v>
      </c>
      <c r="H288" s="12">
        <f>SUMIF('On The Board'!I$5:I$219,"&lt;="&amp;$B288,'On The Board'!$M$5:$M$219)-SUM(I288,J288)</f>
        <v>2</v>
      </c>
      <c r="I288" s="12">
        <f>SUMIF('On The Board'!J$5:J$219,"&lt;="&amp;$B288,'On The Board'!$M$5:$M$219)-SUM(J288)</f>
        <v>0</v>
      </c>
      <c r="J288" s="12">
        <f>SUMIF('On The Board'!K$5:K$219,"&lt;="&amp;$B288,'On The Board'!$M$5:$M$219)</f>
        <v>70</v>
      </c>
      <c r="K288" s="10">
        <f t="shared" si="32"/>
        <v>77</v>
      </c>
      <c r="L288" s="10" t="e">
        <f ca="1">IF(TodaysDate&gt;=B288,SUM(F288:I288),NA())</f>
        <v>#N/A</v>
      </c>
      <c r="M288" s="44" t="e">
        <f t="shared" ca="1" si="35"/>
        <v>#N/A</v>
      </c>
      <c r="N288" s="44" t="e">
        <f ca="1">IF(ISNUMBER(M288),(J288-J278)/NETWORKDAYS(B278,B288,BankHolidays),NA())</f>
        <v>#N/A</v>
      </c>
      <c r="O288" s="44" t="e">
        <f t="shared" ca="1" si="34"/>
        <v>#N/A</v>
      </c>
      <c r="P288" s="53" t="e">
        <f t="shared" ca="1" si="36"/>
        <v>#N/A</v>
      </c>
      <c r="Q288" s="53" t="str">
        <f ca="1">IFERROR(DayByDayTable[[#This Row],[Lead Time]],"")</f>
        <v/>
      </c>
      <c r="R288" s="44" t="e">
        <f t="shared" ca="1" si="37"/>
        <v>#N/A</v>
      </c>
      <c r="S288" s="44">
        <f ca="1">ROUND(PERCENTILE(DayByDayTable[[#Data],[BlankLeadTime]],0.8),0)</f>
        <v>8</v>
      </c>
    </row>
    <row r="289" spans="1:19">
      <c r="A289" s="51">
        <f t="shared" si="31"/>
        <v>42821</v>
      </c>
      <c r="B289" s="11">
        <f t="shared" si="33"/>
        <v>42821</v>
      </c>
      <c r="C289" s="47">
        <f>SUMIFS('On The Board'!$M$5:$M$219,'On The Board'!F$5:F$219,"&lt;="&amp;$B289,'On The Board'!E$5:E$219,"="&amp;FutureWork)</f>
        <v>0</v>
      </c>
      <c r="D289" s="47" t="str">
        <f ca="1">IF(TodaysDate&gt;=B289,SUMIF('On The Board'!F$5:F$219,"&lt;="&amp;$B289,'On The Board'!$M$5:$M$219)-SUM(F289:J289),"")</f>
        <v/>
      </c>
      <c r="E289" s="12">
        <f ca="1">IF(TodaysDate&gt;=B289,SUMIF('On The Board'!F$5:F$219,"&lt;="&amp;$B289,'On The Board'!$M$5:$M$219)-SUM(F289:J289),E288)</f>
        <v>47</v>
      </c>
      <c r="F289" s="12">
        <f>SUMIF('On The Board'!G$5:G$219,"&lt;="&amp;$B289,'On The Board'!$M$5:$M$219)-SUM(G289:J289)</f>
        <v>0</v>
      </c>
      <c r="G289" s="12">
        <f>SUMIF('On The Board'!H$5:H$219,"&lt;="&amp;$B289,'On The Board'!$M$5:$M$219)-SUM(H289:J289)</f>
        <v>5</v>
      </c>
      <c r="H289" s="12">
        <f>SUMIF('On The Board'!I$5:I$219,"&lt;="&amp;$B289,'On The Board'!$M$5:$M$219)-SUM(I289,J289)</f>
        <v>2</v>
      </c>
      <c r="I289" s="12">
        <f>SUMIF('On The Board'!J$5:J$219,"&lt;="&amp;$B289,'On The Board'!$M$5:$M$219)-SUM(J289)</f>
        <v>0</v>
      </c>
      <c r="J289" s="12">
        <f>SUMIF('On The Board'!K$5:K$219,"&lt;="&amp;$B289,'On The Board'!$M$5:$M$219)</f>
        <v>70</v>
      </c>
      <c r="K289" s="10">
        <f t="shared" si="32"/>
        <v>77</v>
      </c>
      <c r="L289" s="10" t="e">
        <f ca="1">IF(TodaysDate&gt;=B289,SUM(F289:I289),NA())</f>
        <v>#N/A</v>
      </c>
      <c r="M289" s="44" t="e">
        <f t="shared" ca="1" si="35"/>
        <v>#N/A</v>
      </c>
      <c r="N289" s="44" t="e">
        <f ca="1">IF(ISNUMBER(M289),(J289-J279)/NETWORKDAYS(B279,B289,BankHolidays),NA())</f>
        <v>#N/A</v>
      </c>
      <c r="O289" s="44" t="e">
        <f t="shared" ca="1" si="34"/>
        <v>#N/A</v>
      </c>
      <c r="P289" s="53" t="e">
        <f t="shared" ca="1" si="36"/>
        <v>#N/A</v>
      </c>
      <c r="Q289" s="53" t="str">
        <f ca="1">IFERROR(DayByDayTable[[#This Row],[Lead Time]],"")</f>
        <v/>
      </c>
      <c r="R289" s="44" t="e">
        <f t="shared" ca="1" si="37"/>
        <v>#N/A</v>
      </c>
      <c r="S289" s="44">
        <f ca="1">ROUND(PERCENTILE(DayByDayTable[[#Data],[BlankLeadTime]],0.8),0)</f>
        <v>8</v>
      </c>
    </row>
    <row r="290" spans="1:19">
      <c r="A290" s="51">
        <f t="shared" si="31"/>
        <v>42822</v>
      </c>
      <c r="B290" s="11">
        <f t="shared" si="33"/>
        <v>42822</v>
      </c>
      <c r="C290" s="47">
        <f>SUMIFS('On The Board'!$M$5:$M$219,'On The Board'!F$5:F$219,"&lt;="&amp;$B290,'On The Board'!E$5:E$219,"="&amp;FutureWork)</f>
        <v>0</v>
      </c>
      <c r="D290" s="47" t="str">
        <f ca="1">IF(TodaysDate&gt;=B290,SUMIF('On The Board'!F$5:F$219,"&lt;="&amp;$B290,'On The Board'!$M$5:$M$219)-SUM(F290:J290),"")</f>
        <v/>
      </c>
      <c r="E290" s="12">
        <f ca="1">IF(TodaysDate&gt;=B290,SUMIF('On The Board'!F$5:F$219,"&lt;="&amp;$B290,'On The Board'!$M$5:$M$219)-SUM(F290:J290),E289)</f>
        <v>47</v>
      </c>
      <c r="F290" s="12">
        <f>SUMIF('On The Board'!G$5:G$219,"&lt;="&amp;$B290,'On The Board'!$M$5:$M$219)-SUM(G290:J290)</f>
        <v>0</v>
      </c>
      <c r="G290" s="12">
        <f>SUMIF('On The Board'!H$5:H$219,"&lt;="&amp;$B290,'On The Board'!$M$5:$M$219)-SUM(H290:J290)</f>
        <v>5</v>
      </c>
      <c r="H290" s="12">
        <f>SUMIF('On The Board'!I$5:I$219,"&lt;="&amp;$B290,'On The Board'!$M$5:$M$219)-SUM(I290,J290)</f>
        <v>2</v>
      </c>
      <c r="I290" s="12">
        <f>SUMIF('On The Board'!J$5:J$219,"&lt;="&amp;$B290,'On The Board'!$M$5:$M$219)-SUM(J290)</f>
        <v>0</v>
      </c>
      <c r="J290" s="12">
        <f>SUMIF('On The Board'!K$5:K$219,"&lt;="&amp;$B290,'On The Board'!$M$5:$M$219)</f>
        <v>70</v>
      </c>
      <c r="K290" s="10">
        <f t="shared" si="32"/>
        <v>77</v>
      </c>
      <c r="L290" s="10" t="e">
        <f ca="1">IF(TodaysDate&gt;=B290,SUM(F290:I290),NA())</f>
        <v>#N/A</v>
      </c>
      <c r="M290" s="44" t="e">
        <f t="shared" ca="1" si="35"/>
        <v>#N/A</v>
      </c>
      <c r="N290" s="44" t="e">
        <f ca="1">IF(ISNUMBER(M290),(J290-J280)/NETWORKDAYS(B280,B290,BankHolidays),NA())</f>
        <v>#N/A</v>
      </c>
      <c r="O290" s="44" t="e">
        <f t="shared" ca="1" si="34"/>
        <v>#N/A</v>
      </c>
      <c r="P290" s="53" t="e">
        <f t="shared" ca="1" si="36"/>
        <v>#N/A</v>
      </c>
      <c r="Q290" s="53" t="str">
        <f ca="1">IFERROR(DayByDayTable[[#This Row],[Lead Time]],"")</f>
        <v/>
      </c>
      <c r="R290" s="44" t="e">
        <f t="shared" ca="1" si="37"/>
        <v>#N/A</v>
      </c>
      <c r="S290" s="44">
        <f ca="1">ROUND(PERCENTILE(DayByDayTable[[#Data],[BlankLeadTime]],0.8),0)</f>
        <v>8</v>
      </c>
    </row>
    <row r="291" spans="1:19">
      <c r="A291" s="51">
        <f t="shared" si="31"/>
        <v>42823</v>
      </c>
      <c r="B291" s="11">
        <f t="shared" si="33"/>
        <v>42823</v>
      </c>
      <c r="C291" s="47">
        <f>SUMIFS('On The Board'!$M$5:$M$219,'On The Board'!F$5:F$219,"&lt;="&amp;$B291,'On The Board'!E$5:E$219,"="&amp;FutureWork)</f>
        <v>0</v>
      </c>
      <c r="D291" s="47" t="str">
        <f ca="1">IF(TodaysDate&gt;=B291,SUMIF('On The Board'!F$5:F$219,"&lt;="&amp;$B291,'On The Board'!$M$5:$M$219)-SUM(F291:J291),"")</f>
        <v/>
      </c>
      <c r="E291" s="12">
        <f ca="1">IF(TodaysDate&gt;=B291,SUMIF('On The Board'!F$5:F$219,"&lt;="&amp;$B291,'On The Board'!$M$5:$M$219)-SUM(F291:J291),E290)</f>
        <v>47</v>
      </c>
      <c r="F291" s="12">
        <f>SUMIF('On The Board'!G$5:G$219,"&lt;="&amp;$B291,'On The Board'!$M$5:$M$219)-SUM(G291:J291)</f>
        <v>0</v>
      </c>
      <c r="G291" s="12">
        <f>SUMIF('On The Board'!H$5:H$219,"&lt;="&amp;$B291,'On The Board'!$M$5:$M$219)-SUM(H291:J291)</f>
        <v>5</v>
      </c>
      <c r="H291" s="12">
        <f>SUMIF('On The Board'!I$5:I$219,"&lt;="&amp;$B291,'On The Board'!$M$5:$M$219)-SUM(I291,J291)</f>
        <v>2</v>
      </c>
      <c r="I291" s="12">
        <f>SUMIF('On The Board'!J$5:J$219,"&lt;="&amp;$B291,'On The Board'!$M$5:$M$219)-SUM(J291)</f>
        <v>0</v>
      </c>
      <c r="J291" s="12">
        <f>SUMIF('On The Board'!K$5:K$219,"&lt;="&amp;$B291,'On The Board'!$M$5:$M$219)</f>
        <v>70</v>
      </c>
      <c r="K291" s="10">
        <f t="shared" si="32"/>
        <v>77</v>
      </c>
      <c r="L291" s="10" t="e">
        <f ca="1">IF(TodaysDate&gt;=B291,SUM(F291:I291),NA())</f>
        <v>#N/A</v>
      </c>
      <c r="M291" s="44" t="e">
        <f t="shared" ca="1" si="35"/>
        <v>#N/A</v>
      </c>
      <c r="N291" s="44" t="e">
        <f ca="1">IF(ISNUMBER(M291),(J291-J281)/NETWORKDAYS(B281,B291,BankHolidays),NA())</f>
        <v>#N/A</v>
      </c>
      <c r="O291" s="44" t="e">
        <f t="shared" ca="1" si="34"/>
        <v>#N/A</v>
      </c>
      <c r="P291" s="53" t="e">
        <f t="shared" ca="1" si="36"/>
        <v>#N/A</v>
      </c>
      <c r="Q291" s="53" t="str">
        <f ca="1">IFERROR(DayByDayTable[[#This Row],[Lead Time]],"")</f>
        <v/>
      </c>
      <c r="R291" s="44" t="e">
        <f t="shared" ca="1" si="37"/>
        <v>#N/A</v>
      </c>
      <c r="S291" s="44">
        <f ca="1">ROUND(PERCENTILE(DayByDayTable[[#Data],[BlankLeadTime]],0.8),0)</f>
        <v>8</v>
      </c>
    </row>
    <row r="292" spans="1:19">
      <c r="A292" s="51">
        <f t="shared" si="31"/>
        <v>42824</v>
      </c>
      <c r="B292" s="11">
        <f t="shared" si="33"/>
        <v>42824</v>
      </c>
      <c r="C292" s="47">
        <f>SUMIFS('On The Board'!$M$5:$M$219,'On The Board'!F$5:F$219,"&lt;="&amp;$B292,'On The Board'!E$5:E$219,"="&amp;FutureWork)</f>
        <v>0</v>
      </c>
      <c r="D292" s="47" t="str">
        <f ca="1">IF(TodaysDate&gt;=B292,SUMIF('On The Board'!F$5:F$219,"&lt;="&amp;$B292,'On The Board'!$M$5:$M$219)-SUM(F292:J292),"")</f>
        <v/>
      </c>
      <c r="E292" s="12">
        <f ca="1">IF(TodaysDate&gt;=B292,SUMIF('On The Board'!F$5:F$219,"&lt;="&amp;$B292,'On The Board'!$M$5:$M$219)-SUM(F292:J292),E291)</f>
        <v>47</v>
      </c>
      <c r="F292" s="12">
        <f>SUMIF('On The Board'!G$5:G$219,"&lt;="&amp;$B292,'On The Board'!$M$5:$M$219)-SUM(G292:J292)</f>
        <v>0</v>
      </c>
      <c r="G292" s="12">
        <f>SUMIF('On The Board'!H$5:H$219,"&lt;="&amp;$B292,'On The Board'!$M$5:$M$219)-SUM(H292:J292)</f>
        <v>5</v>
      </c>
      <c r="H292" s="12">
        <f>SUMIF('On The Board'!I$5:I$219,"&lt;="&amp;$B292,'On The Board'!$M$5:$M$219)-SUM(I292,J292)</f>
        <v>2</v>
      </c>
      <c r="I292" s="12">
        <f>SUMIF('On The Board'!J$5:J$219,"&lt;="&amp;$B292,'On The Board'!$M$5:$M$219)-SUM(J292)</f>
        <v>0</v>
      </c>
      <c r="J292" s="12">
        <f>SUMIF('On The Board'!K$5:K$219,"&lt;="&amp;$B292,'On The Board'!$M$5:$M$219)</f>
        <v>70</v>
      </c>
      <c r="K292" s="10">
        <f t="shared" si="32"/>
        <v>77</v>
      </c>
      <c r="L292" s="10" t="e">
        <f ca="1">IF(TodaysDate&gt;=B292,SUM(F292:I292),NA())</f>
        <v>#N/A</v>
      </c>
      <c r="M292" s="44" t="e">
        <f t="shared" ca="1" si="35"/>
        <v>#N/A</v>
      </c>
      <c r="N292" s="44" t="e">
        <f ca="1">IF(ISNUMBER(M292),(J292-J282)/NETWORKDAYS(B282,B292,BankHolidays),NA())</f>
        <v>#N/A</v>
      </c>
      <c r="O292" s="44" t="e">
        <f t="shared" ca="1" si="34"/>
        <v>#N/A</v>
      </c>
      <c r="P292" s="53" t="e">
        <f t="shared" ca="1" si="36"/>
        <v>#N/A</v>
      </c>
      <c r="Q292" s="53" t="str">
        <f ca="1">IFERROR(DayByDayTable[[#This Row],[Lead Time]],"")</f>
        <v/>
      </c>
      <c r="R292" s="44" t="e">
        <f t="shared" ca="1" si="37"/>
        <v>#N/A</v>
      </c>
      <c r="S292" s="44">
        <f ca="1">ROUND(PERCENTILE(DayByDayTable[[#Data],[BlankLeadTime]],0.8),0)</f>
        <v>8</v>
      </c>
    </row>
    <row r="293" spans="1:19">
      <c r="A293" s="51">
        <f t="shared" si="31"/>
        <v>42825</v>
      </c>
      <c r="B293" s="11">
        <f t="shared" si="33"/>
        <v>42825</v>
      </c>
      <c r="C293" s="47">
        <f>SUMIFS('On The Board'!$M$5:$M$219,'On The Board'!F$5:F$219,"&lt;="&amp;$B293,'On The Board'!E$5:E$219,"="&amp;FutureWork)</f>
        <v>0</v>
      </c>
      <c r="D293" s="47" t="str">
        <f ca="1">IF(TodaysDate&gt;=B293,SUMIF('On The Board'!F$5:F$219,"&lt;="&amp;$B293,'On The Board'!$M$5:$M$219)-SUM(F293:J293),"")</f>
        <v/>
      </c>
      <c r="E293" s="12">
        <f ca="1">IF(TodaysDate&gt;=B293,SUMIF('On The Board'!F$5:F$219,"&lt;="&amp;$B293,'On The Board'!$M$5:$M$219)-SUM(F293:J293),E292)</f>
        <v>47</v>
      </c>
      <c r="F293" s="12">
        <f>SUMIF('On The Board'!G$5:G$219,"&lt;="&amp;$B293,'On The Board'!$M$5:$M$219)-SUM(G293:J293)</f>
        <v>0</v>
      </c>
      <c r="G293" s="12">
        <f>SUMIF('On The Board'!H$5:H$219,"&lt;="&amp;$B293,'On The Board'!$M$5:$M$219)-SUM(H293:J293)</f>
        <v>5</v>
      </c>
      <c r="H293" s="12">
        <f>SUMIF('On The Board'!I$5:I$219,"&lt;="&amp;$B293,'On The Board'!$M$5:$M$219)-SUM(I293,J293)</f>
        <v>2</v>
      </c>
      <c r="I293" s="12">
        <f>SUMIF('On The Board'!J$5:J$219,"&lt;="&amp;$B293,'On The Board'!$M$5:$M$219)-SUM(J293)</f>
        <v>0</v>
      </c>
      <c r="J293" s="12">
        <f>SUMIF('On The Board'!K$5:K$219,"&lt;="&amp;$B293,'On The Board'!$M$5:$M$219)</f>
        <v>70</v>
      </c>
      <c r="K293" s="10">
        <f t="shared" si="32"/>
        <v>77</v>
      </c>
      <c r="L293" s="10" t="e">
        <f ca="1">IF(TodaysDate&gt;=B293,SUM(F293:I293),NA())</f>
        <v>#N/A</v>
      </c>
      <c r="M293" s="44" t="e">
        <f t="shared" ca="1" si="35"/>
        <v>#N/A</v>
      </c>
      <c r="N293" s="44" t="e">
        <f ca="1">IF(ISNUMBER(M293),(J293-J283)/NETWORKDAYS(B283,B293,BankHolidays),NA())</f>
        <v>#N/A</v>
      </c>
      <c r="O293" s="44" t="e">
        <f t="shared" ca="1" si="34"/>
        <v>#N/A</v>
      </c>
      <c r="P293" s="53" t="e">
        <f t="shared" ca="1" si="36"/>
        <v>#N/A</v>
      </c>
      <c r="Q293" s="53" t="str">
        <f ca="1">IFERROR(DayByDayTable[[#This Row],[Lead Time]],"")</f>
        <v/>
      </c>
      <c r="R293" s="44" t="e">
        <f t="shared" ca="1" si="37"/>
        <v>#N/A</v>
      </c>
      <c r="S293" s="44">
        <f ca="1">ROUND(PERCENTILE(DayByDayTable[[#Data],[BlankLeadTime]],0.8),0)</f>
        <v>8</v>
      </c>
    </row>
    <row r="294" spans="1:19">
      <c r="A294" s="51">
        <f t="shared" si="31"/>
        <v>42828</v>
      </c>
      <c r="B294" s="11">
        <f t="shared" si="33"/>
        <v>42828</v>
      </c>
      <c r="C294" s="47">
        <f>SUMIFS('On The Board'!$M$5:$M$219,'On The Board'!F$5:F$219,"&lt;="&amp;$B294,'On The Board'!E$5:E$219,"="&amp;FutureWork)</f>
        <v>0</v>
      </c>
      <c r="D294" s="47" t="str">
        <f ca="1">IF(TodaysDate&gt;=B294,SUMIF('On The Board'!F$5:F$219,"&lt;="&amp;$B294,'On The Board'!$M$5:$M$219)-SUM(F294:J294),"")</f>
        <v/>
      </c>
      <c r="E294" s="12">
        <f ca="1">IF(TodaysDate&gt;=B294,SUMIF('On The Board'!F$5:F$219,"&lt;="&amp;$B294,'On The Board'!$M$5:$M$219)-SUM(F294:J294),E293)</f>
        <v>47</v>
      </c>
      <c r="F294" s="12">
        <f>SUMIF('On The Board'!G$5:G$219,"&lt;="&amp;$B294,'On The Board'!$M$5:$M$219)-SUM(G294:J294)</f>
        <v>0</v>
      </c>
      <c r="G294" s="12">
        <f>SUMIF('On The Board'!H$5:H$219,"&lt;="&amp;$B294,'On The Board'!$M$5:$M$219)-SUM(H294:J294)</f>
        <v>5</v>
      </c>
      <c r="H294" s="12">
        <f>SUMIF('On The Board'!I$5:I$219,"&lt;="&amp;$B294,'On The Board'!$M$5:$M$219)-SUM(I294,J294)</f>
        <v>2</v>
      </c>
      <c r="I294" s="12">
        <f>SUMIF('On The Board'!J$5:J$219,"&lt;="&amp;$B294,'On The Board'!$M$5:$M$219)-SUM(J294)</f>
        <v>0</v>
      </c>
      <c r="J294" s="12">
        <f>SUMIF('On The Board'!K$5:K$219,"&lt;="&amp;$B294,'On The Board'!$M$5:$M$219)</f>
        <v>70</v>
      </c>
      <c r="K294" s="10">
        <f t="shared" si="32"/>
        <v>77</v>
      </c>
      <c r="L294" s="10" t="e">
        <f ca="1">IF(TodaysDate&gt;=B294,SUM(F294:I294),NA())</f>
        <v>#N/A</v>
      </c>
      <c r="M294" s="44" t="e">
        <f t="shared" ca="1" si="35"/>
        <v>#N/A</v>
      </c>
      <c r="N294" s="44" t="e">
        <f ca="1">IF(ISNUMBER(M294),(J294-J284)/NETWORKDAYS(B284,B294,BankHolidays),NA())</f>
        <v>#N/A</v>
      </c>
      <c r="O294" s="44" t="e">
        <f t="shared" ca="1" si="34"/>
        <v>#N/A</v>
      </c>
      <c r="P294" s="53" t="e">
        <f t="shared" ca="1" si="36"/>
        <v>#N/A</v>
      </c>
      <c r="Q294" s="53" t="str">
        <f ca="1">IFERROR(DayByDayTable[[#This Row],[Lead Time]],"")</f>
        <v/>
      </c>
      <c r="R294" s="44" t="e">
        <f t="shared" ca="1" si="37"/>
        <v>#N/A</v>
      </c>
      <c r="S294" s="44">
        <f ca="1">ROUND(PERCENTILE(DayByDayTable[[#Data],[BlankLeadTime]],0.8),0)</f>
        <v>8</v>
      </c>
    </row>
    <row r="295" spans="1:19">
      <c r="A295" s="51">
        <f t="shared" si="31"/>
        <v>42829</v>
      </c>
      <c r="B295" s="11">
        <f t="shared" si="33"/>
        <v>42829</v>
      </c>
      <c r="C295" s="47">
        <f>SUMIFS('On The Board'!$M$5:$M$219,'On The Board'!F$5:F$219,"&lt;="&amp;$B295,'On The Board'!E$5:E$219,"="&amp;FutureWork)</f>
        <v>0</v>
      </c>
      <c r="D295" s="47" t="str">
        <f ca="1">IF(TodaysDate&gt;=B295,SUMIF('On The Board'!F$5:F$219,"&lt;="&amp;$B295,'On The Board'!$M$5:$M$219)-SUM(F295:J295),"")</f>
        <v/>
      </c>
      <c r="E295" s="12">
        <f ca="1">IF(TodaysDate&gt;=B295,SUMIF('On The Board'!F$5:F$219,"&lt;="&amp;$B295,'On The Board'!$M$5:$M$219)-SUM(F295:J295),E294)</f>
        <v>47</v>
      </c>
      <c r="F295" s="12">
        <f>SUMIF('On The Board'!G$5:G$219,"&lt;="&amp;$B295,'On The Board'!$M$5:$M$219)-SUM(G295:J295)</f>
        <v>0</v>
      </c>
      <c r="G295" s="12">
        <f>SUMIF('On The Board'!H$5:H$219,"&lt;="&amp;$B295,'On The Board'!$M$5:$M$219)-SUM(H295:J295)</f>
        <v>5</v>
      </c>
      <c r="H295" s="12">
        <f>SUMIF('On The Board'!I$5:I$219,"&lt;="&amp;$B295,'On The Board'!$M$5:$M$219)-SUM(I295,J295)</f>
        <v>2</v>
      </c>
      <c r="I295" s="12">
        <f>SUMIF('On The Board'!J$5:J$219,"&lt;="&amp;$B295,'On The Board'!$M$5:$M$219)-SUM(J295)</f>
        <v>0</v>
      </c>
      <c r="J295" s="12">
        <f>SUMIF('On The Board'!K$5:K$219,"&lt;="&amp;$B295,'On The Board'!$M$5:$M$219)</f>
        <v>70</v>
      </c>
      <c r="K295" s="10">
        <f t="shared" si="32"/>
        <v>77</v>
      </c>
      <c r="L295" s="10" t="e">
        <f ca="1">IF(TodaysDate&gt;=B295,SUM(F295:I295),NA())</f>
        <v>#N/A</v>
      </c>
      <c r="M295" s="44" t="e">
        <f t="shared" ca="1" si="35"/>
        <v>#N/A</v>
      </c>
      <c r="N295" s="44" t="e">
        <f ca="1">IF(ISNUMBER(M295),(J295-J285)/NETWORKDAYS(B285,B295,BankHolidays),NA())</f>
        <v>#N/A</v>
      </c>
      <c r="O295" s="44" t="e">
        <f t="shared" ca="1" si="34"/>
        <v>#N/A</v>
      </c>
      <c r="P295" s="53" t="e">
        <f t="shared" ca="1" si="36"/>
        <v>#N/A</v>
      </c>
      <c r="Q295" s="53" t="str">
        <f ca="1">IFERROR(DayByDayTable[[#This Row],[Lead Time]],"")</f>
        <v/>
      </c>
      <c r="R295" s="44" t="e">
        <f t="shared" ca="1" si="37"/>
        <v>#N/A</v>
      </c>
      <c r="S295" s="44">
        <f ca="1">ROUND(PERCENTILE(DayByDayTable[[#Data],[BlankLeadTime]],0.8),0)</f>
        <v>8</v>
      </c>
    </row>
    <row r="296" spans="1:19">
      <c r="A296" s="51">
        <f t="shared" si="31"/>
        <v>42830</v>
      </c>
      <c r="B296" s="11">
        <f t="shared" si="33"/>
        <v>42830</v>
      </c>
      <c r="C296" s="47">
        <f>SUMIFS('On The Board'!$M$5:$M$219,'On The Board'!F$5:F$219,"&lt;="&amp;$B296,'On The Board'!E$5:E$219,"="&amp;FutureWork)</f>
        <v>0</v>
      </c>
      <c r="D296" s="47" t="str">
        <f ca="1">IF(TodaysDate&gt;=B296,SUMIF('On The Board'!F$5:F$219,"&lt;="&amp;$B296,'On The Board'!$M$5:$M$219)-SUM(F296:J296),"")</f>
        <v/>
      </c>
      <c r="E296" s="12">
        <f ca="1">IF(TodaysDate&gt;=B296,SUMIF('On The Board'!F$5:F$219,"&lt;="&amp;$B296,'On The Board'!$M$5:$M$219)-SUM(F296:J296),E295)</f>
        <v>47</v>
      </c>
      <c r="F296" s="12">
        <f>SUMIF('On The Board'!G$5:G$219,"&lt;="&amp;$B296,'On The Board'!$M$5:$M$219)-SUM(G296:J296)</f>
        <v>0</v>
      </c>
      <c r="G296" s="12">
        <f>SUMIF('On The Board'!H$5:H$219,"&lt;="&amp;$B296,'On The Board'!$M$5:$M$219)-SUM(H296:J296)</f>
        <v>5</v>
      </c>
      <c r="H296" s="12">
        <f>SUMIF('On The Board'!I$5:I$219,"&lt;="&amp;$B296,'On The Board'!$M$5:$M$219)-SUM(I296,J296)</f>
        <v>2</v>
      </c>
      <c r="I296" s="12">
        <f>SUMIF('On The Board'!J$5:J$219,"&lt;="&amp;$B296,'On The Board'!$M$5:$M$219)-SUM(J296)</f>
        <v>0</v>
      </c>
      <c r="J296" s="12">
        <f>SUMIF('On The Board'!K$5:K$219,"&lt;="&amp;$B296,'On The Board'!$M$5:$M$219)</f>
        <v>70</v>
      </c>
      <c r="K296" s="10">
        <f t="shared" si="32"/>
        <v>77</v>
      </c>
      <c r="L296" s="10" t="e">
        <f ca="1">IF(TodaysDate&gt;=B296,SUM(F296:I296),NA())</f>
        <v>#N/A</v>
      </c>
      <c r="M296" s="44" t="e">
        <f t="shared" ca="1" si="35"/>
        <v>#N/A</v>
      </c>
      <c r="N296" s="44" t="e">
        <f ca="1">IF(ISNUMBER(M296),(J296-J286)/NETWORKDAYS(B286,B296,BankHolidays),NA())</f>
        <v>#N/A</v>
      </c>
      <c r="O296" s="44" t="e">
        <f t="shared" ca="1" si="34"/>
        <v>#N/A</v>
      </c>
      <c r="P296" s="53" t="e">
        <f t="shared" ca="1" si="36"/>
        <v>#N/A</v>
      </c>
      <c r="Q296" s="53" t="str">
        <f ca="1">IFERROR(DayByDayTable[[#This Row],[Lead Time]],"")</f>
        <v/>
      </c>
      <c r="R296" s="44" t="e">
        <f t="shared" ca="1" si="37"/>
        <v>#N/A</v>
      </c>
      <c r="S296" s="44">
        <f ca="1">ROUND(PERCENTILE(DayByDayTable[[#Data],[BlankLeadTime]],0.8),0)</f>
        <v>8</v>
      </c>
    </row>
    <row r="297" spans="1:19">
      <c r="A297" s="51">
        <f t="shared" si="31"/>
        <v>42831</v>
      </c>
      <c r="B297" s="11">
        <f t="shared" si="33"/>
        <v>42831</v>
      </c>
      <c r="C297" s="47">
        <f>SUMIFS('On The Board'!$M$5:$M$219,'On The Board'!F$5:F$219,"&lt;="&amp;$B297,'On The Board'!E$5:E$219,"="&amp;FutureWork)</f>
        <v>0</v>
      </c>
      <c r="D297" s="47" t="str">
        <f ca="1">IF(TodaysDate&gt;=B297,SUMIF('On The Board'!F$5:F$219,"&lt;="&amp;$B297,'On The Board'!$M$5:$M$219)-SUM(F297:J297),"")</f>
        <v/>
      </c>
      <c r="E297" s="12">
        <f ca="1">IF(TodaysDate&gt;=B297,SUMIF('On The Board'!F$5:F$219,"&lt;="&amp;$B297,'On The Board'!$M$5:$M$219)-SUM(F297:J297),E296)</f>
        <v>47</v>
      </c>
      <c r="F297" s="12">
        <f>SUMIF('On The Board'!G$5:G$219,"&lt;="&amp;$B297,'On The Board'!$M$5:$M$219)-SUM(G297:J297)</f>
        <v>0</v>
      </c>
      <c r="G297" s="12">
        <f>SUMIF('On The Board'!H$5:H$219,"&lt;="&amp;$B297,'On The Board'!$M$5:$M$219)-SUM(H297:J297)</f>
        <v>5</v>
      </c>
      <c r="H297" s="12">
        <f>SUMIF('On The Board'!I$5:I$219,"&lt;="&amp;$B297,'On The Board'!$M$5:$M$219)-SUM(I297,J297)</f>
        <v>2</v>
      </c>
      <c r="I297" s="12">
        <f>SUMIF('On The Board'!J$5:J$219,"&lt;="&amp;$B297,'On The Board'!$M$5:$M$219)-SUM(J297)</f>
        <v>0</v>
      </c>
      <c r="J297" s="12">
        <f>SUMIF('On The Board'!K$5:K$219,"&lt;="&amp;$B297,'On The Board'!$M$5:$M$219)</f>
        <v>70</v>
      </c>
      <c r="K297" s="10">
        <f t="shared" si="32"/>
        <v>77</v>
      </c>
      <c r="L297" s="10" t="e">
        <f ca="1">IF(TodaysDate&gt;=B297,SUM(F297:I297),NA())</f>
        <v>#N/A</v>
      </c>
      <c r="M297" s="44" t="e">
        <f t="shared" ca="1" si="35"/>
        <v>#N/A</v>
      </c>
      <c r="N297" s="44" t="e">
        <f ca="1">IF(ISNUMBER(M297),(J297-J287)/NETWORKDAYS(B287,B297,BankHolidays),NA())</f>
        <v>#N/A</v>
      </c>
      <c r="O297" s="44" t="e">
        <f t="shared" ca="1" si="34"/>
        <v>#N/A</v>
      </c>
      <c r="P297" s="53" t="e">
        <f t="shared" ca="1" si="36"/>
        <v>#N/A</v>
      </c>
      <c r="Q297" s="53" t="str">
        <f ca="1">IFERROR(DayByDayTable[[#This Row],[Lead Time]],"")</f>
        <v/>
      </c>
      <c r="R297" s="44" t="e">
        <f t="shared" ca="1" si="37"/>
        <v>#N/A</v>
      </c>
      <c r="S297" s="44">
        <f ca="1">ROUND(PERCENTILE(DayByDayTable[[#Data],[BlankLeadTime]],0.8),0)</f>
        <v>8</v>
      </c>
    </row>
    <row r="298" spans="1:19">
      <c r="A298" s="51">
        <f t="shared" si="31"/>
        <v>42832</v>
      </c>
      <c r="B298" s="11">
        <f t="shared" si="33"/>
        <v>42832</v>
      </c>
      <c r="C298" s="47">
        <f>SUMIFS('On The Board'!$M$5:$M$219,'On The Board'!F$5:F$219,"&lt;="&amp;$B298,'On The Board'!E$5:E$219,"="&amp;FutureWork)</f>
        <v>0</v>
      </c>
      <c r="D298" s="47" t="str">
        <f ca="1">IF(TodaysDate&gt;=B298,SUMIF('On The Board'!F$5:F$219,"&lt;="&amp;$B298,'On The Board'!$M$5:$M$219)-SUM(F298:J298),"")</f>
        <v/>
      </c>
      <c r="E298" s="12">
        <f ca="1">IF(TodaysDate&gt;=B298,SUMIF('On The Board'!F$5:F$219,"&lt;="&amp;$B298,'On The Board'!$M$5:$M$219)-SUM(F298:J298),E297)</f>
        <v>47</v>
      </c>
      <c r="F298" s="12">
        <f>SUMIF('On The Board'!G$5:G$219,"&lt;="&amp;$B298,'On The Board'!$M$5:$M$219)-SUM(G298:J298)</f>
        <v>0</v>
      </c>
      <c r="G298" s="12">
        <f>SUMIF('On The Board'!H$5:H$219,"&lt;="&amp;$B298,'On The Board'!$M$5:$M$219)-SUM(H298:J298)</f>
        <v>5</v>
      </c>
      <c r="H298" s="12">
        <f>SUMIF('On The Board'!I$5:I$219,"&lt;="&amp;$B298,'On The Board'!$M$5:$M$219)-SUM(I298,J298)</f>
        <v>2</v>
      </c>
      <c r="I298" s="12">
        <f>SUMIF('On The Board'!J$5:J$219,"&lt;="&amp;$B298,'On The Board'!$M$5:$M$219)-SUM(J298)</f>
        <v>0</v>
      </c>
      <c r="J298" s="12">
        <f>SUMIF('On The Board'!K$5:K$219,"&lt;="&amp;$B298,'On The Board'!$M$5:$M$219)</f>
        <v>70</v>
      </c>
      <c r="K298" s="10">
        <f t="shared" si="32"/>
        <v>77</v>
      </c>
      <c r="L298" s="10" t="e">
        <f ca="1">IF(TodaysDate&gt;=B298,SUM(F298:I298),NA())</f>
        <v>#N/A</v>
      </c>
      <c r="M298" s="44" t="e">
        <f t="shared" ca="1" si="35"/>
        <v>#N/A</v>
      </c>
      <c r="N298" s="44" t="e">
        <f ca="1">IF(ISNUMBER(M298),(J298-J288)/NETWORKDAYS(B288,B298,BankHolidays),NA())</f>
        <v>#N/A</v>
      </c>
      <c r="O298" s="44" t="e">
        <f t="shared" ca="1" si="34"/>
        <v>#N/A</v>
      </c>
      <c r="P298" s="53" t="e">
        <f t="shared" ca="1" si="36"/>
        <v>#N/A</v>
      </c>
      <c r="Q298" s="53" t="str">
        <f ca="1">IFERROR(DayByDayTable[[#This Row],[Lead Time]],"")</f>
        <v/>
      </c>
      <c r="R298" s="44" t="e">
        <f t="shared" ca="1" si="37"/>
        <v>#N/A</v>
      </c>
      <c r="S298" s="44">
        <f ca="1">ROUND(PERCENTILE(DayByDayTable[[#Data],[BlankLeadTime]],0.8),0)</f>
        <v>8</v>
      </c>
    </row>
    <row r="299" spans="1:19">
      <c r="A299" s="51">
        <f t="shared" si="31"/>
        <v>42835</v>
      </c>
      <c r="B299" s="11">
        <f t="shared" si="33"/>
        <v>42835</v>
      </c>
      <c r="C299" s="47">
        <f>SUMIFS('On The Board'!$M$5:$M$219,'On The Board'!F$5:F$219,"&lt;="&amp;$B299,'On The Board'!E$5:E$219,"="&amp;FutureWork)</f>
        <v>0</v>
      </c>
      <c r="D299" s="47" t="str">
        <f ca="1">IF(TodaysDate&gt;=B299,SUMIF('On The Board'!F$5:F$219,"&lt;="&amp;$B299,'On The Board'!$M$5:$M$219)-SUM(F299:J299),"")</f>
        <v/>
      </c>
      <c r="E299" s="12">
        <f ca="1">IF(TodaysDate&gt;=B299,SUMIF('On The Board'!F$5:F$219,"&lt;="&amp;$B299,'On The Board'!$M$5:$M$219)-SUM(F299:J299),E298)</f>
        <v>47</v>
      </c>
      <c r="F299" s="12">
        <f>SUMIF('On The Board'!G$5:G$219,"&lt;="&amp;$B299,'On The Board'!$M$5:$M$219)-SUM(G299:J299)</f>
        <v>0</v>
      </c>
      <c r="G299" s="12">
        <f>SUMIF('On The Board'!H$5:H$219,"&lt;="&amp;$B299,'On The Board'!$M$5:$M$219)-SUM(H299:J299)</f>
        <v>5</v>
      </c>
      <c r="H299" s="12">
        <f>SUMIF('On The Board'!I$5:I$219,"&lt;="&amp;$B299,'On The Board'!$M$5:$M$219)-SUM(I299,J299)</f>
        <v>2</v>
      </c>
      <c r="I299" s="12">
        <f>SUMIF('On The Board'!J$5:J$219,"&lt;="&amp;$B299,'On The Board'!$M$5:$M$219)-SUM(J299)</f>
        <v>0</v>
      </c>
      <c r="J299" s="12">
        <f>SUMIF('On The Board'!K$5:K$219,"&lt;="&amp;$B299,'On The Board'!$M$5:$M$219)</f>
        <v>70</v>
      </c>
      <c r="K299" s="10">
        <f t="shared" si="32"/>
        <v>77</v>
      </c>
      <c r="L299" s="10" t="e">
        <f ca="1">IF(TodaysDate&gt;=B299,SUM(F299:I299),NA())</f>
        <v>#N/A</v>
      </c>
      <c r="M299" s="44" t="e">
        <f t="shared" ca="1" si="35"/>
        <v>#N/A</v>
      </c>
      <c r="N299" s="44" t="e">
        <f ca="1">IF(ISNUMBER(M299),(J299-J289)/NETWORKDAYS(B289,B299,BankHolidays),NA())</f>
        <v>#N/A</v>
      </c>
      <c r="O299" s="44" t="e">
        <f t="shared" ca="1" si="34"/>
        <v>#N/A</v>
      </c>
      <c r="P299" s="53" t="e">
        <f t="shared" ca="1" si="36"/>
        <v>#N/A</v>
      </c>
      <c r="Q299" s="53" t="str">
        <f ca="1">IFERROR(DayByDayTable[[#This Row],[Lead Time]],"")</f>
        <v/>
      </c>
      <c r="R299" s="44" t="e">
        <f t="shared" ca="1" si="37"/>
        <v>#N/A</v>
      </c>
      <c r="S299" s="44">
        <f ca="1">ROUND(PERCENTILE(DayByDayTable[[#Data],[BlankLeadTime]],0.8),0)</f>
        <v>8</v>
      </c>
    </row>
    <row r="300" spans="1:19">
      <c r="A300" s="51">
        <f t="shared" si="31"/>
        <v>42836</v>
      </c>
      <c r="B300" s="11">
        <f t="shared" si="33"/>
        <v>42836</v>
      </c>
      <c r="C300" s="47">
        <f>SUMIFS('On The Board'!$M$5:$M$219,'On The Board'!F$5:F$219,"&lt;="&amp;$B300,'On The Board'!E$5:E$219,"="&amp;FutureWork)</f>
        <v>0</v>
      </c>
      <c r="D300" s="47" t="str">
        <f ca="1">IF(TodaysDate&gt;=B300,SUMIF('On The Board'!F$5:F$219,"&lt;="&amp;$B300,'On The Board'!$M$5:$M$219)-SUM(F300:J300),"")</f>
        <v/>
      </c>
      <c r="E300" s="12">
        <f ca="1">IF(TodaysDate&gt;=B300,SUMIF('On The Board'!F$5:F$219,"&lt;="&amp;$B300,'On The Board'!$M$5:$M$219)-SUM(F300:J300),E299)</f>
        <v>47</v>
      </c>
      <c r="F300" s="12">
        <f>SUMIF('On The Board'!G$5:G$219,"&lt;="&amp;$B300,'On The Board'!$M$5:$M$219)-SUM(G300:J300)</f>
        <v>0</v>
      </c>
      <c r="G300" s="12">
        <f>SUMIF('On The Board'!H$5:H$219,"&lt;="&amp;$B300,'On The Board'!$M$5:$M$219)-SUM(H300:J300)</f>
        <v>5</v>
      </c>
      <c r="H300" s="12">
        <f>SUMIF('On The Board'!I$5:I$219,"&lt;="&amp;$B300,'On The Board'!$M$5:$M$219)-SUM(I300,J300)</f>
        <v>2</v>
      </c>
      <c r="I300" s="12">
        <f>SUMIF('On The Board'!J$5:J$219,"&lt;="&amp;$B300,'On The Board'!$M$5:$M$219)-SUM(J300)</f>
        <v>0</v>
      </c>
      <c r="J300" s="12">
        <f>SUMIF('On The Board'!K$5:K$219,"&lt;="&amp;$B300,'On The Board'!$M$5:$M$219)</f>
        <v>70</v>
      </c>
      <c r="K300" s="10">
        <f t="shared" si="32"/>
        <v>77</v>
      </c>
      <c r="L300" s="10" t="e">
        <f ca="1">IF(TodaysDate&gt;=B300,SUM(F300:I300),NA())</f>
        <v>#N/A</v>
      </c>
      <c r="M300" s="44" t="e">
        <f t="shared" ca="1" si="35"/>
        <v>#N/A</v>
      </c>
      <c r="N300" s="44" t="e">
        <f ca="1">IF(ISNUMBER(M300),(J300-J290)/NETWORKDAYS(B290,B300,BankHolidays),NA())</f>
        <v>#N/A</v>
      </c>
      <c r="O300" s="44" t="e">
        <f t="shared" ca="1" si="34"/>
        <v>#N/A</v>
      </c>
      <c r="P300" s="53" t="e">
        <f t="shared" ca="1" si="36"/>
        <v>#N/A</v>
      </c>
      <c r="Q300" s="53" t="str">
        <f ca="1">IFERROR(DayByDayTable[[#This Row],[Lead Time]],"")</f>
        <v/>
      </c>
      <c r="R300" s="44" t="e">
        <f t="shared" ca="1" si="37"/>
        <v>#N/A</v>
      </c>
      <c r="S300" s="44">
        <f ca="1">ROUND(PERCENTILE(DayByDayTable[[#Data],[BlankLeadTime]],0.8),0)</f>
        <v>8</v>
      </c>
    </row>
    <row r="301" spans="1:19">
      <c r="A301" s="51">
        <f t="shared" si="31"/>
        <v>42837</v>
      </c>
      <c r="B301" s="11">
        <f t="shared" si="33"/>
        <v>42837</v>
      </c>
      <c r="C301" s="47">
        <f>SUMIFS('On The Board'!$M$5:$M$219,'On The Board'!F$5:F$219,"&lt;="&amp;$B301,'On The Board'!E$5:E$219,"="&amp;FutureWork)</f>
        <v>0</v>
      </c>
      <c r="D301" s="47" t="str">
        <f ca="1">IF(TodaysDate&gt;=B301,SUMIF('On The Board'!F$5:F$219,"&lt;="&amp;$B301,'On The Board'!$M$5:$M$219)-SUM(F301:J301),"")</f>
        <v/>
      </c>
      <c r="E301" s="12">
        <f ca="1">IF(TodaysDate&gt;=B301,SUMIF('On The Board'!F$5:F$219,"&lt;="&amp;$B301,'On The Board'!$M$5:$M$219)-SUM(F301:J301),E300)</f>
        <v>47</v>
      </c>
      <c r="F301" s="12">
        <f>SUMIF('On The Board'!G$5:G$219,"&lt;="&amp;$B301,'On The Board'!$M$5:$M$219)-SUM(G301:J301)</f>
        <v>0</v>
      </c>
      <c r="G301" s="12">
        <f>SUMIF('On The Board'!H$5:H$219,"&lt;="&amp;$B301,'On The Board'!$M$5:$M$219)-SUM(H301:J301)</f>
        <v>5</v>
      </c>
      <c r="H301" s="12">
        <f>SUMIF('On The Board'!I$5:I$219,"&lt;="&amp;$B301,'On The Board'!$M$5:$M$219)-SUM(I301,J301)</f>
        <v>2</v>
      </c>
      <c r="I301" s="12">
        <f>SUMIF('On The Board'!J$5:J$219,"&lt;="&amp;$B301,'On The Board'!$M$5:$M$219)-SUM(J301)</f>
        <v>0</v>
      </c>
      <c r="J301" s="12">
        <f>SUMIF('On The Board'!K$5:K$219,"&lt;="&amp;$B301,'On The Board'!$M$5:$M$219)</f>
        <v>70</v>
      </c>
      <c r="K301" s="10">
        <f t="shared" si="32"/>
        <v>77</v>
      </c>
      <c r="L301" s="10" t="e">
        <f ca="1">IF(TodaysDate&gt;=B301,SUM(F301:I301),NA())</f>
        <v>#N/A</v>
      </c>
      <c r="M301" s="44" t="e">
        <f t="shared" ca="1" si="35"/>
        <v>#N/A</v>
      </c>
      <c r="N301" s="44" t="e">
        <f ca="1">IF(ISNUMBER(M301),(J301-J291)/NETWORKDAYS(B291,B301,BankHolidays),NA())</f>
        <v>#N/A</v>
      </c>
      <c r="O301" s="44" t="e">
        <f t="shared" ca="1" si="34"/>
        <v>#N/A</v>
      </c>
      <c r="P301" s="53" t="e">
        <f t="shared" ca="1" si="36"/>
        <v>#N/A</v>
      </c>
      <c r="Q301" s="53" t="str">
        <f ca="1">IFERROR(DayByDayTable[[#This Row],[Lead Time]],"")</f>
        <v/>
      </c>
      <c r="R301" s="44" t="e">
        <f t="shared" ca="1" si="37"/>
        <v>#N/A</v>
      </c>
      <c r="S301" s="44">
        <f ca="1">ROUND(PERCENTILE(DayByDayTable[[#Data],[BlankLeadTime]],0.8),0)</f>
        <v>8</v>
      </c>
    </row>
    <row r="302" spans="1:19">
      <c r="A302" s="51">
        <f t="shared" si="31"/>
        <v>42838</v>
      </c>
      <c r="B302" s="11">
        <f t="shared" si="33"/>
        <v>42838</v>
      </c>
      <c r="C302" s="47">
        <f>SUMIFS('On The Board'!$M$5:$M$219,'On The Board'!F$5:F$219,"&lt;="&amp;$B302,'On The Board'!E$5:E$219,"="&amp;FutureWork)</f>
        <v>0</v>
      </c>
      <c r="D302" s="47" t="str">
        <f ca="1">IF(TodaysDate&gt;=B302,SUMIF('On The Board'!F$5:F$219,"&lt;="&amp;$B302,'On The Board'!$M$5:$M$219)-SUM(F302:J302),"")</f>
        <v/>
      </c>
      <c r="E302" s="12">
        <f ca="1">IF(TodaysDate&gt;=B302,SUMIF('On The Board'!F$5:F$219,"&lt;="&amp;$B302,'On The Board'!$M$5:$M$219)-SUM(F302:J302),E301)</f>
        <v>47</v>
      </c>
      <c r="F302" s="12">
        <f>SUMIF('On The Board'!G$5:G$219,"&lt;="&amp;$B302,'On The Board'!$M$5:$M$219)-SUM(G302:J302)</f>
        <v>0</v>
      </c>
      <c r="G302" s="12">
        <f>SUMIF('On The Board'!H$5:H$219,"&lt;="&amp;$B302,'On The Board'!$M$5:$M$219)-SUM(H302:J302)</f>
        <v>5</v>
      </c>
      <c r="H302" s="12">
        <f>SUMIF('On The Board'!I$5:I$219,"&lt;="&amp;$B302,'On The Board'!$M$5:$M$219)-SUM(I302,J302)</f>
        <v>2</v>
      </c>
      <c r="I302" s="12">
        <f>SUMIF('On The Board'!J$5:J$219,"&lt;="&amp;$B302,'On The Board'!$M$5:$M$219)-SUM(J302)</f>
        <v>0</v>
      </c>
      <c r="J302" s="12">
        <f>SUMIF('On The Board'!K$5:K$219,"&lt;="&amp;$B302,'On The Board'!$M$5:$M$219)</f>
        <v>70</v>
      </c>
      <c r="K302" s="10">
        <f t="shared" si="32"/>
        <v>77</v>
      </c>
      <c r="L302" s="10" t="e">
        <f ca="1">IF(TodaysDate&gt;=B302,SUM(F302:I302),NA())</f>
        <v>#N/A</v>
      </c>
      <c r="M302" s="44" t="e">
        <f t="shared" ca="1" si="35"/>
        <v>#N/A</v>
      </c>
      <c r="N302" s="44" t="e">
        <f ca="1">IF(ISNUMBER(M302),(J302-J292)/NETWORKDAYS(B292,B302,BankHolidays),NA())</f>
        <v>#N/A</v>
      </c>
      <c r="O302" s="44" t="e">
        <f t="shared" ca="1" si="34"/>
        <v>#N/A</v>
      </c>
      <c r="P302" s="53" t="e">
        <f t="shared" ca="1" si="36"/>
        <v>#N/A</v>
      </c>
      <c r="Q302" s="53" t="str">
        <f ca="1">IFERROR(DayByDayTable[[#This Row],[Lead Time]],"")</f>
        <v/>
      </c>
      <c r="R302" s="44" t="e">
        <f t="shared" ca="1" si="37"/>
        <v>#N/A</v>
      </c>
      <c r="S302" s="44">
        <f ca="1">ROUND(PERCENTILE(DayByDayTable[[#Data],[BlankLeadTime]],0.8),0)</f>
        <v>8</v>
      </c>
    </row>
    <row r="303" spans="1:19">
      <c r="A303" s="51">
        <f t="shared" si="31"/>
        <v>42843</v>
      </c>
      <c r="B303" s="11">
        <f t="shared" si="33"/>
        <v>42843</v>
      </c>
      <c r="C303" s="47">
        <f>SUMIFS('On The Board'!$M$5:$M$219,'On The Board'!F$5:F$219,"&lt;="&amp;$B303,'On The Board'!E$5:E$219,"="&amp;FutureWork)</f>
        <v>0</v>
      </c>
      <c r="D303" s="47" t="str">
        <f ca="1">IF(TodaysDate&gt;=B303,SUMIF('On The Board'!F$5:F$219,"&lt;="&amp;$B303,'On The Board'!$M$5:$M$219)-SUM(F303:J303),"")</f>
        <v/>
      </c>
      <c r="E303" s="12">
        <f ca="1">IF(TodaysDate&gt;=B303,SUMIF('On The Board'!F$5:F$219,"&lt;="&amp;$B303,'On The Board'!$M$5:$M$219)-SUM(F303:J303),E302)</f>
        <v>47</v>
      </c>
      <c r="F303" s="12">
        <f>SUMIF('On The Board'!G$5:G$219,"&lt;="&amp;$B303,'On The Board'!$M$5:$M$219)-SUM(G303:J303)</f>
        <v>0</v>
      </c>
      <c r="G303" s="12">
        <f>SUMIF('On The Board'!H$5:H$219,"&lt;="&amp;$B303,'On The Board'!$M$5:$M$219)-SUM(H303:J303)</f>
        <v>5</v>
      </c>
      <c r="H303" s="12">
        <f>SUMIF('On The Board'!I$5:I$219,"&lt;="&amp;$B303,'On The Board'!$M$5:$M$219)-SUM(I303,J303)</f>
        <v>2</v>
      </c>
      <c r="I303" s="12">
        <f>SUMIF('On The Board'!J$5:J$219,"&lt;="&amp;$B303,'On The Board'!$M$5:$M$219)-SUM(J303)</f>
        <v>0</v>
      </c>
      <c r="J303" s="12">
        <f>SUMIF('On The Board'!K$5:K$219,"&lt;="&amp;$B303,'On The Board'!$M$5:$M$219)</f>
        <v>70</v>
      </c>
      <c r="K303" s="10">
        <f t="shared" si="32"/>
        <v>77</v>
      </c>
      <c r="L303" s="10" t="e">
        <f ca="1">IF(TodaysDate&gt;=B303,SUM(F303:I303),NA())</f>
        <v>#N/A</v>
      </c>
      <c r="M303" s="44" t="e">
        <f t="shared" ca="1" si="35"/>
        <v>#N/A</v>
      </c>
      <c r="N303" s="44" t="e">
        <f ca="1">IF(ISNUMBER(M303),(J303-J293)/NETWORKDAYS(B293,B303,BankHolidays),NA())</f>
        <v>#N/A</v>
      </c>
      <c r="O303" s="44" t="e">
        <f t="shared" ca="1" si="34"/>
        <v>#N/A</v>
      </c>
      <c r="P303" s="53" t="e">
        <f t="shared" ca="1" si="36"/>
        <v>#N/A</v>
      </c>
      <c r="Q303" s="53" t="str">
        <f ca="1">IFERROR(DayByDayTable[[#This Row],[Lead Time]],"")</f>
        <v/>
      </c>
      <c r="R303" s="44" t="e">
        <f t="shared" ca="1" si="37"/>
        <v>#N/A</v>
      </c>
      <c r="S303" s="44">
        <f ca="1">ROUND(PERCENTILE(DayByDayTable[[#Data],[BlankLeadTime]],0.8),0)</f>
        <v>8</v>
      </c>
    </row>
    <row r="304" spans="1:19">
      <c r="A304" s="51">
        <f t="shared" si="31"/>
        <v>42844</v>
      </c>
      <c r="B304" s="11">
        <f t="shared" si="33"/>
        <v>42844</v>
      </c>
      <c r="C304" s="47">
        <f>SUMIFS('On The Board'!$M$5:$M$219,'On The Board'!F$5:F$219,"&lt;="&amp;$B304,'On The Board'!E$5:E$219,"="&amp;FutureWork)</f>
        <v>0</v>
      </c>
      <c r="D304" s="47" t="str">
        <f ca="1">IF(TodaysDate&gt;=B304,SUMIF('On The Board'!F$5:F$219,"&lt;="&amp;$B304,'On The Board'!$M$5:$M$219)-SUM(F304:J304),"")</f>
        <v/>
      </c>
      <c r="E304" s="12">
        <f ca="1">IF(TodaysDate&gt;=B304,SUMIF('On The Board'!F$5:F$219,"&lt;="&amp;$B304,'On The Board'!$M$5:$M$219)-SUM(F304:J304),E303)</f>
        <v>47</v>
      </c>
      <c r="F304" s="12">
        <f>SUMIF('On The Board'!G$5:G$219,"&lt;="&amp;$B304,'On The Board'!$M$5:$M$219)-SUM(G304:J304)</f>
        <v>0</v>
      </c>
      <c r="G304" s="12">
        <f>SUMIF('On The Board'!H$5:H$219,"&lt;="&amp;$B304,'On The Board'!$M$5:$M$219)-SUM(H304:J304)</f>
        <v>5</v>
      </c>
      <c r="H304" s="12">
        <f>SUMIF('On The Board'!I$5:I$219,"&lt;="&amp;$B304,'On The Board'!$M$5:$M$219)-SUM(I304,J304)</f>
        <v>2</v>
      </c>
      <c r="I304" s="12">
        <f>SUMIF('On The Board'!J$5:J$219,"&lt;="&amp;$B304,'On The Board'!$M$5:$M$219)-SUM(J304)</f>
        <v>0</v>
      </c>
      <c r="J304" s="12">
        <f>SUMIF('On The Board'!K$5:K$219,"&lt;="&amp;$B304,'On The Board'!$M$5:$M$219)</f>
        <v>70</v>
      </c>
      <c r="K304" s="10">
        <f t="shared" si="32"/>
        <v>77</v>
      </c>
      <c r="L304" s="10" t="e">
        <f ca="1">IF(TodaysDate&gt;=B304,SUM(F304:I304),NA())</f>
        <v>#N/A</v>
      </c>
      <c r="M304" s="44" t="e">
        <f t="shared" ca="1" si="35"/>
        <v>#N/A</v>
      </c>
      <c r="N304" s="44" t="e">
        <f ca="1">IF(ISNUMBER(M304),(J304-J294)/NETWORKDAYS(B294,B304,BankHolidays),NA())</f>
        <v>#N/A</v>
      </c>
      <c r="O304" s="44" t="e">
        <f t="shared" ca="1" si="34"/>
        <v>#N/A</v>
      </c>
      <c r="P304" s="53" t="e">
        <f t="shared" ca="1" si="36"/>
        <v>#N/A</v>
      </c>
      <c r="Q304" s="53" t="str">
        <f ca="1">IFERROR(DayByDayTable[[#This Row],[Lead Time]],"")</f>
        <v/>
      </c>
      <c r="R304" s="44" t="e">
        <f t="shared" ca="1" si="37"/>
        <v>#N/A</v>
      </c>
      <c r="S304" s="44">
        <f ca="1">ROUND(PERCENTILE(DayByDayTable[[#Data],[BlankLeadTime]],0.8),0)</f>
        <v>8</v>
      </c>
    </row>
    <row r="305" spans="1:19">
      <c r="A305" s="51">
        <f t="shared" si="31"/>
        <v>42845</v>
      </c>
      <c r="B305" s="11">
        <f t="shared" si="33"/>
        <v>42845</v>
      </c>
      <c r="C305" s="47">
        <f>SUMIFS('On The Board'!$M$5:$M$219,'On The Board'!F$5:F$219,"&lt;="&amp;$B305,'On The Board'!E$5:E$219,"="&amp;FutureWork)</f>
        <v>0</v>
      </c>
      <c r="D305" s="47" t="str">
        <f ca="1">IF(TodaysDate&gt;=B305,SUMIF('On The Board'!F$5:F$219,"&lt;="&amp;$B305,'On The Board'!$M$5:$M$219)-SUM(F305:J305),"")</f>
        <v/>
      </c>
      <c r="E305" s="12">
        <f ca="1">IF(TodaysDate&gt;=B305,SUMIF('On The Board'!F$5:F$219,"&lt;="&amp;$B305,'On The Board'!$M$5:$M$219)-SUM(F305:J305),E304)</f>
        <v>47</v>
      </c>
      <c r="F305" s="12">
        <f>SUMIF('On The Board'!G$5:G$219,"&lt;="&amp;$B305,'On The Board'!$M$5:$M$219)-SUM(G305:J305)</f>
        <v>0</v>
      </c>
      <c r="G305" s="12">
        <f>SUMIF('On The Board'!H$5:H$219,"&lt;="&amp;$B305,'On The Board'!$M$5:$M$219)-SUM(H305:J305)</f>
        <v>5</v>
      </c>
      <c r="H305" s="12">
        <f>SUMIF('On The Board'!I$5:I$219,"&lt;="&amp;$B305,'On The Board'!$M$5:$M$219)-SUM(I305,J305)</f>
        <v>2</v>
      </c>
      <c r="I305" s="12">
        <f>SUMIF('On The Board'!J$5:J$219,"&lt;="&amp;$B305,'On The Board'!$M$5:$M$219)-SUM(J305)</f>
        <v>0</v>
      </c>
      <c r="J305" s="12">
        <f>SUMIF('On The Board'!K$5:K$219,"&lt;="&amp;$B305,'On The Board'!$M$5:$M$219)</f>
        <v>70</v>
      </c>
      <c r="K305" s="10">
        <f t="shared" si="32"/>
        <v>77</v>
      </c>
      <c r="L305" s="10" t="e">
        <f ca="1">IF(TodaysDate&gt;=B305,SUM(F305:I305),NA())</f>
        <v>#N/A</v>
      </c>
      <c r="M305" s="44" t="e">
        <f t="shared" ca="1" si="35"/>
        <v>#N/A</v>
      </c>
      <c r="N305" s="44" t="e">
        <f ca="1">IF(ISNUMBER(M305),(J305-J295)/NETWORKDAYS(B295,B305,BankHolidays),NA())</f>
        <v>#N/A</v>
      </c>
      <c r="O305" s="44" t="e">
        <f t="shared" ca="1" si="34"/>
        <v>#N/A</v>
      </c>
      <c r="P305" s="53" t="e">
        <f t="shared" ca="1" si="36"/>
        <v>#N/A</v>
      </c>
      <c r="Q305" s="53" t="str">
        <f ca="1">IFERROR(DayByDayTable[[#This Row],[Lead Time]],"")</f>
        <v/>
      </c>
      <c r="R305" s="44" t="e">
        <f t="shared" ca="1" si="37"/>
        <v>#N/A</v>
      </c>
      <c r="S305" s="44">
        <f ca="1">ROUND(PERCENTILE(DayByDayTable[[#Data],[BlankLeadTime]],0.8),0)</f>
        <v>8</v>
      </c>
    </row>
    <row r="306" spans="1:19">
      <c r="A306" s="51">
        <f t="shared" si="31"/>
        <v>42846</v>
      </c>
      <c r="B306" s="11">
        <f t="shared" si="33"/>
        <v>42846</v>
      </c>
      <c r="C306" s="47">
        <f>SUMIFS('On The Board'!$M$5:$M$219,'On The Board'!F$5:F$219,"&lt;="&amp;$B306,'On The Board'!E$5:E$219,"="&amp;FutureWork)</f>
        <v>0</v>
      </c>
      <c r="D306" s="47" t="str">
        <f ca="1">IF(TodaysDate&gt;=B306,SUMIF('On The Board'!F$5:F$219,"&lt;="&amp;$B306,'On The Board'!$M$5:$M$219)-SUM(F306:J306),"")</f>
        <v/>
      </c>
      <c r="E306" s="12">
        <f ca="1">IF(TodaysDate&gt;=B306,SUMIF('On The Board'!F$5:F$219,"&lt;="&amp;$B306,'On The Board'!$M$5:$M$219)-SUM(F306:J306),E305)</f>
        <v>47</v>
      </c>
      <c r="F306" s="12">
        <f>SUMIF('On The Board'!G$5:G$219,"&lt;="&amp;$B306,'On The Board'!$M$5:$M$219)-SUM(G306:J306)</f>
        <v>0</v>
      </c>
      <c r="G306" s="12">
        <f>SUMIF('On The Board'!H$5:H$219,"&lt;="&amp;$B306,'On The Board'!$M$5:$M$219)-SUM(H306:J306)</f>
        <v>5</v>
      </c>
      <c r="H306" s="12">
        <f>SUMIF('On The Board'!I$5:I$219,"&lt;="&amp;$B306,'On The Board'!$M$5:$M$219)-SUM(I306,J306)</f>
        <v>2</v>
      </c>
      <c r="I306" s="12">
        <f>SUMIF('On The Board'!J$5:J$219,"&lt;="&amp;$B306,'On The Board'!$M$5:$M$219)-SUM(J306)</f>
        <v>0</v>
      </c>
      <c r="J306" s="12">
        <f>SUMIF('On The Board'!K$5:K$219,"&lt;="&amp;$B306,'On The Board'!$M$5:$M$219)</f>
        <v>70</v>
      </c>
      <c r="K306" s="10">
        <f t="shared" si="32"/>
        <v>77</v>
      </c>
      <c r="L306" s="10" t="e">
        <f ca="1">IF(TodaysDate&gt;=B306,SUM(F306:I306),NA())</f>
        <v>#N/A</v>
      </c>
      <c r="M306" s="44" t="e">
        <f t="shared" ca="1" si="35"/>
        <v>#N/A</v>
      </c>
      <c r="N306" s="44" t="e">
        <f ca="1">IF(ISNUMBER(M306),(J306-J296)/NETWORKDAYS(B296,B306,BankHolidays),NA())</f>
        <v>#N/A</v>
      </c>
      <c r="O306" s="44" t="e">
        <f t="shared" ca="1" si="34"/>
        <v>#N/A</v>
      </c>
      <c r="P306" s="53" t="e">
        <f t="shared" ca="1" si="36"/>
        <v>#N/A</v>
      </c>
      <c r="Q306" s="53" t="str">
        <f ca="1">IFERROR(DayByDayTable[[#This Row],[Lead Time]],"")</f>
        <v/>
      </c>
      <c r="R306" s="44" t="e">
        <f t="shared" ca="1" si="37"/>
        <v>#N/A</v>
      </c>
      <c r="S306" s="44">
        <f ca="1">ROUND(PERCENTILE(DayByDayTable[[#Data],[BlankLeadTime]],0.8),0)</f>
        <v>8</v>
      </c>
    </row>
    <row r="307" spans="1:19">
      <c r="A307" s="51">
        <f t="shared" si="31"/>
        <v>42849</v>
      </c>
      <c r="B307" s="11">
        <f t="shared" si="33"/>
        <v>42849</v>
      </c>
      <c r="C307" s="47">
        <f>SUMIFS('On The Board'!$M$5:$M$219,'On The Board'!F$5:F$219,"&lt;="&amp;$B307,'On The Board'!E$5:E$219,"="&amp;FutureWork)</f>
        <v>0</v>
      </c>
      <c r="D307" s="47" t="str">
        <f ca="1">IF(TodaysDate&gt;=B307,SUMIF('On The Board'!F$5:F$219,"&lt;="&amp;$B307,'On The Board'!$M$5:$M$219)-SUM(F307:J307),"")</f>
        <v/>
      </c>
      <c r="E307" s="12">
        <f ca="1">IF(TodaysDate&gt;=B307,SUMIF('On The Board'!F$5:F$219,"&lt;="&amp;$B307,'On The Board'!$M$5:$M$219)-SUM(F307:J307),E306)</f>
        <v>47</v>
      </c>
      <c r="F307" s="12">
        <f>SUMIF('On The Board'!G$5:G$219,"&lt;="&amp;$B307,'On The Board'!$M$5:$M$219)-SUM(G307:J307)</f>
        <v>0</v>
      </c>
      <c r="G307" s="12">
        <f>SUMIF('On The Board'!H$5:H$219,"&lt;="&amp;$B307,'On The Board'!$M$5:$M$219)-SUM(H307:J307)</f>
        <v>5</v>
      </c>
      <c r="H307" s="12">
        <f>SUMIF('On The Board'!I$5:I$219,"&lt;="&amp;$B307,'On The Board'!$M$5:$M$219)-SUM(I307,J307)</f>
        <v>2</v>
      </c>
      <c r="I307" s="12">
        <f>SUMIF('On The Board'!J$5:J$219,"&lt;="&amp;$B307,'On The Board'!$M$5:$M$219)-SUM(J307)</f>
        <v>0</v>
      </c>
      <c r="J307" s="12">
        <f>SUMIF('On The Board'!K$5:K$219,"&lt;="&amp;$B307,'On The Board'!$M$5:$M$219)</f>
        <v>70</v>
      </c>
      <c r="K307" s="10">
        <f t="shared" si="32"/>
        <v>77</v>
      </c>
      <c r="L307" s="10" t="e">
        <f ca="1">IF(TodaysDate&gt;=B307,SUM(F307:I307),NA())</f>
        <v>#N/A</v>
      </c>
      <c r="M307" s="44" t="e">
        <f t="shared" ca="1" si="35"/>
        <v>#N/A</v>
      </c>
      <c r="N307" s="44" t="e">
        <f ca="1">IF(ISNUMBER(M307),(J307-J297)/NETWORKDAYS(B297,B307,BankHolidays),NA())</f>
        <v>#N/A</v>
      </c>
      <c r="O307" s="44" t="e">
        <f t="shared" ca="1" si="34"/>
        <v>#N/A</v>
      </c>
      <c r="P307" s="53" t="e">
        <f t="shared" ca="1" si="36"/>
        <v>#N/A</v>
      </c>
      <c r="Q307" s="53" t="str">
        <f ca="1">IFERROR(DayByDayTable[[#This Row],[Lead Time]],"")</f>
        <v/>
      </c>
      <c r="R307" s="44" t="e">
        <f t="shared" ca="1" si="37"/>
        <v>#N/A</v>
      </c>
      <c r="S307" s="44">
        <f ca="1">ROUND(PERCENTILE(DayByDayTable[[#Data],[BlankLeadTime]],0.8),0)</f>
        <v>8</v>
      </c>
    </row>
    <row r="308" spans="1:19">
      <c r="A308" s="51">
        <f t="shared" si="31"/>
        <v>42850</v>
      </c>
      <c r="B308" s="11">
        <f t="shared" si="33"/>
        <v>42850</v>
      </c>
      <c r="C308" s="47">
        <f>SUMIFS('On The Board'!$M$5:$M$219,'On The Board'!F$5:F$219,"&lt;="&amp;$B308,'On The Board'!E$5:E$219,"="&amp;FutureWork)</f>
        <v>0</v>
      </c>
      <c r="D308" s="47" t="str">
        <f ca="1">IF(TodaysDate&gt;=B308,SUMIF('On The Board'!F$5:F$219,"&lt;="&amp;$B308,'On The Board'!$M$5:$M$219)-SUM(F308:J308),"")</f>
        <v/>
      </c>
      <c r="E308" s="12">
        <f ca="1">IF(TodaysDate&gt;=B308,SUMIF('On The Board'!F$5:F$219,"&lt;="&amp;$B308,'On The Board'!$M$5:$M$219)-SUM(F308:J308),E307)</f>
        <v>47</v>
      </c>
      <c r="F308" s="12">
        <f>SUMIF('On The Board'!G$5:G$219,"&lt;="&amp;$B308,'On The Board'!$M$5:$M$219)-SUM(G308:J308)</f>
        <v>0</v>
      </c>
      <c r="G308" s="12">
        <f>SUMIF('On The Board'!H$5:H$219,"&lt;="&amp;$B308,'On The Board'!$M$5:$M$219)-SUM(H308:J308)</f>
        <v>5</v>
      </c>
      <c r="H308" s="12">
        <f>SUMIF('On The Board'!I$5:I$219,"&lt;="&amp;$B308,'On The Board'!$M$5:$M$219)-SUM(I308,J308)</f>
        <v>2</v>
      </c>
      <c r="I308" s="12">
        <f>SUMIF('On The Board'!J$5:J$219,"&lt;="&amp;$B308,'On The Board'!$M$5:$M$219)-SUM(J308)</f>
        <v>0</v>
      </c>
      <c r="J308" s="12">
        <f>SUMIF('On The Board'!K$5:K$219,"&lt;="&amp;$B308,'On The Board'!$M$5:$M$219)</f>
        <v>70</v>
      </c>
      <c r="K308" s="10">
        <f t="shared" si="32"/>
        <v>77</v>
      </c>
      <c r="L308" s="10" t="e">
        <f ca="1">IF(TodaysDate&gt;=B308,SUM(F308:I308),NA())</f>
        <v>#N/A</v>
      </c>
      <c r="M308" s="44" t="e">
        <f t="shared" ca="1" si="35"/>
        <v>#N/A</v>
      </c>
      <c r="N308" s="44" t="e">
        <f ca="1">IF(ISNUMBER(M308),(J308-J298)/NETWORKDAYS(B298,B308,BankHolidays),NA())</f>
        <v>#N/A</v>
      </c>
      <c r="O308" s="44" t="e">
        <f t="shared" ca="1" si="34"/>
        <v>#N/A</v>
      </c>
      <c r="P308" s="53" t="e">
        <f t="shared" ca="1" si="36"/>
        <v>#N/A</v>
      </c>
      <c r="Q308" s="53" t="str">
        <f ca="1">IFERROR(DayByDayTable[[#This Row],[Lead Time]],"")</f>
        <v/>
      </c>
      <c r="R308" s="44" t="e">
        <f t="shared" ca="1" si="37"/>
        <v>#N/A</v>
      </c>
      <c r="S308" s="44">
        <f ca="1">ROUND(PERCENTILE(DayByDayTable[[#Data],[BlankLeadTime]],0.8),0)</f>
        <v>8</v>
      </c>
    </row>
    <row r="309" spans="1:19">
      <c r="A309" s="51">
        <f t="shared" si="31"/>
        <v>42851</v>
      </c>
      <c r="B309" s="11">
        <f t="shared" si="33"/>
        <v>42851</v>
      </c>
      <c r="C309" s="47">
        <f>SUMIFS('On The Board'!$M$5:$M$219,'On The Board'!F$5:F$219,"&lt;="&amp;$B309,'On The Board'!E$5:E$219,"="&amp;FutureWork)</f>
        <v>0</v>
      </c>
      <c r="D309" s="47" t="str">
        <f ca="1">IF(TodaysDate&gt;=B309,SUMIF('On The Board'!F$5:F$219,"&lt;="&amp;$B309,'On The Board'!$M$5:$M$219)-SUM(F309:J309),"")</f>
        <v/>
      </c>
      <c r="E309" s="12">
        <f ca="1">IF(TodaysDate&gt;=B309,SUMIF('On The Board'!F$5:F$219,"&lt;="&amp;$B309,'On The Board'!$M$5:$M$219)-SUM(F309:J309),E308)</f>
        <v>47</v>
      </c>
      <c r="F309" s="12">
        <f>SUMIF('On The Board'!G$5:G$219,"&lt;="&amp;$B309,'On The Board'!$M$5:$M$219)-SUM(G309:J309)</f>
        <v>0</v>
      </c>
      <c r="G309" s="12">
        <f>SUMIF('On The Board'!H$5:H$219,"&lt;="&amp;$B309,'On The Board'!$M$5:$M$219)-SUM(H309:J309)</f>
        <v>5</v>
      </c>
      <c r="H309" s="12">
        <f>SUMIF('On The Board'!I$5:I$219,"&lt;="&amp;$B309,'On The Board'!$M$5:$M$219)-SUM(I309,J309)</f>
        <v>2</v>
      </c>
      <c r="I309" s="12">
        <f>SUMIF('On The Board'!J$5:J$219,"&lt;="&amp;$B309,'On The Board'!$M$5:$M$219)-SUM(J309)</f>
        <v>0</v>
      </c>
      <c r="J309" s="12">
        <f>SUMIF('On The Board'!K$5:K$219,"&lt;="&amp;$B309,'On The Board'!$M$5:$M$219)</f>
        <v>70</v>
      </c>
      <c r="K309" s="10">
        <f t="shared" si="32"/>
        <v>77</v>
      </c>
      <c r="L309" s="10" t="e">
        <f ca="1">IF(TodaysDate&gt;=B309,SUM(F309:I309),NA())</f>
        <v>#N/A</v>
      </c>
      <c r="M309" s="44" t="e">
        <f t="shared" ca="1" si="35"/>
        <v>#N/A</v>
      </c>
      <c r="N309" s="44" t="e">
        <f ca="1">IF(ISNUMBER(M309),(J309-J299)/NETWORKDAYS(B299,B309,BankHolidays),NA())</f>
        <v>#N/A</v>
      </c>
      <c r="O309" s="44" t="e">
        <f t="shared" ca="1" si="34"/>
        <v>#N/A</v>
      </c>
      <c r="P309" s="53" t="e">
        <f t="shared" ca="1" si="36"/>
        <v>#N/A</v>
      </c>
      <c r="Q309" s="53" t="str">
        <f ca="1">IFERROR(DayByDayTable[[#This Row],[Lead Time]],"")</f>
        <v/>
      </c>
      <c r="R309" s="44" t="e">
        <f t="shared" ca="1" si="37"/>
        <v>#N/A</v>
      </c>
      <c r="S309" s="44">
        <f ca="1">ROUND(PERCENTILE(DayByDayTable[[#Data],[BlankLeadTime]],0.8),0)</f>
        <v>8</v>
      </c>
    </row>
    <row r="310" spans="1:19">
      <c r="A310" s="51">
        <f t="shared" si="31"/>
        <v>42852</v>
      </c>
      <c r="B310" s="11">
        <f t="shared" si="33"/>
        <v>42852</v>
      </c>
      <c r="C310" s="47">
        <f>SUMIFS('On The Board'!$M$5:$M$219,'On The Board'!F$5:F$219,"&lt;="&amp;$B310,'On The Board'!E$5:E$219,"="&amp;FutureWork)</f>
        <v>0</v>
      </c>
      <c r="D310" s="47" t="str">
        <f ca="1">IF(TodaysDate&gt;=B310,SUMIF('On The Board'!F$5:F$219,"&lt;="&amp;$B310,'On The Board'!$M$5:$M$219)-SUM(F310:J310),"")</f>
        <v/>
      </c>
      <c r="E310" s="12">
        <f ca="1">IF(TodaysDate&gt;=B310,SUMIF('On The Board'!F$5:F$219,"&lt;="&amp;$B310,'On The Board'!$M$5:$M$219)-SUM(F310:J310),E309)</f>
        <v>47</v>
      </c>
      <c r="F310" s="12">
        <f>SUMIF('On The Board'!G$5:G$219,"&lt;="&amp;$B310,'On The Board'!$M$5:$M$219)-SUM(G310:J310)</f>
        <v>0</v>
      </c>
      <c r="G310" s="12">
        <f>SUMIF('On The Board'!H$5:H$219,"&lt;="&amp;$B310,'On The Board'!$M$5:$M$219)-SUM(H310:J310)</f>
        <v>5</v>
      </c>
      <c r="H310" s="12">
        <f>SUMIF('On The Board'!I$5:I$219,"&lt;="&amp;$B310,'On The Board'!$M$5:$M$219)-SUM(I310,J310)</f>
        <v>2</v>
      </c>
      <c r="I310" s="12">
        <f>SUMIF('On The Board'!J$5:J$219,"&lt;="&amp;$B310,'On The Board'!$M$5:$M$219)-SUM(J310)</f>
        <v>0</v>
      </c>
      <c r="J310" s="12">
        <f>SUMIF('On The Board'!K$5:K$219,"&lt;="&amp;$B310,'On The Board'!$M$5:$M$219)</f>
        <v>70</v>
      </c>
      <c r="K310" s="10">
        <f t="shared" si="32"/>
        <v>77</v>
      </c>
      <c r="L310" s="10" t="e">
        <f ca="1">IF(TodaysDate&gt;=B310,SUM(F310:I310),NA())</f>
        <v>#N/A</v>
      </c>
      <c r="M310" s="44" t="e">
        <f t="shared" ca="1" si="35"/>
        <v>#N/A</v>
      </c>
      <c r="N310" s="44" t="e">
        <f ca="1">IF(ISNUMBER(M310),(J310-J300)/NETWORKDAYS(B300,B310,BankHolidays),NA())</f>
        <v>#N/A</v>
      </c>
      <c r="O310" s="44" t="e">
        <f t="shared" ca="1" si="34"/>
        <v>#N/A</v>
      </c>
      <c r="P310" s="53" t="e">
        <f t="shared" ca="1" si="36"/>
        <v>#N/A</v>
      </c>
      <c r="Q310" s="53" t="str">
        <f ca="1">IFERROR(DayByDayTable[[#This Row],[Lead Time]],"")</f>
        <v/>
      </c>
      <c r="R310" s="44" t="e">
        <f t="shared" ca="1" si="37"/>
        <v>#N/A</v>
      </c>
      <c r="S310" s="44">
        <f ca="1">ROUND(PERCENTILE(DayByDayTable[[#Data],[BlankLeadTime]],0.8),0)</f>
        <v>8</v>
      </c>
    </row>
    <row r="311" spans="1:19">
      <c r="A311" s="51">
        <f t="shared" si="31"/>
        <v>42853</v>
      </c>
      <c r="B311" s="11">
        <f t="shared" si="33"/>
        <v>42853</v>
      </c>
      <c r="C311" s="47">
        <f>SUMIFS('On The Board'!$M$5:$M$219,'On The Board'!F$5:F$219,"&lt;="&amp;$B311,'On The Board'!E$5:E$219,"="&amp;FutureWork)</f>
        <v>0</v>
      </c>
      <c r="D311" s="47" t="str">
        <f ca="1">IF(TodaysDate&gt;=B311,SUMIF('On The Board'!F$5:F$219,"&lt;="&amp;$B311,'On The Board'!$M$5:$M$219)-SUM(F311:J311),"")</f>
        <v/>
      </c>
      <c r="E311" s="12">
        <f ca="1">IF(TodaysDate&gt;=B311,SUMIF('On The Board'!F$5:F$219,"&lt;="&amp;$B311,'On The Board'!$M$5:$M$219)-SUM(F311:J311),E310)</f>
        <v>47</v>
      </c>
      <c r="F311" s="12">
        <f>SUMIF('On The Board'!G$5:G$219,"&lt;="&amp;$B311,'On The Board'!$M$5:$M$219)-SUM(G311:J311)</f>
        <v>0</v>
      </c>
      <c r="G311" s="12">
        <f>SUMIF('On The Board'!H$5:H$219,"&lt;="&amp;$B311,'On The Board'!$M$5:$M$219)-SUM(H311:J311)</f>
        <v>5</v>
      </c>
      <c r="H311" s="12">
        <f>SUMIF('On The Board'!I$5:I$219,"&lt;="&amp;$B311,'On The Board'!$M$5:$M$219)-SUM(I311,J311)</f>
        <v>2</v>
      </c>
      <c r="I311" s="12">
        <f>SUMIF('On The Board'!J$5:J$219,"&lt;="&amp;$B311,'On The Board'!$M$5:$M$219)-SUM(J311)</f>
        <v>0</v>
      </c>
      <c r="J311" s="12">
        <f>SUMIF('On The Board'!K$5:K$219,"&lt;="&amp;$B311,'On The Board'!$M$5:$M$219)</f>
        <v>70</v>
      </c>
      <c r="K311" s="10">
        <f t="shared" si="32"/>
        <v>77</v>
      </c>
      <c r="L311" s="10" t="e">
        <f ca="1">IF(TodaysDate&gt;=B311,SUM(F311:I311),NA())</f>
        <v>#N/A</v>
      </c>
      <c r="M311" s="44" t="e">
        <f t="shared" ca="1" si="35"/>
        <v>#N/A</v>
      </c>
      <c r="N311" s="44" t="e">
        <f ca="1">IF(ISNUMBER(M311),(J311-J301)/NETWORKDAYS(B301,B311,BankHolidays),NA())</f>
        <v>#N/A</v>
      </c>
      <c r="O311" s="44" t="e">
        <f t="shared" ca="1" si="34"/>
        <v>#N/A</v>
      </c>
      <c r="P311" s="53" t="e">
        <f t="shared" ca="1" si="36"/>
        <v>#N/A</v>
      </c>
      <c r="Q311" s="53" t="str">
        <f ca="1">IFERROR(DayByDayTable[[#This Row],[Lead Time]],"")</f>
        <v/>
      </c>
      <c r="R311" s="44" t="e">
        <f t="shared" ca="1" si="37"/>
        <v>#N/A</v>
      </c>
      <c r="S311" s="44">
        <f ca="1">ROUND(PERCENTILE(DayByDayTable[[#Data],[BlankLeadTime]],0.8),0)</f>
        <v>8</v>
      </c>
    </row>
    <row r="312" spans="1:19">
      <c r="A312" s="51">
        <f t="shared" si="31"/>
        <v>42857</v>
      </c>
      <c r="B312" s="11">
        <f t="shared" si="33"/>
        <v>42857</v>
      </c>
      <c r="C312" s="47">
        <f>SUMIFS('On The Board'!$M$5:$M$219,'On The Board'!F$5:F$219,"&lt;="&amp;$B312,'On The Board'!E$5:E$219,"="&amp;FutureWork)</f>
        <v>0</v>
      </c>
      <c r="D312" s="47" t="str">
        <f ca="1">IF(TodaysDate&gt;=B312,SUMIF('On The Board'!F$5:F$219,"&lt;="&amp;$B312,'On The Board'!$M$5:$M$219)-SUM(F312:J312),"")</f>
        <v/>
      </c>
      <c r="E312" s="12">
        <f ca="1">IF(TodaysDate&gt;=B312,SUMIF('On The Board'!F$5:F$219,"&lt;="&amp;$B312,'On The Board'!$M$5:$M$219)-SUM(F312:J312),E311)</f>
        <v>47</v>
      </c>
      <c r="F312" s="12">
        <f>SUMIF('On The Board'!G$5:G$219,"&lt;="&amp;$B312,'On The Board'!$M$5:$M$219)-SUM(G312:J312)</f>
        <v>0</v>
      </c>
      <c r="G312" s="12">
        <f>SUMIF('On The Board'!H$5:H$219,"&lt;="&amp;$B312,'On The Board'!$M$5:$M$219)-SUM(H312:J312)</f>
        <v>5</v>
      </c>
      <c r="H312" s="12">
        <f>SUMIF('On The Board'!I$5:I$219,"&lt;="&amp;$B312,'On The Board'!$M$5:$M$219)-SUM(I312,J312)</f>
        <v>2</v>
      </c>
      <c r="I312" s="12">
        <f>SUMIF('On The Board'!J$5:J$219,"&lt;="&amp;$B312,'On The Board'!$M$5:$M$219)-SUM(J312)</f>
        <v>0</v>
      </c>
      <c r="J312" s="12">
        <f>SUMIF('On The Board'!K$5:K$219,"&lt;="&amp;$B312,'On The Board'!$M$5:$M$219)</f>
        <v>70</v>
      </c>
      <c r="K312" s="10">
        <f t="shared" si="32"/>
        <v>77</v>
      </c>
      <c r="L312" s="10" t="e">
        <f ca="1">IF(TodaysDate&gt;=B312,SUM(F312:I312),NA())</f>
        <v>#N/A</v>
      </c>
      <c r="M312" s="44" t="e">
        <f t="shared" ca="1" si="35"/>
        <v>#N/A</v>
      </c>
      <c r="N312" s="44" t="e">
        <f ca="1">IF(ISNUMBER(M312),(J312-J302)/NETWORKDAYS(B302,B312,BankHolidays),NA())</f>
        <v>#N/A</v>
      </c>
      <c r="O312" s="44" t="e">
        <f t="shared" ca="1" si="34"/>
        <v>#N/A</v>
      </c>
      <c r="P312" s="53" t="e">
        <f t="shared" ca="1" si="36"/>
        <v>#N/A</v>
      </c>
      <c r="Q312" s="53" t="str">
        <f ca="1">IFERROR(DayByDayTable[[#This Row],[Lead Time]],"")</f>
        <v/>
      </c>
      <c r="R312" s="44" t="e">
        <f t="shared" ca="1" si="37"/>
        <v>#N/A</v>
      </c>
      <c r="S312" s="44">
        <f ca="1">ROUND(PERCENTILE(DayByDayTable[[#Data],[BlankLeadTime]],0.8),0)</f>
        <v>8</v>
      </c>
    </row>
    <row r="313" spans="1:19">
      <c r="A313" s="51">
        <f t="shared" si="31"/>
        <v>42858</v>
      </c>
      <c r="B313" s="11">
        <f t="shared" si="33"/>
        <v>42858</v>
      </c>
      <c r="C313" s="47">
        <f>SUMIFS('On The Board'!$M$5:$M$219,'On The Board'!F$5:F$219,"&lt;="&amp;$B313,'On The Board'!E$5:E$219,"="&amp;FutureWork)</f>
        <v>0</v>
      </c>
      <c r="D313" s="47" t="str">
        <f ca="1">IF(TodaysDate&gt;=B313,SUMIF('On The Board'!F$5:F$219,"&lt;="&amp;$B313,'On The Board'!$M$5:$M$219)-SUM(F313:J313),"")</f>
        <v/>
      </c>
      <c r="E313" s="12">
        <f ca="1">IF(TodaysDate&gt;=B313,SUMIF('On The Board'!F$5:F$219,"&lt;="&amp;$B313,'On The Board'!$M$5:$M$219)-SUM(F313:J313),E312)</f>
        <v>47</v>
      </c>
      <c r="F313" s="12">
        <f>SUMIF('On The Board'!G$5:G$219,"&lt;="&amp;$B313,'On The Board'!$M$5:$M$219)-SUM(G313:J313)</f>
        <v>0</v>
      </c>
      <c r="G313" s="12">
        <f>SUMIF('On The Board'!H$5:H$219,"&lt;="&amp;$B313,'On The Board'!$M$5:$M$219)-SUM(H313:J313)</f>
        <v>5</v>
      </c>
      <c r="H313" s="12">
        <f>SUMIF('On The Board'!I$5:I$219,"&lt;="&amp;$B313,'On The Board'!$M$5:$M$219)-SUM(I313,J313)</f>
        <v>2</v>
      </c>
      <c r="I313" s="12">
        <f>SUMIF('On The Board'!J$5:J$219,"&lt;="&amp;$B313,'On The Board'!$M$5:$M$219)-SUM(J313)</f>
        <v>0</v>
      </c>
      <c r="J313" s="12">
        <f>SUMIF('On The Board'!K$5:K$219,"&lt;="&amp;$B313,'On The Board'!$M$5:$M$219)</f>
        <v>70</v>
      </c>
      <c r="K313" s="10">
        <f t="shared" si="32"/>
        <v>77</v>
      </c>
      <c r="L313" s="10" t="e">
        <f ca="1">IF(TodaysDate&gt;=B313,SUM(F313:I313),NA())</f>
        <v>#N/A</v>
      </c>
      <c r="M313" s="44" t="e">
        <f t="shared" ca="1" si="35"/>
        <v>#N/A</v>
      </c>
      <c r="N313" s="44" t="e">
        <f ca="1">IF(ISNUMBER(M313),(J313-J303)/NETWORKDAYS(B303,B313,BankHolidays),NA())</f>
        <v>#N/A</v>
      </c>
      <c r="O313" s="44" t="e">
        <f t="shared" ca="1" si="34"/>
        <v>#N/A</v>
      </c>
      <c r="P313" s="53" t="e">
        <f t="shared" ca="1" si="36"/>
        <v>#N/A</v>
      </c>
      <c r="Q313" s="53" t="str">
        <f ca="1">IFERROR(DayByDayTable[[#This Row],[Lead Time]],"")</f>
        <v/>
      </c>
      <c r="R313" s="44" t="e">
        <f t="shared" ca="1" si="37"/>
        <v>#N/A</v>
      </c>
      <c r="S313" s="44">
        <f ca="1">ROUND(PERCENTILE(DayByDayTable[[#Data],[BlankLeadTime]],0.8),0)</f>
        <v>8</v>
      </c>
    </row>
    <row r="314" spans="1:19">
      <c r="A314" s="51">
        <f t="shared" si="31"/>
        <v>42859</v>
      </c>
      <c r="B314" s="11">
        <f t="shared" si="33"/>
        <v>42859</v>
      </c>
      <c r="C314" s="47">
        <f>SUMIFS('On The Board'!$M$5:$M$219,'On The Board'!F$5:F$219,"&lt;="&amp;$B314,'On The Board'!E$5:E$219,"="&amp;FutureWork)</f>
        <v>0</v>
      </c>
      <c r="D314" s="47" t="str">
        <f ca="1">IF(TodaysDate&gt;=B314,SUMIF('On The Board'!F$5:F$219,"&lt;="&amp;$B314,'On The Board'!$M$5:$M$219)-SUM(F314:J314),"")</f>
        <v/>
      </c>
      <c r="E314" s="12">
        <f ca="1">IF(TodaysDate&gt;=B314,SUMIF('On The Board'!F$5:F$219,"&lt;="&amp;$B314,'On The Board'!$M$5:$M$219)-SUM(F314:J314),E313)</f>
        <v>47</v>
      </c>
      <c r="F314" s="12">
        <f>SUMIF('On The Board'!G$5:G$219,"&lt;="&amp;$B314,'On The Board'!$M$5:$M$219)-SUM(G314:J314)</f>
        <v>0</v>
      </c>
      <c r="G314" s="12">
        <f>SUMIF('On The Board'!H$5:H$219,"&lt;="&amp;$B314,'On The Board'!$M$5:$M$219)-SUM(H314:J314)</f>
        <v>5</v>
      </c>
      <c r="H314" s="12">
        <f>SUMIF('On The Board'!I$5:I$219,"&lt;="&amp;$B314,'On The Board'!$M$5:$M$219)-SUM(I314,J314)</f>
        <v>2</v>
      </c>
      <c r="I314" s="12">
        <f>SUMIF('On The Board'!J$5:J$219,"&lt;="&amp;$B314,'On The Board'!$M$5:$M$219)-SUM(J314)</f>
        <v>0</v>
      </c>
      <c r="J314" s="12">
        <f>SUMIF('On The Board'!K$5:K$219,"&lt;="&amp;$B314,'On The Board'!$M$5:$M$219)</f>
        <v>70</v>
      </c>
      <c r="K314" s="10">
        <f t="shared" si="32"/>
        <v>77</v>
      </c>
      <c r="L314" s="10" t="e">
        <f ca="1">IF(TodaysDate&gt;=B314,SUM(F314:I314),NA())</f>
        <v>#N/A</v>
      </c>
      <c r="M314" s="44" t="e">
        <f t="shared" ca="1" si="35"/>
        <v>#N/A</v>
      </c>
      <c r="N314" s="44" t="e">
        <f ca="1">IF(ISNUMBER(M314),(J314-J304)/NETWORKDAYS(B304,B314,BankHolidays),NA())</f>
        <v>#N/A</v>
      </c>
      <c r="O314" s="44" t="e">
        <f t="shared" ca="1" si="34"/>
        <v>#N/A</v>
      </c>
      <c r="P314" s="53" t="e">
        <f t="shared" ca="1" si="36"/>
        <v>#N/A</v>
      </c>
      <c r="Q314" s="53" t="str">
        <f ca="1">IFERROR(DayByDayTable[[#This Row],[Lead Time]],"")</f>
        <v/>
      </c>
      <c r="R314" s="44" t="e">
        <f t="shared" ca="1" si="37"/>
        <v>#N/A</v>
      </c>
      <c r="S314" s="44">
        <f ca="1">ROUND(PERCENTILE(DayByDayTable[[#Data],[BlankLeadTime]],0.8),0)</f>
        <v>8</v>
      </c>
    </row>
    <row r="315" spans="1:19">
      <c r="A315" s="51">
        <f t="shared" si="31"/>
        <v>42860</v>
      </c>
      <c r="B315" s="11">
        <f t="shared" si="33"/>
        <v>42860</v>
      </c>
      <c r="C315" s="47">
        <f>SUMIFS('On The Board'!$M$5:$M$219,'On The Board'!F$5:F$219,"&lt;="&amp;$B315,'On The Board'!E$5:E$219,"="&amp;FutureWork)</f>
        <v>0</v>
      </c>
      <c r="D315" s="47" t="str">
        <f ca="1">IF(TodaysDate&gt;=B315,SUMIF('On The Board'!F$5:F$219,"&lt;="&amp;$B315,'On The Board'!$M$5:$M$219)-SUM(F315:J315),"")</f>
        <v/>
      </c>
      <c r="E315" s="12">
        <f ca="1">IF(TodaysDate&gt;=B315,SUMIF('On The Board'!F$5:F$219,"&lt;="&amp;$B315,'On The Board'!$M$5:$M$219)-SUM(F315:J315),E314)</f>
        <v>47</v>
      </c>
      <c r="F315" s="12">
        <f>SUMIF('On The Board'!G$5:G$219,"&lt;="&amp;$B315,'On The Board'!$M$5:$M$219)-SUM(G315:J315)</f>
        <v>0</v>
      </c>
      <c r="G315" s="12">
        <f>SUMIF('On The Board'!H$5:H$219,"&lt;="&amp;$B315,'On The Board'!$M$5:$M$219)-SUM(H315:J315)</f>
        <v>5</v>
      </c>
      <c r="H315" s="12">
        <f>SUMIF('On The Board'!I$5:I$219,"&lt;="&amp;$B315,'On The Board'!$M$5:$M$219)-SUM(I315,J315)</f>
        <v>2</v>
      </c>
      <c r="I315" s="12">
        <f>SUMIF('On The Board'!J$5:J$219,"&lt;="&amp;$B315,'On The Board'!$M$5:$M$219)-SUM(J315)</f>
        <v>0</v>
      </c>
      <c r="J315" s="12">
        <f>SUMIF('On The Board'!K$5:K$219,"&lt;="&amp;$B315,'On The Board'!$M$5:$M$219)</f>
        <v>70</v>
      </c>
      <c r="K315" s="10">
        <f t="shared" si="32"/>
        <v>77</v>
      </c>
      <c r="L315" s="10" t="e">
        <f ca="1">IF(TodaysDate&gt;=B315,SUM(F315:I315),NA())</f>
        <v>#N/A</v>
      </c>
      <c r="M315" s="44" t="e">
        <f t="shared" ca="1" si="35"/>
        <v>#N/A</v>
      </c>
      <c r="N315" s="44" t="e">
        <f ca="1">IF(ISNUMBER(M315),(J315-J305)/NETWORKDAYS(B305,B315,BankHolidays),NA())</f>
        <v>#N/A</v>
      </c>
      <c r="O315" s="44" t="e">
        <f t="shared" ca="1" si="34"/>
        <v>#N/A</v>
      </c>
      <c r="P315" s="53" t="e">
        <f t="shared" ca="1" si="36"/>
        <v>#N/A</v>
      </c>
      <c r="Q315" s="53" t="str">
        <f ca="1">IFERROR(DayByDayTable[[#This Row],[Lead Time]],"")</f>
        <v/>
      </c>
      <c r="R315" s="44" t="e">
        <f t="shared" ca="1" si="37"/>
        <v>#N/A</v>
      </c>
      <c r="S315" s="44">
        <f ca="1">ROUND(PERCENTILE(DayByDayTable[[#Data],[BlankLeadTime]],0.8),0)</f>
        <v>8</v>
      </c>
    </row>
    <row r="316" spans="1:19">
      <c r="A316" s="51">
        <f t="shared" si="31"/>
        <v>42863</v>
      </c>
      <c r="B316" s="11">
        <f t="shared" si="33"/>
        <v>42863</v>
      </c>
      <c r="C316" s="47">
        <f>SUMIFS('On The Board'!$M$5:$M$219,'On The Board'!F$5:F$219,"&lt;="&amp;$B316,'On The Board'!E$5:E$219,"="&amp;FutureWork)</f>
        <v>0</v>
      </c>
      <c r="D316" s="47" t="str">
        <f ca="1">IF(TodaysDate&gt;=B316,SUMIF('On The Board'!F$5:F$219,"&lt;="&amp;$B316,'On The Board'!$M$5:$M$219)-SUM(F316:J316),"")</f>
        <v/>
      </c>
      <c r="E316" s="12">
        <f ca="1">IF(TodaysDate&gt;=B316,SUMIF('On The Board'!F$5:F$219,"&lt;="&amp;$B316,'On The Board'!$M$5:$M$219)-SUM(F316:J316),E315)</f>
        <v>47</v>
      </c>
      <c r="F316" s="12">
        <f>SUMIF('On The Board'!G$5:G$219,"&lt;="&amp;$B316,'On The Board'!$M$5:$M$219)-SUM(G316:J316)</f>
        <v>0</v>
      </c>
      <c r="G316" s="12">
        <f>SUMIF('On The Board'!H$5:H$219,"&lt;="&amp;$B316,'On The Board'!$M$5:$M$219)-SUM(H316:J316)</f>
        <v>5</v>
      </c>
      <c r="H316" s="12">
        <f>SUMIF('On The Board'!I$5:I$219,"&lt;="&amp;$B316,'On The Board'!$M$5:$M$219)-SUM(I316,J316)</f>
        <v>2</v>
      </c>
      <c r="I316" s="12">
        <f>SUMIF('On The Board'!J$5:J$219,"&lt;="&amp;$B316,'On The Board'!$M$5:$M$219)-SUM(J316)</f>
        <v>0</v>
      </c>
      <c r="J316" s="12">
        <f>SUMIF('On The Board'!K$5:K$219,"&lt;="&amp;$B316,'On The Board'!$M$5:$M$219)</f>
        <v>70</v>
      </c>
      <c r="K316" s="10">
        <f t="shared" si="32"/>
        <v>77</v>
      </c>
      <c r="L316" s="10" t="e">
        <f ca="1">IF(TodaysDate&gt;=B316,SUM(F316:I316),NA())</f>
        <v>#N/A</v>
      </c>
      <c r="M316" s="44" t="e">
        <f t="shared" ca="1" si="35"/>
        <v>#N/A</v>
      </c>
      <c r="N316" s="44" t="e">
        <f ca="1">IF(ISNUMBER(M316),(J316-J306)/NETWORKDAYS(B306,B316,BankHolidays),NA())</f>
        <v>#N/A</v>
      </c>
      <c r="O316" s="44" t="e">
        <f t="shared" ca="1" si="34"/>
        <v>#N/A</v>
      </c>
      <c r="P316" s="53" t="e">
        <f t="shared" ca="1" si="36"/>
        <v>#N/A</v>
      </c>
      <c r="Q316" s="53" t="str">
        <f ca="1">IFERROR(DayByDayTable[[#This Row],[Lead Time]],"")</f>
        <v/>
      </c>
      <c r="R316" s="44" t="e">
        <f t="shared" ca="1" si="37"/>
        <v>#N/A</v>
      </c>
      <c r="S316" s="44">
        <f ca="1">ROUND(PERCENTILE(DayByDayTable[[#Data],[BlankLeadTime]],0.8),0)</f>
        <v>8</v>
      </c>
    </row>
    <row r="317" spans="1:19">
      <c r="A317" s="51">
        <f t="shared" si="31"/>
        <v>42864</v>
      </c>
      <c r="B317" s="11">
        <f t="shared" si="33"/>
        <v>42864</v>
      </c>
      <c r="C317" s="47">
        <f>SUMIFS('On The Board'!$M$5:$M$219,'On The Board'!F$5:F$219,"&lt;="&amp;$B317,'On The Board'!E$5:E$219,"="&amp;FutureWork)</f>
        <v>0</v>
      </c>
      <c r="D317" s="47" t="str">
        <f ca="1">IF(TodaysDate&gt;=B317,SUMIF('On The Board'!F$5:F$219,"&lt;="&amp;$B317,'On The Board'!$M$5:$M$219)-SUM(F317:J317),"")</f>
        <v/>
      </c>
      <c r="E317" s="12">
        <f ca="1">IF(TodaysDate&gt;=B317,SUMIF('On The Board'!F$5:F$219,"&lt;="&amp;$B317,'On The Board'!$M$5:$M$219)-SUM(F317:J317),E316)</f>
        <v>47</v>
      </c>
      <c r="F317" s="12">
        <f>SUMIF('On The Board'!G$5:G$219,"&lt;="&amp;$B317,'On The Board'!$M$5:$M$219)-SUM(G317:J317)</f>
        <v>0</v>
      </c>
      <c r="G317" s="12">
        <f>SUMIF('On The Board'!H$5:H$219,"&lt;="&amp;$B317,'On The Board'!$M$5:$M$219)-SUM(H317:J317)</f>
        <v>5</v>
      </c>
      <c r="H317" s="12">
        <f>SUMIF('On The Board'!I$5:I$219,"&lt;="&amp;$B317,'On The Board'!$M$5:$M$219)-SUM(I317,J317)</f>
        <v>2</v>
      </c>
      <c r="I317" s="12">
        <f>SUMIF('On The Board'!J$5:J$219,"&lt;="&amp;$B317,'On The Board'!$M$5:$M$219)-SUM(J317)</f>
        <v>0</v>
      </c>
      <c r="J317" s="12">
        <f>SUMIF('On The Board'!K$5:K$219,"&lt;="&amp;$B317,'On The Board'!$M$5:$M$219)</f>
        <v>70</v>
      </c>
      <c r="K317" s="10">
        <f t="shared" si="32"/>
        <v>77</v>
      </c>
      <c r="L317" s="10" t="e">
        <f ca="1">IF(TodaysDate&gt;=B317,SUM(F317:I317),NA())</f>
        <v>#N/A</v>
      </c>
      <c r="M317" s="44" t="e">
        <f t="shared" ca="1" si="35"/>
        <v>#N/A</v>
      </c>
      <c r="N317" s="44" t="e">
        <f ca="1">IF(ISNUMBER(M317),(J317-J307)/NETWORKDAYS(B307,B317,BankHolidays),NA())</f>
        <v>#N/A</v>
      </c>
      <c r="O317" s="44" t="e">
        <f t="shared" ca="1" si="34"/>
        <v>#N/A</v>
      </c>
      <c r="P317" s="53" t="e">
        <f t="shared" ca="1" si="36"/>
        <v>#N/A</v>
      </c>
      <c r="Q317" s="53" t="str">
        <f ca="1">IFERROR(DayByDayTable[[#This Row],[Lead Time]],"")</f>
        <v/>
      </c>
      <c r="R317" s="44" t="e">
        <f t="shared" ca="1" si="37"/>
        <v>#N/A</v>
      </c>
      <c r="S317" s="44">
        <f ca="1">ROUND(PERCENTILE(DayByDayTable[[#Data],[BlankLeadTime]],0.8),0)</f>
        <v>8</v>
      </c>
    </row>
    <row r="318" spans="1:19">
      <c r="A318" s="51">
        <f t="shared" si="31"/>
        <v>42865</v>
      </c>
      <c r="B318" s="11">
        <f t="shared" si="33"/>
        <v>42865</v>
      </c>
      <c r="C318" s="47">
        <f>SUMIFS('On The Board'!$M$5:$M$219,'On The Board'!F$5:F$219,"&lt;="&amp;$B318,'On The Board'!E$5:E$219,"="&amp;FutureWork)</f>
        <v>0</v>
      </c>
      <c r="D318" s="47" t="str">
        <f ca="1">IF(TodaysDate&gt;=B318,SUMIF('On The Board'!F$5:F$219,"&lt;="&amp;$B318,'On The Board'!$M$5:$M$219)-SUM(F318:J318),"")</f>
        <v/>
      </c>
      <c r="E318" s="12">
        <f ca="1">IF(TodaysDate&gt;=B318,SUMIF('On The Board'!F$5:F$219,"&lt;="&amp;$B318,'On The Board'!$M$5:$M$219)-SUM(F318:J318),E317)</f>
        <v>47</v>
      </c>
      <c r="F318" s="12">
        <f>SUMIF('On The Board'!G$5:G$219,"&lt;="&amp;$B318,'On The Board'!$M$5:$M$219)-SUM(G318:J318)</f>
        <v>0</v>
      </c>
      <c r="G318" s="12">
        <f>SUMIF('On The Board'!H$5:H$219,"&lt;="&amp;$B318,'On The Board'!$M$5:$M$219)-SUM(H318:J318)</f>
        <v>5</v>
      </c>
      <c r="H318" s="12">
        <f>SUMIF('On The Board'!I$5:I$219,"&lt;="&amp;$B318,'On The Board'!$M$5:$M$219)-SUM(I318,J318)</f>
        <v>2</v>
      </c>
      <c r="I318" s="12">
        <f>SUMIF('On The Board'!J$5:J$219,"&lt;="&amp;$B318,'On The Board'!$M$5:$M$219)-SUM(J318)</f>
        <v>0</v>
      </c>
      <c r="J318" s="12">
        <f>SUMIF('On The Board'!K$5:K$219,"&lt;="&amp;$B318,'On The Board'!$M$5:$M$219)</f>
        <v>70</v>
      </c>
      <c r="K318" s="10">
        <f t="shared" si="32"/>
        <v>77</v>
      </c>
      <c r="L318" s="10" t="e">
        <f ca="1">IF(TodaysDate&gt;=B318,SUM(F318:I318),NA())</f>
        <v>#N/A</v>
      </c>
      <c r="M318" s="44" t="e">
        <f t="shared" ca="1" si="35"/>
        <v>#N/A</v>
      </c>
      <c r="N318" s="44" t="e">
        <f ca="1">IF(ISNUMBER(M318),(J318-J308)/NETWORKDAYS(B308,B318,BankHolidays),NA())</f>
        <v>#N/A</v>
      </c>
      <c r="O318" s="44" t="e">
        <f t="shared" ca="1" si="34"/>
        <v>#N/A</v>
      </c>
      <c r="P318" s="53" t="e">
        <f t="shared" ca="1" si="36"/>
        <v>#N/A</v>
      </c>
      <c r="Q318" s="53" t="str">
        <f ca="1">IFERROR(DayByDayTable[[#This Row],[Lead Time]],"")</f>
        <v/>
      </c>
      <c r="R318" s="44" t="e">
        <f t="shared" ca="1" si="37"/>
        <v>#N/A</v>
      </c>
      <c r="S318" s="44">
        <f ca="1">ROUND(PERCENTILE(DayByDayTable[[#Data],[BlankLeadTime]],0.8),0)</f>
        <v>8</v>
      </c>
    </row>
    <row r="319" spans="1:19">
      <c r="A319" s="51">
        <f t="shared" ref="A319:A382" si="38">B319</f>
        <v>42866</v>
      </c>
      <c r="B319" s="11">
        <f t="shared" si="33"/>
        <v>42866</v>
      </c>
      <c r="C319" s="47">
        <f>SUMIFS('On The Board'!$M$5:$M$219,'On The Board'!F$5:F$219,"&lt;="&amp;$B319,'On The Board'!E$5:E$219,"="&amp;FutureWork)</f>
        <v>0</v>
      </c>
      <c r="D319" s="47" t="str">
        <f ca="1">IF(TodaysDate&gt;=B319,SUMIF('On The Board'!F$5:F$219,"&lt;="&amp;$B319,'On The Board'!$M$5:$M$219)-SUM(F319:J319),"")</f>
        <v/>
      </c>
      <c r="E319" s="12">
        <f ca="1">IF(TodaysDate&gt;=B319,SUMIF('On The Board'!F$5:F$219,"&lt;="&amp;$B319,'On The Board'!$M$5:$M$219)-SUM(F319:J319),E318)</f>
        <v>47</v>
      </c>
      <c r="F319" s="12">
        <f>SUMIF('On The Board'!G$5:G$219,"&lt;="&amp;$B319,'On The Board'!$M$5:$M$219)-SUM(G319:J319)</f>
        <v>0</v>
      </c>
      <c r="G319" s="12">
        <f>SUMIF('On The Board'!H$5:H$219,"&lt;="&amp;$B319,'On The Board'!$M$5:$M$219)-SUM(H319:J319)</f>
        <v>5</v>
      </c>
      <c r="H319" s="12">
        <f>SUMIF('On The Board'!I$5:I$219,"&lt;="&amp;$B319,'On The Board'!$M$5:$M$219)-SUM(I319,J319)</f>
        <v>2</v>
      </c>
      <c r="I319" s="12">
        <f>SUMIF('On The Board'!J$5:J$219,"&lt;="&amp;$B319,'On The Board'!$M$5:$M$219)-SUM(J319)</f>
        <v>0</v>
      </c>
      <c r="J319" s="12">
        <f>SUMIF('On The Board'!K$5:K$219,"&lt;="&amp;$B319,'On The Board'!$M$5:$M$219)</f>
        <v>70</v>
      </c>
      <c r="K319" s="10">
        <f t="shared" ref="K319:K382" si="39">SUM(F319:J319)</f>
        <v>77</v>
      </c>
      <c r="L319" s="10" t="e">
        <f ca="1">IF(TodaysDate&gt;=B319,SUM(F319:I319),NA())</f>
        <v>#N/A</v>
      </c>
      <c r="M319" s="44" t="e">
        <f t="shared" ca="1" si="35"/>
        <v>#N/A</v>
      </c>
      <c r="N319" s="44" t="e">
        <f ca="1">IF(ISNUMBER(M319),(J319-J309)/NETWORKDAYS(B309,B319,BankHolidays),NA())</f>
        <v>#N/A</v>
      </c>
      <c r="O319" s="44" t="e">
        <f t="shared" ca="1" si="34"/>
        <v>#N/A</v>
      </c>
      <c r="P319" s="53" t="e">
        <f t="shared" ca="1" si="36"/>
        <v>#N/A</v>
      </c>
      <c r="Q319" s="53" t="str">
        <f ca="1">IFERROR(DayByDayTable[[#This Row],[Lead Time]],"")</f>
        <v/>
      </c>
      <c r="R319" s="44" t="e">
        <f t="shared" ca="1" si="37"/>
        <v>#N/A</v>
      </c>
      <c r="S319" s="44">
        <f ca="1">ROUND(PERCENTILE(DayByDayTable[[#Data],[BlankLeadTime]],0.8),0)</f>
        <v>8</v>
      </c>
    </row>
    <row r="320" spans="1:19">
      <c r="A320" s="51">
        <f t="shared" si="38"/>
        <v>42867</v>
      </c>
      <c r="B320" s="11">
        <f t="shared" si="33"/>
        <v>42867</v>
      </c>
      <c r="C320" s="47">
        <f>SUMIFS('On The Board'!$M$5:$M$219,'On The Board'!F$5:F$219,"&lt;="&amp;$B320,'On The Board'!E$5:E$219,"="&amp;FutureWork)</f>
        <v>0</v>
      </c>
      <c r="D320" s="47" t="str">
        <f ca="1">IF(TodaysDate&gt;=B320,SUMIF('On The Board'!F$5:F$219,"&lt;="&amp;$B320,'On The Board'!$M$5:$M$219)-SUM(F320:J320),"")</f>
        <v/>
      </c>
      <c r="E320" s="12">
        <f ca="1">IF(TodaysDate&gt;=B320,SUMIF('On The Board'!F$5:F$219,"&lt;="&amp;$B320,'On The Board'!$M$5:$M$219)-SUM(F320:J320),E319)</f>
        <v>47</v>
      </c>
      <c r="F320" s="12">
        <f>SUMIF('On The Board'!G$5:G$219,"&lt;="&amp;$B320,'On The Board'!$M$5:$M$219)-SUM(G320:J320)</f>
        <v>0</v>
      </c>
      <c r="G320" s="12">
        <f>SUMIF('On The Board'!H$5:H$219,"&lt;="&amp;$B320,'On The Board'!$M$5:$M$219)-SUM(H320:J320)</f>
        <v>5</v>
      </c>
      <c r="H320" s="12">
        <f>SUMIF('On The Board'!I$5:I$219,"&lt;="&amp;$B320,'On The Board'!$M$5:$M$219)-SUM(I320,J320)</f>
        <v>2</v>
      </c>
      <c r="I320" s="12">
        <f>SUMIF('On The Board'!J$5:J$219,"&lt;="&amp;$B320,'On The Board'!$M$5:$M$219)-SUM(J320)</f>
        <v>0</v>
      </c>
      <c r="J320" s="12">
        <f>SUMIF('On The Board'!K$5:K$219,"&lt;="&amp;$B320,'On The Board'!$M$5:$M$219)</f>
        <v>70</v>
      </c>
      <c r="K320" s="10">
        <f t="shared" si="39"/>
        <v>77</v>
      </c>
      <c r="L320" s="10" t="e">
        <f ca="1">IF(TodaysDate&gt;=B320,SUM(F320:I320),NA())</f>
        <v>#N/A</v>
      </c>
      <c r="M320" s="44" t="e">
        <f t="shared" ca="1" si="35"/>
        <v>#N/A</v>
      </c>
      <c r="N320" s="44" t="e">
        <f ca="1">IF(ISNUMBER(M320),(J320-J310)/NETWORKDAYS(B310,B320,BankHolidays),NA())</f>
        <v>#N/A</v>
      </c>
      <c r="O320" s="44" t="e">
        <f t="shared" ca="1" si="34"/>
        <v>#N/A</v>
      </c>
      <c r="P320" s="53" t="e">
        <f t="shared" ca="1" si="36"/>
        <v>#N/A</v>
      </c>
      <c r="Q320" s="53" t="str">
        <f ca="1">IFERROR(DayByDayTable[[#This Row],[Lead Time]],"")</f>
        <v/>
      </c>
      <c r="R320" s="44" t="e">
        <f t="shared" ca="1" si="37"/>
        <v>#N/A</v>
      </c>
      <c r="S320" s="44">
        <f ca="1">ROUND(PERCENTILE(DayByDayTable[[#Data],[BlankLeadTime]],0.8),0)</f>
        <v>8</v>
      </c>
    </row>
    <row r="321" spans="1:19">
      <c r="A321" s="51">
        <f t="shared" si="38"/>
        <v>42870</v>
      </c>
      <c r="B321" s="11">
        <f t="shared" si="33"/>
        <v>42870</v>
      </c>
      <c r="C321" s="47">
        <f>SUMIFS('On The Board'!$M$5:$M$219,'On The Board'!F$5:F$219,"&lt;="&amp;$B321,'On The Board'!E$5:E$219,"="&amp;FutureWork)</f>
        <v>0</v>
      </c>
      <c r="D321" s="47" t="str">
        <f ca="1">IF(TodaysDate&gt;=B321,SUMIF('On The Board'!F$5:F$219,"&lt;="&amp;$B321,'On The Board'!$M$5:$M$219)-SUM(F321:J321),"")</f>
        <v/>
      </c>
      <c r="E321" s="12">
        <f ca="1">IF(TodaysDate&gt;=B321,SUMIF('On The Board'!F$5:F$219,"&lt;="&amp;$B321,'On The Board'!$M$5:$M$219)-SUM(F321:J321),E320)</f>
        <v>47</v>
      </c>
      <c r="F321" s="12">
        <f>SUMIF('On The Board'!G$5:G$219,"&lt;="&amp;$B321,'On The Board'!$M$5:$M$219)-SUM(G321:J321)</f>
        <v>0</v>
      </c>
      <c r="G321" s="12">
        <f>SUMIF('On The Board'!H$5:H$219,"&lt;="&amp;$B321,'On The Board'!$M$5:$M$219)-SUM(H321:J321)</f>
        <v>5</v>
      </c>
      <c r="H321" s="12">
        <f>SUMIF('On The Board'!I$5:I$219,"&lt;="&amp;$B321,'On The Board'!$M$5:$M$219)-SUM(I321,J321)</f>
        <v>2</v>
      </c>
      <c r="I321" s="12">
        <f>SUMIF('On The Board'!J$5:J$219,"&lt;="&amp;$B321,'On The Board'!$M$5:$M$219)-SUM(J321)</f>
        <v>0</v>
      </c>
      <c r="J321" s="12">
        <f>SUMIF('On The Board'!K$5:K$219,"&lt;="&amp;$B321,'On The Board'!$M$5:$M$219)</f>
        <v>70</v>
      </c>
      <c r="K321" s="10">
        <f t="shared" si="39"/>
        <v>77</v>
      </c>
      <c r="L321" s="10" t="e">
        <f ca="1">IF(TodaysDate&gt;=B321,SUM(F321:I321),NA())</f>
        <v>#N/A</v>
      </c>
      <c r="M321" s="44" t="e">
        <f t="shared" ca="1" si="35"/>
        <v>#N/A</v>
      </c>
      <c r="N321" s="44" t="e">
        <f ca="1">IF(ISNUMBER(M321),(J321-J311)/NETWORKDAYS(B311,B321,BankHolidays),NA())</f>
        <v>#N/A</v>
      </c>
      <c r="O321" s="44" t="e">
        <f t="shared" ca="1" si="34"/>
        <v>#N/A</v>
      </c>
      <c r="P321" s="53" t="e">
        <f t="shared" ca="1" si="36"/>
        <v>#N/A</v>
      </c>
      <c r="Q321" s="53" t="str">
        <f ca="1">IFERROR(DayByDayTable[[#This Row],[Lead Time]],"")</f>
        <v/>
      </c>
      <c r="R321" s="44" t="e">
        <f t="shared" ca="1" si="37"/>
        <v>#N/A</v>
      </c>
      <c r="S321" s="44">
        <f ca="1">ROUND(PERCENTILE(DayByDayTable[[#Data],[BlankLeadTime]],0.8),0)</f>
        <v>8</v>
      </c>
    </row>
    <row r="322" spans="1:19">
      <c r="A322" s="51">
        <f t="shared" si="38"/>
        <v>42871</v>
      </c>
      <c r="B322" s="11">
        <f t="shared" si="33"/>
        <v>42871</v>
      </c>
      <c r="C322" s="47">
        <f>SUMIFS('On The Board'!$M$5:$M$219,'On The Board'!F$5:F$219,"&lt;="&amp;$B322,'On The Board'!E$5:E$219,"="&amp;FutureWork)</f>
        <v>0</v>
      </c>
      <c r="D322" s="47" t="str">
        <f ca="1">IF(TodaysDate&gt;=B322,SUMIF('On The Board'!F$5:F$219,"&lt;="&amp;$B322,'On The Board'!$M$5:$M$219)-SUM(F322:J322),"")</f>
        <v/>
      </c>
      <c r="E322" s="12">
        <f ca="1">IF(TodaysDate&gt;=B322,SUMIF('On The Board'!F$5:F$219,"&lt;="&amp;$B322,'On The Board'!$M$5:$M$219)-SUM(F322:J322),E321)</f>
        <v>47</v>
      </c>
      <c r="F322" s="12">
        <f>SUMIF('On The Board'!G$5:G$219,"&lt;="&amp;$B322,'On The Board'!$M$5:$M$219)-SUM(G322:J322)</f>
        <v>0</v>
      </c>
      <c r="G322" s="12">
        <f>SUMIF('On The Board'!H$5:H$219,"&lt;="&amp;$B322,'On The Board'!$M$5:$M$219)-SUM(H322:J322)</f>
        <v>5</v>
      </c>
      <c r="H322" s="12">
        <f>SUMIF('On The Board'!I$5:I$219,"&lt;="&amp;$B322,'On The Board'!$M$5:$M$219)-SUM(I322,J322)</f>
        <v>2</v>
      </c>
      <c r="I322" s="12">
        <f>SUMIF('On The Board'!J$5:J$219,"&lt;="&amp;$B322,'On The Board'!$M$5:$M$219)-SUM(J322)</f>
        <v>0</v>
      </c>
      <c r="J322" s="12">
        <f>SUMIF('On The Board'!K$5:K$219,"&lt;="&amp;$B322,'On The Board'!$M$5:$M$219)</f>
        <v>70</v>
      </c>
      <c r="K322" s="10">
        <f t="shared" si="39"/>
        <v>77</v>
      </c>
      <c r="L322" s="10" t="e">
        <f ca="1">IF(TodaysDate&gt;=B322,SUM(F322:I322),NA())</f>
        <v>#N/A</v>
      </c>
      <c r="M322" s="44" t="e">
        <f t="shared" ca="1" si="35"/>
        <v>#N/A</v>
      </c>
      <c r="N322" s="44" t="e">
        <f ca="1">IF(ISNUMBER(M322),(J322-J312)/NETWORKDAYS(B312,B322,BankHolidays),NA())</f>
        <v>#N/A</v>
      </c>
      <c r="O322" s="44" t="e">
        <f t="shared" ca="1" si="34"/>
        <v>#N/A</v>
      </c>
      <c r="P322" s="53" t="e">
        <f t="shared" ca="1" si="36"/>
        <v>#N/A</v>
      </c>
      <c r="Q322" s="53" t="str">
        <f ca="1">IFERROR(DayByDayTable[[#This Row],[Lead Time]],"")</f>
        <v/>
      </c>
      <c r="R322" s="44" t="e">
        <f t="shared" ca="1" si="37"/>
        <v>#N/A</v>
      </c>
      <c r="S322" s="44">
        <f ca="1">ROUND(PERCENTILE(DayByDayTable[[#Data],[BlankLeadTime]],0.8),0)</f>
        <v>8</v>
      </c>
    </row>
    <row r="323" spans="1:19">
      <c r="A323" s="51">
        <f t="shared" si="38"/>
        <v>42872</v>
      </c>
      <c r="B323" s="11">
        <f t="shared" ref="B323:B386" si="40">IF(NETWORKDAYS(B322,B322+1,BankHolidays)=2,B322+1,IF(NETWORKDAYS(B322,B322+2,BankHolidays)=2,B322+2,IF(NETWORKDAYS(B322,B322+3,BankHolidays)=2,B322+3,IF(NETWORKDAYS(B322,B322+4,BankHolidays)=2,B322+4,IF(NETWORKDAYS(B322,B322+5,BankHolidays)=2,B322+5,NA())))))</f>
        <v>42872</v>
      </c>
      <c r="C323" s="47">
        <f>SUMIFS('On The Board'!$M$5:$M$219,'On The Board'!F$5:F$219,"&lt;="&amp;$B323,'On The Board'!E$5:E$219,"="&amp;FutureWork)</f>
        <v>0</v>
      </c>
      <c r="D323" s="47" t="str">
        <f ca="1">IF(TodaysDate&gt;=B323,SUMIF('On The Board'!F$5:F$219,"&lt;="&amp;$B323,'On The Board'!$M$5:$M$219)-SUM(F323:J323),"")</f>
        <v/>
      </c>
      <c r="E323" s="12">
        <f ca="1">IF(TodaysDate&gt;=B323,SUMIF('On The Board'!F$5:F$219,"&lt;="&amp;$B323,'On The Board'!$M$5:$M$219)-SUM(F323:J323),E322)</f>
        <v>47</v>
      </c>
      <c r="F323" s="12">
        <f>SUMIF('On The Board'!G$5:G$219,"&lt;="&amp;$B323,'On The Board'!$M$5:$M$219)-SUM(G323:J323)</f>
        <v>0</v>
      </c>
      <c r="G323" s="12">
        <f>SUMIF('On The Board'!H$5:H$219,"&lt;="&amp;$B323,'On The Board'!$M$5:$M$219)-SUM(H323:J323)</f>
        <v>5</v>
      </c>
      <c r="H323" s="12">
        <f>SUMIF('On The Board'!I$5:I$219,"&lt;="&amp;$B323,'On The Board'!$M$5:$M$219)-SUM(I323,J323)</f>
        <v>2</v>
      </c>
      <c r="I323" s="12">
        <f>SUMIF('On The Board'!J$5:J$219,"&lt;="&amp;$B323,'On The Board'!$M$5:$M$219)-SUM(J323)</f>
        <v>0</v>
      </c>
      <c r="J323" s="12">
        <f>SUMIF('On The Board'!K$5:K$219,"&lt;="&amp;$B323,'On The Board'!$M$5:$M$219)</f>
        <v>70</v>
      </c>
      <c r="K323" s="10">
        <f t="shared" si="39"/>
        <v>77</v>
      </c>
      <c r="L323" s="10" t="e">
        <f ca="1">IF(TodaysDate&gt;=B323,SUM(F323:I323),NA())</f>
        <v>#N/A</v>
      </c>
      <c r="M323" s="44" t="e">
        <f t="shared" ca="1" si="35"/>
        <v>#N/A</v>
      </c>
      <c r="N323" s="44" t="e">
        <f ca="1">IF(ISNUMBER(M323),(J323-J313)/NETWORKDAYS(B313,B323,BankHolidays),NA())</f>
        <v>#N/A</v>
      </c>
      <c r="O323" s="44" t="e">
        <f t="shared" ref="O323:O386" ca="1" si="41">IF(N323&gt;0,M323/N323,NA())</f>
        <v>#N/A</v>
      </c>
      <c r="P323" s="53" t="e">
        <f t="shared" ca="1" si="36"/>
        <v>#N/A</v>
      </c>
      <c r="Q323" s="53" t="str">
        <f ca="1">IFERROR(DayByDayTable[[#This Row],[Lead Time]],"")</f>
        <v/>
      </c>
      <c r="R323" s="44" t="e">
        <f t="shared" ca="1" si="37"/>
        <v>#N/A</v>
      </c>
      <c r="S323" s="44">
        <f ca="1">ROUND(PERCENTILE(DayByDayTable[[#Data],[BlankLeadTime]],0.8),0)</f>
        <v>8</v>
      </c>
    </row>
    <row r="324" spans="1:19">
      <c r="A324" s="51">
        <f t="shared" si="38"/>
        <v>42873</v>
      </c>
      <c r="B324" s="11">
        <f t="shared" si="40"/>
        <v>42873</v>
      </c>
      <c r="C324" s="47">
        <f>SUMIFS('On The Board'!$M$5:$M$219,'On The Board'!F$5:F$219,"&lt;="&amp;$B324,'On The Board'!E$5:E$219,"="&amp;FutureWork)</f>
        <v>0</v>
      </c>
      <c r="D324" s="47" t="str">
        <f ca="1">IF(TodaysDate&gt;=B324,SUMIF('On The Board'!F$5:F$219,"&lt;="&amp;$B324,'On The Board'!$M$5:$M$219)-SUM(F324:J324),"")</f>
        <v/>
      </c>
      <c r="E324" s="12">
        <f ca="1">IF(TodaysDate&gt;=B324,SUMIF('On The Board'!F$5:F$219,"&lt;="&amp;$B324,'On The Board'!$M$5:$M$219)-SUM(F324:J324),E323)</f>
        <v>47</v>
      </c>
      <c r="F324" s="12">
        <f>SUMIF('On The Board'!G$5:G$219,"&lt;="&amp;$B324,'On The Board'!$M$5:$M$219)-SUM(G324:J324)</f>
        <v>0</v>
      </c>
      <c r="G324" s="12">
        <f>SUMIF('On The Board'!H$5:H$219,"&lt;="&amp;$B324,'On The Board'!$M$5:$M$219)-SUM(H324:J324)</f>
        <v>5</v>
      </c>
      <c r="H324" s="12">
        <f>SUMIF('On The Board'!I$5:I$219,"&lt;="&amp;$B324,'On The Board'!$M$5:$M$219)-SUM(I324,J324)</f>
        <v>2</v>
      </c>
      <c r="I324" s="12">
        <f>SUMIF('On The Board'!J$5:J$219,"&lt;="&amp;$B324,'On The Board'!$M$5:$M$219)-SUM(J324)</f>
        <v>0</v>
      </c>
      <c r="J324" s="12">
        <f>SUMIF('On The Board'!K$5:K$219,"&lt;="&amp;$B324,'On The Board'!$M$5:$M$219)</f>
        <v>70</v>
      </c>
      <c r="K324" s="10">
        <f t="shared" si="39"/>
        <v>77</v>
      </c>
      <c r="L324" s="10" t="e">
        <f ca="1">IF(TodaysDate&gt;=B324,SUM(F324:I324),NA())</f>
        <v>#N/A</v>
      </c>
      <c r="M324" s="44" t="e">
        <f t="shared" ca="1" si="35"/>
        <v>#N/A</v>
      </c>
      <c r="N324" s="44" t="e">
        <f ca="1">IF(ISNUMBER(M324),(J324-J314)/NETWORKDAYS(B314,B324,BankHolidays),NA())</f>
        <v>#N/A</v>
      </c>
      <c r="O324" s="44" t="e">
        <f t="shared" ca="1" si="41"/>
        <v>#N/A</v>
      </c>
      <c r="P324" s="53" t="e">
        <f t="shared" ca="1" si="36"/>
        <v>#N/A</v>
      </c>
      <c r="Q324" s="53" t="str">
        <f ca="1">IFERROR(DayByDayTable[[#This Row],[Lead Time]],"")</f>
        <v/>
      </c>
      <c r="R324" s="44" t="e">
        <f t="shared" ca="1" si="37"/>
        <v>#N/A</v>
      </c>
      <c r="S324" s="44">
        <f ca="1">ROUND(PERCENTILE(DayByDayTable[[#Data],[BlankLeadTime]],0.8),0)</f>
        <v>8</v>
      </c>
    </row>
    <row r="325" spans="1:19">
      <c r="A325" s="51">
        <f t="shared" si="38"/>
        <v>42874</v>
      </c>
      <c r="B325" s="11">
        <f t="shared" si="40"/>
        <v>42874</v>
      </c>
      <c r="C325" s="47">
        <f>SUMIFS('On The Board'!$M$5:$M$219,'On The Board'!F$5:F$219,"&lt;="&amp;$B325,'On The Board'!E$5:E$219,"="&amp;FutureWork)</f>
        <v>0</v>
      </c>
      <c r="D325" s="47" t="str">
        <f ca="1">IF(TodaysDate&gt;=B325,SUMIF('On The Board'!F$5:F$219,"&lt;="&amp;$B325,'On The Board'!$M$5:$M$219)-SUM(F325:J325),"")</f>
        <v/>
      </c>
      <c r="E325" s="12">
        <f ca="1">IF(TodaysDate&gt;=B325,SUMIF('On The Board'!F$5:F$219,"&lt;="&amp;$B325,'On The Board'!$M$5:$M$219)-SUM(F325:J325),E324)</f>
        <v>47</v>
      </c>
      <c r="F325" s="12">
        <f>SUMIF('On The Board'!G$5:G$219,"&lt;="&amp;$B325,'On The Board'!$M$5:$M$219)-SUM(G325:J325)</f>
        <v>0</v>
      </c>
      <c r="G325" s="12">
        <f>SUMIF('On The Board'!H$5:H$219,"&lt;="&amp;$B325,'On The Board'!$M$5:$M$219)-SUM(H325:J325)</f>
        <v>5</v>
      </c>
      <c r="H325" s="12">
        <f>SUMIF('On The Board'!I$5:I$219,"&lt;="&amp;$B325,'On The Board'!$M$5:$M$219)-SUM(I325,J325)</f>
        <v>2</v>
      </c>
      <c r="I325" s="12">
        <f>SUMIF('On The Board'!J$5:J$219,"&lt;="&amp;$B325,'On The Board'!$M$5:$M$219)-SUM(J325)</f>
        <v>0</v>
      </c>
      <c r="J325" s="12">
        <f>SUMIF('On The Board'!K$5:K$219,"&lt;="&amp;$B325,'On The Board'!$M$5:$M$219)</f>
        <v>70</v>
      </c>
      <c r="K325" s="10">
        <f t="shared" si="39"/>
        <v>77</v>
      </c>
      <c r="L325" s="10" t="e">
        <f ca="1">IF(TodaysDate&gt;=B325,SUM(F325:I325),NA())</f>
        <v>#N/A</v>
      </c>
      <c r="M325" s="44" t="e">
        <f t="shared" ca="1" si="35"/>
        <v>#N/A</v>
      </c>
      <c r="N325" s="44" t="e">
        <f ca="1">IF(ISNUMBER(M325),(J325-J315)/NETWORKDAYS(B315,B325,BankHolidays),NA())</f>
        <v>#N/A</v>
      </c>
      <c r="O325" s="44" t="e">
        <f t="shared" ca="1" si="41"/>
        <v>#N/A</v>
      </c>
      <c r="P325" s="53" t="e">
        <f t="shared" ca="1" si="36"/>
        <v>#N/A</v>
      </c>
      <c r="Q325" s="53" t="str">
        <f ca="1">IFERROR(DayByDayTable[[#This Row],[Lead Time]],"")</f>
        <v/>
      </c>
      <c r="R325" s="44" t="e">
        <f t="shared" ca="1" si="37"/>
        <v>#N/A</v>
      </c>
      <c r="S325" s="44">
        <f ca="1">ROUND(PERCENTILE(DayByDayTable[[#Data],[BlankLeadTime]],0.8),0)</f>
        <v>8</v>
      </c>
    </row>
    <row r="326" spans="1:19">
      <c r="A326" s="51">
        <f t="shared" si="38"/>
        <v>42877</v>
      </c>
      <c r="B326" s="11">
        <f t="shared" si="40"/>
        <v>42877</v>
      </c>
      <c r="C326" s="47">
        <f>SUMIFS('On The Board'!$M$5:$M$219,'On The Board'!F$5:F$219,"&lt;="&amp;$B326,'On The Board'!E$5:E$219,"="&amp;FutureWork)</f>
        <v>0</v>
      </c>
      <c r="D326" s="47" t="str">
        <f ca="1">IF(TodaysDate&gt;=B326,SUMIF('On The Board'!F$5:F$219,"&lt;="&amp;$B326,'On The Board'!$M$5:$M$219)-SUM(F326:J326),"")</f>
        <v/>
      </c>
      <c r="E326" s="12">
        <f ca="1">IF(TodaysDate&gt;=B326,SUMIF('On The Board'!F$5:F$219,"&lt;="&amp;$B326,'On The Board'!$M$5:$M$219)-SUM(F326:J326),E325)</f>
        <v>47</v>
      </c>
      <c r="F326" s="12">
        <f>SUMIF('On The Board'!G$5:G$219,"&lt;="&amp;$B326,'On The Board'!$M$5:$M$219)-SUM(G326:J326)</f>
        <v>0</v>
      </c>
      <c r="G326" s="12">
        <f>SUMIF('On The Board'!H$5:H$219,"&lt;="&amp;$B326,'On The Board'!$M$5:$M$219)-SUM(H326:J326)</f>
        <v>5</v>
      </c>
      <c r="H326" s="12">
        <f>SUMIF('On The Board'!I$5:I$219,"&lt;="&amp;$B326,'On The Board'!$M$5:$M$219)-SUM(I326,J326)</f>
        <v>2</v>
      </c>
      <c r="I326" s="12">
        <f>SUMIF('On The Board'!J$5:J$219,"&lt;="&amp;$B326,'On The Board'!$M$5:$M$219)-SUM(J326)</f>
        <v>0</v>
      </c>
      <c r="J326" s="12">
        <f>SUMIF('On The Board'!K$5:K$219,"&lt;="&amp;$B326,'On The Board'!$M$5:$M$219)</f>
        <v>70</v>
      </c>
      <c r="K326" s="10">
        <f t="shared" si="39"/>
        <v>77</v>
      </c>
      <c r="L326" s="10" t="e">
        <f ca="1">IF(TodaysDate&gt;=B326,SUM(F326:I326),NA())</f>
        <v>#N/A</v>
      </c>
      <c r="M326" s="44" t="e">
        <f t="shared" ca="1" si="35"/>
        <v>#N/A</v>
      </c>
      <c r="N326" s="44" t="e">
        <f ca="1">IF(ISNUMBER(M326),(J326-J316)/NETWORKDAYS(B316,B326,BankHolidays),NA())</f>
        <v>#N/A</v>
      </c>
      <c r="O326" s="44" t="e">
        <f t="shared" ca="1" si="41"/>
        <v>#N/A</v>
      </c>
      <c r="P326" s="53" t="e">
        <f t="shared" ca="1" si="36"/>
        <v>#N/A</v>
      </c>
      <c r="Q326" s="53" t="str">
        <f ca="1">IFERROR(DayByDayTable[[#This Row],[Lead Time]],"")</f>
        <v/>
      </c>
      <c r="R326" s="44" t="e">
        <f t="shared" ca="1" si="37"/>
        <v>#N/A</v>
      </c>
      <c r="S326" s="44">
        <f ca="1">ROUND(PERCENTILE(DayByDayTable[[#Data],[BlankLeadTime]],0.8),0)</f>
        <v>8</v>
      </c>
    </row>
    <row r="327" spans="1:19">
      <c r="A327" s="51">
        <f t="shared" si="38"/>
        <v>42878</v>
      </c>
      <c r="B327" s="11">
        <f t="shared" si="40"/>
        <v>42878</v>
      </c>
      <c r="C327" s="47">
        <f>SUMIFS('On The Board'!$M$5:$M$219,'On The Board'!F$5:F$219,"&lt;="&amp;$B327,'On The Board'!E$5:E$219,"="&amp;FutureWork)</f>
        <v>0</v>
      </c>
      <c r="D327" s="47" t="str">
        <f ca="1">IF(TodaysDate&gt;=B327,SUMIF('On The Board'!F$5:F$219,"&lt;="&amp;$B327,'On The Board'!$M$5:$M$219)-SUM(F327:J327),"")</f>
        <v/>
      </c>
      <c r="E327" s="12">
        <f ca="1">IF(TodaysDate&gt;=B327,SUMIF('On The Board'!F$5:F$219,"&lt;="&amp;$B327,'On The Board'!$M$5:$M$219)-SUM(F327:J327),E326)</f>
        <v>47</v>
      </c>
      <c r="F327" s="12">
        <f>SUMIF('On The Board'!G$5:G$219,"&lt;="&amp;$B327,'On The Board'!$M$5:$M$219)-SUM(G327:J327)</f>
        <v>0</v>
      </c>
      <c r="G327" s="12">
        <f>SUMIF('On The Board'!H$5:H$219,"&lt;="&amp;$B327,'On The Board'!$M$5:$M$219)-SUM(H327:J327)</f>
        <v>5</v>
      </c>
      <c r="H327" s="12">
        <f>SUMIF('On The Board'!I$5:I$219,"&lt;="&amp;$B327,'On The Board'!$M$5:$M$219)-SUM(I327,J327)</f>
        <v>2</v>
      </c>
      <c r="I327" s="12">
        <f>SUMIF('On The Board'!J$5:J$219,"&lt;="&amp;$B327,'On The Board'!$M$5:$M$219)-SUM(J327)</f>
        <v>0</v>
      </c>
      <c r="J327" s="12">
        <f>SUMIF('On The Board'!K$5:K$219,"&lt;="&amp;$B327,'On The Board'!$M$5:$M$219)</f>
        <v>70</v>
      </c>
      <c r="K327" s="10">
        <f t="shared" si="39"/>
        <v>77</v>
      </c>
      <c r="L327" s="10" t="e">
        <f ca="1">IF(TodaysDate&gt;=B327,SUM(F327:I327),NA())</f>
        <v>#N/A</v>
      </c>
      <c r="M327" s="44" t="e">
        <f t="shared" ca="1" si="35"/>
        <v>#N/A</v>
      </c>
      <c r="N327" s="44" t="e">
        <f ca="1">IF(ISNUMBER(M327),(J327-J317)/NETWORKDAYS(B317,B327,BankHolidays),NA())</f>
        <v>#N/A</v>
      </c>
      <c r="O327" s="44" t="e">
        <f t="shared" ca="1" si="41"/>
        <v>#N/A</v>
      </c>
      <c r="P327" s="53" t="e">
        <f t="shared" ca="1" si="36"/>
        <v>#N/A</v>
      </c>
      <c r="Q327" s="53" t="str">
        <f ca="1">IFERROR(DayByDayTable[[#This Row],[Lead Time]],"")</f>
        <v/>
      </c>
      <c r="R327" s="44" t="e">
        <f t="shared" ca="1" si="37"/>
        <v>#N/A</v>
      </c>
      <c r="S327" s="44">
        <f ca="1">ROUND(PERCENTILE(DayByDayTable[[#Data],[BlankLeadTime]],0.8),0)</f>
        <v>8</v>
      </c>
    </row>
    <row r="328" spans="1:19">
      <c r="A328" s="51">
        <f t="shared" si="38"/>
        <v>42879</v>
      </c>
      <c r="B328" s="11">
        <f t="shared" si="40"/>
        <v>42879</v>
      </c>
      <c r="C328" s="47">
        <f>SUMIFS('On The Board'!$M$5:$M$219,'On The Board'!F$5:F$219,"&lt;="&amp;$B328,'On The Board'!E$5:E$219,"="&amp;FutureWork)</f>
        <v>0</v>
      </c>
      <c r="D328" s="47" t="str">
        <f ca="1">IF(TodaysDate&gt;=B328,SUMIF('On The Board'!F$5:F$219,"&lt;="&amp;$B328,'On The Board'!$M$5:$M$219)-SUM(F328:J328),"")</f>
        <v/>
      </c>
      <c r="E328" s="12">
        <f ca="1">IF(TodaysDate&gt;=B328,SUMIF('On The Board'!F$5:F$219,"&lt;="&amp;$B328,'On The Board'!$M$5:$M$219)-SUM(F328:J328),E327)</f>
        <v>47</v>
      </c>
      <c r="F328" s="12">
        <f>SUMIF('On The Board'!G$5:G$219,"&lt;="&amp;$B328,'On The Board'!$M$5:$M$219)-SUM(G328:J328)</f>
        <v>0</v>
      </c>
      <c r="G328" s="12">
        <f>SUMIF('On The Board'!H$5:H$219,"&lt;="&amp;$B328,'On The Board'!$M$5:$M$219)-SUM(H328:J328)</f>
        <v>5</v>
      </c>
      <c r="H328" s="12">
        <f>SUMIF('On The Board'!I$5:I$219,"&lt;="&amp;$B328,'On The Board'!$M$5:$M$219)-SUM(I328,J328)</f>
        <v>2</v>
      </c>
      <c r="I328" s="12">
        <f>SUMIF('On The Board'!J$5:J$219,"&lt;="&amp;$B328,'On The Board'!$M$5:$M$219)-SUM(J328)</f>
        <v>0</v>
      </c>
      <c r="J328" s="12">
        <f>SUMIF('On The Board'!K$5:K$219,"&lt;="&amp;$B328,'On The Board'!$M$5:$M$219)</f>
        <v>70</v>
      </c>
      <c r="K328" s="10">
        <f t="shared" si="39"/>
        <v>77</v>
      </c>
      <c r="L328" s="10" t="e">
        <f ca="1">IF(TodaysDate&gt;=B328,SUM(F328:I328),NA())</f>
        <v>#N/A</v>
      </c>
      <c r="M328" s="44" t="e">
        <f t="shared" ca="1" si="35"/>
        <v>#N/A</v>
      </c>
      <c r="N328" s="44" t="e">
        <f ca="1">IF(ISNUMBER(M328),(J328-J318)/NETWORKDAYS(B318,B328,BankHolidays),NA())</f>
        <v>#N/A</v>
      </c>
      <c r="O328" s="44" t="e">
        <f t="shared" ca="1" si="41"/>
        <v>#N/A</v>
      </c>
      <c r="P328" s="53" t="e">
        <f t="shared" ca="1" si="36"/>
        <v>#N/A</v>
      </c>
      <c r="Q328" s="53" t="str">
        <f ca="1">IFERROR(DayByDayTable[[#This Row],[Lead Time]],"")</f>
        <v/>
      </c>
      <c r="R328" s="44" t="e">
        <f t="shared" ca="1" si="37"/>
        <v>#N/A</v>
      </c>
      <c r="S328" s="44">
        <f ca="1">ROUND(PERCENTILE(DayByDayTable[[#Data],[BlankLeadTime]],0.8),0)</f>
        <v>8</v>
      </c>
    </row>
    <row r="329" spans="1:19">
      <c r="A329" s="51">
        <f t="shared" si="38"/>
        <v>42880</v>
      </c>
      <c r="B329" s="11">
        <f t="shared" si="40"/>
        <v>42880</v>
      </c>
      <c r="C329" s="47">
        <f>SUMIFS('On The Board'!$M$5:$M$219,'On The Board'!F$5:F$219,"&lt;="&amp;$B329,'On The Board'!E$5:E$219,"="&amp;FutureWork)</f>
        <v>0</v>
      </c>
      <c r="D329" s="47" t="str">
        <f ca="1">IF(TodaysDate&gt;=B329,SUMIF('On The Board'!F$5:F$219,"&lt;="&amp;$B329,'On The Board'!$M$5:$M$219)-SUM(F329:J329),"")</f>
        <v/>
      </c>
      <c r="E329" s="12">
        <f ca="1">IF(TodaysDate&gt;=B329,SUMIF('On The Board'!F$5:F$219,"&lt;="&amp;$B329,'On The Board'!$M$5:$M$219)-SUM(F329:J329),E328)</f>
        <v>47</v>
      </c>
      <c r="F329" s="12">
        <f>SUMIF('On The Board'!G$5:G$219,"&lt;="&amp;$B329,'On The Board'!$M$5:$M$219)-SUM(G329:J329)</f>
        <v>0</v>
      </c>
      <c r="G329" s="12">
        <f>SUMIF('On The Board'!H$5:H$219,"&lt;="&amp;$B329,'On The Board'!$M$5:$M$219)-SUM(H329:J329)</f>
        <v>5</v>
      </c>
      <c r="H329" s="12">
        <f>SUMIF('On The Board'!I$5:I$219,"&lt;="&amp;$B329,'On The Board'!$M$5:$M$219)-SUM(I329,J329)</f>
        <v>2</v>
      </c>
      <c r="I329" s="12">
        <f>SUMIF('On The Board'!J$5:J$219,"&lt;="&amp;$B329,'On The Board'!$M$5:$M$219)-SUM(J329)</f>
        <v>0</v>
      </c>
      <c r="J329" s="12">
        <f>SUMIF('On The Board'!K$5:K$219,"&lt;="&amp;$B329,'On The Board'!$M$5:$M$219)</f>
        <v>70</v>
      </c>
      <c r="K329" s="10">
        <f t="shared" si="39"/>
        <v>77</v>
      </c>
      <c r="L329" s="10" t="e">
        <f ca="1">IF(TodaysDate&gt;=B329,SUM(F329:I329),NA())</f>
        <v>#N/A</v>
      </c>
      <c r="M329" s="44" t="e">
        <f t="shared" ca="1" si="35"/>
        <v>#N/A</v>
      </c>
      <c r="N329" s="44" t="e">
        <f ca="1">IF(ISNUMBER(M329),(J329-J319)/NETWORKDAYS(B319,B329,BankHolidays),NA())</f>
        <v>#N/A</v>
      </c>
      <c r="O329" s="44" t="e">
        <f t="shared" ca="1" si="41"/>
        <v>#N/A</v>
      </c>
      <c r="P329" s="53" t="e">
        <f t="shared" ca="1" si="36"/>
        <v>#N/A</v>
      </c>
      <c r="Q329" s="53" t="str">
        <f ca="1">IFERROR(DayByDayTable[[#This Row],[Lead Time]],"")</f>
        <v/>
      </c>
      <c r="R329" s="44" t="e">
        <f t="shared" ca="1" si="37"/>
        <v>#N/A</v>
      </c>
      <c r="S329" s="44">
        <f ca="1">ROUND(PERCENTILE(DayByDayTable[[#Data],[BlankLeadTime]],0.8),0)</f>
        <v>8</v>
      </c>
    </row>
    <row r="330" spans="1:19">
      <c r="A330" s="51">
        <f t="shared" si="38"/>
        <v>42881</v>
      </c>
      <c r="B330" s="11">
        <f t="shared" si="40"/>
        <v>42881</v>
      </c>
      <c r="C330" s="47">
        <f>SUMIFS('On The Board'!$M$5:$M$219,'On The Board'!F$5:F$219,"&lt;="&amp;$B330,'On The Board'!E$5:E$219,"="&amp;FutureWork)</f>
        <v>0</v>
      </c>
      <c r="D330" s="47" t="str">
        <f ca="1">IF(TodaysDate&gt;=B330,SUMIF('On The Board'!F$5:F$219,"&lt;="&amp;$B330,'On The Board'!$M$5:$M$219)-SUM(F330:J330),"")</f>
        <v/>
      </c>
      <c r="E330" s="12">
        <f ca="1">IF(TodaysDate&gt;=B330,SUMIF('On The Board'!F$5:F$219,"&lt;="&amp;$B330,'On The Board'!$M$5:$M$219)-SUM(F330:J330),E329)</f>
        <v>47</v>
      </c>
      <c r="F330" s="12">
        <f>SUMIF('On The Board'!G$5:G$219,"&lt;="&amp;$B330,'On The Board'!$M$5:$M$219)-SUM(G330:J330)</f>
        <v>0</v>
      </c>
      <c r="G330" s="12">
        <f>SUMIF('On The Board'!H$5:H$219,"&lt;="&amp;$B330,'On The Board'!$M$5:$M$219)-SUM(H330:J330)</f>
        <v>5</v>
      </c>
      <c r="H330" s="12">
        <f>SUMIF('On The Board'!I$5:I$219,"&lt;="&amp;$B330,'On The Board'!$M$5:$M$219)-SUM(I330,J330)</f>
        <v>2</v>
      </c>
      <c r="I330" s="12">
        <f>SUMIF('On The Board'!J$5:J$219,"&lt;="&amp;$B330,'On The Board'!$M$5:$M$219)-SUM(J330)</f>
        <v>0</v>
      </c>
      <c r="J330" s="12">
        <f>SUMIF('On The Board'!K$5:K$219,"&lt;="&amp;$B330,'On The Board'!$M$5:$M$219)</f>
        <v>70</v>
      </c>
      <c r="K330" s="10">
        <f t="shared" si="39"/>
        <v>77</v>
      </c>
      <c r="L330" s="10" t="e">
        <f ca="1">IF(TodaysDate&gt;=B330,SUM(F330:I330),NA())</f>
        <v>#N/A</v>
      </c>
      <c r="M330" s="44" t="e">
        <f t="shared" ca="1" si="35"/>
        <v>#N/A</v>
      </c>
      <c r="N330" s="44" t="e">
        <f ca="1">IF(ISNUMBER(M330),(J330-J320)/NETWORKDAYS(B320,B330,BankHolidays),NA())</f>
        <v>#N/A</v>
      </c>
      <c r="O330" s="44" t="e">
        <f t="shared" ca="1" si="41"/>
        <v>#N/A</v>
      </c>
      <c r="P330" s="53" t="e">
        <f t="shared" ca="1" si="36"/>
        <v>#N/A</v>
      </c>
      <c r="Q330" s="53" t="str">
        <f ca="1">IFERROR(DayByDayTable[[#This Row],[Lead Time]],"")</f>
        <v/>
      </c>
      <c r="R330" s="44" t="e">
        <f t="shared" ca="1" si="37"/>
        <v>#N/A</v>
      </c>
      <c r="S330" s="44">
        <f ca="1">ROUND(PERCENTILE(DayByDayTable[[#Data],[BlankLeadTime]],0.8),0)</f>
        <v>8</v>
      </c>
    </row>
    <row r="331" spans="1:19">
      <c r="A331" s="51">
        <f t="shared" si="38"/>
        <v>42885</v>
      </c>
      <c r="B331" s="11">
        <f t="shared" si="40"/>
        <v>42885</v>
      </c>
      <c r="C331" s="47">
        <f>SUMIFS('On The Board'!$M$5:$M$219,'On The Board'!F$5:F$219,"&lt;="&amp;$B331,'On The Board'!E$5:E$219,"="&amp;FutureWork)</f>
        <v>0</v>
      </c>
      <c r="D331" s="47" t="str">
        <f ca="1">IF(TodaysDate&gt;=B331,SUMIF('On The Board'!F$5:F$219,"&lt;="&amp;$B331,'On The Board'!$M$5:$M$219)-SUM(F331:J331),"")</f>
        <v/>
      </c>
      <c r="E331" s="12">
        <f ca="1">IF(TodaysDate&gt;=B331,SUMIF('On The Board'!F$5:F$219,"&lt;="&amp;$B331,'On The Board'!$M$5:$M$219)-SUM(F331:J331),E330)</f>
        <v>47</v>
      </c>
      <c r="F331" s="12">
        <f>SUMIF('On The Board'!G$5:G$219,"&lt;="&amp;$B331,'On The Board'!$M$5:$M$219)-SUM(G331:J331)</f>
        <v>0</v>
      </c>
      <c r="G331" s="12">
        <f>SUMIF('On The Board'!H$5:H$219,"&lt;="&amp;$B331,'On The Board'!$M$5:$M$219)-SUM(H331:J331)</f>
        <v>5</v>
      </c>
      <c r="H331" s="12">
        <f>SUMIF('On The Board'!I$5:I$219,"&lt;="&amp;$B331,'On The Board'!$M$5:$M$219)-SUM(I331,J331)</f>
        <v>2</v>
      </c>
      <c r="I331" s="12">
        <f>SUMIF('On The Board'!J$5:J$219,"&lt;="&amp;$B331,'On The Board'!$M$5:$M$219)-SUM(J331)</f>
        <v>0</v>
      </c>
      <c r="J331" s="12">
        <f>SUMIF('On The Board'!K$5:K$219,"&lt;="&amp;$B331,'On The Board'!$M$5:$M$219)</f>
        <v>70</v>
      </c>
      <c r="K331" s="10">
        <f t="shared" si="39"/>
        <v>77</v>
      </c>
      <c r="L331" s="10" t="e">
        <f ca="1">IF(TodaysDate&gt;=B331,SUM(F331:I331),NA())</f>
        <v>#N/A</v>
      </c>
      <c r="M331" s="44" t="e">
        <f t="shared" ca="1" si="35"/>
        <v>#N/A</v>
      </c>
      <c r="N331" s="44" t="e">
        <f ca="1">IF(ISNUMBER(M331),(J331-J321)/NETWORKDAYS(B321,B331,BankHolidays),NA())</f>
        <v>#N/A</v>
      </c>
      <c r="O331" s="44" t="e">
        <f t="shared" ca="1" si="41"/>
        <v>#N/A</v>
      </c>
      <c r="P331" s="53" t="e">
        <f t="shared" ca="1" si="36"/>
        <v>#N/A</v>
      </c>
      <c r="Q331" s="53" t="str">
        <f ca="1">IFERROR(DayByDayTable[[#This Row],[Lead Time]],"")</f>
        <v/>
      </c>
      <c r="R331" s="44" t="e">
        <f t="shared" ca="1" si="37"/>
        <v>#N/A</v>
      </c>
      <c r="S331" s="44">
        <f ca="1">ROUND(PERCENTILE(DayByDayTable[[#Data],[BlankLeadTime]],0.8),0)</f>
        <v>8</v>
      </c>
    </row>
    <row r="332" spans="1:19">
      <c r="A332" s="51">
        <f t="shared" si="38"/>
        <v>42886</v>
      </c>
      <c r="B332" s="11">
        <f t="shared" si="40"/>
        <v>42886</v>
      </c>
      <c r="C332" s="47">
        <f>SUMIFS('On The Board'!$M$5:$M$219,'On The Board'!F$5:F$219,"&lt;="&amp;$B332,'On The Board'!E$5:E$219,"="&amp;FutureWork)</f>
        <v>0</v>
      </c>
      <c r="D332" s="47" t="str">
        <f ca="1">IF(TodaysDate&gt;=B332,SUMIF('On The Board'!F$5:F$219,"&lt;="&amp;$B332,'On The Board'!$M$5:$M$219)-SUM(F332:J332),"")</f>
        <v/>
      </c>
      <c r="E332" s="12">
        <f ca="1">IF(TodaysDate&gt;=B332,SUMIF('On The Board'!F$5:F$219,"&lt;="&amp;$B332,'On The Board'!$M$5:$M$219)-SUM(F332:J332),E331)</f>
        <v>47</v>
      </c>
      <c r="F332" s="12">
        <f>SUMIF('On The Board'!G$5:G$219,"&lt;="&amp;$B332,'On The Board'!$M$5:$M$219)-SUM(G332:J332)</f>
        <v>0</v>
      </c>
      <c r="G332" s="12">
        <f>SUMIF('On The Board'!H$5:H$219,"&lt;="&amp;$B332,'On The Board'!$M$5:$M$219)-SUM(H332:J332)</f>
        <v>5</v>
      </c>
      <c r="H332" s="12">
        <f>SUMIF('On The Board'!I$5:I$219,"&lt;="&amp;$B332,'On The Board'!$M$5:$M$219)-SUM(I332,J332)</f>
        <v>2</v>
      </c>
      <c r="I332" s="12">
        <f>SUMIF('On The Board'!J$5:J$219,"&lt;="&amp;$B332,'On The Board'!$M$5:$M$219)-SUM(J332)</f>
        <v>0</v>
      </c>
      <c r="J332" s="12">
        <f>SUMIF('On The Board'!K$5:K$219,"&lt;="&amp;$B332,'On The Board'!$M$5:$M$219)</f>
        <v>70</v>
      </c>
      <c r="K332" s="10">
        <f t="shared" si="39"/>
        <v>77</v>
      </c>
      <c r="L332" s="10" t="e">
        <f ca="1">IF(TodaysDate&gt;=B332,SUM(F332:I332),NA())</f>
        <v>#N/A</v>
      </c>
      <c r="M332" s="44" t="e">
        <f t="shared" ca="1" si="35"/>
        <v>#N/A</v>
      </c>
      <c r="N332" s="44" t="e">
        <f ca="1">IF(ISNUMBER(M332),(J332-J322)/NETWORKDAYS(B322,B332,BankHolidays),NA())</f>
        <v>#N/A</v>
      </c>
      <c r="O332" s="44" t="e">
        <f t="shared" ca="1" si="41"/>
        <v>#N/A</v>
      </c>
      <c r="P332" s="53" t="e">
        <f t="shared" ca="1" si="36"/>
        <v>#N/A</v>
      </c>
      <c r="Q332" s="53" t="str">
        <f ca="1">IFERROR(DayByDayTable[[#This Row],[Lead Time]],"")</f>
        <v/>
      </c>
      <c r="R332" s="44" t="e">
        <f t="shared" ca="1" si="37"/>
        <v>#N/A</v>
      </c>
      <c r="S332" s="44">
        <f ca="1">ROUND(PERCENTILE(DayByDayTable[[#Data],[BlankLeadTime]],0.8),0)</f>
        <v>8</v>
      </c>
    </row>
    <row r="333" spans="1:19">
      <c r="A333" s="51">
        <f t="shared" si="38"/>
        <v>42887</v>
      </c>
      <c r="B333" s="11">
        <f t="shared" si="40"/>
        <v>42887</v>
      </c>
      <c r="C333" s="47">
        <f>SUMIFS('On The Board'!$M$5:$M$219,'On The Board'!F$5:F$219,"&lt;="&amp;$B333,'On The Board'!E$5:E$219,"="&amp;FutureWork)</f>
        <v>0</v>
      </c>
      <c r="D333" s="47" t="str">
        <f ca="1">IF(TodaysDate&gt;=B333,SUMIF('On The Board'!F$5:F$219,"&lt;="&amp;$B333,'On The Board'!$M$5:$M$219)-SUM(F333:J333),"")</f>
        <v/>
      </c>
      <c r="E333" s="12">
        <f ca="1">IF(TodaysDate&gt;=B333,SUMIF('On The Board'!F$5:F$219,"&lt;="&amp;$B333,'On The Board'!$M$5:$M$219)-SUM(F333:J333),E332)</f>
        <v>47</v>
      </c>
      <c r="F333" s="12">
        <f>SUMIF('On The Board'!G$5:G$219,"&lt;="&amp;$B333,'On The Board'!$M$5:$M$219)-SUM(G333:J333)</f>
        <v>0</v>
      </c>
      <c r="G333" s="12">
        <f>SUMIF('On The Board'!H$5:H$219,"&lt;="&amp;$B333,'On The Board'!$M$5:$M$219)-SUM(H333:J333)</f>
        <v>5</v>
      </c>
      <c r="H333" s="12">
        <f>SUMIF('On The Board'!I$5:I$219,"&lt;="&amp;$B333,'On The Board'!$M$5:$M$219)-SUM(I333,J333)</f>
        <v>2</v>
      </c>
      <c r="I333" s="12">
        <f>SUMIF('On The Board'!J$5:J$219,"&lt;="&amp;$B333,'On The Board'!$M$5:$M$219)-SUM(J333)</f>
        <v>0</v>
      </c>
      <c r="J333" s="12">
        <f>SUMIF('On The Board'!K$5:K$219,"&lt;="&amp;$B333,'On The Board'!$M$5:$M$219)</f>
        <v>70</v>
      </c>
      <c r="K333" s="10">
        <f t="shared" si="39"/>
        <v>77</v>
      </c>
      <c r="L333" s="10" t="e">
        <f ca="1">IF(TodaysDate&gt;=B333,SUM(F333:I333),NA())</f>
        <v>#N/A</v>
      </c>
      <c r="M333" s="44" t="e">
        <f t="shared" ref="M333:M396" ca="1" si="42">AVERAGE(L323:L333)</f>
        <v>#N/A</v>
      </c>
      <c r="N333" s="44" t="e">
        <f ca="1">IF(ISNUMBER(M333),(J333-J323)/NETWORKDAYS(B323,B333,BankHolidays),NA())</f>
        <v>#N/A</v>
      </c>
      <c r="O333" s="44" t="e">
        <f t="shared" ca="1" si="41"/>
        <v>#N/A</v>
      </c>
      <c r="P333" s="53" t="e">
        <f t="shared" ref="P333:P396" ca="1" si="43">AVERAGE(O323:O333)</f>
        <v>#N/A</v>
      </c>
      <c r="Q333" s="53" t="str">
        <f ca="1">IFERROR(DayByDayTable[[#This Row],[Lead Time]],"")</f>
        <v/>
      </c>
      <c r="R333" s="44" t="e">
        <f t="shared" ca="1" si="37"/>
        <v>#N/A</v>
      </c>
      <c r="S333" s="44">
        <f ca="1">ROUND(PERCENTILE(DayByDayTable[[#Data],[BlankLeadTime]],0.8),0)</f>
        <v>8</v>
      </c>
    </row>
    <row r="334" spans="1:19">
      <c r="A334" s="51">
        <f t="shared" si="38"/>
        <v>42888</v>
      </c>
      <c r="B334" s="11">
        <f t="shared" si="40"/>
        <v>42888</v>
      </c>
      <c r="C334" s="47">
        <f>SUMIFS('On The Board'!$M$5:$M$219,'On The Board'!F$5:F$219,"&lt;="&amp;$B334,'On The Board'!E$5:E$219,"="&amp;FutureWork)</f>
        <v>0</v>
      </c>
      <c r="D334" s="47" t="str">
        <f ca="1">IF(TodaysDate&gt;=B334,SUMIF('On The Board'!F$5:F$219,"&lt;="&amp;$B334,'On The Board'!$M$5:$M$219)-SUM(F334:J334),"")</f>
        <v/>
      </c>
      <c r="E334" s="12">
        <f ca="1">IF(TodaysDate&gt;=B334,SUMIF('On The Board'!F$5:F$219,"&lt;="&amp;$B334,'On The Board'!$M$5:$M$219)-SUM(F334:J334),E333)</f>
        <v>47</v>
      </c>
      <c r="F334" s="12">
        <f>SUMIF('On The Board'!G$5:G$219,"&lt;="&amp;$B334,'On The Board'!$M$5:$M$219)-SUM(G334:J334)</f>
        <v>0</v>
      </c>
      <c r="G334" s="12">
        <f>SUMIF('On The Board'!H$5:H$219,"&lt;="&amp;$B334,'On The Board'!$M$5:$M$219)-SUM(H334:J334)</f>
        <v>5</v>
      </c>
      <c r="H334" s="12">
        <f>SUMIF('On The Board'!I$5:I$219,"&lt;="&amp;$B334,'On The Board'!$M$5:$M$219)-SUM(I334,J334)</f>
        <v>2</v>
      </c>
      <c r="I334" s="12">
        <f>SUMIF('On The Board'!J$5:J$219,"&lt;="&amp;$B334,'On The Board'!$M$5:$M$219)-SUM(J334)</f>
        <v>0</v>
      </c>
      <c r="J334" s="12">
        <f>SUMIF('On The Board'!K$5:K$219,"&lt;="&amp;$B334,'On The Board'!$M$5:$M$219)</f>
        <v>70</v>
      </c>
      <c r="K334" s="10">
        <f t="shared" si="39"/>
        <v>77</v>
      </c>
      <c r="L334" s="10" t="e">
        <f ca="1">IF(TodaysDate&gt;=B334,SUM(F334:I334),NA())</f>
        <v>#N/A</v>
      </c>
      <c r="M334" s="44" t="e">
        <f t="shared" ca="1" si="42"/>
        <v>#N/A</v>
      </c>
      <c r="N334" s="44" t="e">
        <f ca="1">IF(ISNUMBER(M334),(J334-J324)/NETWORKDAYS(B324,B334,BankHolidays),NA())</f>
        <v>#N/A</v>
      </c>
      <c r="O334" s="44" t="e">
        <f t="shared" ca="1" si="41"/>
        <v>#N/A</v>
      </c>
      <c r="P334" s="53" t="e">
        <f t="shared" ca="1" si="43"/>
        <v>#N/A</v>
      </c>
      <c r="Q334" s="53" t="str">
        <f ca="1">IFERROR(DayByDayTable[[#This Row],[Lead Time]],"")</f>
        <v/>
      </c>
      <c r="R334" s="44" t="e">
        <f t="shared" ca="1" si="37"/>
        <v>#N/A</v>
      </c>
      <c r="S334" s="44">
        <f ca="1">ROUND(PERCENTILE(DayByDayTable[[#Data],[BlankLeadTime]],0.8),0)</f>
        <v>8</v>
      </c>
    </row>
    <row r="335" spans="1:19">
      <c r="A335" s="51">
        <f t="shared" si="38"/>
        <v>42891</v>
      </c>
      <c r="B335" s="11">
        <f t="shared" si="40"/>
        <v>42891</v>
      </c>
      <c r="C335" s="47">
        <f>SUMIFS('On The Board'!$M$5:$M$219,'On The Board'!F$5:F$219,"&lt;="&amp;$B335,'On The Board'!E$5:E$219,"="&amp;FutureWork)</f>
        <v>0</v>
      </c>
      <c r="D335" s="47" t="str">
        <f ca="1">IF(TodaysDate&gt;=B335,SUMIF('On The Board'!F$5:F$219,"&lt;="&amp;$B335,'On The Board'!$M$5:$M$219)-SUM(F335:J335),"")</f>
        <v/>
      </c>
      <c r="E335" s="12">
        <f ca="1">IF(TodaysDate&gt;=B335,SUMIF('On The Board'!F$5:F$219,"&lt;="&amp;$B335,'On The Board'!$M$5:$M$219)-SUM(F335:J335),E334)</f>
        <v>47</v>
      </c>
      <c r="F335" s="12">
        <f>SUMIF('On The Board'!G$5:G$219,"&lt;="&amp;$B335,'On The Board'!$M$5:$M$219)-SUM(G335:J335)</f>
        <v>0</v>
      </c>
      <c r="G335" s="12">
        <f>SUMIF('On The Board'!H$5:H$219,"&lt;="&amp;$B335,'On The Board'!$M$5:$M$219)-SUM(H335:J335)</f>
        <v>5</v>
      </c>
      <c r="H335" s="12">
        <f>SUMIF('On The Board'!I$5:I$219,"&lt;="&amp;$B335,'On The Board'!$M$5:$M$219)-SUM(I335,J335)</f>
        <v>2</v>
      </c>
      <c r="I335" s="12">
        <f>SUMIF('On The Board'!J$5:J$219,"&lt;="&amp;$B335,'On The Board'!$M$5:$M$219)-SUM(J335)</f>
        <v>0</v>
      </c>
      <c r="J335" s="12">
        <f>SUMIF('On The Board'!K$5:K$219,"&lt;="&amp;$B335,'On The Board'!$M$5:$M$219)</f>
        <v>70</v>
      </c>
      <c r="K335" s="10">
        <f t="shared" si="39"/>
        <v>77</v>
      </c>
      <c r="L335" s="10" t="e">
        <f ca="1">IF(TodaysDate&gt;=B335,SUM(F335:I335),NA())</f>
        <v>#N/A</v>
      </c>
      <c r="M335" s="44" t="e">
        <f t="shared" ca="1" si="42"/>
        <v>#N/A</v>
      </c>
      <c r="N335" s="44" t="e">
        <f ca="1">IF(ISNUMBER(M335),(J335-J325)/NETWORKDAYS(B325,B335,BankHolidays),NA())</f>
        <v>#N/A</v>
      </c>
      <c r="O335" s="44" t="e">
        <f t="shared" ca="1" si="41"/>
        <v>#N/A</v>
      </c>
      <c r="P335" s="53" t="e">
        <f t="shared" ca="1" si="43"/>
        <v>#N/A</v>
      </c>
      <c r="Q335" s="53" t="str">
        <f ca="1">IFERROR(DayByDayTable[[#This Row],[Lead Time]],"")</f>
        <v/>
      </c>
      <c r="R335" s="44" t="e">
        <f t="shared" ca="1" si="37"/>
        <v>#N/A</v>
      </c>
      <c r="S335" s="44">
        <f ca="1">ROUND(PERCENTILE(DayByDayTable[[#Data],[BlankLeadTime]],0.8),0)</f>
        <v>8</v>
      </c>
    </row>
    <row r="336" spans="1:19">
      <c r="A336" s="51">
        <f t="shared" si="38"/>
        <v>42892</v>
      </c>
      <c r="B336" s="11">
        <f t="shared" si="40"/>
        <v>42892</v>
      </c>
      <c r="C336" s="47">
        <f>SUMIFS('On The Board'!$M$5:$M$219,'On The Board'!F$5:F$219,"&lt;="&amp;$B336,'On The Board'!E$5:E$219,"="&amp;FutureWork)</f>
        <v>0</v>
      </c>
      <c r="D336" s="47" t="str">
        <f ca="1">IF(TodaysDate&gt;=B336,SUMIF('On The Board'!F$5:F$219,"&lt;="&amp;$B336,'On The Board'!$M$5:$M$219)-SUM(F336:J336),"")</f>
        <v/>
      </c>
      <c r="E336" s="12">
        <f ca="1">IF(TodaysDate&gt;=B336,SUMIF('On The Board'!F$5:F$219,"&lt;="&amp;$B336,'On The Board'!$M$5:$M$219)-SUM(F336:J336),E335)</f>
        <v>47</v>
      </c>
      <c r="F336" s="12">
        <f>SUMIF('On The Board'!G$5:G$219,"&lt;="&amp;$B336,'On The Board'!$M$5:$M$219)-SUM(G336:J336)</f>
        <v>0</v>
      </c>
      <c r="G336" s="12">
        <f>SUMIF('On The Board'!H$5:H$219,"&lt;="&amp;$B336,'On The Board'!$M$5:$M$219)-SUM(H336:J336)</f>
        <v>5</v>
      </c>
      <c r="H336" s="12">
        <f>SUMIF('On The Board'!I$5:I$219,"&lt;="&amp;$B336,'On The Board'!$M$5:$M$219)-SUM(I336,J336)</f>
        <v>2</v>
      </c>
      <c r="I336" s="12">
        <f>SUMIF('On The Board'!J$5:J$219,"&lt;="&amp;$B336,'On The Board'!$M$5:$M$219)-SUM(J336)</f>
        <v>0</v>
      </c>
      <c r="J336" s="12">
        <f>SUMIF('On The Board'!K$5:K$219,"&lt;="&amp;$B336,'On The Board'!$M$5:$M$219)</f>
        <v>70</v>
      </c>
      <c r="K336" s="10">
        <f t="shared" si="39"/>
        <v>77</v>
      </c>
      <c r="L336" s="10" t="e">
        <f ca="1">IF(TodaysDate&gt;=B336,SUM(F336:I336),NA())</f>
        <v>#N/A</v>
      </c>
      <c r="M336" s="44" t="e">
        <f t="shared" ca="1" si="42"/>
        <v>#N/A</v>
      </c>
      <c r="N336" s="44" t="e">
        <f ca="1">IF(ISNUMBER(M336),(J336-J326)/NETWORKDAYS(B326,B336,BankHolidays),NA())</f>
        <v>#N/A</v>
      </c>
      <c r="O336" s="44" t="e">
        <f t="shared" ca="1" si="41"/>
        <v>#N/A</v>
      </c>
      <c r="P336" s="53" t="e">
        <f t="shared" ca="1" si="43"/>
        <v>#N/A</v>
      </c>
      <c r="Q336" s="53" t="str">
        <f ca="1">IFERROR(DayByDayTable[[#This Row],[Lead Time]],"")</f>
        <v/>
      </c>
      <c r="R336" s="44" t="e">
        <f t="shared" ref="R336:R399" ca="1" si="44">PERCENTILE(O325:O336,0.8)</f>
        <v>#N/A</v>
      </c>
      <c r="S336" s="44">
        <f ca="1">ROUND(PERCENTILE(DayByDayTable[[#Data],[BlankLeadTime]],0.8),0)</f>
        <v>8</v>
      </c>
    </row>
    <row r="337" spans="1:19">
      <c r="A337" s="51">
        <f t="shared" si="38"/>
        <v>42893</v>
      </c>
      <c r="B337" s="11">
        <f t="shared" si="40"/>
        <v>42893</v>
      </c>
      <c r="C337" s="47">
        <f>SUMIFS('On The Board'!$M$5:$M$219,'On The Board'!F$5:F$219,"&lt;="&amp;$B337,'On The Board'!E$5:E$219,"="&amp;FutureWork)</f>
        <v>0</v>
      </c>
      <c r="D337" s="47" t="str">
        <f ca="1">IF(TodaysDate&gt;=B337,SUMIF('On The Board'!F$5:F$219,"&lt;="&amp;$B337,'On The Board'!$M$5:$M$219)-SUM(F337:J337),"")</f>
        <v/>
      </c>
      <c r="E337" s="12">
        <f ca="1">IF(TodaysDate&gt;=B337,SUMIF('On The Board'!F$5:F$219,"&lt;="&amp;$B337,'On The Board'!$M$5:$M$219)-SUM(F337:J337),E336)</f>
        <v>47</v>
      </c>
      <c r="F337" s="12">
        <f>SUMIF('On The Board'!G$5:G$219,"&lt;="&amp;$B337,'On The Board'!$M$5:$M$219)-SUM(G337:J337)</f>
        <v>0</v>
      </c>
      <c r="G337" s="12">
        <f>SUMIF('On The Board'!H$5:H$219,"&lt;="&amp;$B337,'On The Board'!$M$5:$M$219)-SUM(H337:J337)</f>
        <v>5</v>
      </c>
      <c r="H337" s="12">
        <f>SUMIF('On The Board'!I$5:I$219,"&lt;="&amp;$B337,'On The Board'!$M$5:$M$219)-SUM(I337,J337)</f>
        <v>2</v>
      </c>
      <c r="I337" s="12">
        <f>SUMIF('On The Board'!J$5:J$219,"&lt;="&amp;$B337,'On The Board'!$M$5:$M$219)-SUM(J337)</f>
        <v>0</v>
      </c>
      <c r="J337" s="12">
        <f>SUMIF('On The Board'!K$5:K$219,"&lt;="&amp;$B337,'On The Board'!$M$5:$M$219)</f>
        <v>70</v>
      </c>
      <c r="K337" s="10">
        <f t="shared" si="39"/>
        <v>77</v>
      </c>
      <c r="L337" s="10" t="e">
        <f ca="1">IF(TodaysDate&gt;=B337,SUM(F337:I337),NA())</f>
        <v>#N/A</v>
      </c>
      <c r="M337" s="44" t="e">
        <f t="shared" ca="1" si="42"/>
        <v>#N/A</v>
      </c>
      <c r="N337" s="44" t="e">
        <f ca="1">IF(ISNUMBER(M337),(J337-J327)/NETWORKDAYS(B327,B337,BankHolidays),NA())</f>
        <v>#N/A</v>
      </c>
      <c r="O337" s="44" t="e">
        <f t="shared" ca="1" si="41"/>
        <v>#N/A</v>
      </c>
      <c r="P337" s="53" t="e">
        <f t="shared" ca="1" si="43"/>
        <v>#N/A</v>
      </c>
      <c r="Q337" s="53" t="str">
        <f ca="1">IFERROR(DayByDayTable[[#This Row],[Lead Time]],"")</f>
        <v/>
      </c>
      <c r="R337" s="44" t="e">
        <f t="shared" ca="1" si="44"/>
        <v>#N/A</v>
      </c>
      <c r="S337" s="44">
        <f ca="1">ROUND(PERCENTILE(DayByDayTable[[#Data],[BlankLeadTime]],0.8),0)</f>
        <v>8</v>
      </c>
    </row>
    <row r="338" spans="1:19">
      <c r="A338" s="51">
        <f t="shared" si="38"/>
        <v>42894</v>
      </c>
      <c r="B338" s="11">
        <f t="shared" si="40"/>
        <v>42894</v>
      </c>
      <c r="C338" s="47">
        <f>SUMIFS('On The Board'!$M$5:$M$219,'On The Board'!F$5:F$219,"&lt;="&amp;$B338,'On The Board'!E$5:E$219,"="&amp;FutureWork)</f>
        <v>0</v>
      </c>
      <c r="D338" s="47" t="str">
        <f ca="1">IF(TodaysDate&gt;=B338,SUMIF('On The Board'!F$5:F$219,"&lt;="&amp;$B338,'On The Board'!$M$5:$M$219)-SUM(F338:J338),"")</f>
        <v/>
      </c>
      <c r="E338" s="12">
        <f ca="1">IF(TodaysDate&gt;=B338,SUMIF('On The Board'!F$5:F$219,"&lt;="&amp;$B338,'On The Board'!$M$5:$M$219)-SUM(F338:J338),E337)</f>
        <v>47</v>
      </c>
      <c r="F338" s="12">
        <f>SUMIF('On The Board'!G$5:G$219,"&lt;="&amp;$B338,'On The Board'!$M$5:$M$219)-SUM(G338:J338)</f>
        <v>0</v>
      </c>
      <c r="G338" s="12">
        <f>SUMIF('On The Board'!H$5:H$219,"&lt;="&amp;$B338,'On The Board'!$M$5:$M$219)-SUM(H338:J338)</f>
        <v>5</v>
      </c>
      <c r="H338" s="12">
        <f>SUMIF('On The Board'!I$5:I$219,"&lt;="&amp;$B338,'On The Board'!$M$5:$M$219)-SUM(I338,J338)</f>
        <v>2</v>
      </c>
      <c r="I338" s="12">
        <f>SUMIF('On The Board'!J$5:J$219,"&lt;="&amp;$B338,'On The Board'!$M$5:$M$219)-SUM(J338)</f>
        <v>0</v>
      </c>
      <c r="J338" s="12">
        <f>SUMIF('On The Board'!K$5:K$219,"&lt;="&amp;$B338,'On The Board'!$M$5:$M$219)</f>
        <v>70</v>
      </c>
      <c r="K338" s="10">
        <f t="shared" si="39"/>
        <v>77</v>
      </c>
      <c r="L338" s="10" t="e">
        <f ca="1">IF(TodaysDate&gt;=B338,SUM(F338:I338),NA())</f>
        <v>#N/A</v>
      </c>
      <c r="M338" s="44" t="e">
        <f t="shared" ca="1" si="42"/>
        <v>#N/A</v>
      </c>
      <c r="N338" s="44" t="e">
        <f ca="1">IF(ISNUMBER(M338),(J338-J328)/NETWORKDAYS(B328,B338,BankHolidays),NA())</f>
        <v>#N/A</v>
      </c>
      <c r="O338" s="44" t="e">
        <f t="shared" ca="1" si="41"/>
        <v>#N/A</v>
      </c>
      <c r="P338" s="53" t="e">
        <f t="shared" ca="1" si="43"/>
        <v>#N/A</v>
      </c>
      <c r="Q338" s="53" t="str">
        <f ca="1">IFERROR(DayByDayTable[[#This Row],[Lead Time]],"")</f>
        <v/>
      </c>
      <c r="R338" s="44" t="e">
        <f t="shared" ca="1" si="44"/>
        <v>#N/A</v>
      </c>
      <c r="S338" s="44">
        <f ca="1">ROUND(PERCENTILE(DayByDayTable[[#Data],[BlankLeadTime]],0.8),0)</f>
        <v>8</v>
      </c>
    </row>
    <row r="339" spans="1:19">
      <c r="A339" s="51">
        <f t="shared" si="38"/>
        <v>42895</v>
      </c>
      <c r="B339" s="11">
        <f t="shared" si="40"/>
        <v>42895</v>
      </c>
      <c r="C339" s="47">
        <f>SUMIFS('On The Board'!$M$5:$M$219,'On The Board'!F$5:F$219,"&lt;="&amp;$B339,'On The Board'!E$5:E$219,"="&amp;FutureWork)</f>
        <v>0</v>
      </c>
      <c r="D339" s="47" t="str">
        <f ca="1">IF(TodaysDate&gt;=B339,SUMIF('On The Board'!F$5:F$219,"&lt;="&amp;$B339,'On The Board'!$M$5:$M$219)-SUM(F339:J339),"")</f>
        <v/>
      </c>
      <c r="E339" s="12">
        <f ca="1">IF(TodaysDate&gt;=B339,SUMIF('On The Board'!F$5:F$219,"&lt;="&amp;$B339,'On The Board'!$M$5:$M$219)-SUM(F339:J339),E338)</f>
        <v>47</v>
      </c>
      <c r="F339" s="12">
        <f>SUMIF('On The Board'!G$5:G$219,"&lt;="&amp;$B339,'On The Board'!$M$5:$M$219)-SUM(G339:J339)</f>
        <v>0</v>
      </c>
      <c r="G339" s="12">
        <f>SUMIF('On The Board'!H$5:H$219,"&lt;="&amp;$B339,'On The Board'!$M$5:$M$219)-SUM(H339:J339)</f>
        <v>5</v>
      </c>
      <c r="H339" s="12">
        <f>SUMIF('On The Board'!I$5:I$219,"&lt;="&amp;$B339,'On The Board'!$M$5:$M$219)-SUM(I339,J339)</f>
        <v>2</v>
      </c>
      <c r="I339" s="12">
        <f>SUMIF('On The Board'!J$5:J$219,"&lt;="&amp;$B339,'On The Board'!$M$5:$M$219)-SUM(J339)</f>
        <v>0</v>
      </c>
      <c r="J339" s="12">
        <f>SUMIF('On The Board'!K$5:K$219,"&lt;="&amp;$B339,'On The Board'!$M$5:$M$219)</f>
        <v>70</v>
      </c>
      <c r="K339" s="10">
        <f t="shared" si="39"/>
        <v>77</v>
      </c>
      <c r="L339" s="10" t="e">
        <f ca="1">IF(TodaysDate&gt;=B339,SUM(F339:I339),NA())</f>
        <v>#N/A</v>
      </c>
      <c r="M339" s="44" t="e">
        <f t="shared" ca="1" si="42"/>
        <v>#N/A</v>
      </c>
      <c r="N339" s="44" t="e">
        <f ca="1">IF(ISNUMBER(M339),(J339-J329)/NETWORKDAYS(B329,B339,BankHolidays),NA())</f>
        <v>#N/A</v>
      </c>
      <c r="O339" s="44" t="e">
        <f t="shared" ca="1" si="41"/>
        <v>#N/A</v>
      </c>
      <c r="P339" s="53" t="e">
        <f t="shared" ca="1" si="43"/>
        <v>#N/A</v>
      </c>
      <c r="Q339" s="53" t="str">
        <f ca="1">IFERROR(DayByDayTable[[#This Row],[Lead Time]],"")</f>
        <v/>
      </c>
      <c r="R339" s="44" t="e">
        <f t="shared" ca="1" si="44"/>
        <v>#N/A</v>
      </c>
      <c r="S339" s="44">
        <f ca="1">ROUND(PERCENTILE(DayByDayTable[[#Data],[BlankLeadTime]],0.8),0)</f>
        <v>8</v>
      </c>
    </row>
    <row r="340" spans="1:19">
      <c r="A340" s="51">
        <f t="shared" si="38"/>
        <v>42898</v>
      </c>
      <c r="B340" s="11">
        <f t="shared" si="40"/>
        <v>42898</v>
      </c>
      <c r="C340" s="47">
        <f>SUMIFS('On The Board'!$M$5:$M$219,'On The Board'!F$5:F$219,"&lt;="&amp;$B340,'On The Board'!E$5:E$219,"="&amp;FutureWork)</f>
        <v>0</v>
      </c>
      <c r="D340" s="47" t="str">
        <f ca="1">IF(TodaysDate&gt;=B340,SUMIF('On The Board'!F$5:F$219,"&lt;="&amp;$B340,'On The Board'!$M$5:$M$219)-SUM(F340:J340),"")</f>
        <v/>
      </c>
      <c r="E340" s="12">
        <f ca="1">IF(TodaysDate&gt;=B340,SUMIF('On The Board'!F$5:F$219,"&lt;="&amp;$B340,'On The Board'!$M$5:$M$219)-SUM(F340:J340),E339)</f>
        <v>47</v>
      </c>
      <c r="F340" s="12">
        <f>SUMIF('On The Board'!G$5:G$219,"&lt;="&amp;$B340,'On The Board'!$M$5:$M$219)-SUM(G340:J340)</f>
        <v>0</v>
      </c>
      <c r="G340" s="12">
        <f>SUMIF('On The Board'!H$5:H$219,"&lt;="&amp;$B340,'On The Board'!$M$5:$M$219)-SUM(H340:J340)</f>
        <v>5</v>
      </c>
      <c r="H340" s="12">
        <f>SUMIF('On The Board'!I$5:I$219,"&lt;="&amp;$B340,'On The Board'!$M$5:$M$219)-SUM(I340,J340)</f>
        <v>2</v>
      </c>
      <c r="I340" s="12">
        <f>SUMIF('On The Board'!J$5:J$219,"&lt;="&amp;$B340,'On The Board'!$M$5:$M$219)-SUM(J340)</f>
        <v>0</v>
      </c>
      <c r="J340" s="12">
        <f>SUMIF('On The Board'!K$5:K$219,"&lt;="&amp;$B340,'On The Board'!$M$5:$M$219)</f>
        <v>70</v>
      </c>
      <c r="K340" s="10">
        <f t="shared" si="39"/>
        <v>77</v>
      </c>
      <c r="L340" s="10" t="e">
        <f ca="1">IF(TodaysDate&gt;=B340,SUM(F340:I340),NA())</f>
        <v>#N/A</v>
      </c>
      <c r="M340" s="44" t="e">
        <f t="shared" ca="1" si="42"/>
        <v>#N/A</v>
      </c>
      <c r="N340" s="44" t="e">
        <f ca="1">IF(ISNUMBER(M340),(J340-J330)/NETWORKDAYS(B330,B340,BankHolidays),NA())</f>
        <v>#N/A</v>
      </c>
      <c r="O340" s="44" t="e">
        <f t="shared" ca="1" si="41"/>
        <v>#N/A</v>
      </c>
      <c r="P340" s="53" t="e">
        <f t="shared" ca="1" si="43"/>
        <v>#N/A</v>
      </c>
      <c r="Q340" s="53" t="str">
        <f ca="1">IFERROR(DayByDayTable[[#This Row],[Lead Time]],"")</f>
        <v/>
      </c>
      <c r="R340" s="44" t="e">
        <f t="shared" ca="1" si="44"/>
        <v>#N/A</v>
      </c>
      <c r="S340" s="44">
        <f ca="1">ROUND(PERCENTILE(DayByDayTable[[#Data],[BlankLeadTime]],0.8),0)</f>
        <v>8</v>
      </c>
    </row>
    <row r="341" spans="1:19">
      <c r="A341" s="51">
        <f t="shared" si="38"/>
        <v>42899</v>
      </c>
      <c r="B341" s="11">
        <f t="shared" si="40"/>
        <v>42899</v>
      </c>
      <c r="C341" s="47">
        <f>SUMIFS('On The Board'!$M$5:$M$219,'On The Board'!F$5:F$219,"&lt;="&amp;$B341,'On The Board'!E$5:E$219,"="&amp;FutureWork)</f>
        <v>0</v>
      </c>
      <c r="D341" s="47" t="str">
        <f ca="1">IF(TodaysDate&gt;=B341,SUMIF('On The Board'!F$5:F$219,"&lt;="&amp;$B341,'On The Board'!$M$5:$M$219)-SUM(F341:J341),"")</f>
        <v/>
      </c>
      <c r="E341" s="12">
        <f ca="1">IF(TodaysDate&gt;=B341,SUMIF('On The Board'!F$5:F$219,"&lt;="&amp;$B341,'On The Board'!$M$5:$M$219)-SUM(F341:J341),E340)</f>
        <v>47</v>
      </c>
      <c r="F341" s="12">
        <f>SUMIF('On The Board'!G$5:G$219,"&lt;="&amp;$B341,'On The Board'!$M$5:$M$219)-SUM(G341:J341)</f>
        <v>0</v>
      </c>
      <c r="G341" s="12">
        <f>SUMIF('On The Board'!H$5:H$219,"&lt;="&amp;$B341,'On The Board'!$M$5:$M$219)-SUM(H341:J341)</f>
        <v>5</v>
      </c>
      <c r="H341" s="12">
        <f>SUMIF('On The Board'!I$5:I$219,"&lt;="&amp;$B341,'On The Board'!$M$5:$M$219)-SUM(I341,J341)</f>
        <v>2</v>
      </c>
      <c r="I341" s="12">
        <f>SUMIF('On The Board'!J$5:J$219,"&lt;="&amp;$B341,'On The Board'!$M$5:$M$219)-SUM(J341)</f>
        <v>0</v>
      </c>
      <c r="J341" s="12">
        <f>SUMIF('On The Board'!K$5:K$219,"&lt;="&amp;$B341,'On The Board'!$M$5:$M$219)</f>
        <v>70</v>
      </c>
      <c r="K341" s="10">
        <f t="shared" si="39"/>
        <v>77</v>
      </c>
      <c r="L341" s="10" t="e">
        <f ca="1">IF(TodaysDate&gt;=B341,SUM(F341:I341),NA())</f>
        <v>#N/A</v>
      </c>
      <c r="M341" s="44" t="e">
        <f t="shared" ca="1" si="42"/>
        <v>#N/A</v>
      </c>
      <c r="N341" s="44" t="e">
        <f ca="1">IF(ISNUMBER(M341),(J341-J331)/NETWORKDAYS(B331,B341,BankHolidays),NA())</f>
        <v>#N/A</v>
      </c>
      <c r="O341" s="44" t="e">
        <f t="shared" ca="1" si="41"/>
        <v>#N/A</v>
      </c>
      <c r="P341" s="53" t="e">
        <f t="shared" ca="1" si="43"/>
        <v>#N/A</v>
      </c>
      <c r="Q341" s="53" t="str">
        <f ca="1">IFERROR(DayByDayTable[[#This Row],[Lead Time]],"")</f>
        <v/>
      </c>
      <c r="R341" s="44" t="e">
        <f t="shared" ca="1" si="44"/>
        <v>#N/A</v>
      </c>
      <c r="S341" s="44">
        <f ca="1">ROUND(PERCENTILE(DayByDayTable[[#Data],[BlankLeadTime]],0.8),0)</f>
        <v>8</v>
      </c>
    </row>
    <row r="342" spans="1:19">
      <c r="A342" s="51">
        <f t="shared" si="38"/>
        <v>42900</v>
      </c>
      <c r="B342" s="11">
        <f t="shared" si="40"/>
        <v>42900</v>
      </c>
      <c r="C342" s="47">
        <f>SUMIFS('On The Board'!$M$5:$M$219,'On The Board'!F$5:F$219,"&lt;="&amp;$B342,'On The Board'!E$5:E$219,"="&amp;FutureWork)</f>
        <v>0</v>
      </c>
      <c r="D342" s="47" t="str">
        <f ca="1">IF(TodaysDate&gt;=B342,SUMIF('On The Board'!F$5:F$219,"&lt;="&amp;$B342,'On The Board'!$M$5:$M$219)-SUM(F342:J342),"")</f>
        <v/>
      </c>
      <c r="E342" s="12">
        <f ca="1">IF(TodaysDate&gt;=B342,SUMIF('On The Board'!F$5:F$219,"&lt;="&amp;$B342,'On The Board'!$M$5:$M$219)-SUM(F342:J342),E341)</f>
        <v>47</v>
      </c>
      <c r="F342" s="12">
        <f>SUMIF('On The Board'!G$5:G$219,"&lt;="&amp;$B342,'On The Board'!$M$5:$M$219)-SUM(G342:J342)</f>
        <v>0</v>
      </c>
      <c r="G342" s="12">
        <f>SUMIF('On The Board'!H$5:H$219,"&lt;="&amp;$B342,'On The Board'!$M$5:$M$219)-SUM(H342:J342)</f>
        <v>5</v>
      </c>
      <c r="H342" s="12">
        <f>SUMIF('On The Board'!I$5:I$219,"&lt;="&amp;$B342,'On The Board'!$M$5:$M$219)-SUM(I342,J342)</f>
        <v>2</v>
      </c>
      <c r="I342" s="12">
        <f>SUMIF('On The Board'!J$5:J$219,"&lt;="&amp;$B342,'On The Board'!$M$5:$M$219)-SUM(J342)</f>
        <v>0</v>
      </c>
      <c r="J342" s="12">
        <f>SUMIF('On The Board'!K$5:K$219,"&lt;="&amp;$B342,'On The Board'!$M$5:$M$219)</f>
        <v>70</v>
      </c>
      <c r="K342" s="10">
        <f t="shared" si="39"/>
        <v>77</v>
      </c>
      <c r="L342" s="10" t="e">
        <f ca="1">IF(TodaysDate&gt;=B342,SUM(F342:I342),NA())</f>
        <v>#N/A</v>
      </c>
      <c r="M342" s="44" t="e">
        <f t="shared" ca="1" si="42"/>
        <v>#N/A</v>
      </c>
      <c r="N342" s="44" t="e">
        <f ca="1">IF(ISNUMBER(M342),(J342-J332)/NETWORKDAYS(B332,B342,BankHolidays),NA())</f>
        <v>#N/A</v>
      </c>
      <c r="O342" s="44" t="e">
        <f t="shared" ca="1" si="41"/>
        <v>#N/A</v>
      </c>
      <c r="P342" s="53" t="e">
        <f t="shared" ca="1" si="43"/>
        <v>#N/A</v>
      </c>
      <c r="Q342" s="53" t="str">
        <f ca="1">IFERROR(DayByDayTable[[#This Row],[Lead Time]],"")</f>
        <v/>
      </c>
      <c r="R342" s="44" t="e">
        <f t="shared" ca="1" si="44"/>
        <v>#N/A</v>
      </c>
      <c r="S342" s="44">
        <f ca="1">ROUND(PERCENTILE(DayByDayTable[[#Data],[BlankLeadTime]],0.8),0)</f>
        <v>8</v>
      </c>
    </row>
    <row r="343" spans="1:19">
      <c r="A343" s="51">
        <f t="shared" si="38"/>
        <v>42901</v>
      </c>
      <c r="B343" s="11">
        <f t="shared" si="40"/>
        <v>42901</v>
      </c>
      <c r="C343" s="47">
        <f>SUMIFS('On The Board'!$M$5:$M$219,'On The Board'!F$5:F$219,"&lt;="&amp;$B343,'On The Board'!E$5:E$219,"="&amp;FutureWork)</f>
        <v>0</v>
      </c>
      <c r="D343" s="47" t="str">
        <f ca="1">IF(TodaysDate&gt;=B343,SUMIF('On The Board'!F$5:F$219,"&lt;="&amp;$B343,'On The Board'!$M$5:$M$219)-SUM(F343:J343),"")</f>
        <v/>
      </c>
      <c r="E343" s="12">
        <f ca="1">IF(TodaysDate&gt;=B343,SUMIF('On The Board'!F$5:F$219,"&lt;="&amp;$B343,'On The Board'!$M$5:$M$219)-SUM(F343:J343),E342)</f>
        <v>47</v>
      </c>
      <c r="F343" s="12">
        <f>SUMIF('On The Board'!G$5:G$219,"&lt;="&amp;$B343,'On The Board'!$M$5:$M$219)-SUM(G343:J343)</f>
        <v>0</v>
      </c>
      <c r="G343" s="12">
        <f>SUMIF('On The Board'!H$5:H$219,"&lt;="&amp;$B343,'On The Board'!$M$5:$M$219)-SUM(H343:J343)</f>
        <v>5</v>
      </c>
      <c r="H343" s="12">
        <f>SUMIF('On The Board'!I$5:I$219,"&lt;="&amp;$B343,'On The Board'!$M$5:$M$219)-SUM(I343,J343)</f>
        <v>2</v>
      </c>
      <c r="I343" s="12">
        <f>SUMIF('On The Board'!J$5:J$219,"&lt;="&amp;$B343,'On The Board'!$M$5:$M$219)-SUM(J343)</f>
        <v>0</v>
      </c>
      <c r="J343" s="12">
        <f>SUMIF('On The Board'!K$5:K$219,"&lt;="&amp;$B343,'On The Board'!$M$5:$M$219)</f>
        <v>70</v>
      </c>
      <c r="K343" s="10">
        <f t="shared" si="39"/>
        <v>77</v>
      </c>
      <c r="L343" s="10" t="e">
        <f ca="1">IF(TodaysDate&gt;=B343,SUM(F343:I343),NA())</f>
        <v>#N/A</v>
      </c>
      <c r="M343" s="44" t="e">
        <f t="shared" ca="1" si="42"/>
        <v>#N/A</v>
      </c>
      <c r="N343" s="44" t="e">
        <f ca="1">IF(ISNUMBER(M343),(J343-J333)/NETWORKDAYS(B333,B343,BankHolidays),NA())</f>
        <v>#N/A</v>
      </c>
      <c r="O343" s="44" t="e">
        <f t="shared" ca="1" si="41"/>
        <v>#N/A</v>
      </c>
      <c r="P343" s="53" t="e">
        <f t="shared" ca="1" si="43"/>
        <v>#N/A</v>
      </c>
      <c r="Q343" s="53" t="str">
        <f ca="1">IFERROR(DayByDayTable[[#This Row],[Lead Time]],"")</f>
        <v/>
      </c>
      <c r="R343" s="44" t="e">
        <f t="shared" ca="1" si="44"/>
        <v>#N/A</v>
      </c>
      <c r="S343" s="44">
        <f ca="1">ROUND(PERCENTILE(DayByDayTable[[#Data],[BlankLeadTime]],0.8),0)</f>
        <v>8</v>
      </c>
    </row>
    <row r="344" spans="1:19">
      <c r="A344" s="51">
        <f t="shared" si="38"/>
        <v>42902</v>
      </c>
      <c r="B344" s="11">
        <f t="shared" si="40"/>
        <v>42902</v>
      </c>
      <c r="C344" s="47">
        <f>SUMIFS('On The Board'!$M$5:$M$219,'On The Board'!F$5:F$219,"&lt;="&amp;$B344,'On The Board'!E$5:E$219,"="&amp;FutureWork)</f>
        <v>0</v>
      </c>
      <c r="D344" s="47" t="str">
        <f ca="1">IF(TodaysDate&gt;=B344,SUMIF('On The Board'!F$5:F$219,"&lt;="&amp;$B344,'On The Board'!$M$5:$M$219)-SUM(F344:J344),"")</f>
        <v/>
      </c>
      <c r="E344" s="12">
        <f ca="1">IF(TodaysDate&gt;=B344,SUMIF('On The Board'!F$5:F$219,"&lt;="&amp;$B344,'On The Board'!$M$5:$M$219)-SUM(F344:J344),E343)</f>
        <v>47</v>
      </c>
      <c r="F344" s="12">
        <f>SUMIF('On The Board'!G$5:G$219,"&lt;="&amp;$B344,'On The Board'!$M$5:$M$219)-SUM(G344:J344)</f>
        <v>0</v>
      </c>
      <c r="G344" s="12">
        <f>SUMIF('On The Board'!H$5:H$219,"&lt;="&amp;$B344,'On The Board'!$M$5:$M$219)-SUM(H344:J344)</f>
        <v>5</v>
      </c>
      <c r="H344" s="12">
        <f>SUMIF('On The Board'!I$5:I$219,"&lt;="&amp;$B344,'On The Board'!$M$5:$M$219)-SUM(I344,J344)</f>
        <v>2</v>
      </c>
      <c r="I344" s="12">
        <f>SUMIF('On The Board'!J$5:J$219,"&lt;="&amp;$B344,'On The Board'!$M$5:$M$219)-SUM(J344)</f>
        <v>0</v>
      </c>
      <c r="J344" s="12">
        <f>SUMIF('On The Board'!K$5:K$219,"&lt;="&amp;$B344,'On The Board'!$M$5:$M$219)</f>
        <v>70</v>
      </c>
      <c r="K344" s="10">
        <f t="shared" si="39"/>
        <v>77</v>
      </c>
      <c r="L344" s="10" t="e">
        <f ca="1">IF(TodaysDate&gt;=B344,SUM(F344:I344),NA())</f>
        <v>#N/A</v>
      </c>
      <c r="M344" s="44" t="e">
        <f t="shared" ca="1" si="42"/>
        <v>#N/A</v>
      </c>
      <c r="N344" s="44" t="e">
        <f ca="1">IF(ISNUMBER(M344),(J344-J334)/NETWORKDAYS(B334,B344,BankHolidays),NA())</f>
        <v>#N/A</v>
      </c>
      <c r="O344" s="44" t="e">
        <f t="shared" ca="1" si="41"/>
        <v>#N/A</v>
      </c>
      <c r="P344" s="53" t="e">
        <f t="shared" ca="1" si="43"/>
        <v>#N/A</v>
      </c>
      <c r="Q344" s="53" t="str">
        <f ca="1">IFERROR(DayByDayTable[[#This Row],[Lead Time]],"")</f>
        <v/>
      </c>
      <c r="R344" s="44" t="e">
        <f t="shared" ca="1" si="44"/>
        <v>#N/A</v>
      </c>
      <c r="S344" s="44">
        <f ca="1">ROUND(PERCENTILE(DayByDayTable[[#Data],[BlankLeadTime]],0.8),0)</f>
        <v>8</v>
      </c>
    </row>
    <row r="345" spans="1:19">
      <c r="A345" s="51">
        <f t="shared" si="38"/>
        <v>42905</v>
      </c>
      <c r="B345" s="11">
        <f t="shared" si="40"/>
        <v>42905</v>
      </c>
      <c r="C345" s="47">
        <f>SUMIFS('On The Board'!$M$5:$M$219,'On The Board'!F$5:F$219,"&lt;="&amp;$B345,'On The Board'!E$5:E$219,"="&amp;FutureWork)</f>
        <v>0</v>
      </c>
      <c r="D345" s="47" t="str">
        <f ca="1">IF(TodaysDate&gt;=B345,SUMIF('On The Board'!F$5:F$219,"&lt;="&amp;$B345,'On The Board'!$M$5:$M$219)-SUM(F345:J345),"")</f>
        <v/>
      </c>
      <c r="E345" s="12">
        <f ca="1">IF(TodaysDate&gt;=B345,SUMIF('On The Board'!F$5:F$219,"&lt;="&amp;$B345,'On The Board'!$M$5:$M$219)-SUM(F345:J345),E344)</f>
        <v>47</v>
      </c>
      <c r="F345" s="12">
        <f>SUMIF('On The Board'!G$5:G$219,"&lt;="&amp;$B345,'On The Board'!$M$5:$M$219)-SUM(G345:J345)</f>
        <v>0</v>
      </c>
      <c r="G345" s="12">
        <f>SUMIF('On The Board'!H$5:H$219,"&lt;="&amp;$B345,'On The Board'!$M$5:$M$219)-SUM(H345:J345)</f>
        <v>5</v>
      </c>
      <c r="H345" s="12">
        <f>SUMIF('On The Board'!I$5:I$219,"&lt;="&amp;$B345,'On The Board'!$M$5:$M$219)-SUM(I345,J345)</f>
        <v>2</v>
      </c>
      <c r="I345" s="12">
        <f>SUMIF('On The Board'!J$5:J$219,"&lt;="&amp;$B345,'On The Board'!$M$5:$M$219)-SUM(J345)</f>
        <v>0</v>
      </c>
      <c r="J345" s="12">
        <f>SUMIF('On The Board'!K$5:K$219,"&lt;="&amp;$B345,'On The Board'!$M$5:$M$219)</f>
        <v>70</v>
      </c>
      <c r="K345" s="10">
        <f t="shared" si="39"/>
        <v>77</v>
      </c>
      <c r="L345" s="10" t="e">
        <f ca="1">IF(TodaysDate&gt;=B345,SUM(F345:I345),NA())</f>
        <v>#N/A</v>
      </c>
      <c r="M345" s="44" t="e">
        <f t="shared" ca="1" si="42"/>
        <v>#N/A</v>
      </c>
      <c r="N345" s="44" t="e">
        <f ca="1">IF(ISNUMBER(M345),(J345-J335)/NETWORKDAYS(B335,B345,BankHolidays),NA())</f>
        <v>#N/A</v>
      </c>
      <c r="O345" s="44" t="e">
        <f t="shared" ca="1" si="41"/>
        <v>#N/A</v>
      </c>
      <c r="P345" s="53" t="e">
        <f t="shared" ca="1" si="43"/>
        <v>#N/A</v>
      </c>
      <c r="Q345" s="53" t="str">
        <f ca="1">IFERROR(DayByDayTable[[#This Row],[Lead Time]],"")</f>
        <v/>
      </c>
      <c r="R345" s="44" t="e">
        <f t="shared" ca="1" si="44"/>
        <v>#N/A</v>
      </c>
      <c r="S345" s="44">
        <f ca="1">ROUND(PERCENTILE(DayByDayTable[[#Data],[BlankLeadTime]],0.8),0)</f>
        <v>8</v>
      </c>
    </row>
    <row r="346" spans="1:19">
      <c r="A346" s="51">
        <f t="shared" si="38"/>
        <v>42906</v>
      </c>
      <c r="B346" s="11">
        <f t="shared" si="40"/>
        <v>42906</v>
      </c>
      <c r="C346" s="47">
        <f>SUMIFS('On The Board'!$M$5:$M$219,'On The Board'!F$5:F$219,"&lt;="&amp;$B346,'On The Board'!E$5:E$219,"="&amp;FutureWork)</f>
        <v>0</v>
      </c>
      <c r="D346" s="47" t="str">
        <f ca="1">IF(TodaysDate&gt;=B346,SUMIF('On The Board'!F$5:F$219,"&lt;="&amp;$B346,'On The Board'!$M$5:$M$219)-SUM(F346:J346),"")</f>
        <v/>
      </c>
      <c r="E346" s="12">
        <f ca="1">IF(TodaysDate&gt;=B346,SUMIF('On The Board'!F$5:F$219,"&lt;="&amp;$B346,'On The Board'!$M$5:$M$219)-SUM(F346:J346),E345)</f>
        <v>47</v>
      </c>
      <c r="F346" s="12">
        <f>SUMIF('On The Board'!G$5:G$219,"&lt;="&amp;$B346,'On The Board'!$M$5:$M$219)-SUM(G346:J346)</f>
        <v>0</v>
      </c>
      <c r="G346" s="12">
        <f>SUMIF('On The Board'!H$5:H$219,"&lt;="&amp;$B346,'On The Board'!$M$5:$M$219)-SUM(H346:J346)</f>
        <v>5</v>
      </c>
      <c r="H346" s="12">
        <f>SUMIF('On The Board'!I$5:I$219,"&lt;="&amp;$B346,'On The Board'!$M$5:$M$219)-SUM(I346,J346)</f>
        <v>2</v>
      </c>
      <c r="I346" s="12">
        <f>SUMIF('On The Board'!J$5:J$219,"&lt;="&amp;$B346,'On The Board'!$M$5:$M$219)-SUM(J346)</f>
        <v>0</v>
      </c>
      <c r="J346" s="12">
        <f>SUMIF('On The Board'!K$5:K$219,"&lt;="&amp;$B346,'On The Board'!$M$5:$M$219)</f>
        <v>70</v>
      </c>
      <c r="K346" s="10">
        <f t="shared" si="39"/>
        <v>77</v>
      </c>
      <c r="L346" s="10" t="e">
        <f ca="1">IF(TodaysDate&gt;=B346,SUM(F346:I346),NA())</f>
        <v>#N/A</v>
      </c>
      <c r="M346" s="44" t="e">
        <f t="shared" ca="1" si="42"/>
        <v>#N/A</v>
      </c>
      <c r="N346" s="44" t="e">
        <f ca="1">IF(ISNUMBER(M346),(J346-J336)/NETWORKDAYS(B336,B346,BankHolidays),NA())</f>
        <v>#N/A</v>
      </c>
      <c r="O346" s="44" t="e">
        <f t="shared" ca="1" si="41"/>
        <v>#N/A</v>
      </c>
      <c r="P346" s="53" t="e">
        <f t="shared" ca="1" si="43"/>
        <v>#N/A</v>
      </c>
      <c r="Q346" s="53" t="str">
        <f ca="1">IFERROR(DayByDayTable[[#This Row],[Lead Time]],"")</f>
        <v/>
      </c>
      <c r="R346" s="44" t="e">
        <f t="shared" ca="1" si="44"/>
        <v>#N/A</v>
      </c>
      <c r="S346" s="44">
        <f ca="1">ROUND(PERCENTILE(DayByDayTable[[#Data],[BlankLeadTime]],0.8),0)</f>
        <v>8</v>
      </c>
    </row>
    <row r="347" spans="1:19">
      <c r="A347" s="51">
        <f t="shared" si="38"/>
        <v>42907</v>
      </c>
      <c r="B347" s="11">
        <f t="shared" si="40"/>
        <v>42907</v>
      </c>
      <c r="C347" s="47">
        <f>SUMIFS('On The Board'!$M$5:$M$219,'On The Board'!F$5:F$219,"&lt;="&amp;$B347,'On The Board'!E$5:E$219,"="&amp;FutureWork)</f>
        <v>0</v>
      </c>
      <c r="D347" s="47" t="str">
        <f ca="1">IF(TodaysDate&gt;=B347,SUMIF('On The Board'!F$5:F$219,"&lt;="&amp;$B347,'On The Board'!$M$5:$M$219)-SUM(F347:J347),"")</f>
        <v/>
      </c>
      <c r="E347" s="12">
        <f ca="1">IF(TodaysDate&gt;=B347,SUMIF('On The Board'!F$5:F$219,"&lt;="&amp;$B347,'On The Board'!$M$5:$M$219)-SUM(F347:J347),E346)</f>
        <v>47</v>
      </c>
      <c r="F347" s="12">
        <f>SUMIF('On The Board'!G$5:G$219,"&lt;="&amp;$B347,'On The Board'!$M$5:$M$219)-SUM(G347:J347)</f>
        <v>0</v>
      </c>
      <c r="G347" s="12">
        <f>SUMIF('On The Board'!H$5:H$219,"&lt;="&amp;$B347,'On The Board'!$M$5:$M$219)-SUM(H347:J347)</f>
        <v>5</v>
      </c>
      <c r="H347" s="12">
        <f>SUMIF('On The Board'!I$5:I$219,"&lt;="&amp;$B347,'On The Board'!$M$5:$M$219)-SUM(I347,J347)</f>
        <v>2</v>
      </c>
      <c r="I347" s="12">
        <f>SUMIF('On The Board'!J$5:J$219,"&lt;="&amp;$B347,'On The Board'!$M$5:$M$219)-SUM(J347)</f>
        <v>0</v>
      </c>
      <c r="J347" s="12">
        <f>SUMIF('On The Board'!K$5:K$219,"&lt;="&amp;$B347,'On The Board'!$M$5:$M$219)</f>
        <v>70</v>
      </c>
      <c r="K347" s="10">
        <f t="shared" si="39"/>
        <v>77</v>
      </c>
      <c r="L347" s="10" t="e">
        <f ca="1">IF(TodaysDate&gt;=B347,SUM(F347:I347),NA())</f>
        <v>#N/A</v>
      </c>
      <c r="M347" s="44" t="e">
        <f t="shared" ca="1" si="42"/>
        <v>#N/A</v>
      </c>
      <c r="N347" s="44" t="e">
        <f ca="1">IF(ISNUMBER(M347),(J347-J337)/NETWORKDAYS(B337,B347,BankHolidays),NA())</f>
        <v>#N/A</v>
      </c>
      <c r="O347" s="44" t="e">
        <f t="shared" ca="1" si="41"/>
        <v>#N/A</v>
      </c>
      <c r="P347" s="53" t="e">
        <f t="shared" ca="1" si="43"/>
        <v>#N/A</v>
      </c>
      <c r="Q347" s="53" t="str">
        <f ca="1">IFERROR(DayByDayTable[[#This Row],[Lead Time]],"")</f>
        <v/>
      </c>
      <c r="R347" s="44" t="e">
        <f t="shared" ca="1" si="44"/>
        <v>#N/A</v>
      </c>
      <c r="S347" s="44">
        <f ca="1">ROUND(PERCENTILE(DayByDayTable[[#Data],[BlankLeadTime]],0.8),0)</f>
        <v>8</v>
      </c>
    </row>
    <row r="348" spans="1:19">
      <c r="A348" s="51">
        <f t="shared" si="38"/>
        <v>42908</v>
      </c>
      <c r="B348" s="11">
        <f t="shared" si="40"/>
        <v>42908</v>
      </c>
      <c r="C348" s="47">
        <f>SUMIFS('On The Board'!$M$5:$M$219,'On The Board'!F$5:F$219,"&lt;="&amp;$B348,'On The Board'!E$5:E$219,"="&amp;FutureWork)</f>
        <v>0</v>
      </c>
      <c r="D348" s="47" t="str">
        <f ca="1">IF(TodaysDate&gt;=B348,SUMIF('On The Board'!F$5:F$219,"&lt;="&amp;$B348,'On The Board'!$M$5:$M$219)-SUM(F348:J348),"")</f>
        <v/>
      </c>
      <c r="E348" s="12">
        <f ca="1">IF(TodaysDate&gt;=B348,SUMIF('On The Board'!F$5:F$219,"&lt;="&amp;$B348,'On The Board'!$M$5:$M$219)-SUM(F348:J348),E347)</f>
        <v>47</v>
      </c>
      <c r="F348" s="12">
        <f>SUMIF('On The Board'!G$5:G$219,"&lt;="&amp;$B348,'On The Board'!$M$5:$M$219)-SUM(G348:J348)</f>
        <v>0</v>
      </c>
      <c r="G348" s="12">
        <f>SUMIF('On The Board'!H$5:H$219,"&lt;="&amp;$B348,'On The Board'!$M$5:$M$219)-SUM(H348:J348)</f>
        <v>5</v>
      </c>
      <c r="H348" s="12">
        <f>SUMIF('On The Board'!I$5:I$219,"&lt;="&amp;$B348,'On The Board'!$M$5:$M$219)-SUM(I348,J348)</f>
        <v>2</v>
      </c>
      <c r="I348" s="12">
        <f>SUMIF('On The Board'!J$5:J$219,"&lt;="&amp;$B348,'On The Board'!$M$5:$M$219)-SUM(J348)</f>
        <v>0</v>
      </c>
      <c r="J348" s="12">
        <f>SUMIF('On The Board'!K$5:K$219,"&lt;="&amp;$B348,'On The Board'!$M$5:$M$219)</f>
        <v>70</v>
      </c>
      <c r="K348" s="10">
        <f t="shared" si="39"/>
        <v>77</v>
      </c>
      <c r="L348" s="10" t="e">
        <f ca="1">IF(TodaysDate&gt;=B348,SUM(F348:I348),NA())</f>
        <v>#N/A</v>
      </c>
      <c r="M348" s="44" t="e">
        <f t="shared" ca="1" si="42"/>
        <v>#N/A</v>
      </c>
      <c r="N348" s="44" t="e">
        <f ca="1">IF(ISNUMBER(M348),(J348-J338)/NETWORKDAYS(B338,B348,BankHolidays),NA())</f>
        <v>#N/A</v>
      </c>
      <c r="O348" s="44" t="e">
        <f t="shared" ca="1" si="41"/>
        <v>#N/A</v>
      </c>
      <c r="P348" s="53" t="e">
        <f t="shared" ca="1" si="43"/>
        <v>#N/A</v>
      </c>
      <c r="Q348" s="53" t="str">
        <f ca="1">IFERROR(DayByDayTable[[#This Row],[Lead Time]],"")</f>
        <v/>
      </c>
      <c r="R348" s="44" t="e">
        <f t="shared" ca="1" si="44"/>
        <v>#N/A</v>
      </c>
      <c r="S348" s="44">
        <f ca="1">ROUND(PERCENTILE(DayByDayTable[[#Data],[BlankLeadTime]],0.8),0)</f>
        <v>8</v>
      </c>
    </row>
    <row r="349" spans="1:19">
      <c r="A349" s="51">
        <f t="shared" si="38"/>
        <v>42909</v>
      </c>
      <c r="B349" s="11">
        <f t="shared" si="40"/>
        <v>42909</v>
      </c>
      <c r="C349" s="47">
        <f>SUMIFS('On The Board'!$M$5:$M$219,'On The Board'!F$5:F$219,"&lt;="&amp;$B349,'On The Board'!E$5:E$219,"="&amp;FutureWork)</f>
        <v>0</v>
      </c>
      <c r="D349" s="47" t="str">
        <f ca="1">IF(TodaysDate&gt;=B349,SUMIF('On The Board'!F$5:F$219,"&lt;="&amp;$B349,'On The Board'!$M$5:$M$219)-SUM(F349:J349),"")</f>
        <v/>
      </c>
      <c r="E349" s="12">
        <f ca="1">IF(TodaysDate&gt;=B349,SUMIF('On The Board'!F$5:F$219,"&lt;="&amp;$B349,'On The Board'!$M$5:$M$219)-SUM(F349:J349),E348)</f>
        <v>47</v>
      </c>
      <c r="F349" s="12">
        <f>SUMIF('On The Board'!G$5:G$219,"&lt;="&amp;$B349,'On The Board'!$M$5:$M$219)-SUM(G349:J349)</f>
        <v>0</v>
      </c>
      <c r="G349" s="12">
        <f>SUMIF('On The Board'!H$5:H$219,"&lt;="&amp;$B349,'On The Board'!$M$5:$M$219)-SUM(H349:J349)</f>
        <v>5</v>
      </c>
      <c r="H349" s="12">
        <f>SUMIF('On The Board'!I$5:I$219,"&lt;="&amp;$B349,'On The Board'!$M$5:$M$219)-SUM(I349,J349)</f>
        <v>2</v>
      </c>
      <c r="I349" s="12">
        <f>SUMIF('On The Board'!J$5:J$219,"&lt;="&amp;$B349,'On The Board'!$M$5:$M$219)-SUM(J349)</f>
        <v>0</v>
      </c>
      <c r="J349" s="12">
        <f>SUMIF('On The Board'!K$5:K$219,"&lt;="&amp;$B349,'On The Board'!$M$5:$M$219)</f>
        <v>70</v>
      </c>
      <c r="K349" s="10">
        <f t="shared" si="39"/>
        <v>77</v>
      </c>
      <c r="L349" s="10" t="e">
        <f ca="1">IF(TodaysDate&gt;=B349,SUM(F349:I349),NA())</f>
        <v>#N/A</v>
      </c>
      <c r="M349" s="44" t="e">
        <f t="shared" ca="1" si="42"/>
        <v>#N/A</v>
      </c>
      <c r="N349" s="44" t="e">
        <f ca="1">IF(ISNUMBER(M349),(J349-J339)/NETWORKDAYS(B339,B349,BankHolidays),NA())</f>
        <v>#N/A</v>
      </c>
      <c r="O349" s="44" t="e">
        <f t="shared" ca="1" si="41"/>
        <v>#N/A</v>
      </c>
      <c r="P349" s="53" t="e">
        <f t="shared" ca="1" si="43"/>
        <v>#N/A</v>
      </c>
      <c r="Q349" s="53" t="str">
        <f ca="1">IFERROR(DayByDayTable[[#This Row],[Lead Time]],"")</f>
        <v/>
      </c>
      <c r="R349" s="44" t="e">
        <f t="shared" ca="1" si="44"/>
        <v>#N/A</v>
      </c>
      <c r="S349" s="44">
        <f ca="1">ROUND(PERCENTILE(DayByDayTable[[#Data],[BlankLeadTime]],0.8),0)</f>
        <v>8</v>
      </c>
    </row>
    <row r="350" spans="1:19">
      <c r="A350" s="51">
        <f t="shared" si="38"/>
        <v>42912</v>
      </c>
      <c r="B350" s="11">
        <f t="shared" si="40"/>
        <v>42912</v>
      </c>
      <c r="C350" s="47">
        <f>SUMIFS('On The Board'!$M$5:$M$219,'On The Board'!F$5:F$219,"&lt;="&amp;$B350,'On The Board'!E$5:E$219,"="&amp;FutureWork)</f>
        <v>0</v>
      </c>
      <c r="D350" s="47" t="str">
        <f ca="1">IF(TodaysDate&gt;=B350,SUMIF('On The Board'!F$5:F$219,"&lt;="&amp;$B350,'On The Board'!$M$5:$M$219)-SUM(F350:J350),"")</f>
        <v/>
      </c>
      <c r="E350" s="12">
        <f ca="1">IF(TodaysDate&gt;=B350,SUMIF('On The Board'!F$5:F$219,"&lt;="&amp;$B350,'On The Board'!$M$5:$M$219)-SUM(F350:J350),E349)</f>
        <v>47</v>
      </c>
      <c r="F350" s="12">
        <f>SUMIF('On The Board'!G$5:G$219,"&lt;="&amp;$B350,'On The Board'!$M$5:$M$219)-SUM(G350:J350)</f>
        <v>0</v>
      </c>
      <c r="G350" s="12">
        <f>SUMIF('On The Board'!H$5:H$219,"&lt;="&amp;$B350,'On The Board'!$M$5:$M$219)-SUM(H350:J350)</f>
        <v>5</v>
      </c>
      <c r="H350" s="12">
        <f>SUMIF('On The Board'!I$5:I$219,"&lt;="&amp;$B350,'On The Board'!$M$5:$M$219)-SUM(I350,J350)</f>
        <v>2</v>
      </c>
      <c r="I350" s="12">
        <f>SUMIF('On The Board'!J$5:J$219,"&lt;="&amp;$B350,'On The Board'!$M$5:$M$219)-SUM(J350)</f>
        <v>0</v>
      </c>
      <c r="J350" s="12">
        <f>SUMIF('On The Board'!K$5:K$219,"&lt;="&amp;$B350,'On The Board'!$M$5:$M$219)</f>
        <v>70</v>
      </c>
      <c r="K350" s="10">
        <f t="shared" si="39"/>
        <v>77</v>
      </c>
      <c r="L350" s="10" t="e">
        <f ca="1">IF(TodaysDate&gt;=B350,SUM(F350:I350),NA())</f>
        <v>#N/A</v>
      </c>
      <c r="M350" s="44" t="e">
        <f t="shared" ca="1" si="42"/>
        <v>#N/A</v>
      </c>
      <c r="N350" s="44" t="e">
        <f ca="1">IF(ISNUMBER(M350),(J350-J340)/NETWORKDAYS(B340,B350,BankHolidays),NA())</f>
        <v>#N/A</v>
      </c>
      <c r="O350" s="44" t="e">
        <f t="shared" ca="1" si="41"/>
        <v>#N/A</v>
      </c>
      <c r="P350" s="53" t="e">
        <f t="shared" ca="1" si="43"/>
        <v>#N/A</v>
      </c>
      <c r="Q350" s="53" t="str">
        <f ca="1">IFERROR(DayByDayTable[[#This Row],[Lead Time]],"")</f>
        <v/>
      </c>
      <c r="R350" s="44" t="e">
        <f t="shared" ca="1" si="44"/>
        <v>#N/A</v>
      </c>
      <c r="S350" s="44">
        <f ca="1">ROUND(PERCENTILE(DayByDayTable[[#Data],[BlankLeadTime]],0.8),0)</f>
        <v>8</v>
      </c>
    </row>
    <row r="351" spans="1:19">
      <c r="A351" s="51">
        <f t="shared" si="38"/>
        <v>42913</v>
      </c>
      <c r="B351" s="11">
        <f t="shared" si="40"/>
        <v>42913</v>
      </c>
      <c r="C351" s="47">
        <f>SUMIFS('On The Board'!$M$5:$M$219,'On The Board'!F$5:F$219,"&lt;="&amp;$B351,'On The Board'!E$5:E$219,"="&amp;FutureWork)</f>
        <v>0</v>
      </c>
      <c r="D351" s="47" t="str">
        <f ca="1">IF(TodaysDate&gt;=B351,SUMIF('On The Board'!F$5:F$219,"&lt;="&amp;$B351,'On The Board'!$M$5:$M$219)-SUM(F351:J351),"")</f>
        <v/>
      </c>
      <c r="E351" s="12">
        <f ca="1">IF(TodaysDate&gt;=B351,SUMIF('On The Board'!F$5:F$219,"&lt;="&amp;$B351,'On The Board'!$M$5:$M$219)-SUM(F351:J351),E350)</f>
        <v>47</v>
      </c>
      <c r="F351" s="12">
        <f>SUMIF('On The Board'!G$5:G$219,"&lt;="&amp;$B351,'On The Board'!$M$5:$M$219)-SUM(G351:J351)</f>
        <v>0</v>
      </c>
      <c r="G351" s="12">
        <f>SUMIF('On The Board'!H$5:H$219,"&lt;="&amp;$B351,'On The Board'!$M$5:$M$219)-SUM(H351:J351)</f>
        <v>5</v>
      </c>
      <c r="H351" s="12">
        <f>SUMIF('On The Board'!I$5:I$219,"&lt;="&amp;$B351,'On The Board'!$M$5:$M$219)-SUM(I351,J351)</f>
        <v>2</v>
      </c>
      <c r="I351" s="12">
        <f>SUMIF('On The Board'!J$5:J$219,"&lt;="&amp;$B351,'On The Board'!$M$5:$M$219)-SUM(J351)</f>
        <v>0</v>
      </c>
      <c r="J351" s="12">
        <f>SUMIF('On The Board'!K$5:K$219,"&lt;="&amp;$B351,'On The Board'!$M$5:$M$219)</f>
        <v>70</v>
      </c>
      <c r="K351" s="10">
        <f t="shared" si="39"/>
        <v>77</v>
      </c>
      <c r="L351" s="10" t="e">
        <f ca="1">IF(TodaysDate&gt;=B351,SUM(F351:I351),NA())</f>
        <v>#N/A</v>
      </c>
      <c r="M351" s="44" t="e">
        <f t="shared" ca="1" si="42"/>
        <v>#N/A</v>
      </c>
      <c r="N351" s="44" t="e">
        <f ca="1">IF(ISNUMBER(M351),(J351-J341)/NETWORKDAYS(B341,B351,BankHolidays),NA())</f>
        <v>#N/A</v>
      </c>
      <c r="O351" s="44" t="e">
        <f t="shared" ca="1" si="41"/>
        <v>#N/A</v>
      </c>
      <c r="P351" s="53" t="e">
        <f t="shared" ca="1" si="43"/>
        <v>#N/A</v>
      </c>
      <c r="Q351" s="53" t="str">
        <f ca="1">IFERROR(DayByDayTable[[#This Row],[Lead Time]],"")</f>
        <v/>
      </c>
      <c r="R351" s="44" t="e">
        <f t="shared" ca="1" si="44"/>
        <v>#N/A</v>
      </c>
      <c r="S351" s="44">
        <f ca="1">ROUND(PERCENTILE(DayByDayTable[[#Data],[BlankLeadTime]],0.8),0)</f>
        <v>8</v>
      </c>
    </row>
    <row r="352" spans="1:19">
      <c r="A352" s="51">
        <f t="shared" si="38"/>
        <v>42914</v>
      </c>
      <c r="B352" s="11">
        <f t="shared" si="40"/>
        <v>42914</v>
      </c>
      <c r="C352" s="47">
        <f>SUMIFS('On The Board'!$M$5:$M$219,'On The Board'!F$5:F$219,"&lt;="&amp;$B352,'On The Board'!E$5:E$219,"="&amp;FutureWork)</f>
        <v>0</v>
      </c>
      <c r="D352" s="47" t="str">
        <f ca="1">IF(TodaysDate&gt;=B352,SUMIF('On The Board'!F$5:F$219,"&lt;="&amp;$B352,'On The Board'!$M$5:$M$219)-SUM(F352:J352),"")</f>
        <v/>
      </c>
      <c r="E352" s="12">
        <f ca="1">IF(TodaysDate&gt;=B352,SUMIF('On The Board'!F$5:F$219,"&lt;="&amp;$B352,'On The Board'!$M$5:$M$219)-SUM(F352:J352),E351)</f>
        <v>47</v>
      </c>
      <c r="F352" s="12">
        <f>SUMIF('On The Board'!G$5:G$219,"&lt;="&amp;$B352,'On The Board'!$M$5:$M$219)-SUM(G352:J352)</f>
        <v>0</v>
      </c>
      <c r="G352" s="12">
        <f>SUMIF('On The Board'!H$5:H$219,"&lt;="&amp;$B352,'On The Board'!$M$5:$M$219)-SUM(H352:J352)</f>
        <v>5</v>
      </c>
      <c r="H352" s="12">
        <f>SUMIF('On The Board'!I$5:I$219,"&lt;="&amp;$B352,'On The Board'!$M$5:$M$219)-SUM(I352,J352)</f>
        <v>2</v>
      </c>
      <c r="I352" s="12">
        <f>SUMIF('On The Board'!J$5:J$219,"&lt;="&amp;$B352,'On The Board'!$M$5:$M$219)-SUM(J352)</f>
        <v>0</v>
      </c>
      <c r="J352" s="12">
        <f>SUMIF('On The Board'!K$5:K$219,"&lt;="&amp;$B352,'On The Board'!$M$5:$M$219)</f>
        <v>70</v>
      </c>
      <c r="K352" s="10">
        <f t="shared" si="39"/>
        <v>77</v>
      </c>
      <c r="L352" s="10" t="e">
        <f ca="1">IF(TodaysDate&gt;=B352,SUM(F352:I352),NA())</f>
        <v>#N/A</v>
      </c>
      <c r="M352" s="44" t="e">
        <f t="shared" ca="1" si="42"/>
        <v>#N/A</v>
      </c>
      <c r="N352" s="44" t="e">
        <f ca="1">IF(ISNUMBER(M352),(J352-J342)/NETWORKDAYS(B342,B352,BankHolidays),NA())</f>
        <v>#N/A</v>
      </c>
      <c r="O352" s="44" t="e">
        <f t="shared" ca="1" si="41"/>
        <v>#N/A</v>
      </c>
      <c r="P352" s="53" t="e">
        <f t="shared" ca="1" si="43"/>
        <v>#N/A</v>
      </c>
      <c r="Q352" s="53" t="str">
        <f ca="1">IFERROR(DayByDayTable[[#This Row],[Lead Time]],"")</f>
        <v/>
      </c>
      <c r="R352" s="44" t="e">
        <f t="shared" ca="1" si="44"/>
        <v>#N/A</v>
      </c>
      <c r="S352" s="44">
        <f ca="1">ROUND(PERCENTILE(DayByDayTable[[#Data],[BlankLeadTime]],0.8),0)</f>
        <v>8</v>
      </c>
    </row>
    <row r="353" spans="1:19">
      <c r="A353" s="51">
        <f t="shared" si="38"/>
        <v>42915</v>
      </c>
      <c r="B353" s="11">
        <f t="shared" si="40"/>
        <v>42915</v>
      </c>
      <c r="C353" s="47">
        <f>SUMIFS('On The Board'!$M$5:$M$219,'On The Board'!F$5:F$219,"&lt;="&amp;$B353,'On The Board'!E$5:E$219,"="&amp;FutureWork)</f>
        <v>0</v>
      </c>
      <c r="D353" s="47" t="str">
        <f ca="1">IF(TodaysDate&gt;=B353,SUMIF('On The Board'!F$5:F$219,"&lt;="&amp;$B353,'On The Board'!$M$5:$M$219)-SUM(F353:J353),"")</f>
        <v/>
      </c>
      <c r="E353" s="12">
        <f ca="1">IF(TodaysDate&gt;=B353,SUMIF('On The Board'!F$5:F$219,"&lt;="&amp;$B353,'On The Board'!$M$5:$M$219)-SUM(F353:J353),E352)</f>
        <v>47</v>
      </c>
      <c r="F353" s="12">
        <f>SUMIF('On The Board'!G$5:G$219,"&lt;="&amp;$B353,'On The Board'!$M$5:$M$219)-SUM(G353:J353)</f>
        <v>0</v>
      </c>
      <c r="G353" s="12">
        <f>SUMIF('On The Board'!H$5:H$219,"&lt;="&amp;$B353,'On The Board'!$M$5:$M$219)-SUM(H353:J353)</f>
        <v>5</v>
      </c>
      <c r="H353" s="12">
        <f>SUMIF('On The Board'!I$5:I$219,"&lt;="&amp;$B353,'On The Board'!$M$5:$M$219)-SUM(I353,J353)</f>
        <v>2</v>
      </c>
      <c r="I353" s="12">
        <f>SUMIF('On The Board'!J$5:J$219,"&lt;="&amp;$B353,'On The Board'!$M$5:$M$219)-SUM(J353)</f>
        <v>0</v>
      </c>
      <c r="J353" s="12">
        <f>SUMIF('On The Board'!K$5:K$219,"&lt;="&amp;$B353,'On The Board'!$M$5:$M$219)</f>
        <v>70</v>
      </c>
      <c r="K353" s="10">
        <f t="shared" si="39"/>
        <v>77</v>
      </c>
      <c r="L353" s="10" t="e">
        <f ca="1">IF(TodaysDate&gt;=B353,SUM(F353:I353),NA())</f>
        <v>#N/A</v>
      </c>
      <c r="M353" s="44" t="e">
        <f t="shared" ca="1" si="42"/>
        <v>#N/A</v>
      </c>
      <c r="N353" s="44" t="e">
        <f ca="1">IF(ISNUMBER(M353),(J353-J343)/NETWORKDAYS(B343,B353,BankHolidays),NA())</f>
        <v>#N/A</v>
      </c>
      <c r="O353" s="44" t="e">
        <f t="shared" ca="1" si="41"/>
        <v>#N/A</v>
      </c>
      <c r="P353" s="53" t="e">
        <f t="shared" ca="1" si="43"/>
        <v>#N/A</v>
      </c>
      <c r="Q353" s="53" t="str">
        <f ca="1">IFERROR(DayByDayTable[[#This Row],[Lead Time]],"")</f>
        <v/>
      </c>
      <c r="R353" s="44" t="e">
        <f t="shared" ca="1" si="44"/>
        <v>#N/A</v>
      </c>
      <c r="S353" s="44">
        <f ca="1">ROUND(PERCENTILE(DayByDayTable[[#Data],[BlankLeadTime]],0.8),0)</f>
        <v>8</v>
      </c>
    </row>
    <row r="354" spans="1:19">
      <c r="A354" s="51">
        <f t="shared" si="38"/>
        <v>42916</v>
      </c>
      <c r="B354" s="11">
        <f t="shared" si="40"/>
        <v>42916</v>
      </c>
      <c r="C354" s="47">
        <f>SUMIFS('On The Board'!$M$5:$M$219,'On The Board'!F$5:F$219,"&lt;="&amp;$B354,'On The Board'!E$5:E$219,"="&amp;FutureWork)</f>
        <v>0</v>
      </c>
      <c r="D354" s="47" t="str">
        <f ca="1">IF(TodaysDate&gt;=B354,SUMIF('On The Board'!F$5:F$219,"&lt;="&amp;$B354,'On The Board'!$M$5:$M$219)-SUM(F354:J354),"")</f>
        <v/>
      </c>
      <c r="E354" s="12">
        <f ca="1">IF(TodaysDate&gt;=B354,SUMIF('On The Board'!F$5:F$219,"&lt;="&amp;$B354,'On The Board'!$M$5:$M$219)-SUM(F354:J354),E353)</f>
        <v>47</v>
      </c>
      <c r="F354" s="12">
        <f>SUMIF('On The Board'!G$5:G$219,"&lt;="&amp;$B354,'On The Board'!$M$5:$M$219)-SUM(G354:J354)</f>
        <v>0</v>
      </c>
      <c r="G354" s="12">
        <f>SUMIF('On The Board'!H$5:H$219,"&lt;="&amp;$B354,'On The Board'!$M$5:$M$219)-SUM(H354:J354)</f>
        <v>5</v>
      </c>
      <c r="H354" s="12">
        <f>SUMIF('On The Board'!I$5:I$219,"&lt;="&amp;$B354,'On The Board'!$M$5:$M$219)-SUM(I354,J354)</f>
        <v>2</v>
      </c>
      <c r="I354" s="12">
        <f>SUMIF('On The Board'!J$5:J$219,"&lt;="&amp;$B354,'On The Board'!$M$5:$M$219)-SUM(J354)</f>
        <v>0</v>
      </c>
      <c r="J354" s="12">
        <f>SUMIF('On The Board'!K$5:K$219,"&lt;="&amp;$B354,'On The Board'!$M$5:$M$219)</f>
        <v>70</v>
      </c>
      <c r="K354" s="10">
        <f t="shared" si="39"/>
        <v>77</v>
      </c>
      <c r="L354" s="10" t="e">
        <f ca="1">IF(TodaysDate&gt;=B354,SUM(F354:I354),NA())</f>
        <v>#N/A</v>
      </c>
      <c r="M354" s="44" t="e">
        <f t="shared" ca="1" si="42"/>
        <v>#N/A</v>
      </c>
      <c r="N354" s="44" t="e">
        <f ca="1">IF(ISNUMBER(M354),(J354-J344)/NETWORKDAYS(B344,B354,BankHolidays),NA())</f>
        <v>#N/A</v>
      </c>
      <c r="O354" s="44" t="e">
        <f t="shared" ca="1" si="41"/>
        <v>#N/A</v>
      </c>
      <c r="P354" s="53" t="e">
        <f t="shared" ca="1" si="43"/>
        <v>#N/A</v>
      </c>
      <c r="Q354" s="53" t="str">
        <f ca="1">IFERROR(DayByDayTable[[#This Row],[Lead Time]],"")</f>
        <v/>
      </c>
      <c r="R354" s="44" t="e">
        <f t="shared" ca="1" si="44"/>
        <v>#N/A</v>
      </c>
      <c r="S354" s="44">
        <f ca="1">ROUND(PERCENTILE(DayByDayTable[[#Data],[BlankLeadTime]],0.8),0)</f>
        <v>8</v>
      </c>
    </row>
    <row r="355" spans="1:19">
      <c r="A355" s="51">
        <f t="shared" si="38"/>
        <v>42919</v>
      </c>
      <c r="B355" s="11">
        <f t="shared" si="40"/>
        <v>42919</v>
      </c>
      <c r="C355" s="47">
        <f>SUMIFS('On The Board'!$M$5:$M$219,'On The Board'!F$5:F$219,"&lt;="&amp;$B355,'On The Board'!E$5:E$219,"="&amp;FutureWork)</f>
        <v>0</v>
      </c>
      <c r="D355" s="47" t="str">
        <f ca="1">IF(TodaysDate&gt;=B355,SUMIF('On The Board'!F$5:F$219,"&lt;="&amp;$B355,'On The Board'!$M$5:$M$219)-SUM(F355:J355),"")</f>
        <v/>
      </c>
      <c r="E355" s="12">
        <f ca="1">IF(TodaysDate&gt;=B355,SUMIF('On The Board'!F$5:F$219,"&lt;="&amp;$B355,'On The Board'!$M$5:$M$219)-SUM(F355:J355),E354)</f>
        <v>47</v>
      </c>
      <c r="F355" s="12">
        <f>SUMIF('On The Board'!G$5:G$219,"&lt;="&amp;$B355,'On The Board'!$M$5:$M$219)-SUM(G355:J355)</f>
        <v>0</v>
      </c>
      <c r="G355" s="12">
        <f>SUMIF('On The Board'!H$5:H$219,"&lt;="&amp;$B355,'On The Board'!$M$5:$M$219)-SUM(H355:J355)</f>
        <v>5</v>
      </c>
      <c r="H355" s="12">
        <f>SUMIF('On The Board'!I$5:I$219,"&lt;="&amp;$B355,'On The Board'!$M$5:$M$219)-SUM(I355,J355)</f>
        <v>2</v>
      </c>
      <c r="I355" s="12">
        <f>SUMIF('On The Board'!J$5:J$219,"&lt;="&amp;$B355,'On The Board'!$M$5:$M$219)-SUM(J355)</f>
        <v>0</v>
      </c>
      <c r="J355" s="12">
        <f>SUMIF('On The Board'!K$5:K$219,"&lt;="&amp;$B355,'On The Board'!$M$5:$M$219)</f>
        <v>70</v>
      </c>
      <c r="K355" s="10">
        <f t="shared" si="39"/>
        <v>77</v>
      </c>
      <c r="L355" s="10" t="e">
        <f ca="1">IF(TodaysDate&gt;=B355,SUM(F355:I355),NA())</f>
        <v>#N/A</v>
      </c>
      <c r="M355" s="44" t="e">
        <f t="shared" ca="1" si="42"/>
        <v>#N/A</v>
      </c>
      <c r="N355" s="44" t="e">
        <f ca="1">IF(ISNUMBER(M355),(J355-J345)/NETWORKDAYS(B345,B355,BankHolidays),NA())</f>
        <v>#N/A</v>
      </c>
      <c r="O355" s="44" t="e">
        <f t="shared" ca="1" si="41"/>
        <v>#N/A</v>
      </c>
      <c r="P355" s="53" t="e">
        <f t="shared" ca="1" si="43"/>
        <v>#N/A</v>
      </c>
      <c r="Q355" s="53" t="str">
        <f ca="1">IFERROR(DayByDayTable[[#This Row],[Lead Time]],"")</f>
        <v/>
      </c>
      <c r="R355" s="44" t="e">
        <f t="shared" ca="1" si="44"/>
        <v>#N/A</v>
      </c>
      <c r="S355" s="44">
        <f ca="1">ROUND(PERCENTILE(DayByDayTable[[#Data],[BlankLeadTime]],0.8),0)</f>
        <v>8</v>
      </c>
    </row>
    <row r="356" spans="1:19">
      <c r="A356" s="51">
        <f t="shared" si="38"/>
        <v>42920</v>
      </c>
      <c r="B356" s="11">
        <f t="shared" si="40"/>
        <v>42920</v>
      </c>
      <c r="C356" s="47">
        <f>SUMIFS('On The Board'!$M$5:$M$219,'On The Board'!F$5:F$219,"&lt;="&amp;$B356,'On The Board'!E$5:E$219,"="&amp;FutureWork)</f>
        <v>0</v>
      </c>
      <c r="D356" s="47" t="str">
        <f ca="1">IF(TodaysDate&gt;=B356,SUMIF('On The Board'!F$5:F$219,"&lt;="&amp;$B356,'On The Board'!$M$5:$M$219)-SUM(F356:J356),"")</f>
        <v/>
      </c>
      <c r="E356" s="12">
        <f ca="1">IF(TodaysDate&gt;=B356,SUMIF('On The Board'!F$5:F$219,"&lt;="&amp;$B356,'On The Board'!$M$5:$M$219)-SUM(F356:J356),E355)</f>
        <v>47</v>
      </c>
      <c r="F356" s="12">
        <f>SUMIF('On The Board'!G$5:G$219,"&lt;="&amp;$B356,'On The Board'!$M$5:$M$219)-SUM(G356:J356)</f>
        <v>0</v>
      </c>
      <c r="G356" s="12">
        <f>SUMIF('On The Board'!H$5:H$219,"&lt;="&amp;$B356,'On The Board'!$M$5:$M$219)-SUM(H356:J356)</f>
        <v>5</v>
      </c>
      <c r="H356" s="12">
        <f>SUMIF('On The Board'!I$5:I$219,"&lt;="&amp;$B356,'On The Board'!$M$5:$M$219)-SUM(I356,J356)</f>
        <v>2</v>
      </c>
      <c r="I356" s="12">
        <f>SUMIF('On The Board'!J$5:J$219,"&lt;="&amp;$B356,'On The Board'!$M$5:$M$219)-SUM(J356)</f>
        <v>0</v>
      </c>
      <c r="J356" s="12">
        <f>SUMIF('On The Board'!K$5:K$219,"&lt;="&amp;$B356,'On The Board'!$M$5:$M$219)</f>
        <v>70</v>
      </c>
      <c r="K356" s="10">
        <f t="shared" si="39"/>
        <v>77</v>
      </c>
      <c r="L356" s="10" t="e">
        <f ca="1">IF(TodaysDate&gt;=B356,SUM(F356:I356),NA())</f>
        <v>#N/A</v>
      </c>
      <c r="M356" s="44" t="e">
        <f t="shared" ca="1" si="42"/>
        <v>#N/A</v>
      </c>
      <c r="N356" s="44" t="e">
        <f ca="1">IF(ISNUMBER(M356),(J356-J346)/NETWORKDAYS(B346,B356,BankHolidays),NA())</f>
        <v>#N/A</v>
      </c>
      <c r="O356" s="44" t="e">
        <f t="shared" ca="1" si="41"/>
        <v>#N/A</v>
      </c>
      <c r="P356" s="53" t="e">
        <f t="shared" ca="1" si="43"/>
        <v>#N/A</v>
      </c>
      <c r="Q356" s="53" t="str">
        <f ca="1">IFERROR(DayByDayTable[[#This Row],[Lead Time]],"")</f>
        <v/>
      </c>
      <c r="R356" s="44" t="e">
        <f t="shared" ca="1" si="44"/>
        <v>#N/A</v>
      </c>
      <c r="S356" s="44">
        <f ca="1">ROUND(PERCENTILE(DayByDayTable[[#Data],[BlankLeadTime]],0.8),0)</f>
        <v>8</v>
      </c>
    </row>
    <row r="357" spans="1:19">
      <c r="A357" s="51">
        <f t="shared" si="38"/>
        <v>42921</v>
      </c>
      <c r="B357" s="11">
        <f t="shared" si="40"/>
        <v>42921</v>
      </c>
      <c r="C357" s="47">
        <f>SUMIFS('On The Board'!$M$5:$M$219,'On The Board'!F$5:F$219,"&lt;="&amp;$B357,'On The Board'!E$5:E$219,"="&amp;FutureWork)</f>
        <v>0</v>
      </c>
      <c r="D357" s="47" t="str">
        <f ca="1">IF(TodaysDate&gt;=B357,SUMIF('On The Board'!F$5:F$219,"&lt;="&amp;$B357,'On The Board'!$M$5:$M$219)-SUM(F357:J357),"")</f>
        <v/>
      </c>
      <c r="E357" s="12">
        <f ca="1">IF(TodaysDate&gt;=B357,SUMIF('On The Board'!F$5:F$219,"&lt;="&amp;$B357,'On The Board'!$M$5:$M$219)-SUM(F357:J357),E356)</f>
        <v>47</v>
      </c>
      <c r="F357" s="12">
        <f>SUMIF('On The Board'!G$5:G$219,"&lt;="&amp;$B357,'On The Board'!$M$5:$M$219)-SUM(G357:J357)</f>
        <v>0</v>
      </c>
      <c r="G357" s="12">
        <f>SUMIF('On The Board'!H$5:H$219,"&lt;="&amp;$B357,'On The Board'!$M$5:$M$219)-SUM(H357:J357)</f>
        <v>5</v>
      </c>
      <c r="H357" s="12">
        <f>SUMIF('On The Board'!I$5:I$219,"&lt;="&amp;$B357,'On The Board'!$M$5:$M$219)-SUM(I357,J357)</f>
        <v>2</v>
      </c>
      <c r="I357" s="12">
        <f>SUMIF('On The Board'!J$5:J$219,"&lt;="&amp;$B357,'On The Board'!$M$5:$M$219)-SUM(J357)</f>
        <v>0</v>
      </c>
      <c r="J357" s="12">
        <f>SUMIF('On The Board'!K$5:K$219,"&lt;="&amp;$B357,'On The Board'!$M$5:$M$219)</f>
        <v>70</v>
      </c>
      <c r="K357" s="10">
        <f t="shared" si="39"/>
        <v>77</v>
      </c>
      <c r="L357" s="10" t="e">
        <f ca="1">IF(TodaysDate&gt;=B357,SUM(F357:I357),NA())</f>
        <v>#N/A</v>
      </c>
      <c r="M357" s="44" t="e">
        <f t="shared" ca="1" si="42"/>
        <v>#N/A</v>
      </c>
      <c r="N357" s="44" t="e">
        <f ca="1">IF(ISNUMBER(M357),(J357-J347)/NETWORKDAYS(B347,B357,BankHolidays),NA())</f>
        <v>#N/A</v>
      </c>
      <c r="O357" s="44" t="e">
        <f t="shared" ca="1" si="41"/>
        <v>#N/A</v>
      </c>
      <c r="P357" s="53" t="e">
        <f t="shared" ca="1" si="43"/>
        <v>#N/A</v>
      </c>
      <c r="Q357" s="53" t="str">
        <f ca="1">IFERROR(DayByDayTable[[#This Row],[Lead Time]],"")</f>
        <v/>
      </c>
      <c r="R357" s="44" t="e">
        <f t="shared" ca="1" si="44"/>
        <v>#N/A</v>
      </c>
      <c r="S357" s="44">
        <f ca="1">ROUND(PERCENTILE(DayByDayTable[[#Data],[BlankLeadTime]],0.8),0)</f>
        <v>8</v>
      </c>
    </row>
    <row r="358" spans="1:19">
      <c r="A358" s="51">
        <f t="shared" si="38"/>
        <v>42922</v>
      </c>
      <c r="B358" s="11">
        <f t="shared" si="40"/>
        <v>42922</v>
      </c>
      <c r="C358" s="47">
        <f>SUMIFS('On The Board'!$M$5:$M$219,'On The Board'!F$5:F$219,"&lt;="&amp;$B358,'On The Board'!E$5:E$219,"="&amp;FutureWork)</f>
        <v>0</v>
      </c>
      <c r="D358" s="47" t="str">
        <f ca="1">IF(TodaysDate&gt;=B358,SUMIF('On The Board'!F$5:F$219,"&lt;="&amp;$B358,'On The Board'!$M$5:$M$219)-SUM(F358:J358),"")</f>
        <v/>
      </c>
      <c r="E358" s="12">
        <f ca="1">IF(TodaysDate&gt;=B358,SUMIF('On The Board'!F$5:F$219,"&lt;="&amp;$B358,'On The Board'!$M$5:$M$219)-SUM(F358:J358),E357)</f>
        <v>47</v>
      </c>
      <c r="F358" s="12">
        <f>SUMIF('On The Board'!G$5:G$219,"&lt;="&amp;$B358,'On The Board'!$M$5:$M$219)-SUM(G358:J358)</f>
        <v>0</v>
      </c>
      <c r="G358" s="12">
        <f>SUMIF('On The Board'!H$5:H$219,"&lt;="&amp;$B358,'On The Board'!$M$5:$M$219)-SUM(H358:J358)</f>
        <v>5</v>
      </c>
      <c r="H358" s="12">
        <f>SUMIF('On The Board'!I$5:I$219,"&lt;="&amp;$B358,'On The Board'!$M$5:$M$219)-SUM(I358,J358)</f>
        <v>2</v>
      </c>
      <c r="I358" s="12">
        <f>SUMIF('On The Board'!J$5:J$219,"&lt;="&amp;$B358,'On The Board'!$M$5:$M$219)-SUM(J358)</f>
        <v>0</v>
      </c>
      <c r="J358" s="12">
        <f>SUMIF('On The Board'!K$5:K$219,"&lt;="&amp;$B358,'On The Board'!$M$5:$M$219)</f>
        <v>70</v>
      </c>
      <c r="K358" s="10">
        <f t="shared" si="39"/>
        <v>77</v>
      </c>
      <c r="L358" s="10" t="e">
        <f ca="1">IF(TodaysDate&gt;=B358,SUM(F358:I358),NA())</f>
        <v>#N/A</v>
      </c>
      <c r="M358" s="44" t="e">
        <f t="shared" ca="1" si="42"/>
        <v>#N/A</v>
      </c>
      <c r="N358" s="44" t="e">
        <f ca="1">IF(ISNUMBER(M358),(J358-J348)/NETWORKDAYS(B348,B358,BankHolidays),NA())</f>
        <v>#N/A</v>
      </c>
      <c r="O358" s="44" t="e">
        <f t="shared" ca="1" si="41"/>
        <v>#N/A</v>
      </c>
      <c r="P358" s="53" t="e">
        <f t="shared" ca="1" si="43"/>
        <v>#N/A</v>
      </c>
      <c r="Q358" s="53" t="str">
        <f ca="1">IFERROR(DayByDayTable[[#This Row],[Lead Time]],"")</f>
        <v/>
      </c>
      <c r="R358" s="44" t="e">
        <f t="shared" ca="1" si="44"/>
        <v>#N/A</v>
      </c>
      <c r="S358" s="44">
        <f ca="1">ROUND(PERCENTILE(DayByDayTable[[#Data],[BlankLeadTime]],0.8),0)</f>
        <v>8</v>
      </c>
    </row>
    <row r="359" spans="1:19">
      <c r="A359" s="51">
        <f t="shared" si="38"/>
        <v>42923</v>
      </c>
      <c r="B359" s="11">
        <f t="shared" si="40"/>
        <v>42923</v>
      </c>
      <c r="C359" s="47">
        <f>SUMIFS('On The Board'!$M$5:$M$219,'On The Board'!F$5:F$219,"&lt;="&amp;$B359,'On The Board'!E$5:E$219,"="&amp;FutureWork)</f>
        <v>0</v>
      </c>
      <c r="D359" s="47" t="str">
        <f ca="1">IF(TodaysDate&gt;=B359,SUMIF('On The Board'!F$5:F$219,"&lt;="&amp;$B359,'On The Board'!$M$5:$M$219)-SUM(F359:J359),"")</f>
        <v/>
      </c>
      <c r="E359" s="12">
        <f ca="1">IF(TodaysDate&gt;=B359,SUMIF('On The Board'!F$5:F$219,"&lt;="&amp;$B359,'On The Board'!$M$5:$M$219)-SUM(F359:J359),E358)</f>
        <v>47</v>
      </c>
      <c r="F359" s="12">
        <f>SUMIF('On The Board'!G$5:G$219,"&lt;="&amp;$B359,'On The Board'!$M$5:$M$219)-SUM(G359:J359)</f>
        <v>0</v>
      </c>
      <c r="G359" s="12">
        <f>SUMIF('On The Board'!H$5:H$219,"&lt;="&amp;$B359,'On The Board'!$M$5:$M$219)-SUM(H359:J359)</f>
        <v>5</v>
      </c>
      <c r="H359" s="12">
        <f>SUMIF('On The Board'!I$5:I$219,"&lt;="&amp;$B359,'On The Board'!$M$5:$M$219)-SUM(I359,J359)</f>
        <v>2</v>
      </c>
      <c r="I359" s="12">
        <f>SUMIF('On The Board'!J$5:J$219,"&lt;="&amp;$B359,'On The Board'!$M$5:$M$219)-SUM(J359)</f>
        <v>0</v>
      </c>
      <c r="J359" s="12">
        <f>SUMIF('On The Board'!K$5:K$219,"&lt;="&amp;$B359,'On The Board'!$M$5:$M$219)</f>
        <v>70</v>
      </c>
      <c r="K359" s="10">
        <f t="shared" si="39"/>
        <v>77</v>
      </c>
      <c r="L359" s="10" t="e">
        <f ca="1">IF(TodaysDate&gt;=B359,SUM(F359:I359),NA())</f>
        <v>#N/A</v>
      </c>
      <c r="M359" s="44" t="e">
        <f t="shared" ca="1" si="42"/>
        <v>#N/A</v>
      </c>
      <c r="N359" s="44" t="e">
        <f ca="1">IF(ISNUMBER(M359),(J359-J349)/NETWORKDAYS(B349,B359,BankHolidays),NA())</f>
        <v>#N/A</v>
      </c>
      <c r="O359" s="44" t="e">
        <f t="shared" ca="1" si="41"/>
        <v>#N/A</v>
      </c>
      <c r="P359" s="53" t="e">
        <f t="shared" ca="1" si="43"/>
        <v>#N/A</v>
      </c>
      <c r="Q359" s="53" t="str">
        <f ca="1">IFERROR(DayByDayTable[[#This Row],[Lead Time]],"")</f>
        <v/>
      </c>
      <c r="R359" s="44" t="e">
        <f t="shared" ca="1" si="44"/>
        <v>#N/A</v>
      </c>
      <c r="S359" s="44">
        <f ca="1">ROUND(PERCENTILE(DayByDayTable[[#Data],[BlankLeadTime]],0.8),0)</f>
        <v>8</v>
      </c>
    </row>
    <row r="360" spans="1:19">
      <c r="A360" s="51">
        <f t="shared" si="38"/>
        <v>42926</v>
      </c>
      <c r="B360" s="11">
        <f t="shared" si="40"/>
        <v>42926</v>
      </c>
      <c r="C360" s="47">
        <f>SUMIFS('On The Board'!$M$5:$M$219,'On The Board'!F$5:F$219,"&lt;="&amp;$B360,'On The Board'!E$5:E$219,"="&amp;FutureWork)</f>
        <v>0</v>
      </c>
      <c r="D360" s="47" t="str">
        <f ca="1">IF(TodaysDate&gt;=B360,SUMIF('On The Board'!F$5:F$219,"&lt;="&amp;$B360,'On The Board'!$M$5:$M$219)-SUM(F360:J360),"")</f>
        <v/>
      </c>
      <c r="E360" s="12">
        <f ca="1">IF(TodaysDate&gt;=B360,SUMIF('On The Board'!F$5:F$219,"&lt;="&amp;$B360,'On The Board'!$M$5:$M$219)-SUM(F360:J360),E359)</f>
        <v>47</v>
      </c>
      <c r="F360" s="12">
        <f>SUMIF('On The Board'!G$5:G$219,"&lt;="&amp;$B360,'On The Board'!$M$5:$M$219)-SUM(G360:J360)</f>
        <v>0</v>
      </c>
      <c r="G360" s="12">
        <f>SUMIF('On The Board'!H$5:H$219,"&lt;="&amp;$B360,'On The Board'!$M$5:$M$219)-SUM(H360:J360)</f>
        <v>5</v>
      </c>
      <c r="H360" s="12">
        <f>SUMIF('On The Board'!I$5:I$219,"&lt;="&amp;$B360,'On The Board'!$M$5:$M$219)-SUM(I360,J360)</f>
        <v>2</v>
      </c>
      <c r="I360" s="12">
        <f>SUMIF('On The Board'!J$5:J$219,"&lt;="&amp;$B360,'On The Board'!$M$5:$M$219)-SUM(J360)</f>
        <v>0</v>
      </c>
      <c r="J360" s="12">
        <f>SUMIF('On The Board'!K$5:K$219,"&lt;="&amp;$B360,'On The Board'!$M$5:$M$219)</f>
        <v>70</v>
      </c>
      <c r="K360" s="10">
        <f t="shared" si="39"/>
        <v>77</v>
      </c>
      <c r="L360" s="10" t="e">
        <f ca="1">IF(TodaysDate&gt;=B360,SUM(F360:I360),NA())</f>
        <v>#N/A</v>
      </c>
      <c r="M360" s="44" t="e">
        <f t="shared" ca="1" si="42"/>
        <v>#N/A</v>
      </c>
      <c r="N360" s="44" t="e">
        <f ca="1">IF(ISNUMBER(M360),(J360-J350)/NETWORKDAYS(B350,B360,BankHolidays),NA())</f>
        <v>#N/A</v>
      </c>
      <c r="O360" s="44" t="e">
        <f t="shared" ca="1" si="41"/>
        <v>#N/A</v>
      </c>
      <c r="P360" s="53" t="e">
        <f t="shared" ca="1" si="43"/>
        <v>#N/A</v>
      </c>
      <c r="Q360" s="53" t="str">
        <f ca="1">IFERROR(DayByDayTable[[#This Row],[Lead Time]],"")</f>
        <v/>
      </c>
      <c r="R360" s="44" t="e">
        <f t="shared" ca="1" si="44"/>
        <v>#N/A</v>
      </c>
      <c r="S360" s="44">
        <f ca="1">ROUND(PERCENTILE(DayByDayTable[[#Data],[BlankLeadTime]],0.8),0)</f>
        <v>8</v>
      </c>
    </row>
    <row r="361" spans="1:19">
      <c r="A361" s="51">
        <f t="shared" si="38"/>
        <v>42927</v>
      </c>
      <c r="B361" s="11">
        <f t="shared" si="40"/>
        <v>42927</v>
      </c>
      <c r="C361" s="47">
        <f>SUMIFS('On The Board'!$M$5:$M$219,'On The Board'!F$5:F$219,"&lt;="&amp;$B361,'On The Board'!E$5:E$219,"="&amp;FutureWork)</f>
        <v>0</v>
      </c>
      <c r="D361" s="47" t="str">
        <f ca="1">IF(TodaysDate&gt;=B361,SUMIF('On The Board'!F$5:F$219,"&lt;="&amp;$B361,'On The Board'!$M$5:$M$219)-SUM(F361:J361),"")</f>
        <v/>
      </c>
      <c r="E361" s="12">
        <f ca="1">IF(TodaysDate&gt;=B361,SUMIF('On The Board'!F$5:F$219,"&lt;="&amp;$B361,'On The Board'!$M$5:$M$219)-SUM(F361:J361),E360)</f>
        <v>47</v>
      </c>
      <c r="F361" s="12">
        <f>SUMIF('On The Board'!G$5:G$219,"&lt;="&amp;$B361,'On The Board'!$M$5:$M$219)-SUM(G361:J361)</f>
        <v>0</v>
      </c>
      <c r="G361" s="12">
        <f>SUMIF('On The Board'!H$5:H$219,"&lt;="&amp;$B361,'On The Board'!$M$5:$M$219)-SUM(H361:J361)</f>
        <v>5</v>
      </c>
      <c r="H361" s="12">
        <f>SUMIF('On The Board'!I$5:I$219,"&lt;="&amp;$B361,'On The Board'!$M$5:$M$219)-SUM(I361,J361)</f>
        <v>2</v>
      </c>
      <c r="I361" s="12">
        <f>SUMIF('On The Board'!J$5:J$219,"&lt;="&amp;$B361,'On The Board'!$M$5:$M$219)-SUM(J361)</f>
        <v>0</v>
      </c>
      <c r="J361" s="12">
        <f>SUMIF('On The Board'!K$5:K$219,"&lt;="&amp;$B361,'On The Board'!$M$5:$M$219)</f>
        <v>70</v>
      </c>
      <c r="K361" s="10">
        <f t="shared" si="39"/>
        <v>77</v>
      </c>
      <c r="L361" s="10" t="e">
        <f ca="1">IF(TodaysDate&gt;=B361,SUM(F361:I361),NA())</f>
        <v>#N/A</v>
      </c>
      <c r="M361" s="44" t="e">
        <f t="shared" ca="1" si="42"/>
        <v>#N/A</v>
      </c>
      <c r="N361" s="44" t="e">
        <f ca="1">IF(ISNUMBER(M361),(J361-J351)/NETWORKDAYS(B351,B361,BankHolidays),NA())</f>
        <v>#N/A</v>
      </c>
      <c r="O361" s="44" t="e">
        <f t="shared" ca="1" si="41"/>
        <v>#N/A</v>
      </c>
      <c r="P361" s="53" t="e">
        <f t="shared" ca="1" si="43"/>
        <v>#N/A</v>
      </c>
      <c r="Q361" s="53" t="str">
        <f ca="1">IFERROR(DayByDayTable[[#This Row],[Lead Time]],"")</f>
        <v/>
      </c>
      <c r="R361" s="44" t="e">
        <f t="shared" ca="1" si="44"/>
        <v>#N/A</v>
      </c>
      <c r="S361" s="44">
        <f ca="1">ROUND(PERCENTILE(DayByDayTable[[#Data],[BlankLeadTime]],0.8),0)</f>
        <v>8</v>
      </c>
    </row>
    <row r="362" spans="1:19">
      <c r="A362" s="51">
        <f t="shared" si="38"/>
        <v>42928</v>
      </c>
      <c r="B362" s="11">
        <f t="shared" si="40"/>
        <v>42928</v>
      </c>
      <c r="C362" s="47">
        <f>SUMIFS('On The Board'!$M$5:$M$219,'On The Board'!F$5:F$219,"&lt;="&amp;$B362,'On The Board'!E$5:E$219,"="&amp;FutureWork)</f>
        <v>0</v>
      </c>
      <c r="D362" s="47" t="str">
        <f ca="1">IF(TodaysDate&gt;=B362,SUMIF('On The Board'!F$5:F$219,"&lt;="&amp;$B362,'On The Board'!$M$5:$M$219)-SUM(F362:J362),"")</f>
        <v/>
      </c>
      <c r="E362" s="12">
        <f ca="1">IF(TodaysDate&gt;=B362,SUMIF('On The Board'!F$5:F$219,"&lt;="&amp;$B362,'On The Board'!$M$5:$M$219)-SUM(F362:J362),E361)</f>
        <v>47</v>
      </c>
      <c r="F362" s="12">
        <f>SUMIF('On The Board'!G$5:G$219,"&lt;="&amp;$B362,'On The Board'!$M$5:$M$219)-SUM(G362:J362)</f>
        <v>0</v>
      </c>
      <c r="G362" s="12">
        <f>SUMIF('On The Board'!H$5:H$219,"&lt;="&amp;$B362,'On The Board'!$M$5:$M$219)-SUM(H362:J362)</f>
        <v>5</v>
      </c>
      <c r="H362" s="12">
        <f>SUMIF('On The Board'!I$5:I$219,"&lt;="&amp;$B362,'On The Board'!$M$5:$M$219)-SUM(I362,J362)</f>
        <v>2</v>
      </c>
      <c r="I362" s="12">
        <f>SUMIF('On The Board'!J$5:J$219,"&lt;="&amp;$B362,'On The Board'!$M$5:$M$219)-SUM(J362)</f>
        <v>0</v>
      </c>
      <c r="J362" s="12">
        <f>SUMIF('On The Board'!K$5:K$219,"&lt;="&amp;$B362,'On The Board'!$M$5:$M$219)</f>
        <v>70</v>
      </c>
      <c r="K362" s="10">
        <f t="shared" si="39"/>
        <v>77</v>
      </c>
      <c r="L362" s="10" t="e">
        <f ca="1">IF(TodaysDate&gt;=B362,SUM(F362:I362),NA())</f>
        <v>#N/A</v>
      </c>
      <c r="M362" s="44" t="e">
        <f t="shared" ca="1" si="42"/>
        <v>#N/A</v>
      </c>
      <c r="N362" s="44" t="e">
        <f ca="1">IF(ISNUMBER(M362),(J362-J352)/NETWORKDAYS(B352,B362,BankHolidays),NA())</f>
        <v>#N/A</v>
      </c>
      <c r="O362" s="44" t="e">
        <f t="shared" ca="1" si="41"/>
        <v>#N/A</v>
      </c>
      <c r="P362" s="53" t="e">
        <f t="shared" ca="1" si="43"/>
        <v>#N/A</v>
      </c>
      <c r="Q362" s="53" t="str">
        <f ca="1">IFERROR(DayByDayTable[[#This Row],[Lead Time]],"")</f>
        <v/>
      </c>
      <c r="R362" s="44" t="e">
        <f t="shared" ca="1" si="44"/>
        <v>#N/A</v>
      </c>
      <c r="S362" s="44">
        <f ca="1">ROUND(PERCENTILE(DayByDayTable[[#Data],[BlankLeadTime]],0.8),0)</f>
        <v>8</v>
      </c>
    </row>
    <row r="363" spans="1:19">
      <c r="A363" s="51">
        <f t="shared" si="38"/>
        <v>42929</v>
      </c>
      <c r="B363" s="11">
        <f t="shared" si="40"/>
        <v>42929</v>
      </c>
      <c r="C363" s="47">
        <f>SUMIFS('On The Board'!$M$5:$M$219,'On The Board'!F$5:F$219,"&lt;="&amp;$B363,'On The Board'!E$5:E$219,"="&amp;FutureWork)</f>
        <v>0</v>
      </c>
      <c r="D363" s="47" t="str">
        <f ca="1">IF(TodaysDate&gt;=B363,SUMIF('On The Board'!F$5:F$219,"&lt;="&amp;$B363,'On The Board'!$M$5:$M$219)-SUM(F363:J363),"")</f>
        <v/>
      </c>
      <c r="E363" s="12">
        <f ca="1">IF(TodaysDate&gt;=B363,SUMIF('On The Board'!F$5:F$219,"&lt;="&amp;$B363,'On The Board'!$M$5:$M$219)-SUM(F363:J363),E362)</f>
        <v>47</v>
      </c>
      <c r="F363" s="12">
        <f>SUMIF('On The Board'!G$5:G$219,"&lt;="&amp;$B363,'On The Board'!$M$5:$M$219)-SUM(G363:J363)</f>
        <v>0</v>
      </c>
      <c r="G363" s="12">
        <f>SUMIF('On The Board'!H$5:H$219,"&lt;="&amp;$B363,'On The Board'!$M$5:$M$219)-SUM(H363:J363)</f>
        <v>5</v>
      </c>
      <c r="H363" s="12">
        <f>SUMIF('On The Board'!I$5:I$219,"&lt;="&amp;$B363,'On The Board'!$M$5:$M$219)-SUM(I363,J363)</f>
        <v>2</v>
      </c>
      <c r="I363" s="12">
        <f>SUMIF('On The Board'!J$5:J$219,"&lt;="&amp;$B363,'On The Board'!$M$5:$M$219)-SUM(J363)</f>
        <v>0</v>
      </c>
      <c r="J363" s="12">
        <f>SUMIF('On The Board'!K$5:K$219,"&lt;="&amp;$B363,'On The Board'!$M$5:$M$219)</f>
        <v>70</v>
      </c>
      <c r="K363" s="10">
        <f t="shared" si="39"/>
        <v>77</v>
      </c>
      <c r="L363" s="10" t="e">
        <f ca="1">IF(TodaysDate&gt;=B363,SUM(F363:I363),NA())</f>
        <v>#N/A</v>
      </c>
      <c r="M363" s="44" t="e">
        <f t="shared" ca="1" si="42"/>
        <v>#N/A</v>
      </c>
      <c r="N363" s="44" t="e">
        <f ca="1">IF(ISNUMBER(M363),(J363-J353)/NETWORKDAYS(B353,B363,BankHolidays),NA())</f>
        <v>#N/A</v>
      </c>
      <c r="O363" s="44" t="e">
        <f t="shared" ca="1" si="41"/>
        <v>#N/A</v>
      </c>
      <c r="P363" s="53" t="e">
        <f t="shared" ca="1" si="43"/>
        <v>#N/A</v>
      </c>
      <c r="Q363" s="53" t="str">
        <f ca="1">IFERROR(DayByDayTable[[#This Row],[Lead Time]],"")</f>
        <v/>
      </c>
      <c r="R363" s="44" t="e">
        <f t="shared" ca="1" si="44"/>
        <v>#N/A</v>
      </c>
      <c r="S363" s="44">
        <f ca="1">ROUND(PERCENTILE(DayByDayTable[[#Data],[BlankLeadTime]],0.8),0)</f>
        <v>8</v>
      </c>
    </row>
    <row r="364" spans="1:19">
      <c r="A364" s="51">
        <f t="shared" si="38"/>
        <v>42930</v>
      </c>
      <c r="B364" s="11">
        <f t="shared" si="40"/>
        <v>42930</v>
      </c>
      <c r="C364" s="47">
        <f>SUMIFS('On The Board'!$M$5:$M$219,'On The Board'!F$5:F$219,"&lt;="&amp;$B364,'On The Board'!E$5:E$219,"="&amp;FutureWork)</f>
        <v>0</v>
      </c>
      <c r="D364" s="47" t="str">
        <f ca="1">IF(TodaysDate&gt;=B364,SUMIF('On The Board'!F$5:F$219,"&lt;="&amp;$B364,'On The Board'!$M$5:$M$219)-SUM(F364:J364),"")</f>
        <v/>
      </c>
      <c r="E364" s="12">
        <f ca="1">IF(TodaysDate&gt;=B364,SUMIF('On The Board'!F$5:F$219,"&lt;="&amp;$B364,'On The Board'!$M$5:$M$219)-SUM(F364:J364),E363)</f>
        <v>47</v>
      </c>
      <c r="F364" s="12">
        <f>SUMIF('On The Board'!G$5:G$219,"&lt;="&amp;$B364,'On The Board'!$M$5:$M$219)-SUM(G364:J364)</f>
        <v>0</v>
      </c>
      <c r="G364" s="12">
        <f>SUMIF('On The Board'!H$5:H$219,"&lt;="&amp;$B364,'On The Board'!$M$5:$M$219)-SUM(H364:J364)</f>
        <v>5</v>
      </c>
      <c r="H364" s="12">
        <f>SUMIF('On The Board'!I$5:I$219,"&lt;="&amp;$B364,'On The Board'!$M$5:$M$219)-SUM(I364,J364)</f>
        <v>2</v>
      </c>
      <c r="I364" s="12">
        <f>SUMIF('On The Board'!J$5:J$219,"&lt;="&amp;$B364,'On The Board'!$M$5:$M$219)-SUM(J364)</f>
        <v>0</v>
      </c>
      <c r="J364" s="12">
        <f>SUMIF('On The Board'!K$5:K$219,"&lt;="&amp;$B364,'On The Board'!$M$5:$M$219)</f>
        <v>70</v>
      </c>
      <c r="K364" s="10">
        <f t="shared" si="39"/>
        <v>77</v>
      </c>
      <c r="L364" s="10" t="e">
        <f ca="1">IF(TodaysDate&gt;=B364,SUM(F364:I364),NA())</f>
        <v>#N/A</v>
      </c>
      <c r="M364" s="44" t="e">
        <f t="shared" ca="1" si="42"/>
        <v>#N/A</v>
      </c>
      <c r="N364" s="44" t="e">
        <f ca="1">IF(ISNUMBER(M364),(J364-J354)/NETWORKDAYS(B354,B364,BankHolidays),NA())</f>
        <v>#N/A</v>
      </c>
      <c r="O364" s="44" t="e">
        <f t="shared" ca="1" si="41"/>
        <v>#N/A</v>
      </c>
      <c r="P364" s="53" t="e">
        <f t="shared" ca="1" si="43"/>
        <v>#N/A</v>
      </c>
      <c r="Q364" s="53" t="str">
        <f ca="1">IFERROR(DayByDayTable[[#This Row],[Lead Time]],"")</f>
        <v/>
      </c>
      <c r="R364" s="44" t="e">
        <f t="shared" ca="1" si="44"/>
        <v>#N/A</v>
      </c>
      <c r="S364" s="44">
        <f ca="1">ROUND(PERCENTILE(DayByDayTable[[#Data],[BlankLeadTime]],0.8),0)</f>
        <v>8</v>
      </c>
    </row>
    <row r="365" spans="1:19">
      <c r="A365" s="51">
        <f t="shared" si="38"/>
        <v>42933</v>
      </c>
      <c r="B365" s="11">
        <f t="shared" si="40"/>
        <v>42933</v>
      </c>
      <c r="C365" s="47">
        <f>SUMIFS('On The Board'!$M$5:$M$219,'On The Board'!F$5:F$219,"&lt;="&amp;$B365,'On The Board'!E$5:E$219,"="&amp;FutureWork)</f>
        <v>0</v>
      </c>
      <c r="D365" s="47" t="str">
        <f ca="1">IF(TodaysDate&gt;=B365,SUMIF('On The Board'!F$5:F$219,"&lt;="&amp;$B365,'On The Board'!$M$5:$M$219)-SUM(F365:J365),"")</f>
        <v/>
      </c>
      <c r="E365" s="12">
        <f ca="1">IF(TodaysDate&gt;=B365,SUMIF('On The Board'!F$5:F$219,"&lt;="&amp;$B365,'On The Board'!$M$5:$M$219)-SUM(F365:J365),E364)</f>
        <v>47</v>
      </c>
      <c r="F365" s="12">
        <f>SUMIF('On The Board'!G$5:G$219,"&lt;="&amp;$B365,'On The Board'!$M$5:$M$219)-SUM(G365:J365)</f>
        <v>0</v>
      </c>
      <c r="G365" s="12">
        <f>SUMIF('On The Board'!H$5:H$219,"&lt;="&amp;$B365,'On The Board'!$M$5:$M$219)-SUM(H365:J365)</f>
        <v>5</v>
      </c>
      <c r="H365" s="12">
        <f>SUMIF('On The Board'!I$5:I$219,"&lt;="&amp;$B365,'On The Board'!$M$5:$M$219)-SUM(I365,J365)</f>
        <v>2</v>
      </c>
      <c r="I365" s="12">
        <f>SUMIF('On The Board'!J$5:J$219,"&lt;="&amp;$B365,'On The Board'!$M$5:$M$219)-SUM(J365)</f>
        <v>0</v>
      </c>
      <c r="J365" s="12">
        <f>SUMIF('On The Board'!K$5:K$219,"&lt;="&amp;$B365,'On The Board'!$M$5:$M$219)</f>
        <v>70</v>
      </c>
      <c r="K365" s="10">
        <f t="shared" si="39"/>
        <v>77</v>
      </c>
      <c r="L365" s="10" t="e">
        <f ca="1">IF(TodaysDate&gt;=B365,SUM(F365:I365),NA())</f>
        <v>#N/A</v>
      </c>
      <c r="M365" s="44" t="e">
        <f t="shared" ca="1" si="42"/>
        <v>#N/A</v>
      </c>
      <c r="N365" s="44" t="e">
        <f ca="1">IF(ISNUMBER(M365),(J365-J355)/NETWORKDAYS(B355,B365,BankHolidays),NA())</f>
        <v>#N/A</v>
      </c>
      <c r="O365" s="44" t="e">
        <f t="shared" ca="1" si="41"/>
        <v>#N/A</v>
      </c>
      <c r="P365" s="53" t="e">
        <f t="shared" ca="1" si="43"/>
        <v>#N/A</v>
      </c>
      <c r="Q365" s="53" t="str">
        <f ca="1">IFERROR(DayByDayTable[[#This Row],[Lead Time]],"")</f>
        <v/>
      </c>
      <c r="R365" s="44" t="e">
        <f t="shared" ca="1" si="44"/>
        <v>#N/A</v>
      </c>
      <c r="S365" s="44">
        <f ca="1">ROUND(PERCENTILE(DayByDayTable[[#Data],[BlankLeadTime]],0.8),0)</f>
        <v>8</v>
      </c>
    </row>
    <row r="366" spans="1:19">
      <c r="A366" s="51">
        <f t="shared" si="38"/>
        <v>42934</v>
      </c>
      <c r="B366" s="11">
        <f t="shared" si="40"/>
        <v>42934</v>
      </c>
      <c r="C366" s="47">
        <f>SUMIFS('On The Board'!$M$5:$M$219,'On The Board'!F$5:F$219,"&lt;="&amp;$B366,'On The Board'!E$5:E$219,"="&amp;FutureWork)</f>
        <v>0</v>
      </c>
      <c r="D366" s="47" t="str">
        <f ca="1">IF(TodaysDate&gt;=B366,SUMIF('On The Board'!F$5:F$219,"&lt;="&amp;$B366,'On The Board'!$M$5:$M$219)-SUM(F366:J366),"")</f>
        <v/>
      </c>
      <c r="E366" s="12">
        <f ca="1">IF(TodaysDate&gt;=B366,SUMIF('On The Board'!F$5:F$219,"&lt;="&amp;$B366,'On The Board'!$M$5:$M$219)-SUM(F366:J366),E365)</f>
        <v>47</v>
      </c>
      <c r="F366" s="12">
        <f>SUMIF('On The Board'!G$5:G$219,"&lt;="&amp;$B366,'On The Board'!$M$5:$M$219)-SUM(G366:J366)</f>
        <v>0</v>
      </c>
      <c r="G366" s="12">
        <f>SUMIF('On The Board'!H$5:H$219,"&lt;="&amp;$B366,'On The Board'!$M$5:$M$219)-SUM(H366:J366)</f>
        <v>5</v>
      </c>
      <c r="H366" s="12">
        <f>SUMIF('On The Board'!I$5:I$219,"&lt;="&amp;$B366,'On The Board'!$M$5:$M$219)-SUM(I366,J366)</f>
        <v>2</v>
      </c>
      <c r="I366" s="12">
        <f>SUMIF('On The Board'!J$5:J$219,"&lt;="&amp;$B366,'On The Board'!$M$5:$M$219)-SUM(J366)</f>
        <v>0</v>
      </c>
      <c r="J366" s="12">
        <f>SUMIF('On The Board'!K$5:K$219,"&lt;="&amp;$B366,'On The Board'!$M$5:$M$219)</f>
        <v>70</v>
      </c>
      <c r="K366" s="10">
        <f t="shared" si="39"/>
        <v>77</v>
      </c>
      <c r="L366" s="10" t="e">
        <f ca="1">IF(TodaysDate&gt;=B366,SUM(F366:I366),NA())</f>
        <v>#N/A</v>
      </c>
      <c r="M366" s="44" t="e">
        <f t="shared" ca="1" si="42"/>
        <v>#N/A</v>
      </c>
      <c r="N366" s="44" t="e">
        <f ca="1">IF(ISNUMBER(M366),(J366-J356)/NETWORKDAYS(B356,B366,BankHolidays),NA())</f>
        <v>#N/A</v>
      </c>
      <c r="O366" s="44" t="e">
        <f t="shared" ca="1" si="41"/>
        <v>#N/A</v>
      </c>
      <c r="P366" s="53" t="e">
        <f t="shared" ca="1" si="43"/>
        <v>#N/A</v>
      </c>
      <c r="Q366" s="53" t="str">
        <f ca="1">IFERROR(DayByDayTable[[#This Row],[Lead Time]],"")</f>
        <v/>
      </c>
      <c r="R366" s="44" t="e">
        <f t="shared" ca="1" si="44"/>
        <v>#N/A</v>
      </c>
      <c r="S366" s="44">
        <f ca="1">ROUND(PERCENTILE(DayByDayTable[[#Data],[BlankLeadTime]],0.8),0)</f>
        <v>8</v>
      </c>
    </row>
    <row r="367" spans="1:19">
      <c r="A367" s="51">
        <f t="shared" si="38"/>
        <v>42935</v>
      </c>
      <c r="B367" s="11">
        <f t="shared" si="40"/>
        <v>42935</v>
      </c>
      <c r="C367" s="47">
        <f>SUMIFS('On The Board'!$M$5:$M$219,'On The Board'!F$5:F$219,"&lt;="&amp;$B367,'On The Board'!E$5:E$219,"="&amp;FutureWork)</f>
        <v>0</v>
      </c>
      <c r="D367" s="47" t="str">
        <f ca="1">IF(TodaysDate&gt;=B367,SUMIF('On The Board'!F$5:F$219,"&lt;="&amp;$B367,'On The Board'!$M$5:$M$219)-SUM(F367:J367),"")</f>
        <v/>
      </c>
      <c r="E367" s="12">
        <f ca="1">IF(TodaysDate&gt;=B367,SUMIF('On The Board'!F$5:F$219,"&lt;="&amp;$B367,'On The Board'!$M$5:$M$219)-SUM(F367:J367),E366)</f>
        <v>47</v>
      </c>
      <c r="F367" s="12">
        <f>SUMIF('On The Board'!G$5:G$219,"&lt;="&amp;$B367,'On The Board'!$M$5:$M$219)-SUM(G367:J367)</f>
        <v>0</v>
      </c>
      <c r="G367" s="12">
        <f>SUMIF('On The Board'!H$5:H$219,"&lt;="&amp;$B367,'On The Board'!$M$5:$M$219)-SUM(H367:J367)</f>
        <v>5</v>
      </c>
      <c r="H367" s="12">
        <f>SUMIF('On The Board'!I$5:I$219,"&lt;="&amp;$B367,'On The Board'!$M$5:$M$219)-SUM(I367,J367)</f>
        <v>2</v>
      </c>
      <c r="I367" s="12">
        <f>SUMIF('On The Board'!J$5:J$219,"&lt;="&amp;$B367,'On The Board'!$M$5:$M$219)-SUM(J367)</f>
        <v>0</v>
      </c>
      <c r="J367" s="12">
        <f>SUMIF('On The Board'!K$5:K$219,"&lt;="&amp;$B367,'On The Board'!$M$5:$M$219)</f>
        <v>70</v>
      </c>
      <c r="K367" s="10">
        <f t="shared" si="39"/>
        <v>77</v>
      </c>
      <c r="L367" s="10" t="e">
        <f ca="1">IF(TodaysDate&gt;=B367,SUM(F367:I367),NA())</f>
        <v>#N/A</v>
      </c>
      <c r="M367" s="44" t="e">
        <f t="shared" ca="1" si="42"/>
        <v>#N/A</v>
      </c>
      <c r="N367" s="44" t="e">
        <f ca="1">IF(ISNUMBER(M367),(J367-J357)/NETWORKDAYS(B357,B367,BankHolidays),NA())</f>
        <v>#N/A</v>
      </c>
      <c r="O367" s="44" t="e">
        <f t="shared" ca="1" si="41"/>
        <v>#N/A</v>
      </c>
      <c r="P367" s="53" t="e">
        <f t="shared" ca="1" si="43"/>
        <v>#N/A</v>
      </c>
      <c r="Q367" s="53" t="str">
        <f ca="1">IFERROR(DayByDayTable[[#This Row],[Lead Time]],"")</f>
        <v/>
      </c>
      <c r="R367" s="44" t="e">
        <f t="shared" ca="1" si="44"/>
        <v>#N/A</v>
      </c>
      <c r="S367" s="44">
        <f ca="1">ROUND(PERCENTILE(DayByDayTable[[#Data],[BlankLeadTime]],0.8),0)</f>
        <v>8</v>
      </c>
    </row>
    <row r="368" spans="1:19">
      <c r="A368" s="51">
        <f t="shared" si="38"/>
        <v>42936</v>
      </c>
      <c r="B368" s="11">
        <f t="shared" si="40"/>
        <v>42936</v>
      </c>
      <c r="C368" s="47">
        <f>SUMIFS('On The Board'!$M$5:$M$219,'On The Board'!F$5:F$219,"&lt;="&amp;$B368,'On The Board'!E$5:E$219,"="&amp;FutureWork)</f>
        <v>0</v>
      </c>
      <c r="D368" s="47" t="str">
        <f ca="1">IF(TodaysDate&gt;=B368,SUMIF('On The Board'!F$5:F$219,"&lt;="&amp;$B368,'On The Board'!$M$5:$M$219)-SUM(F368:J368),"")</f>
        <v/>
      </c>
      <c r="E368" s="12">
        <f ca="1">IF(TodaysDate&gt;=B368,SUMIF('On The Board'!F$5:F$219,"&lt;="&amp;$B368,'On The Board'!$M$5:$M$219)-SUM(F368:J368),E367)</f>
        <v>47</v>
      </c>
      <c r="F368" s="12">
        <f>SUMIF('On The Board'!G$5:G$219,"&lt;="&amp;$B368,'On The Board'!$M$5:$M$219)-SUM(G368:J368)</f>
        <v>0</v>
      </c>
      <c r="G368" s="12">
        <f>SUMIF('On The Board'!H$5:H$219,"&lt;="&amp;$B368,'On The Board'!$M$5:$M$219)-SUM(H368:J368)</f>
        <v>5</v>
      </c>
      <c r="H368" s="12">
        <f>SUMIF('On The Board'!I$5:I$219,"&lt;="&amp;$B368,'On The Board'!$M$5:$M$219)-SUM(I368,J368)</f>
        <v>2</v>
      </c>
      <c r="I368" s="12">
        <f>SUMIF('On The Board'!J$5:J$219,"&lt;="&amp;$B368,'On The Board'!$M$5:$M$219)-SUM(J368)</f>
        <v>0</v>
      </c>
      <c r="J368" s="12">
        <f>SUMIF('On The Board'!K$5:K$219,"&lt;="&amp;$B368,'On The Board'!$M$5:$M$219)</f>
        <v>70</v>
      </c>
      <c r="K368" s="10">
        <f t="shared" si="39"/>
        <v>77</v>
      </c>
      <c r="L368" s="10" t="e">
        <f ca="1">IF(TodaysDate&gt;=B368,SUM(F368:I368),NA())</f>
        <v>#N/A</v>
      </c>
      <c r="M368" s="44" t="e">
        <f t="shared" ca="1" si="42"/>
        <v>#N/A</v>
      </c>
      <c r="N368" s="44" t="e">
        <f ca="1">IF(ISNUMBER(M368),(J368-J358)/NETWORKDAYS(B358,B368,BankHolidays),NA())</f>
        <v>#N/A</v>
      </c>
      <c r="O368" s="44" t="e">
        <f t="shared" ca="1" si="41"/>
        <v>#N/A</v>
      </c>
      <c r="P368" s="53" t="e">
        <f t="shared" ca="1" si="43"/>
        <v>#N/A</v>
      </c>
      <c r="Q368" s="53" t="str">
        <f ca="1">IFERROR(DayByDayTable[[#This Row],[Lead Time]],"")</f>
        <v/>
      </c>
      <c r="R368" s="44" t="e">
        <f t="shared" ca="1" si="44"/>
        <v>#N/A</v>
      </c>
      <c r="S368" s="44">
        <f ca="1">ROUND(PERCENTILE(DayByDayTable[[#Data],[BlankLeadTime]],0.8),0)</f>
        <v>8</v>
      </c>
    </row>
    <row r="369" spans="1:19">
      <c r="A369" s="51">
        <f t="shared" si="38"/>
        <v>42937</v>
      </c>
      <c r="B369" s="11">
        <f t="shared" si="40"/>
        <v>42937</v>
      </c>
      <c r="C369" s="47">
        <f>SUMIFS('On The Board'!$M$5:$M$219,'On The Board'!F$5:F$219,"&lt;="&amp;$B369,'On The Board'!E$5:E$219,"="&amp;FutureWork)</f>
        <v>0</v>
      </c>
      <c r="D369" s="47" t="str">
        <f ca="1">IF(TodaysDate&gt;=B369,SUMIF('On The Board'!F$5:F$219,"&lt;="&amp;$B369,'On The Board'!$M$5:$M$219)-SUM(F369:J369),"")</f>
        <v/>
      </c>
      <c r="E369" s="12">
        <f ca="1">IF(TodaysDate&gt;=B369,SUMIF('On The Board'!F$5:F$219,"&lt;="&amp;$B369,'On The Board'!$M$5:$M$219)-SUM(F369:J369),E368)</f>
        <v>47</v>
      </c>
      <c r="F369" s="12">
        <f>SUMIF('On The Board'!G$5:G$219,"&lt;="&amp;$B369,'On The Board'!$M$5:$M$219)-SUM(G369:J369)</f>
        <v>0</v>
      </c>
      <c r="G369" s="12">
        <f>SUMIF('On The Board'!H$5:H$219,"&lt;="&amp;$B369,'On The Board'!$M$5:$M$219)-SUM(H369:J369)</f>
        <v>5</v>
      </c>
      <c r="H369" s="12">
        <f>SUMIF('On The Board'!I$5:I$219,"&lt;="&amp;$B369,'On The Board'!$M$5:$M$219)-SUM(I369,J369)</f>
        <v>2</v>
      </c>
      <c r="I369" s="12">
        <f>SUMIF('On The Board'!J$5:J$219,"&lt;="&amp;$B369,'On The Board'!$M$5:$M$219)-SUM(J369)</f>
        <v>0</v>
      </c>
      <c r="J369" s="12">
        <f>SUMIF('On The Board'!K$5:K$219,"&lt;="&amp;$B369,'On The Board'!$M$5:$M$219)</f>
        <v>70</v>
      </c>
      <c r="K369" s="10">
        <f t="shared" si="39"/>
        <v>77</v>
      </c>
      <c r="L369" s="10" t="e">
        <f ca="1">IF(TodaysDate&gt;=B369,SUM(F369:I369),NA())</f>
        <v>#N/A</v>
      </c>
      <c r="M369" s="44" t="e">
        <f t="shared" ca="1" si="42"/>
        <v>#N/A</v>
      </c>
      <c r="N369" s="44" t="e">
        <f ca="1">IF(ISNUMBER(M369),(J369-J359)/NETWORKDAYS(B359,B369,BankHolidays),NA())</f>
        <v>#N/A</v>
      </c>
      <c r="O369" s="44" t="e">
        <f t="shared" ca="1" si="41"/>
        <v>#N/A</v>
      </c>
      <c r="P369" s="53" t="e">
        <f t="shared" ca="1" si="43"/>
        <v>#N/A</v>
      </c>
      <c r="Q369" s="53" t="str">
        <f ca="1">IFERROR(DayByDayTable[[#This Row],[Lead Time]],"")</f>
        <v/>
      </c>
      <c r="R369" s="44" t="e">
        <f t="shared" ca="1" si="44"/>
        <v>#N/A</v>
      </c>
      <c r="S369" s="44">
        <f ca="1">ROUND(PERCENTILE(DayByDayTable[[#Data],[BlankLeadTime]],0.8),0)</f>
        <v>8</v>
      </c>
    </row>
    <row r="370" spans="1:19">
      <c r="A370" s="51">
        <f t="shared" si="38"/>
        <v>42940</v>
      </c>
      <c r="B370" s="11">
        <f t="shared" si="40"/>
        <v>42940</v>
      </c>
      <c r="C370" s="47">
        <f>SUMIFS('On The Board'!$M$5:$M$219,'On The Board'!F$5:F$219,"&lt;="&amp;$B370,'On The Board'!E$5:E$219,"="&amp;FutureWork)</f>
        <v>0</v>
      </c>
      <c r="D370" s="47" t="str">
        <f ca="1">IF(TodaysDate&gt;=B370,SUMIF('On The Board'!F$5:F$219,"&lt;="&amp;$B370,'On The Board'!$M$5:$M$219)-SUM(F370:J370),"")</f>
        <v/>
      </c>
      <c r="E370" s="12">
        <f ca="1">IF(TodaysDate&gt;=B370,SUMIF('On The Board'!F$5:F$219,"&lt;="&amp;$B370,'On The Board'!$M$5:$M$219)-SUM(F370:J370),E369)</f>
        <v>47</v>
      </c>
      <c r="F370" s="12">
        <f>SUMIF('On The Board'!G$5:G$219,"&lt;="&amp;$B370,'On The Board'!$M$5:$M$219)-SUM(G370:J370)</f>
        <v>0</v>
      </c>
      <c r="G370" s="12">
        <f>SUMIF('On The Board'!H$5:H$219,"&lt;="&amp;$B370,'On The Board'!$M$5:$M$219)-SUM(H370:J370)</f>
        <v>5</v>
      </c>
      <c r="H370" s="12">
        <f>SUMIF('On The Board'!I$5:I$219,"&lt;="&amp;$B370,'On The Board'!$M$5:$M$219)-SUM(I370,J370)</f>
        <v>2</v>
      </c>
      <c r="I370" s="12">
        <f>SUMIF('On The Board'!J$5:J$219,"&lt;="&amp;$B370,'On The Board'!$M$5:$M$219)-SUM(J370)</f>
        <v>0</v>
      </c>
      <c r="J370" s="12">
        <f>SUMIF('On The Board'!K$5:K$219,"&lt;="&amp;$B370,'On The Board'!$M$5:$M$219)</f>
        <v>70</v>
      </c>
      <c r="K370" s="10">
        <f t="shared" si="39"/>
        <v>77</v>
      </c>
      <c r="L370" s="10" t="e">
        <f ca="1">IF(TodaysDate&gt;=B370,SUM(F370:I370),NA())</f>
        <v>#N/A</v>
      </c>
      <c r="M370" s="44" t="e">
        <f t="shared" ca="1" si="42"/>
        <v>#N/A</v>
      </c>
      <c r="N370" s="44" t="e">
        <f ca="1">IF(ISNUMBER(M370),(J370-J360)/NETWORKDAYS(B360,B370,BankHolidays),NA())</f>
        <v>#N/A</v>
      </c>
      <c r="O370" s="44" t="e">
        <f t="shared" ca="1" si="41"/>
        <v>#N/A</v>
      </c>
      <c r="P370" s="53" t="e">
        <f t="shared" ca="1" si="43"/>
        <v>#N/A</v>
      </c>
      <c r="Q370" s="53" t="str">
        <f ca="1">IFERROR(DayByDayTable[[#This Row],[Lead Time]],"")</f>
        <v/>
      </c>
      <c r="R370" s="44" t="e">
        <f t="shared" ca="1" si="44"/>
        <v>#N/A</v>
      </c>
      <c r="S370" s="44">
        <f ca="1">ROUND(PERCENTILE(DayByDayTable[[#Data],[BlankLeadTime]],0.8),0)</f>
        <v>8</v>
      </c>
    </row>
    <row r="371" spans="1:19">
      <c r="A371" s="51">
        <f t="shared" si="38"/>
        <v>42941</v>
      </c>
      <c r="B371" s="11">
        <f t="shared" si="40"/>
        <v>42941</v>
      </c>
      <c r="C371" s="47">
        <f>SUMIFS('On The Board'!$M$5:$M$219,'On The Board'!F$5:F$219,"&lt;="&amp;$B371,'On The Board'!E$5:E$219,"="&amp;FutureWork)</f>
        <v>0</v>
      </c>
      <c r="D371" s="47" t="str">
        <f ca="1">IF(TodaysDate&gt;=B371,SUMIF('On The Board'!F$5:F$219,"&lt;="&amp;$B371,'On The Board'!$M$5:$M$219)-SUM(F371:J371),"")</f>
        <v/>
      </c>
      <c r="E371" s="12">
        <f ca="1">IF(TodaysDate&gt;=B371,SUMIF('On The Board'!F$5:F$219,"&lt;="&amp;$B371,'On The Board'!$M$5:$M$219)-SUM(F371:J371),E370)</f>
        <v>47</v>
      </c>
      <c r="F371" s="12">
        <f>SUMIF('On The Board'!G$5:G$219,"&lt;="&amp;$B371,'On The Board'!$M$5:$M$219)-SUM(G371:J371)</f>
        <v>0</v>
      </c>
      <c r="G371" s="12">
        <f>SUMIF('On The Board'!H$5:H$219,"&lt;="&amp;$B371,'On The Board'!$M$5:$M$219)-SUM(H371:J371)</f>
        <v>5</v>
      </c>
      <c r="H371" s="12">
        <f>SUMIF('On The Board'!I$5:I$219,"&lt;="&amp;$B371,'On The Board'!$M$5:$M$219)-SUM(I371,J371)</f>
        <v>2</v>
      </c>
      <c r="I371" s="12">
        <f>SUMIF('On The Board'!J$5:J$219,"&lt;="&amp;$B371,'On The Board'!$M$5:$M$219)-SUM(J371)</f>
        <v>0</v>
      </c>
      <c r="J371" s="12">
        <f>SUMIF('On The Board'!K$5:K$219,"&lt;="&amp;$B371,'On The Board'!$M$5:$M$219)</f>
        <v>70</v>
      </c>
      <c r="K371" s="10">
        <f t="shared" si="39"/>
        <v>77</v>
      </c>
      <c r="L371" s="10" t="e">
        <f ca="1">IF(TodaysDate&gt;=B371,SUM(F371:I371),NA())</f>
        <v>#N/A</v>
      </c>
      <c r="M371" s="44" t="e">
        <f t="shared" ca="1" si="42"/>
        <v>#N/A</v>
      </c>
      <c r="N371" s="44" t="e">
        <f ca="1">IF(ISNUMBER(M371),(J371-J361)/NETWORKDAYS(B361,B371,BankHolidays),NA())</f>
        <v>#N/A</v>
      </c>
      <c r="O371" s="44" t="e">
        <f t="shared" ca="1" si="41"/>
        <v>#N/A</v>
      </c>
      <c r="P371" s="53" t="e">
        <f t="shared" ca="1" si="43"/>
        <v>#N/A</v>
      </c>
      <c r="Q371" s="53" t="str">
        <f ca="1">IFERROR(DayByDayTable[[#This Row],[Lead Time]],"")</f>
        <v/>
      </c>
      <c r="R371" s="44" t="e">
        <f t="shared" ca="1" si="44"/>
        <v>#N/A</v>
      </c>
      <c r="S371" s="44">
        <f ca="1">ROUND(PERCENTILE(DayByDayTable[[#Data],[BlankLeadTime]],0.8),0)</f>
        <v>8</v>
      </c>
    </row>
    <row r="372" spans="1:19">
      <c r="A372" s="51">
        <f t="shared" si="38"/>
        <v>42942</v>
      </c>
      <c r="B372" s="11">
        <f t="shared" si="40"/>
        <v>42942</v>
      </c>
      <c r="C372" s="47">
        <f>SUMIFS('On The Board'!$M$5:$M$219,'On The Board'!F$5:F$219,"&lt;="&amp;$B372,'On The Board'!E$5:E$219,"="&amp;FutureWork)</f>
        <v>0</v>
      </c>
      <c r="D372" s="47" t="str">
        <f ca="1">IF(TodaysDate&gt;=B372,SUMIF('On The Board'!F$5:F$219,"&lt;="&amp;$B372,'On The Board'!$M$5:$M$219)-SUM(F372:J372),"")</f>
        <v/>
      </c>
      <c r="E372" s="12">
        <f ca="1">IF(TodaysDate&gt;=B372,SUMIF('On The Board'!F$5:F$219,"&lt;="&amp;$B372,'On The Board'!$M$5:$M$219)-SUM(F372:J372),E371)</f>
        <v>47</v>
      </c>
      <c r="F372" s="12">
        <f>SUMIF('On The Board'!G$5:G$219,"&lt;="&amp;$B372,'On The Board'!$M$5:$M$219)-SUM(G372:J372)</f>
        <v>0</v>
      </c>
      <c r="G372" s="12">
        <f>SUMIF('On The Board'!H$5:H$219,"&lt;="&amp;$B372,'On The Board'!$M$5:$M$219)-SUM(H372:J372)</f>
        <v>5</v>
      </c>
      <c r="H372" s="12">
        <f>SUMIF('On The Board'!I$5:I$219,"&lt;="&amp;$B372,'On The Board'!$M$5:$M$219)-SUM(I372,J372)</f>
        <v>2</v>
      </c>
      <c r="I372" s="12">
        <f>SUMIF('On The Board'!J$5:J$219,"&lt;="&amp;$B372,'On The Board'!$M$5:$M$219)-SUM(J372)</f>
        <v>0</v>
      </c>
      <c r="J372" s="12">
        <f>SUMIF('On The Board'!K$5:K$219,"&lt;="&amp;$B372,'On The Board'!$M$5:$M$219)</f>
        <v>70</v>
      </c>
      <c r="K372" s="10">
        <f t="shared" si="39"/>
        <v>77</v>
      </c>
      <c r="L372" s="10" t="e">
        <f ca="1">IF(TodaysDate&gt;=B372,SUM(F372:I372),NA())</f>
        <v>#N/A</v>
      </c>
      <c r="M372" s="44" t="e">
        <f t="shared" ca="1" si="42"/>
        <v>#N/A</v>
      </c>
      <c r="N372" s="44" t="e">
        <f ca="1">IF(ISNUMBER(M372),(J372-J362)/NETWORKDAYS(B362,B372,BankHolidays),NA())</f>
        <v>#N/A</v>
      </c>
      <c r="O372" s="44" t="e">
        <f t="shared" ca="1" si="41"/>
        <v>#N/A</v>
      </c>
      <c r="P372" s="53" t="e">
        <f t="shared" ca="1" si="43"/>
        <v>#N/A</v>
      </c>
      <c r="Q372" s="53" t="str">
        <f ca="1">IFERROR(DayByDayTable[[#This Row],[Lead Time]],"")</f>
        <v/>
      </c>
      <c r="R372" s="44" t="e">
        <f t="shared" ca="1" si="44"/>
        <v>#N/A</v>
      </c>
      <c r="S372" s="44">
        <f ca="1">ROUND(PERCENTILE(DayByDayTable[[#Data],[BlankLeadTime]],0.8),0)</f>
        <v>8</v>
      </c>
    </row>
    <row r="373" spans="1:19">
      <c r="A373" s="51">
        <f t="shared" si="38"/>
        <v>42943</v>
      </c>
      <c r="B373" s="11">
        <f t="shared" si="40"/>
        <v>42943</v>
      </c>
      <c r="C373" s="47">
        <f>SUMIFS('On The Board'!$M$5:$M$219,'On The Board'!F$5:F$219,"&lt;="&amp;$B373,'On The Board'!E$5:E$219,"="&amp;FutureWork)</f>
        <v>0</v>
      </c>
      <c r="D373" s="47" t="str">
        <f ca="1">IF(TodaysDate&gt;=B373,SUMIF('On The Board'!F$5:F$219,"&lt;="&amp;$B373,'On The Board'!$M$5:$M$219)-SUM(F373:J373),"")</f>
        <v/>
      </c>
      <c r="E373" s="12">
        <f ca="1">IF(TodaysDate&gt;=B373,SUMIF('On The Board'!F$5:F$219,"&lt;="&amp;$B373,'On The Board'!$M$5:$M$219)-SUM(F373:J373),E372)</f>
        <v>47</v>
      </c>
      <c r="F373" s="12">
        <f>SUMIF('On The Board'!G$5:G$219,"&lt;="&amp;$B373,'On The Board'!$M$5:$M$219)-SUM(G373:J373)</f>
        <v>0</v>
      </c>
      <c r="G373" s="12">
        <f>SUMIF('On The Board'!H$5:H$219,"&lt;="&amp;$B373,'On The Board'!$M$5:$M$219)-SUM(H373:J373)</f>
        <v>5</v>
      </c>
      <c r="H373" s="12">
        <f>SUMIF('On The Board'!I$5:I$219,"&lt;="&amp;$B373,'On The Board'!$M$5:$M$219)-SUM(I373,J373)</f>
        <v>2</v>
      </c>
      <c r="I373" s="12">
        <f>SUMIF('On The Board'!J$5:J$219,"&lt;="&amp;$B373,'On The Board'!$M$5:$M$219)-SUM(J373)</f>
        <v>0</v>
      </c>
      <c r="J373" s="12">
        <f>SUMIF('On The Board'!K$5:K$219,"&lt;="&amp;$B373,'On The Board'!$M$5:$M$219)</f>
        <v>70</v>
      </c>
      <c r="K373" s="10">
        <f t="shared" si="39"/>
        <v>77</v>
      </c>
      <c r="L373" s="10" t="e">
        <f ca="1">IF(TodaysDate&gt;=B373,SUM(F373:I373),NA())</f>
        <v>#N/A</v>
      </c>
      <c r="M373" s="44" t="e">
        <f t="shared" ca="1" si="42"/>
        <v>#N/A</v>
      </c>
      <c r="N373" s="44" t="e">
        <f ca="1">IF(ISNUMBER(M373),(J373-J363)/NETWORKDAYS(B363,B373,BankHolidays),NA())</f>
        <v>#N/A</v>
      </c>
      <c r="O373" s="44" t="e">
        <f t="shared" ca="1" si="41"/>
        <v>#N/A</v>
      </c>
      <c r="P373" s="53" t="e">
        <f t="shared" ca="1" si="43"/>
        <v>#N/A</v>
      </c>
      <c r="Q373" s="53" t="str">
        <f ca="1">IFERROR(DayByDayTable[[#This Row],[Lead Time]],"")</f>
        <v/>
      </c>
      <c r="R373" s="44" t="e">
        <f t="shared" ca="1" si="44"/>
        <v>#N/A</v>
      </c>
      <c r="S373" s="44">
        <f ca="1">ROUND(PERCENTILE(DayByDayTable[[#Data],[BlankLeadTime]],0.8),0)</f>
        <v>8</v>
      </c>
    </row>
    <row r="374" spans="1:19">
      <c r="A374" s="51">
        <f t="shared" si="38"/>
        <v>42944</v>
      </c>
      <c r="B374" s="11">
        <f t="shared" si="40"/>
        <v>42944</v>
      </c>
      <c r="C374" s="47">
        <f>SUMIFS('On The Board'!$M$5:$M$219,'On The Board'!F$5:F$219,"&lt;="&amp;$B374,'On The Board'!E$5:E$219,"="&amp;FutureWork)</f>
        <v>0</v>
      </c>
      <c r="D374" s="47" t="str">
        <f ca="1">IF(TodaysDate&gt;=B374,SUMIF('On The Board'!F$5:F$219,"&lt;="&amp;$B374,'On The Board'!$M$5:$M$219)-SUM(F374:J374),"")</f>
        <v/>
      </c>
      <c r="E374" s="12">
        <f ca="1">IF(TodaysDate&gt;=B374,SUMIF('On The Board'!F$5:F$219,"&lt;="&amp;$B374,'On The Board'!$M$5:$M$219)-SUM(F374:J374),E373)</f>
        <v>47</v>
      </c>
      <c r="F374" s="12">
        <f>SUMIF('On The Board'!G$5:G$219,"&lt;="&amp;$B374,'On The Board'!$M$5:$M$219)-SUM(G374:J374)</f>
        <v>0</v>
      </c>
      <c r="G374" s="12">
        <f>SUMIF('On The Board'!H$5:H$219,"&lt;="&amp;$B374,'On The Board'!$M$5:$M$219)-SUM(H374:J374)</f>
        <v>5</v>
      </c>
      <c r="H374" s="12">
        <f>SUMIF('On The Board'!I$5:I$219,"&lt;="&amp;$B374,'On The Board'!$M$5:$M$219)-SUM(I374,J374)</f>
        <v>2</v>
      </c>
      <c r="I374" s="12">
        <f>SUMIF('On The Board'!J$5:J$219,"&lt;="&amp;$B374,'On The Board'!$M$5:$M$219)-SUM(J374)</f>
        <v>0</v>
      </c>
      <c r="J374" s="12">
        <f>SUMIF('On The Board'!K$5:K$219,"&lt;="&amp;$B374,'On The Board'!$M$5:$M$219)</f>
        <v>70</v>
      </c>
      <c r="K374" s="10">
        <f t="shared" si="39"/>
        <v>77</v>
      </c>
      <c r="L374" s="10" t="e">
        <f ca="1">IF(TodaysDate&gt;=B374,SUM(F374:I374),NA())</f>
        <v>#N/A</v>
      </c>
      <c r="M374" s="44" t="e">
        <f t="shared" ca="1" si="42"/>
        <v>#N/A</v>
      </c>
      <c r="N374" s="44" t="e">
        <f ca="1">IF(ISNUMBER(M374),(J374-J364)/NETWORKDAYS(B364,B374,BankHolidays),NA())</f>
        <v>#N/A</v>
      </c>
      <c r="O374" s="44" t="e">
        <f t="shared" ca="1" si="41"/>
        <v>#N/A</v>
      </c>
      <c r="P374" s="53" t="e">
        <f t="shared" ca="1" si="43"/>
        <v>#N/A</v>
      </c>
      <c r="Q374" s="53" t="str">
        <f ca="1">IFERROR(DayByDayTable[[#This Row],[Lead Time]],"")</f>
        <v/>
      </c>
      <c r="R374" s="44" t="e">
        <f t="shared" ca="1" si="44"/>
        <v>#N/A</v>
      </c>
      <c r="S374" s="44">
        <f ca="1">ROUND(PERCENTILE(DayByDayTable[[#Data],[BlankLeadTime]],0.8),0)</f>
        <v>8</v>
      </c>
    </row>
    <row r="375" spans="1:19">
      <c r="A375" s="51">
        <f t="shared" si="38"/>
        <v>42947</v>
      </c>
      <c r="B375" s="11">
        <f t="shared" si="40"/>
        <v>42947</v>
      </c>
      <c r="C375" s="47">
        <f>SUMIFS('On The Board'!$M$5:$M$219,'On The Board'!F$5:F$219,"&lt;="&amp;$B375,'On The Board'!E$5:E$219,"="&amp;FutureWork)</f>
        <v>0</v>
      </c>
      <c r="D375" s="47" t="str">
        <f ca="1">IF(TodaysDate&gt;=B375,SUMIF('On The Board'!F$5:F$219,"&lt;="&amp;$B375,'On The Board'!$M$5:$M$219)-SUM(F375:J375),"")</f>
        <v/>
      </c>
      <c r="E375" s="12">
        <f ca="1">IF(TodaysDate&gt;=B375,SUMIF('On The Board'!F$5:F$219,"&lt;="&amp;$B375,'On The Board'!$M$5:$M$219)-SUM(F375:J375),E374)</f>
        <v>47</v>
      </c>
      <c r="F375" s="12">
        <f>SUMIF('On The Board'!G$5:G$219,"&lt;="&amp;$B375,'On The Board'!$M$5:$M$219)-SUM(G375:J375)</f>
        <v>0</v>
      </c>
      <c r="G375" s="12">
        <f>SUMIF('On The Board'!H$5:H$219,"&lt;="&amp;$B375,'On The Board'!$M$5:$M$219)-SUM(H375:J375)</f>
        <v>5</v>
      </c>
      <c r="H375" s="12">
        <f>SUMIF('On The Board'!I$5:I$219,"&lt;="&amp;$B375,'On The Board'!$M$5:$M$219)-SUM(I375,J375)</f>
        <v>2</v>
      </c>
      <c r="I375" s="12">
        <f>SUMIF('On The Board'!J$5:J$219,"&lt;="&amp;$B375,'On The Board'!$M$5:$M$219)-SUM(J375)</f>
        <v>0</v>
      </c>
      <c r="J375" s="12">
        <f>SUMIF('On The Board'!K$5:K$219,"&lt;="&amp;$B375,'On The Board'!$M$5:$M$219)</f>
        <v>70</v>
      </c>
      <c r="K375" s="10">
        <f t="shared" si="39"/>
        <v>77</v>
      </c>
      <c r="L375" s="10" t="e">
        <f ca="1">IF(TodaysDate&gt;=B375,SUM(F375:I375),NA())</f>
        <v>#N/A</v>
      </c>
      <c r="M375" s="44" t="e">
        <f t="shared" ca="1" si="42"/>
        <v>#N/A</v>
      </c>
      <c r="N375" s="44" t="e">
        <f ca="1">IF(ISNUMBER(M375),(J375-J365)/NETWORKDAYS(B365,B375,BankHolidays),NA())</f>
        <v>#N/A</v>
      </c>
      <c r="O375" s="44" t="e">
        <f t="shared" ca="1" si="41"/>
        <v>#N/A</v>
      </c>
      <c r="P375" s="53" t="e">
        <f t="shared" ca="1" si="43"/>
        <v>#N/A</v>
      </c>
      <c r="Q375" s="53" t="str">
        <f ca="1">IFERROR(DayByDayTable[[#This Row],[Lead Time]],"")</f>
        <v/>
      </c>
      <c r="R375" s="44" t="e">
        <f t="shared" ca="1" si="44"/>
        <v>#N/A</v>
      </c>
      <c r="S375" s="44">
        <f ca="1">ROUND(PERCENTILE(DayByDayTable[[#Data],[BlankLeadTime]],0.8),0)</f>
        <v>8</v>
      </c>
    </row>
    <row r="376" spans="1:19">
      <c r="A376" s="51">
        <f t="shared" si="38"/>
        <v>42948</v>
      </c>
      <c r="B376" s="11">
        <f t="shared" si="40"/>
        <v>42948</v>
      </c>
      <c r="C376" s="47">
        <f>SUMIFS('On The Board'!$M$5:$M$219,'On The Board'!F$5:F$219,"&lt;="&amp;$B376,'On The Board'!E$5:E$219,"="&amp;FutureWork)</f>
        <v>0</v>
      </c>
      <c r="D376" s="47" t="str">
        <f ca="1">IF(TodaysDate&gt;=B376,SUMIF('On The Board'!F$5:F$219,"&lt;="&amp;$B376,'On The Board'!$M$5:$M$219)-SUM(F376:J376),"")</f>
        <v/>
      </c>
      <c r="E376" s="12">
        <f ca="1">IF(TodaysDate&gt;=B376,SUMIF('On The Board'!F$5:F$219,"&lt;="&amp;$B376,'On The Board'!$M$5:$M$219)-SUM(F376:J376),E375)</f>
        <v>47</v>
      </c>
      <c r="F376" s="12">
        <f>SUMIF('On The Board'!G$5:G$219,"&lt;="&amp;$B376,'On The Board'!$M$5:$M$219)-SUM(G376:J376)</f>
        <v>0</v>
      </c>
      <c r="G376" s="12">
        <f>SUMIF('On The Board'!H$5:H$219,"&lt;="&amp;$B376,'On The Board'!$M$5:$M$219)-SUM(H376:J376)</f>
        <v>5</v>
      </c>
      <c r="H376" s="12">
        <f>SUMIF('On The Board'!I$5:I$219,"&lt;="&amp;$B376,'On The Board'!$M$5:$M$219)-SUM(I376,J376)</f>
        <v>2</v>
      </c>
      <c r="I376" s="12">
        <f>SUMIF('On The Board'!J$5:J$219,"&lt;="&amp;$B376,'On The Board'!$M$5:$M$219)-SUM(J376)</f>
        <v>0</v>
      </c>
      <c r="J376" s="12">
        <f>SUMIF('On The Board'!K$5:K$219,"&lt;="&amp;$B376,'On The Board'!$M$5:$M$219)</f>
        <v>70</v>
      </c>
      <c r="K376" s="10">
        <f t="shared" si="39"/>
        <v>77</v>
      </c>
      <c r="L376" s="10" t="e">
        <f ca="1">IF(TodaysDate&gt;=B376,SUM(F376:I376),NA())</f>
        <v>#N/A</v>
      </c>
      <c r="M376" s="44" t="e">
        <f t="shared" ca="1" si="42"/>
        <v>#N/A</v>
      </c>
      <c r="N376" s="44" t="e">
        <f ca="1">IF(ISNUMBER(M376),(J376-J366)/NETWORKDAYS(B366,B376,BankHolidays),NA())</f>
        <v>#N/A</v>
      </c>
      <c r="O376" s="44" t="e">
        <f t="shared" ca="1" si="41"/>
        <v>#N/A</v>
      </c>
      <c r="P376" s="53" t="e">
        <f t="shared" ca="1" si="43"/>
        <v>#N/A</v>
      </c>
      <c r="Q376" s="53" t="str">
        <f ca="1">IFERROR(DayByDayTable[[#This Row],[Lead Time]],"")</f>
        <v/>
      </c>
      <c r="R376" s="44" t="e">
        <f t="shared" ca="1" si="44"/>
        <v>#N/A</v>
      </c>
      <c r="S376" s="44">
        <f ca="1">ROUND(PERCENTILE(DayByDayTable[[#Data],[BlankLeadTime]],0.8),0)</f>
        <v>8</v>
      </c>
    </row>
    <row r="377" spans="1:19">
      <c r="A377" s="51">
        <f t="shared" si="38"/>
        <v>42949</v>
      </c>
      <c r="B377" s="11">
        <f t="shared" si="40"/>
        <v>42949</v>
      </c>
      <c r="C377" s="47">
        <f>SUMIFS('On The Board'!$M$5:$M$219,'On The Board'!F$5:F$219,"&lt;="&amp;$B377,'On The Board'!E$5:E$219,"="&amp;FutureWork)</f>
        <v>0</v>
      </c>
      <c r="D377" s="47" t="str">
        <f ca="1">IF(TodaysDate&gt;=B377,SUMIF('On The Board'!F$5:F$219,"&lt;="&amp;$B377,'On The Board'!$M$5:$M$219)-SUM(F377:J377),"")</f>
        <v/>
      </c>
      <c r="E377" s="12">
        <f ca="1">IF(TodaysDate&gt;=B377,SUMIF('On The Board'!F$5:F$219,"&lt;="&amp;$B377,'On The Board'!$M$5:$M$219)-SUM(F377:J377),E376)</f>
        <v>47</v>
      </c>
      <c r="F377" s="12">
        <f>SUMIF('On The Board'!G$5:G$219,"&lt;="&amp;$B377,'On The Board'!$M$5:$M$219)-SUM(G377:J377)</f>
        <v>0</v>
      </c>
      <c r="G377" s="12">
        <f>SUMIF('On The Board'!H$5:H$219,"&lt;="&amp;$B377,'On The Board'!$M$5:$M$219)-SUM(H377:J377)</f>
        <v>5</v>
      </c>
      <c r="H377" s="12">
        <f>SUMIF('On The Board'!I$5:I$219,"&lt;="&amp;$B377,'On The Board'!$M$5:$M$219)-SUM(I377,J377)</f>
        <v>2</v>
      </c>
      <c r="I377" s="12">
        <f>SUMIF('On The Board'!J$5:J$219,"&lt;="&amp;$B377,'On The Board'!$M$5:$M$219)-SUM(J377)</f>
        <v>0</v>
      </c>
      <c r="J377" s="12">
        <f>SUMIF('On The Board'!K$5:K$219,"&lt;="&amp;$B377,'On The Board'!$M$5:$M$219)</f>
        <v>70</v>
      </c>
      <c r="K377" s="10">
        <f t="shared" si="39"/>
        <v>77</v>
      </c>
      <c r="L377" s="10" t="e">
        <f ca="1">IF(TodaysDate&gt;=B377,SUM(F377:I377),NA())</f>
        <v>#N/A</v>
      </c>
      <c r="M377" s="44" t="e">
        <f t="shared" ca="1" si="42"/>
        <v>#N/A</v>
      </c>
      <c r="N377" s="44" t="e">
        <f ca="1">IF(ISNUMBER(M377),(J377-J367)/NETWORKDAYS(B367,B377,BankHolidays),NA())</f>
        <v>#N/A</v>
      </c>
      <c r="O377" s="44" t="e">
        <f t="shared" ca="1" si="41"/>
        <v>#N/A</v>
      </c>
      <c r="P377" s="53" t="e">
        <f t="shared" ca="1" si="43"/>
        <v>#N/A</v>
      </c>
      <c r="Q377" s="53" t="str">
        <f ca="1">IFERROR(DayByDayTable[[#This Row],[Lead Time]],"")</f>
        <v/>
      </c>
      <c r="R377" s="44" t="e">
        <f t="shared" ca="1" si="44"/>
        <v>#N/A</v>
      </c>
      <c r="S377" s="44">
        <f ca="1">ROUND(PERCENTILE(DayByDayTable[[#Data],[BlankLeadTime]],0.8),0)</f>
        <v>8</v>
      </c>
    </row>
    <row r="378" spans="1:19">
      <c r="A378" s="51">
        <f t="shared" si="38"/>
        <v>42950</v>
      </c>
      <c r="B378" s="11">
        <f t="shared" si="40"/>
        <v>42950</v>
      </c>
      <c r="C378" s="47">
        <f>SUMIFS('On The Board'!$M$5:$M$219,'On The Board'!F$5:F$219,"&lt;="&amp;$B378,'On The Board'!E$5:E$219,"="&amp;FutureWork)</f>
        <v>0</v>
      </c>
      <c r="D378" s="47" t="str">
        <f ca="1">IF(TodaysDate&gt;=B378,SUMIF('On The Board'!F$5:F$219,"&lt;="&amp;$B378,'On The Board'!$M$5:$M$219)-SUM(F378:J378),"")</f>
        <v/>
      </c>
      <c r="E378" s="12">
        <f ca="1">IF(TodaysDate&gt;=B378,SUMIF('On The Board'!F$5:F$219,"&lt;="&amp;$B378,'On The Board'!$M$5:$M$219)-SUM(F378:J378),E377)</f>
        <v>47</v>
      </c>
      <c r="F378" s="12">
        <f>SUMIF('On The Board'!G$5:G$219,"&lt;="&amp;$B378,'On The Board'!$M$5:$M$219)-SUM(G378:J378)</f>
        <v>0</v>
      </c>
      <c r="G378" s="12">
        <f>SUMIF('On The Board'!H$5:H$219,"&lt;="&amp;$B378,'On The Board'!$M$5:$M$219)-SUM(H378:J378)</f>
        <v>5</v>
      </c>
      <c r="H378" s="12">
        <f>SUMIF('On The Board'!I$5:I$219,"&lt;="&amp;$B378,'On The Board'!$M$5:$M$219)-SUM(I378,J378)</f>
        <v>2</v>
      </c>
      <c r="I378" s="12">
        <f>SUMIF('On The Board'!J$5:J$219,"&lt;="&amp;$B378,'On The Board'!$M$5:$M$219)-SUM(J378)</f>
        <v>0</v>
      </c>
      <c r="J378" s="12">
        <f>SUMIF('On The Board'!K$5:K$219,"&lt;="&amp;$B378,'On The Board'!$M$5:$M$219)</f>
        <v>70</v>
      </c>
      <c r="K378" s="10">
        <f t="shared" si="39"/>
        <v>77</v>
      </c>
      <c r="L378" s="10" t="e">
        <f ca="1">IF(TodaysDate&gt;=B378,SUM(F378:I378),NA())</f>
        <v>#N/A</v>
      </c>
      <c r="M378" s="44" t="e">
        <f t="shared" ca="1" si="42"/>
        <v>#N/A</v>
      </c>
      <c r="N378" s="44" t="e">
        <f ca="1">IF(ISNUMBER(M378),(J378-J368)/NETWORKDAYS(B368,B378,BankHolidays),NA())</f>
        <v>#N/A</v>
      </c>
      <c r="O378" s="44" t="e">
        <f t="shared" ca="1" si="41"/>
        <v>#N/A</v>
      </c>
      <c r="P378" s="53" t="e">
        <f t="shared" ca="1" si="43"/>
        <v>#N/A</v>
      </c>
      <c r="Q378" s="53" t="str">
        <f ca="1">IFERROR(DayByDayTable[[#This Row],[Lead Time]],"")</f>
        <v/>
      </c>
      <c r="R378" s="44" t="e">
        <f t="shared" ca="1" si="44"/>
        <v>#N/A</v>
      </c>
      <c r="S378" s="44">
        <f ca="1">ROUND(PERCENTILE(DayByDayTable[[#Data],[BlankLeadTime]],0.8),0)</f>
        <v>8</v>
      </c>
    </row>
    <row r="379" spans="1:19">
      <c r="A379" s="51">
        <f t="shared" si="38"/>
        <v>42951</v>
      </c>
      <c r="B379" s="11">
        <f t="shared" si="40"/>
        <v>42951</v>
      </c>
      <c r="C379" s="47">
        <f>SUMIFS('On The Board'!$M$5:$M$219,'On The Board'!F$5:F$219,"&lt;="&amp;$B379,'On The Board'!E$5:E$219,"="&amp;FutureWork)</f>
        <v>0</v>
      </c>
      <c r="D379" s="47" t="str">
        <f ca="1">IF(TodaysDate&gt;=B379,SUMIF('On The Board'!F$5:F$219,"&lt;="&amp;$B379,'On The Board'!$M$5:$M$219)-SUM(F379:J379),"")</f>
        <v/>
      </c>
      <c r="E379" s="12">
        <f ca="1">IF(TodaysDate&gt;=B379,SUMIF('On The Board'!F$5:F$219,"&lt;="&amp;$B379,'On The Board'!$M$5:$M$219)-SUM(F379:J379),E378)</f>
        <v>47</v>
      </c>
      <c r="F379" s="12">
        <f>SUMIF('On The Board'!G$5:G$219,"&lt;="&amp;$B379,'On The Board'!$M$5:$M$219)-SUM(G379:J379)</f>
        <v>0</v>
      </c>
      <c r="G379" s="12">
        <f>SUMIF('On The Board'!H$5:H$219,"&lt;="&amp;$B379,'On The Board'!$M$5:$M$219)-SUM(H379:J379)</f>
        <v>5</v>
      </c>
      <c r="H379" s="12">
        <f>SUMIF('On The Board'!I$5:I$219,"&lt;="&amp;$B379,'On The Board'!$M$5:$M$219)-SUM(I379,J379)</f>
        <v>2</v>
      </c>
      <c r="I379" s="12">
        <f>SUMIF('On The Board'!J$5:J$219,"&lt;="&amp;$B379,'On The Board'!$M$5:$M$219)-SUM(J379)</f>
        <v>0</v>
      </c>
      <c r="J379" s="12">
        <f>SUMIF('On The Board'!K$5:K$219,"&lt;="&amp;$B379,'On The Board'!$M$5:$M$219)</f>
        <v>70</v>
      </c>
      <c r="K379" s="10">
        <f t="shared" si="39"/>
        <v>77</v>
      </c>
      <c r="L379" s="10" t="e">
        <f ca="1">IF(TodaysDate&gt;=B379,SUM(F379:I379),NA())</f>
        <v>#N/A</v>
      </c>
      <c r="M379" s="44" t="e">
        <f t="shared" ca="1" si="42"/>
        <v>#N/A</v>
      </c>
      <c r="N379" s="44" t="e">
        <f ca="1">IF(ISNUMBER(M379),(J379-J369)/NETWORKDAYS(B369,B379,BankHolidays),NA())</f>
        <v>#N/A</v>
      </c>
      <c r="O379" s="44" t="e">
        <f t="shared" ca="1" si="41"/>
        <v>#N/A</v>
      </c>
      <c r="P379" s="53" t="e">
        <f t="shared" ca="1" si="43"/>
        <v>#N/A</v>
      </c>
      <c r="Q379" s="53" t="str">
        <f ca="1">IFERROR(DayByDayTable[[#This Row],[Lead Time]],"")</f>
        <v/>
      </c>
      <c r="R379" s="44" t="e">
        <f t="shared" ca="1" si="44"/>
        <v>#N/A</v>
      </c>
      <c r="S379" s="44">
        <f ca="1">ROUND(PERCENTILE(DayByDayTable[[#Data],[BlankLeadTime]],0.8),0)</f>
        <v>8</v>
      </c>
    </row>
    <row r="380" spans="1:19">
      <c r="A380" s="51">
        <f t="shared" si="38"/>
        <v>42954</v>
      </c>
      <c r="B380" s="11">
        <f t="shared" si="40"/>
        <v>42954</v>
      </c>
      <c r="C380" s="47">
        <f>SUMIFS('On The Board'!$M$5:$M$219,'On The Board'!F$5:F$219,"&lt;="&amp;$B380,'On The Board'!E$5:E$219,"="&amp;FutureWork)</f>
        <v>0</v>
      </c>
      <c r="D380" s="47" t="str">
        <f ca="1">IF(TodaysDate&gt;=B380,SUMIF('On The Board'!F$5:F$219,"&lt;="&amp;$B380,'On The Board'!$M$5:$M$219)-SUM(F380:J380),"")</f>
        <v/>
      </c>
      <c r="E380" s="12">
        <f ca="1">IF(TodaysDate&gt;=B380,SUMIF('On The Board'!F$5:F$219,"&lt;="&amp;$B380,'On The Board'!$M$5:$M$219)-SUM(F380:J380),E379)</f>
        <v>47</v>
      </c>
      <c r="F380" s="12">
        <f>SUMIF('On The Board'!G$5:G$219,"&lt;="&amp;$B380,'On The Board'!$M$5:$M$219)-SUM(G380:J380)</f>
        <v>0</v>
      </c>
      <c r="G380" s="12">
        <f>SUMIF('On The Board'!H$5:H$219,"&lt;="&amp;$B380,'On The Board'!$M$5:$M$219)-SUM(H380:J380)</f>
        <v>5</v>
      </c>
      <c r="H380" s="12">
        <f>SUMIF('On The Board'!I$5:I$219,"&lt;="&amp;$B380,'On The Board'!$M$5:$M$219)-SUM(I380,J380)</f>
        <v>2</v>
      </c>
      <c r="I380" s="12">
        <f>SUMIF('On The Board'!J$5:J$219,"&lt;="&amp;$B380,'On The Board'!$M$5:$M$219)-SUM(J380)</f>
        <v>0</v>
      </c>
      <c r="J380" s="12">
        <f>SUMIF('On The Board'!K$5:K$219,"&lt;="&amp;$B380,'On The Board'!$M$5:$M$219)</f>
        <v>70</v>
      </c>
      <c r="K380" s="10">
        <f t="shared" si="39"/>
        <v>77</v>
      </c>
      <c r="L380" s="10" t="e">
        <f ca="1">IF(TodaysDate&gt;=B380,SUM(F380:I380),NA())</f>
        <v>#N/A</v>
      </c>
      <c r="M380" s="44" t="e">
        <f t="shared" ca="1" si="42"/>
        <v>#N/A</v>
      </c>
      <c r="N380" s="44" t="e">
        <f ca="1">IF(ISNUMBER(M380),(J380-J370)/NETWORKDAYS(B370,B380,BankHolidays),NA())</f>
        <v>#N/A</v>
      </c>
      <c r="O380" s="44" t="e">
        <f t="shared" ca="1" si="41"/>
        <v>#N/A</v>
      </c>
      <c r="P380" s="53" t="e">
        <f t="shared" ca="1" si="43"/>
        <v>#N/A</v>
      </c>
      <c r="Q380" s="53" t="str">
        <f ca="1">IFERROR(DayByDayTable[[#This Row],[Lead Time]],"")</f>
        <v/>
      </c>
      <c r="R380" s="44" t="e">
        <f t="shared" ca="1" si="44"/>
        <v>#N/A</v>
      </c>
      <c r="S380" s="44">
        <f ca="1">ROUND(PERCENTILE(DayByDayTable[[#Data],[BlankLeadTime]],0.8),0)</f>
        <v>8</v>
      </c>
    </row>
    <row r="381" spans="1:19">
      <c r="A381" s="51">
        <f t="shared" si="38"/>
        <v>42955</v>
      </c>
      <c r="B381" s="11">
        <f t="shared" si="40"/>
        <v>42955</v>
      </c>
      <c r="C381" s="47">
        <f>SUMIFS('On The Board'!$M$5:$M$219,'On The Board'!F$5:F$219,"&lt;="&amp;$B381,'On The Board'!E$5:E$219,"="&amp;FutureWork)</f>
        <v>0</v>
      </c>
      <c r="D381" s="47" t="str">
        <f ca="1">IF(TodaysDate&gt;=B381,SUMIF('On The Board'!F$5:F$219,"&lt;="&amp;$B381,'On The Board'!$M$5:$M$219)-SUM(F381:J381),"")</f>
        <v/>
      </c>
      <c r="E381" s="12">
        <f ca="1">IF(TodaysDate&gt;=B381,SUMIF('On The Board'!F$5:F$219,"&lt;="&amp;$B381,'On The Board'!$M$5:$M$219)-SUM(F381:J381),E380)</f>
        <v>47</v>
      </c>
      <c r="F381" s="12">
        <f>SUMIF('On The Board'!G$5:G$219,"&lt;="&amp;$B381,'On The Board'!$M$5:$M$219)-SUM(G381:J381)</f>
        <v>0</v>
      </c>
      <c r="G381" s="12">
        <f>SUMIF('On The Board'!H$5:H$219,"&lt;="&amp;$B381,'On The Board'!$M$5:$M$219)-SUM(H381:J381)</f>
        <v>5</v>
      </c>
      <c r="H381" s="12">
        <f>SUMIF('On The Board'!I$5:I$219,"&lt;="&amp;$B381,'On The Board'!$M$5:$M$219)-SUM(I381,J381)</f>
        <v>2</v>
      </c>
      <c r="I381" s="12">
        <f>SUMIF('On The Board'!J$5:J$219,"&lt;="&amp;$B381,'On The Board'!$M$5:$M$219)-SUM(J381)</f>
        <v>0</v>
      </c>
      <c r="J381" s="12">
        <f>SUMIF('On The Board'!K$5:K$219,"&lt;="&amp;$B381,'On The Board'!$M$5:$M$219)</f>
        <v>70</v>
      </c>
      <c r="K381" s="10">
        <f t="shared" si="39"/>
        <v>77</v>
      </c>
      <c r="L381" s="10" t="e">
        <f ca="1">IF(TodaysDate&gt;=B381,SUM(F381:I381),NA())</f>
        <v>#N/A</v>
      </c>
      <c r="M381" s="44" t="e">
        <f t="shared" ca="1" si="42"/>
        <v>#N/A</v>
      </c>
      <c r="N381" s="44" t="e">
        <f ca="1">IF(ISNUMBER(M381),(J381-J371)/NETWORKDAYS(B371,B381,BankHolidays),NA())</f>
        <v>#N/A</v>
      </c>
      <c r="O381" s="44" t="e">
        <f t="shared" ca="1" si="41"/>
        <v>#N/A</v>
      </c>
      <c r="P381" s="53" t="e">
        <f t="shared" ca="1" si="43"/>
        <v>#N/A</v>
      </c>
      <c r="Q381" s="53" t="str">
        <f ca="1">IFERROR(DayByDayTable[[#This Row],[Lead Time]],"")</f>
        <v/>
      </c>
      <c r="R381" s="44" t="e">
        <f t="shared" ca="1" si="44"/>
        <v>#N/A</v>
      </c>
      <c r="S381" s="44">
        <f ca="1">ROUND(PERCENTILE(DayByDayTable[[#Data],[BlankLeadTime]],0.8),0)</f>
        <v>8</v>
      </c>
    </row>
    <row r="382" spans="1:19">
      <c r="A382" s="51">
        <f t="shared" si="38"/>
        <v>42956</v>
      </c>
      <c r="B382" s="11">
        <f t="shared" si="40"/>
        <v>42956</v>
      </c>
      <c r="C382" s="47">
        <f>SUMIFS('On The Board'!$M$5:$M$219,'On The Board'!F$5:F$219,"&lt;="&amp;$B382,'On The Board'!E$5:E$219,"="&amp;FutureWork)</f>
        <v>0</v>
      </c>
      <c r="D382" s="47" t="str">
        <f ca="1">IF(TodaysDate&gt;=B382,SUMIF('On The Board'!F$5:F$219,"&lt;="&amp;$B382,'On The Board'!$M$5:$M$219)-SUM(F382:J382),"")</f>
        <v/>
      </c>
      <c r="E382" s="12">
        <f ca="1">IF(TodaysDate&gt;=B382,SUMIF('On The Board'!F$5:F$219,"&lt;="&amp;$B382,'On The Board'!$M$5:$M$219)-SUM(F382:J382),E381)</f>
        <v>47</v>
      </c>
      <c r="F382" s="12">
        <f>SUMIF('On The Board'!G$5:G$219,"&lt;="&amp;$B382,'On The Board'!$M$5:$M$219)-SUM(G382:J382)</f>
        <v>0</v>
      </c>
      <c r="G382" s="12">
        <f>SUMIF('On The Board'!H$5:H$219,"&lt;="&amp;$B382,'On The Board'!$M$5:$M$219)-SUM(H382:J382)</f>
        <v>5</v>
      </c>
      <c r="H382" s="12">
        <f>SUMIF('On The Board'!I$5:I$219,"&lt;="&amp;$B382,'On The Board'!$M$5:$M$219)-SUM(I382,J382)</f>
        <v>2</v>
      </c>
      <c r="I382" s="12">
        <f>SUMIF('On The Board'!J$5:J$219,"&lt;="&amp;$B382,'On The Board'!$M$5:$M$219)-SUM(J382)</f>
        <v>0</v>
      </c>
      <c r="J382" s="12">
        <f>SUMIF('On The Board'!K$5:K$219,"&lt;="&amp;$B382,'On The Board'!$M$5:$M$219)</f>
        <v>70</v>
      </c>
      <c r="K382" s="10">
        <f t="shared" si="39"/>
        <v>77</v>
      </c>
      <c r="L382" s="10" t="e">
        <f ca="1">IF(TodaysDate&gt;=B382,SUM(F382:I382),NA())</f>
        <v>#N/A</v>
      </c>
      <c r="M382" s="44" t="e">
        <f t="shared" ca="1" si="42"/>
        <v>#N/A</v>
      </c>
      <c r="N382" s="44" t="e">
        <f ca="1">IF(ISNUMBER(M382),(J382-J372)/NETWORKDAYS(B372,B382,BankHolidays),NA())</f>
        <v>#N/A</v>
      </c>
      <c r="O382" s="44" t="e">
        <f t="shared" ca="1" si="41"/>
        <v>#N/A</v>
      </c>
      <c r="P382" s="53" t="e">
        <f t="shared" ca="1" si="43"/>
        <v>#N/A</v>
      </c>
      <c r="Q382" s="53" t="str">
        <f ca="1">IFERROR(DayByDayTable[[#This Row],[Lead Time]],"")</f>
        <v/>
      </c>
      <c r="R382" s="44" t="e">
        <f t="shared" ca="1" si="44"/>
        <v>#N/A</v>
      </c>
      <c r="S382" s="44">
        <f ca="1">ROUND(PERCENTILE(DayByDayTable[[#Data],[BlankLeadTime]],0.8),0)</f>
        <v>8</v>
      </c>
    </row>
    <row r="383" spans="1:19">
      <c r="A383" s="51">
        <f t="shared" ref="A383:A446" si="45">B383</f>
        <v>42957</v>
      </c>
      <c r="B383" s="11">
        <f t="shared" si="40"/>
        <v>42957</v>
      </c>
      <c r="C383" s="47">
        <f>SUMIFS('On The Board'!$M$5:$M$219,'On The Board'!F$5:F$219,"&lt;="&amp;$B383,'On The Board'!E$5:E$219,"="&amp;FutureWork)</f>
        <v>0</v>
      </c>
      <c r="D383" s="47" t="str">
        <f ca="1">IF(TodaysDate&gt;=B383,SUMIF('On The Board'!F$5:F$219,"&lt;="&amp;$B383,'On The Board'!$M$5:$M$219)-SUM(F383:J383),"")</f>
        <v/>
      </c>
      <c r="E383" s="12">
        <f ca="1">IF(TodaysDate&gt;=B383,SUMIF('On The Board'!F$5:F$219,"&lt;="&amp;$B383,'On The Board'!$M$5:$M$219)-SUM(F383:J383),E382)</f>
        <v>47</v>
      </c>
      <c r="F383" s="12">
        <f>SUMIF('On The Board'!G$5:G$219,"&lt;="&amp;$B383,'On The Board'!$M$5:$M$219)-SUM(G383:J383)</f>
        <v>0</v>
      </c>
      <c r="G383" s="12">
        <f>SUMIF('On The Board'!H$5:H$219,"&lt;="&amp;$B383,'On The Board'!$M$5:$M$219)-SUM(H383:J383)</f>
        <v>5</v>
      </c>
      <c r="H383" s="12">
        <f>SUMIF('On The Board'!I$5:I$219,"&lt;="&amp;$B383,'On The Board'!$M$5:$M$219)-SUM(I383,J383)</f>
        <v>2</v>
      </c>
      <c r="I383" s="12">
        <f>SUMIF('On The Board'!J$5:J$219,"&lt;="&amp;$B383,'On The Board'!$M$5:$M$219)-SUM(J383)</f>
        <v>0</v>
      </c>
      <c r="J383" s="12">
        <f>SUMIF('On The Board'!K$5:K$219,"&lt;="&amp;$B383,'On The Board'!$M$5:$M$219)</f>
        <v>70</v>
      </c>
      <c r="K383" s="10">
        <f t="shared" ref="K383:K446" si="46">SUM(F383:J383)</f>
        <v>77</v>
      </c>
      <c r="L383" s="10" t="e">
        <f ca="1">IF(TodaysDate&gt;=B383,SUM(F383:I383),NA())</f>
        <v>#N/A</v>
      </c>
      <c r="M383" s="44" t="e">
        <f t="shared" ca="1" si="42"/>
        <v>#N/A</v>
      </c>
      <c r="N383" s="44" t="e">
        <f ca="1">IF(ISNUMBER(M383),(J383-J373)/NETWORKDAYS(B373,B383,BankHolidays),NA())</f>
        <v>#N/A</v>
      </c>
      <c r="O383" s="44" t="e">
        <f t="shared" ca="1" si="41"/>
        <v>#N/A</v>
      </c>
      <c r="P383" s="53" t="e">
        <f t="shared" ca="1" si="43"/>
        <v>#N/A</v>
      </c>
      <c r="Q383" s="53" t="str">
        <f ca="1">IFERROR(DayByDayTable[[#This Row],[Lead Time]],"")</f>
        <v/>
      </c>
      <c r="R383" s="44" t="e">
        <f t="shared" ca="1" si="44"/>
        <v>#N/A</v>
      </c>
      <c r="S383" s="44">
        <f ca="1">ROUND(PERCENTILE(DayByDayTable[[#Data],[BlankLeadTime]],0.8),0)</f>
        <v>8</v>
      </c>
    </row>
    <row r="384" spans="1:19">
      <c r="A384" s="51">
        <f t="shared" si="45"/>
        <v>42958</v>
      </c>
      <c r="B384" s="11">
        <f t="shared" si="40"/>
        <v>42958</v>
      </c>
      <c r="C384" s="47">
        <f>SUMIFS('On The Board'!$M$5:$M$219,'On The Board'!F$5:F$219,"&lt;="&amp;$B384,'On The Board'!E$5:E$219,"="&amp;FutureWork)</f>
        <v>0</v>
      </c>
      <c r="D384" s="47" t="str">
        <f ca="1">IF(TodaysDate&gt;=B384,SUMIF('On The Board'!F$5:F$219,"&lt;="&amp;$B384,'On The Board'!$M$5:$M$219)-SUM(F384:J384),"")</f>
        <v/>
      </c>
      <c r="E384" s="12">
        <f ca="1">IF(TodaysDate&gt;=B384,SUMIF('On The Board'!F$5:F$219,"&lt;="&amp;$B384,'On The Board'!$M$5:$M$219)-SUM(F384:J384),E383)</f>
        <v>47</v>
      </c>
      <c r="F384" s="12">
        <f>SUMIF('On The Board'!G$5:G$219,"&lt;="&amp;$B384,'On The Board'!$M$5:$M$219)-SUM(G384:J384)</f>
        <v>0</v>
      </c>
      <c r="G384" s="12">
        <f>SUMIF('On The Board'!H$5:H$219,"&lt;="&amp;$B384,'On The Board'!$M$5:$M$219)-SUM(H384:J384)</f>
        <v>5</v>
      </c>
      <c r="H384" s="12">
        <f>SUMIF('On The Board'!I$5:I$219,"&lt;="&amp;$B384,'On The Board'!$M$5:$M$219)-SUM(I384,J384)</f>
        <v>2</v>
      </c>
      <c r="I384" s="12">
        <f>SUMIF('On The Board'!J$5:J$219,"&lt;="&amp;$B384,'On The Board'!$M$5:$M$219)-SUM(J384)</f>
        <v>0</v>
      </c>
      <c r="J384" s="12">
        <f>SUMIF('On The Board'!K$5:K$219,"&lt;="&amp;$B384,'On The Board'!$M$5:$M$219)</f>
        <v>70</v>
      </c>
      <c r="K384" s="10">
        <f t="shared" si="46"/>
        <v>77</v>
      </c>
      <c r="L384" s="10" t="e">
        <f ca="1">IF(TodaysDate&gt;=B384,SUM(F384:I384),NA())</f>
        <v>#N/A</v>
      </c>
      <c r="M384" s="44" t="e">
        <f t="shared" ca="1" si="42"/>
        <v>#N/A</v>
      </c>
      <c r="N384" s="44" t="e">
        <f ca="1">IF(ISNUMBER(M384),(J384-J374)/NETWORKDAYS(B374,B384,BankHolidays),NA())</f>
        <v>#N/A</v>
      </c>
      <c r="O384" s="44" t="e">
        <f t="shared" ca="1" si="41"/>
        <v>#N/A</v>
      </c>
      <c r="P384" s="53" t="e">
        <f t="shared" ca="1" si="43"/>
        <v>#N/A</v>
      </c>
      <c r="Q384" s="53" t="str">
        <f ca="1">IFERROR(DayByDayTable[[#This Row],[Lead Time]],"")</f>
        <v/>
      </c>
      <c r="R384" s="44" t="e">
        <f t="shared" ca="1" si="44"/>
        <v>#N/A</v>
      </c>
      <c r="S384" s="44">
        <f ca="1">ROUND(PERCENTILE(DayByDayTable[[#Data],[BlankLeadTime]],0.8),0)</f>
        <v>8</v>
      </c>
    </row>
    <row r="385" spans="1:19">
      <c r="A385" s="51">
        <f t="shared" si="45"/>
        <v>42961</v>
      </c>
      <c r="B385" s="11">
        <f t="shared" si="40"/>
        <v>42961</v>
      </c>
      <c r="C385" s="47">
        <f>SUMIFS('On The Board'!$M$5:$M$219,'On The Board'!F$5:F$219,"&lt;="&amp;$B385,'On The Board'!E$5:E$219,"="&amp;FutureWork)</f>
        <v>0</v>
      </c>
      <c r="D385" s="47" t="str">
        <f ca="1">IF(TodaysDate&gt;=B385,SUMIF('On The Board'!F$5:F$219,"&lt;="&amp;$B385,'On The Board'!$M$5:$M$219)-SUM(F385:J385),"")</f>
        <v/>
      </c>
      <c r="E385" s="12">
        <f ca="1">IF(TodaysDate&gt;=B385,SUMIF('On The Board'!F$5:F$219,"&lt;="&amp;$B385,'On The Board'!$M$5:$M$219)-SUM(F385:J385),E384)</f>
        <v>47</v>
      </c>
      <c r="F385" s="12">
        <f>SUMIF('On The Board'!G$5:G$219,"&lt;="&amp;$B385,'On The Board'!$M$5:$M$219)-SUM(G385:J385)</f>
        <v>0</v>
      </c>
      <c r="G385" s="12">
        <f>SUMIF('On The Board'!H$5:H$219,"&lt;="&amp;$B385,'On The Board'!$M$5:$M$219)-SUM(H385:J385)</f>
        <v>5</v>
      </c>
      <c r="H385" s="12">
        <f>SUMIF('On The Board'!I$5:I$219,"&lt;="&amp;$B385,'On The Board'!$M$5:$M$219)-SUM(I385,J385)</f>
        <v>2</v>
      </c>
      <c r="I385" s="12">
        <f>SUMIF('On The Board'!J$5:J$219,"&lt;="&amp;$B385,'On The Board'!$M$5:$M$219)-SUM(J385)</f>
        <v>0</v>
      </c>
      <c r="J385" s="12">
        <f>SUMIF('On The Board'!K$5:K$219,"&lt;="&amp;$B385,'On The Board'!$M$5:$M$219)</f>
        <v>70</v>
      </c>
      <c r="K385" s="10">
        <f t="shared" si="46"/>
        <v>77</v>
      </c>
      <c r="L385" s="10" t="e">
        <f ca="1">IF(TodaysDate&gt;=B385,SUM(F385:I385),NA())</f>
        <v>#N/A</v>
      </c>
      <c r="M385" s="44" t="e">
        <f t="shared" ca="1" si="42"/>
        <v>#N/A</v>
      </c>
      <c r="N385" s="44" t="e">
        <f ca="1">IF(ISNUMBER(M385),(J385-J375)/NETWORKDAYS(B375,B385,BankHolidays),NA())</f>
        <v>#N/A</v>
      </c>
      <c r="O385" s="44" t="e">
        <f t="shared" ca="1" si="41"/>
        <v>#N/A</v>
      </c>
      <c r="P385" s="53" t="e">
        <f t="shared" ca="1" si="43"/>
        <v>#N/A</v>
      </c>
      <c r="Q385" s="53" t="str">
        <f ca="1">IFERROR(DayByDayTable[[#This Row],[Lead Time]],"")</f>
        <v/>
      </c>
      <c r="R385" s="44" t="e">
        <f t="shared" ca="1" si="44"/>
        <v>#N/A</v>
      </c>
      <c r="S385" s="44">
        <f ca="1">ROUND(PERCENTILE(DayByDayTable[[#Data],[BlankLeadTime]],0.8),0)</f>
        <v>8</v>
      </c>
    </row>
    <row r="386" spans="1:19">
      <c r="A386" s="51">
        <f t="shared" si="45"/>
        <v>42962</v>
      </c>
      <c r="B386" s="11">
        <f t="shared" si="40"/>
        <v>42962</v>
      </c>
      <c r="C386" s="47">
        <f>SUMIFS('On The Board'!$M$5:$M$219,'On The Board'!F$5:F$219,"&lt;="&amp;$B386,'On The Board'!E$5:E$219,"="&amp;FutureWork)</f>
        <v>0</v>
      </c>
      <c r="D386" s="47" t="str">
        <f ca="1">IF(TodaysDate&gt;=B386,SUMIF('On The Board'!F$5:F$219,"&lt;="&amp;$B386,'On The Board'!$M$5:$M$219)-SUM(F386:J386),"")</f>
        <v/>
      </c>
      <c r="E386" s="12">
        <f ca="1">IF(TodaysDate&gt;=B386,SUMIF('On The Board'!F$5:F$219,"&lt;="&amp;$B386,'On The Board'!$M$5:$M$219)-SUM(F386:J386),E385)</f>
        <v>47</v>
      </c>
      <c r="F386" s="12">
        <f>SUMIF('On The Board'!G$5:G$219,"&lt;="&amp;$B386,'On The Board'!$M$5:$M$219)-SUM(G386:J386)</f>
        <v>0</v>
      </c>
      <c r="G386" s="12">
        <f>SUMIF('On The Board'!H$5:H$219,"&lt;="&amp;$B386,'On The Board'!$M$5:$M$219)-SUM(H386:J386)</f>
        <v>5</v>
      </c>
      <c r="H386" s="12">
        <f>SUMIF('On The Board'!I$5:I$219,"&lt;="&amp;$B386,'On The Board'!$M$5:$M$219)-SUM(I386,J386)</f>
        <v>2</v>
      </c>
      <c r="I386" s="12">
        <f>SUMIF('On The Board'!J$5:J$219,"&lt;="&amp;$B386,'On The Board'!$M$5:$M$219)-SUM(J386)</f>
        <v>0</v>
      </c>
      <c r="J386" s="12">
        <f>SUMIF('On The Board'!K$5:K$219,"&lt;="&amp;$B386,'On The Board'!$M$5:$M$219)</f>
        <v>70</v>
      </c>
      <c r="K386" s="10">
        <f t="shared" si="46"/>
        <v>77</v>
      </c>
      <c r="L386" s="10" t="e">
        <f ca="1">IF(TodaysDate&gt;=B386,SUM(F386:I386),NA())</f>
        <v>#N/A</v>
      </c>
      <c r="M386" s="44" t="e">
        <f t="shared" ca="1" si="42"/>
        <v>#N/A</v>
      </c>
      <c r="N386" s="44" t="e">
        <f ca="1">IF(ISNUMBER(M386),(J386-J376)/NETWORKDAYS(B376,B386,BankHolidays),NA())</f>
        <v>#N/A</v>
      </c>
      <c r="O386" s="44" t="e">
        <f t="shared" ca="1" si="41"/>
        <v>#N/A</v>
      </c>
      <c r="P386" s="53" t="e">
        <f t="shared" ca="1" si="43"/>
        <v>#N/A</v>
      </c>
      <c r="Q386" s="53" t="str">
        <f ca="1">IFERROR(DayByDayTable[[#This Row],[Lead Time]],"")</f>
        <v/>
      </c>
      <c r="R386" s="44" t="e">
        <f t="shared" ca="1" si="44"/>
        <v>#N/A</v>
      </c>
      <c r="S386" s="44">
        <f ca="1">ROUND(PERCENTILE(DayByDayTable[[#Data],[BlankLeadTime]],0.8),0)</f>
        <v>8</v>
      </c>
    </row>
    <row r="387" spans="1:19">
      <c r="A387" s="51">
        <f t="shared" si="45"/>
        <v>42963</v>
      </c>
      <c r="B387" s="11">
        <f t="shared" ref="B387:B450" si="47">IF(NETWORKDAYS(B386,B386+1,BankHolidays)=2,B386+1,IF(NETWORKDAYS(B386,B386+2,BankHolidays)=2,B386+2,IF(NETWORKDAYS(B386,B386+3,BankHolidays)=2,B386+3,IF(NETWORKDAYS(B386,B386+4,BankHolidays)=2,B386+4,IF(NETWORKDAYS(B386,B386+5,BankHolidays)=2,B386+5,NA())))))</f>
        <v>42963</v>
      </c>
      <c r="C387" s="47">
        <f>SUMIFS('On The Board'!$M$5:$M$219,'On The Board'!F$5:F$219,"&lt;="&amp;$B387,'On The Board'!E$5:E$219,"="&amp;FutureWork)</f>
        <v>0</v>
      </c>
      <c r="D387" s="47" t="str">
        <f ca="1">IF(TodaysDate&gt;=B387,SUMIF('On The Board'!F$5:F$219,"&lt;="&amp;$B387,'On The Board'!$M$5:$M$219)-SUM(F387:J387),"")</f>
        <v/>
      </c>
      <c r="E387" s="12">
        <f ca="1">IF(TodaysDate&gt;=B387,SUMIF('On The Board'!F$5:F$219,"&lt;="&amp;$B387,'On The Board'!$M$5:$M$219)-SUM(F387:J387),E386)</f>
        <v>47</v>
      </c>
      <c r="F387" s="12">
        <f>SUMIF('On The Board'!G$5:G$219,"&lt;="&amp;$B387,'On The Board'!$M$5:$M$219)-SUM(G387:J387)</f>
        <v>0</v>
      </c>
      <c r="G387" s="12">
        <f>SUMIF('On The Board'!H$5:H$219,"&lt;="&amp;$B387,'On The Board'!$M$5:$M$219)-SUM(H387:J387)</f>
        <v>5</v>
      </c>
      <c r="H387" s="12">
        <f>SUMIF('On The Board'!I$5:I$219,"&lt;="&amp;$B387,'On The Board'!$M$5:$M$219)-SUM(I387,J387)</f>
        <v>2</v>
      </c>
      <c r="I387" s="12">
        <f>SUMIF('On The Board'!J$5:J$219,"&lt;="&amp;$B387,'On The Board'!$M$5:$M$219)-SUM(J387)</f>
        <v>0</v>
      </c>
      <c r="J387" s="12">
        <f>SUMIF('On The Board'!K$5:K$219,"&lt;="&amp;$B387,'On The Board'!$M$5:$M$219)</f>
        <v>70</v>
      </c>
      <c r="K387" s="10">
        <f t="shared" si="46"/>
        <v>77</v>
      </c>
      <c r="L387" s="10" t="e">
        <f ca="1">IF(TodaysDate&gt;=B387,SUM(F387:I387),NA())</f>
        <v>#N/A</v>
      </c>
      <c r="M387" s="44" t="e">
        <f t="shared" ca="1" si="42"/>
        <v>#N/A</v>
      </c>
      <c r="N387" s="44" t="e">
        <f ca="1">IF(ISNUMBER(M387),(J387-J377)/NETWORKDAYS(B377,B387,BankHolidays),NA())</f>
        <v>#N/A</v>
      </c>
      <c r="O387" s="44" t="e">
        <f t="shared" ref="O387:O450" ca="1" si="48">IF(N387&gt;0,M387/N387,NA())</f>
        <v>#N/A</v>
      </c>
      <c r="P387" s="53" t="e">
        <f t="shared" ca="1" si="43"/>
        <v>#N/A</v>
      </c>
      <c r="Q387" s="53" t="str">
        <f ca="1">IFERROR(DayByDayTable[[#This Row],[Lead Time]],"")</f>
        <v/>
      </c>
      <c r="R387" s="44" t="e">
        <f t="shared" ca="1" si="44"/>
        <v>#N/A</v>
      </c>
      <c r="S387" s="44">
        <f ca="1">ROUND(PERCENTILE(DayByDayTable[[#Data],[BlankLeadTime]],0.8),0)</f>
        <v>8</v>
      </c>
    </row>
    <row r="388" spans="1:19">
      <c r="A388" s="51">
        <f t="shared" si="45"/>
        <v>42964</v>
      </c>
      <c r="B388" s="11">
        <f t="shared" si="47"/>
        <v>42964</v>
      </c>
      <c r="C388" s="47">
        <f>SUMIFS('On The Board'!$M$5:$M$219,'On The Board'!F$5:F$219,"&lt;="&amp;$B388,'On The Board'!E$5:E$219,"="&amp;FutureWork)</f>
        <v>0</v>
      </c>
      <c r="D388" s="47" t="str">
        <f ca="1">IF(TodaysDate&gt;=B388,SUMIF('On The Board'!F$5:F$219,"&lt;="&amp;$B388,'On The Board'!$M$5:$M$219)-SUM(F388:J388),"")</f>
        <v/>
      </c>
      <c r="E388" s="12">
        <f ca="1">IF(TodaysDate&gt;=B388,SUMIF('On The Board'!F$5:F$219,"&lt;="&amp;$B388,'On The Board'!$M$5:$M$219)-SUM(F388:J388),E387)</f>
        <v>47</v>
      </c>
      <c r="F388" s="12">
        <f>SUMIF('On The Board'!G$5:G$219,"&lt;="&amp;$B388,'On The Board'!$M$5:$M$219)-SUM(G388:J388)</f>
        <v>0</v>
      </c>
      <c r="G388" s="12">
        <f>SUMIF('On The Board'!H$5:H$219,"&lt;="&amp;$B388,'On The Board'!$M$5:$M$219)-SUM(H388:J388)</f>
        <v>5</v>
      </c>
      <c r="H388" s="12">
        <f>SUMIF('On The Board'!I$5:I$219,"&lt;="&amp;$B388,'On The Board'!$M$5:$M$219)-SUM(I388,J388)</f>
        <v>2</v>
      </c>
      <c r="I388" s="12">
        <f>SUMIF('On The Board'!J$5:J$219,"&lt;="&amp;$B388,'On The Board'!$M$5:$M$219)-SUM(J388)</f>
        <v>0</v>
      </c>
      <c r="J388" s="12">
        <f>SUMIF('On The Board'!K$5:K$219,"&lt;="&amp;$B388,'On The Board'!$M$5:$M$219)</f>
        <v>70</v>
      </c>
      <c r="K388" s="10">
        <f t="shared" si="46"/>
        <v>77</v>
      </c>
      <c r="L388" s="10" t="e">
        <f ca="1">IF(TodaysDate&gt;=B388,SUM(F388:I388),NA())</f>
        <v>#N/A</v>
      </c>
      <c r="M388" s="44" t="e">
        <f t="shared" ca="1" si="42"/>
        <v>#N/A</v>
      </c>
      <c r="N388" s="44" t="e">
        <f ca="1">IF(ISNUMBER(M388),(J388-J378)/NETWORKDAYS(B378,B388,BankHolidays),NA())</f>
        <v>#N/A</v>
      </c>
      <c r="O388" s="44" t="e">
        <f t="shared" ca="1" si="48"/>
        <v>#N/A</v>
      </c>
      <c r="P388" s="53" t="e">
        <f t="shared" ca="1" si="43"/>
        <v>#N/A</v>
      </c>
      <c r="Q388" s="53" t="str">
        <f ca="1">IFERROR(DayByDayTable[[#This Row],[Lead Time]],"")</f>
        <v/>
      </c>
      <c r="R388" s="44" t="e">
        <f t="shared" ca="1" si="44"/>
        <v>#N/A</v>
      </c>
      <c r="S388" s="44">
        <f ca="1">ROUND(PERCENTILE(DayByDayTable[[#Data],[BlankLeadTime]],0.8),0)</f>
        <v>8</v>
      </c>
    </row>
    <row r="389" spans="1:19">
      <c r="A389" s="51">
        <f t="shared" si="45"/>
        <v>42965</v>
      </c>
      <c r="B389" s="11">
        <f t="shared" si="47"/>
        <v>42965</v>
      </c>
      <c r="C389" s="47">
        <f>SUMIFS('On The Board'!$M$5:$M$219,'On The Board'!F$5:F$219,"&lt;="&amp;$B389,'On The Board'!E$5:E$219,"="&amp;FutureWork)</f>
        <v>0</v>
      </c>
      <c r="D389" s="47" t="str">
        <f ca="1">IF(TodaysDate&gt;=B389,SUMIF('On The Board'!F$5:F$219,"&lt;="&amp;$B389,'On The Board'!$M$5:$M$219)-SUM(F389:J389),"")</f>
        <v/>
      </c>
      <c r="E389" s="12">
        <f ca="1">IF(TodaysDate&gt;=B389,SUMIF('On The Board'!F$5:F$219,"&lt;="&amp;$B389,'On The Board'!$M$5:$M$219)-SUM(F389:J389),E388)</f>
        <v>47</v>
      </c>
      <c r="F389" s="12">
        <f>SUMIF('On The Board'!G$5:G$219,"&lt;="&amp;$B389,'On The Board'!$M$5:$M$219)-SUM(G389:J389)</f>
        <v>0</v>
      </c>
      <c r="G389" s="12">
        <f>SUMIF('On The Board'!H$5:H$219,"&lt;="&amp;$B389,'On The Board'!$M$5:$M$219)-SUM(H389:J389)</f>
        <v>5</v>
      </c>
      <c r="H389" s="12">
        <f>SUMIF('On The Board'!I$5:I$219,"&lt;="&amp;$B389,'On The Board'!$M$5:$M$219)-SUM(I389,J389)</f>
        <v>2</v>
      </c>
      <c r="I389" s="12">
        <f>SUMIF('On The Board'!J$5:J$219,"&lt;="&amp;$B389,'On The Board'!$M$5:$M$219)-SUM(J389)</f>
        <v>0</v>
      </c>
      <c r="J389" s="12">
        <f>SUMIF('On The Board'!K$5:K$219,"&lt;="&amp;$B389,'On The Board'!$M$5:$M$219)</f>
        <v>70</v>
      </c>
      <c r="K389" s="10">
        <f t="shared" si="46"/>
        <v>77</v>
      </c>
      <c r="L389" s="10" t="e">
        <f ca="1">IF(TodaysDate&gt;=B389,SUM(F389:I389),NA())</f>
        <v>#N/A</v>
      </c>
      <c r="M389" s="44" t="e">
        <f t="shared" ca="1" si="42"/>
        <v>#N/A</v>
      </c>
      <c r="N389" s="44" t="e">
        <f ca="1">IF(ISNUMBER(M389),(J389-J379)/NETWORKDAYS(B379,B389,BankHolidays),NA())</f>
        <v>#N/A</v>
      </c>
      <c r="O389" s="44" t="e">
        <f t="shared" ca="1" si="48"/>
        <v>#N/A</v>
      </c>
      <c r="P389" s="53" t="e">
        <f t="shared" ca="1" si="43"/>
        <v>#N/A</v>
      </c>
      <c r="Q389" s="53" t="str">
        <f ca="1">IFERROR(DayByDayTable[[#This Row],[Lead Time]],"")</f>
        <v/>
      </c>
      <c r="R389" s="44" t="e">
        <f t="shared" ca="1" si="44"/>
        <v>#N/A</v>
      </c>
      <c r="S389" s="44">
        <f ca="1">ROUND(PERCENTILE(DayByDayTable[[#Data],[BlankLeadTime]],0.8),0)</f>
        <v>8</v>
      </c>
    </row>
    <row r="390" spans="1:19">
      <c r="A390" s="51">
        <f t="shared" si="45"/>
        <v>42968</v>
      </c>
      <c r="B390" s="11">
        <f t="shared" si="47"/>
        <v>42968</v>
      </c>
      <c r="C390" s="47">
        <f>SUMIFS('On The Board'!$M$5:$M$219,'On The Board'!F$5:F$219,"&lt;="&amp;$B390,'On The Board'!E$5:E$219,"="&amp;FutureWork)</f>
        <v>0</v>
      </c>
      <c r="D390" s="47" t="str">
        <f ca="1">IF(TodaysDate&gt;=B390,SUMIF('On The Board'!F$5:F$219,"&lt;="&amp;$B390,'On The Board'!$M$5:$M$219)-SUM(F390:J390),"")</f>
        <v/>
      </c>
      <c r="E390" s="12">
        <f ca="1">IF(TodaysDate&gt;=B390,SUMIF('On The Board'!F$5:F$219,"&lt;="&amp;$B390,'On The Board'!$M$5:$M$219)-SUM(F390:J390),E389)</f>
        <v>47</v>
      </c>
      <c r="F390" s="12">
        <f>SUMIF('On The Board'!G$5:G$219,"&lt;="&amp;$B390,'On The Board'!$M$5:$M$219)-SUM(G390:J390)</f>
        <v>0</v>
      </c>
      <c r="G390" s="12">
        <f>SUMIF('On The Board'!H$5:H$219,"&lt;="&amp;$B390,'On The Board'!$M$5:$M$219)-SUM(H390:J390)</f>
        <v>5</v>
      </c>
      <c r="H390" s="12">
        <f>SUMIF('On The Board'!I$5:I$219,"&lt;="&amp;$B390,'On The Board'!$M$5:$M$219)-SUM(I390,J390)</f>
        <v>2</v>
      </c>
      <c r="I390" s="12">
        <f>SUMIF('On The Board'!J$5:J$219,"&lt;="&amp;$B390,'On The Board'!$M$5:$M$219)-SUM(J390)</f>
        <v>0</v>
      </c>
      <c r="J390" s="12">
        <f>SUMIF('On The Board'!K$5:K$219,"&lt;="&amp;$B390,'On The Board'!$M$5:$M$219)</f>
        <v>70</v>
      </c>
      <c r="K390" s="10">
        <f t="shared" si="46"/>
        <v>77</v>
      </c>
      <c r="L390" s="10" t="e">
        <f ca="1">IF(TodaysDate&gt;=B390,SUM(F390:I390),NA())</f>
        <v>#N/A</v>
      </c>
      <c r="M390" s="44" t="e">
        <f t="shared" ca="1" si="42"/>
        <v>#N/A</v>
      </c>
      <c r="N390" s="44" t="e">
        <f ca="1">IF(ISNUMBER(M390),(J390-J380)/NETWORKDAYS(B380,B390,BankHolidays),NA())</f>
        <v>#N/A</v>
      </c>
      <c r="O390" s="44" t="e">
        <f t="shared" ca="1" si="48"/>
        <v>#N/A</v>
      </c>
      <c r="P390" s="53" t="e">
        <f t="shared" ca="1" si="43"/>
        <v>#N/A</v>
      </c>
      <c r="Q390" s="53" t="str">
        <f ca="1">IFERROR(DayByDayTable[[#This Row],[Lead Time]],"")</f>
        <v/>
      </c>
      <c r="R390" s="44" t="e">
        <f t="shared" ca="1" si="44"/>
        <v>#N/A</v>
      </c>
      <c r="S390" s="44">
        <f ca="1">ROUND(PERCENTILE(DayByDayTable[[#Data],[BlankLeadTime]],0.8),0)</f>
        <v>8</v>
      </c>
    </row>
    <row r="391" spans="1:19">
      <c r="A391" s="51">
        <f t="shared" si="45"/>
        <v>42969</v>
      </c>
      <c r="B391" s="11">
        <f t="shared" si="47"/>
        <v>42969</v>
      </c>
      <c r="C391" s="47">
        <f>SUMIFS('On The Board'!$M$5:$M$219,'On The Board'!F$5:F$219,"&lt;="&amp;$B391,'On The Board'!E$5:E$219,"="&amp;FutureWork)</f>
        <v>0</v>
      </c>
      <c r="D391" s="47" t="str">
        <f ca="1">IF(TodaysDate&gt;=B391,SUMIF('On The Board'!F$5:F$219,"&lt;="&amp;$B391,'On The Board'!$M$5:$M$219)-SUM(F391:J391),"")</f>
        <v/>
      </c>
      <c r="E391" s="12">
        <f ca="1">IF(TodaysDate&gt;=B391,SUMIF('On The Board'!F$5:F$219,"&lt;="&amp;$B391,'On The Board'!$M$5:$M$219)-SUM(F391:J391),E390)</f>
        <v>47</v>
      </c>
      <c r="F391" s="12">
        <f>SUMIF('On The Board'!G$5:G$219,"&lt;="&amp;$B391,'On The Board'!$M$5:$M$219)-SUM(G391:J391)</f>
        <v>0</v>
      </c>
      <c r="G391" s="12">
        <f>SUMIF('On The Board'!H$5:H$219,"&lt;="&amp;$B391,'On The Board'!$M$5:$M$219)-SUM(H391:J391)</f>
        <v>5</v>
      </c>
      <c r="H391" s="12">
        <f>SUMIF('On The Board'!I$5:I$219,"&lt;="&amp;$B391,'On The Board'!$M$5:$M$219)-SUM(I391,J391)</f>
        <v>2</v>
      </c>
      <c r="I391" s="12">
        <f>SUMIF('On The Board'!J$5:J$219,"&lt;="&amp;$B391,'On The Board'!$M$5:$M$219)-SUM(J391)</f>
        <v>0</v>
      </c>
      <c r="J391" s="12">
        <f>SUMIF('On The Board'!K$5:K$219,"&lt;="&amp;$B391,'On The Board'!$M$5:$M$219)</f>
        <v>70</v>
      </c>
      <c r="K391" s="10">
        <f t="shared" si="46"/>
        <v>77</v>
      </c>
      <c r="L391" s="10" t="e">
        <f ca="1">IF(TodaysDate&gt;=B391,SUM(F391:I391),NA())</f>
        <v>#N/A</v>
      </c>
      <c r="M391" s="44" t="e">
        <f t="shared" ca="1" si="42"/>
        <v>#N/A</v>
      </c>
      <c r="N391" s="44" t="e">
        <f ca="1">IF(ISNUMBER(M391),(J391-J381)/NETWORKDAYS(B381,B391,BankHolidays),NA())</f>
        <v>#N/A</v>
      </c>
      <c r="O391" s="44" t="e">
        <f t="shared" ca="1" si="48"/>
        <v>#N/A</v>
      </c>
      <c r="P391" s="53" t="e">
        <f t="shared" ca="1" si="43"/>
        <v>#N/A</v>
      </c>
      <c r="Q391" s="53" t="str">
        <f ca="1">IFERROR(DayByDayTable[[#This Row],[Lead Time]],"")</f>
        <v/>
      </c>
      <c r="R391" s="44" t="e">
        <f t="shared" ca="1" si="44"/>
        <v>#N/A</v>
      </c>
      <c r="S391" s="44">
        <f ca="1">ROUND(PERCENTILE(DayByDayTable[[#Data],[BlankLeadTime]],0.8),0)</f>
        <v>8</v>
      </c>
    </row>
    <row r="392" spans="1:19">
      <c r="A392" s="51">
        <f t="shared" si="45"/>
        <v>42970</v>
      </c>
      <c r="B392" s="11">
        <f t="shared" si="47"/>
        <v>42970</v>
      </c>
      <c r="C392" s="47">
        <f>SUMIFS('On The Board'!$M$5:$M$219,'On The Board'!F$5:F$219,"&lt;="&amp;$B392,'On The Board'!E$5:E$219,"="&amp;FutureWork)</f>
        <v>0</v>
      </c>
      <c r="D392" s="47" t="str">
        <f ca="1">IF(TodaysDate&gt;=B392,SUMIF('On The Board'!F$5:F$219,"&lt;="&amp;$B392,'On The Board'!$M$5:$M$219)-SUM(F392:J392),"")</f>
        <v/>
      </c>
      <c r="E392" s="12">
        <f ca="1">IF(TodaysDate&gt;=B392,SUMIF('On The Board'!F$5:F$219,"&lt;="&amp;$B392,'On The Board'!$M$5:$M$219)-SUM(F392:J392),E391)</f>
        <v>47</v>
      </c>
      <c r="F392" s="12">
        <f>SUMIF('On The Board'!G$5:G$219,"&lt;="&amp;$B392,'On The Board'!$M$5:$M$219)-SUM(G392:J392)</f>
        <v>0</v>
      </c>
      <c r="G392" s="12">
        <f>SUMIF('On The Board'!H$5:H$219,"&lt;="&amp;$B392,'On The Board'!$M$5:$M$219)-SUM(H392:J392)</f>
        <v>5</v>
      </c>
      <c r="H392" s="12">
        <f>SUMIF('On The Board'!I$5:I$219,"&lt;="&amp;$B392,'On The Board'!$M$5:$M$219)-SUM(I392,J392)</f>
        <v>2</v>
      </c>
      <c r="I392" s="12">
        <f>SUMIF('On The Board'!J$5:J$219,"&lt;="&amp;$B392,'On The Board'!$M$5:$M$219)-SUM(J392)</f>
        <v>0</v>
      </c>
      <c r="J392" s="12">
        <f>SUMIF('On The Board'!K$5:K$219,"&lt;="&amp;$B392,'On The Board'!$M$5:$M$219)</f>
        <v>70</v>
      </c>
      <c r="K392" s="10">
        <f t="shared" si="46"/>
        <v>77</v>
      </c>
      <c r="L392" s="10" t="e">
        <f ca="1">IF(TodaysDate&gt;=B392,SUM(F392:I392),NA())</f>
        <v>#N/A</v>
      </c>
      <c r="M392" s="44" t="e">
        <f t="shared" ca="1" si="42"/>
        <v>#N/A</v>
      </c>
      <c r="N392" s="44" t="e">
        <f ca="1">IF(ISNUMBER(M392),(J392-J382)/NETWORKDAYS(B382,B392,BankHolidays),NA())</f>
        <v>#N/A</v>
      </c>
      <c r="O392" s="44" t="e">
        <f t="shared" ca="1" si="48"/>
        <v>#N/A</v>
      </c>
      <c r="P392" s="53" t="e">
        <f t="shared" ca="1" si="43"/>
        <v>#N/A</v>
      </c>
      <c r="Q392" s="53" t="str">
        <f ca="1">IFERROR(DayByDayTable[[#This Row],[Lead Time]],"")</f>
        <v/>
      </c>
      <c r="R392" s="44" t="e">
        <f t="shared" ca="1" si="44"/>
        <v>#N/A</v>
      </c>
      <c r="S392" s="44">
        <f ca="1">ROUND(PERCENTILE(DayByDayTable[[#Data],[BlankLeadTime]],0.8),0)</f>
        <v>8</v>
      </c>
    </row>
    <row r="393" spans="1:19">
      <c r="A393" s="51">
        <f t="shared" si="45"/>
        <v>42971</v>
      </c>
      <c r="B393" s="11">
        <f t="shared" si="47"/>
        <v>42971</v>
      </c>
      <c r="C393" s="47">
        <f>SUMIFS('On The Board'!$M$5:$M$219,'On The Board'!F$5:F$219,"&lt;="&amp;$B393,'On The Board'!E$5:E$219,"="&amp;FutureWork)</f>
        <v>0</v>
      </c>
      <c r="D393" s="47" t="str">
        <f ca="1">IF(TodaysDate&gt;=B393,SUMIF('On The Board'!F$5:F$219,"&lt;="&amp;$B393,'On The Board'!$M$5:$M$219)-SUM(F393:J393),"")</f>
        <v/>
      </c>
      <c r="E393" s="12">
        <f ca="1">IF(TodaysDate&gt;=B393,SUMIF('On The Board'!F$5:F$219,"&lt;="&amp;$B393,'On The Board'!$M$5:$M$219)-SUM(F393:J393),E392)</f>
        <v>47</v>
      </c>
      <c r="F393" s="12">
        <f>SUMIF('On The Board'!G$5:G$219,"&lt;="&amp;$B393,'On The Board'!$M$5:$M$219)-SUM(G393:J393)</f>
        <v>0</v>
      </c>
      <c r="G393" s="12">
        <f>SUMIF('On The Board'!H$5:H$219,"&lt;="&amp;$B393,'On The Board'!$M$5:$M$219)-SUM(H393:J393)</f>
        <v>5</v>
      </c>
      <c r="H393" s="12">
        <f>SUMIF('On The Board'!I$5:I$219,"&lt;="&amp;$B393,'On The Board'!$M$5:$M$219)-SUM(I393,J393)</f>
        <v>2</v>
      </c>
      <c r="I393" s="12">
        <f>SUMIF('On The Board'!J$5:J$219,"&lt;="&amp;$B393,'On The Board'!$M$5:$M$219)-SUM(J393)</f>
        <v>0</v>
      </c>
      <c r="J393" s="12">
        <f>SUMIF('On The Board'!K$5:K$219,"&lt;="&amp;$B393,'On The Board'!$M$5:$M$219)</f>
        <v>70</v>
      </c>
      <c r="K393" s="10">
        <f t="shared" si="46"/>
        <v>77</v>
      </c>
      <c r="L393" s="10" t="e">
        <f ca="1">IF(TodaysDate&gt;=B393,SUM(F393:I393),NA())</f>
        <v>#N/A</v>
      </c>
      <c r="M393" s="44" t="e">
        <f t="shared" ca="1" si="42"/>
        <v>#N/A</v>
      </c>
      <c r="N393" s="44" t="e">
        <f ca="1">IF(ISNUMBER(M393),(J393-J383)/NETWORKDAYS(B383,B393,BankHolidays),NA())</f>
        <v>#N/A</v>
      </c>
      <c r="O393" s="44" t="e">
        <f t="shared" ca="1" si="48"/>
        <v>#N/A</v>
      </c>
      <c r="P393" s="53" t="e">
        <f t="shared" ca="1" si="43"/>
        <v>#N/A</v>
      </c>
      <c r="Q393" s="53" t="str">
        <f ca="1">IFERROR(DayByDayTable[[#This Row],[Lead Time]],"")</f>
        <v/>
      </c>
      <c r="R393" s="44" t="e">
        <f t="shared" ca="1" si="44"/>
        <v>#N/A</v>
      </c>
      <c r="S393" s="44">
        <f ca="1">ROUND(PERCENTILE(DayByDayTable[[#Data],[BlankLeadTime]],0.8),0)</f>
        <v>8</v>
      </c>
    </row>
    <row r="394" spans="1:19">
      <c r="A394" s="51">
        <f t="shared" si="45"/>
        <v>42972</v>
      </c>
      <c r="B394" s="11">
        <f t="shared" si="47"/>
        <v>42972</v>
      </c>
      <c r="C394" s="47">
        <f>SUMIFS('On The Board'!$M$5:$M$219,'On The Board'!F$5:F$219,"&lt;="&amp;$B394,'On The Board'!E$5:E$219,"="&amp;FutureWork)</f>
        <v>0</v>
      </c>
      <c r="D394" s="47" t="str">
        <f ca="1">IF(TodaysDate&gt;=B394,SUMIF('On The Board'!F$5:F$219,"&lt;="&amp;$B394,'On The Board'!$M$5:$M$219)-SUM(F394:J394),"")</f>
        <v/>
      </c>
      <c r="E394" s="12">
        <f ca="1">IF(TodaysDate&gt;=B394,SUMIF('On The Board'!F$5:F$219,"&lt;="&amp;$B394,'On The Board'!$M$5:$M$219)-SUM(F394:J394),E393)</f>
        <v>47</v>
      </c>
      <c r="F394" s="12">
        <f>SUMIF('On The Board'!G$5:G$219,"&lt;="&amp;$B394,'On The Board'!$M$5:$M$219)-SUM(G394:J394)</f>
        <v>0</v>
      </c>
      <c r="G394" s="12">
        <f>SUMIF('On The Board'!H$5:H$219,"&lt;="&amp;$B394,'On The Board'!$M$5:$M$219)-SUM(H394:J394)</f>
        <v>5</v>
      </c>
      <c r="H394" s="12">
        <f>SUMIF('On The Board'!I$5:I$219,"&lt;="&amp;$B394,'On The Board'!$M$5:$M$219)-SUM(I394,J394)</f>
        <v>2</v>
      </c>
      <c r="I394" s="12">
        <f>SUMIF('On The Board'!J$5:J$219,"&lt;="&amp;$B394,'On The Board'!$M$5:$M$219)-SUM(J394)</f>
        <v>0</v>
      </c>
      <c r="J394" s="12">
        <f>SUMIF('On The Board'!K$5:K$219,"&lt;="&amp;$B394,'On The Board'!$M$5:$M$219)</f>
        <v>70</v>
      </c>
      <c r="K394" s="10">
        <f t="shared" si="46"/>
        <v>77</v>
      </c>
      <c r="L394" s="10" t="e">
        <f ca="1">IF(TodaysDate&gt;=B394,SUM(F394:I394),NA())</f>
        <v>#N/A</v>
      </c>
      <c r="M394" s="44" t="e">
        <f t="shared" ca="1" si="42"/>
        <v>#N/A</v>
      </c>
      <c r="N394" s="44" t="e">
        <f ca="1">IF(ISNUMBER(M394),(J394-J384)/NETWORKDAYS(B384,B394,BankHolidays),NA())</f>
        <v>#N/A</v>
      </c>
      <c r="O394" s="44" t="e">
        <f t="shared" ca="1" si="48"/>
        <v>#N/A</v>
      </c>
      <c r="P394" s="53" t="e">
        <f t="shared" ca="1" si="43"/>
        <v>#N/A</v>
      </c>
      <c r="Q394" s="53" t="str">
        <f ca="1">IFERROR(DayByDayTable[[#This Row],[Lead Time]],"")</f>
        <v/>
      </c>
      <c r="R394" s="44" t="e">
        <f t="shared" ca="1" si="44"/>
        <v>#N/A</v>
      </c>
      <c r="S394" s="44">
        <f ca="1">ROUND(PERCENTILE(DayByDayTable[[#Data],[BlankLeadTime]],0.8),0)</f>
        <v>8</v>
      </c>
    </row>
    <row r="395" spans="1:19">
      <c r="A395" s="51">
        <f t="shared" si="45"/>
        <v>42976</v>
      </c>
      <c r="B395" s="11">
        <f t="shared" si="47"/>
        <v>42976</v>
      </c>
      <c r="C395" s="47">
        <f>SUMIFS('On The Board'!$M$5:$M$219,'On The Board'!F$5:F$219,"&lt;="&amp;$B395,'On The Board'!E$5:E$219,"="&amp;FutureWork)</f>
        <v>0</v>
      </c>
      <c r="D395" s="47" t="str">
        <f ca="1">IF(TodaysDate&gt;=B395,SUMIF('On The Board'!F$5:F$219,"&lt;="&amp;$B395,'On The Board'!$M$5:$M$219)-SUM(F395:J395),"")</f>
        <v/>
      </c>
      <c r="E395" s="12">
        <f ca="1">IF(TodaysDate&gt;=B395,SUMIF('On The Board'!F$5:F$219,"&lt;="&amp;$B395,'On The Board'!$M$5:$M$219)-SUM(F395:J395),E394)</f>
        <v>47</v>
      </c>
      <c r="F395" s="12">
        <f>SUMIF('On The Board'!G$5:G$219,"&lt;="&amp;$B395,'On The Board'!$M$5:$M$219)-SUM(G395:J395)</f>
        <v>0</v>
      </c>
      <c r="G395" s="12">
        <f>SUMIF('On The Board'!H$5:H$219,"&lt;="&amp;$B395,'On The Board'!$M$5:$M$219)-SUM(H395:J395)</f>
        <v>5</v>
      </c>
      <c r="H395" s="12">
        <f>SUMIF('On The Board'!I$5:I$219,"&lt;="&amp;$B395,'On The Board'!$M$5:$M$219)-SUM(I395,J395)</f>
        <v>2</v>
      </c>
      <c r="I395" s="12">
        <f>SUMIF('On The Board'!J$5:J$219,"&lt;="&amp;$B395,'On The Board'!$M$5:$M$219)-SUM(J395)</f>
        <v>0</v>
      </c>
      <c r="J395" s="12">
        <f>SUMIF('On The Board'!K$5:K$219,"&lt;="&amp;$B395,'On The Board'!$M$5:$M$219)</f>
        <v>70</v>
      </c>
      <c r="K395" s="10">
        <f t="shared" si="46"/>
        <v>77</v>
      </c>
      <c r="L395" s="10" t="e">
        <f ca="1">IF(TodaysDate&gt;=B395,SUM(F395:I395),NA())</f>
        <v>#N/A</v>
      </c>
      <c r="M395" s="44" t="e">
        <f t="shared" ca="1" si="42"/>
        <v>#N/A</v>
      </c>
      <c r="N395" s="44" t="e">
        <f ca="1">IF(ISNUMBER(M395),(J395-J385)/NETWORKDAYS(B385,B395,BankHolidays),NA())</f>
        <v>#N/A</v>
      </c>
      <c r="O395" s="44" t="e">
        <f t="shared" ca="1" si="48"/>
        <v>#N/A</v>
      </c>
      <c r="P395" s="53" t="e">
        <f t="shared" ca="1" si="43"/>
        <v>#N/A</v>
      </c>
      <c r="Q395" s="53" t="str">
        <f ca="1">IFERROR(DayByDayTable[[#This Row],[Lead Time]],"")</f>
        <v/>
      </c>
      <c r="R395" s="44" t="e">
        <f t="shared" ca="1" si="44"/>
        <v>#N/A</v>
      </c>
      <c r="S395" s="44">
        <f ca="1">ROUND(PERCENTILE(DayByDayTable[[#Data],[BlankLeadTime]],0.8),0)</f>
        <v>8</v>
      </c>
    </row>
    <row r="396" spans="1:19">
      <c r="A396" s="51">
        <f t="shared" si="45"/>
        <v>42977</v>
      </c>
      <c r="B396" s="11">
        <f t="shared" si="47"/>
        <v>42977</v>
      </c>
      <c r="C396" s="47">
        <f>SUMIFS('On The Board'!$M$5:$M$219,'On The Board'!F$5:F$219,"&lt;="&amp;$B396,'On The Board'!E$5:E$219,"="&amp;FutureWork)</f>
        <v>0</v>
      </c>
      <c r="D396" s="47" t="str">
        <f ca="1">IF(TodaysDate&gt;=B396,SUMIF('On The Board'!F$5:F$219,"&lt;="&amp;$B396,'On The Board'!$M$5:$M$219)-SUM(F396:J396),"")</f>
        <v/>
      </c>
      <c r="E396" s="12">
        <f ca="1">IF(TodaysDate&gt;=B396,SUMIF('On The Board'!F$5:F$219,"&lt;="&amp;$B396,'On The Board'!$M$5:$M$219)-SUM(F396:J396),E395)</f>
        <v>47</v>
      </c>
      <c r="F396" s="12">
        <f>SUMIF('On The Board'!G$5:G$219,"&lt;="&amp;$B396,'On The Board'!$M$5:$M$219)-SUM(G396:J396)</f>
        <v>0</v>
      </c>
      <c r="G396" s="12">
        <f>SUMIF('On The Board'!H$5:H$219,"&lt;="&amp;$B396,'On The Board'!$M$5:$M$219)-SUM(H396:J396)</f>
        <v>5</v>
      </c>
      <c r="H396" s="12">
        <f>SUMIF('On The Board'!I$5:I$219,"&lt;="&amp;$B396,'On The Board'!$M$5:$M$219)-SUM(I396,J396)</f>
        <v>2</v>
      </c>
      <c r="I396" s="12">
        <f>SUMIF('On The Board'!J$5:J$219,"&lt;="&amp;$B396,'On The Board'!$M$5:$M$219)-SUM(J396)</f>
        <v>0</v>
      </c>
      <c r="J396" s="12">
        <f>SUMIF('On The Board'!K$5:K$219,"&lt;="&amp;$B396,'On The Board'!$M$5:$M$219)</f>
        <v>70</v>
      </c>
      <c r="K396" s="10">
        <f t="shared" si="46"/>
        <v>77</v>
      </c>
      <c r="L396" s="10" t="e">
        <f ca="1">IF(TodaysDate&gt;=B396,SUM(F396:I396),NA())</f>
        <v>#N/A</v>
      </c>
      <c r="M396" s="44" t="e">
        <f t="shared" ca="1" si="42"/>
        <v>#N/A</v>
      </c>
      <c r="N396" s="44" t="e">
        <f ca="1">IF(ISNUMBER(M396),(J396-J386)/NETWORKDAYS(B386,B396,BankHolidays),NA())</f>
        <v>#N/A</v>
      </c>
      <c r="O396" s="44" t="e">
        <f t="shared" ca="1" si="48"/>
        <v>#N/A</v>
      </c>
      <c r="P396" s="53" t="e">
        <f t="shared" ca="1" si="43"/>
        <v>#N/A</v>
      </c>
      <c r="Q396" s="53" t="str">
        <f ca="1">IFERROR(DayByDayTable[[#This Row],[Lead Time]],"")</f>
        <v/>
      </c>
      <c r="R396" s="44" t="e">
        <f t="shared" ca="1" si="44"/>
        <v>#N/A</v>
      </c>
      <c r="S396" s="44">
        <f ca="1">ROUND(PERCENTILE(DayByDayTable[[#Data],[BlankLeadTime]],0.8),0)</f>
        <v>8</v>
      </c>
    </row>
    <row r="397" spans="1:19">
      <c r="A397" s="51">
        <f t="shared" si="45"/>
        <v>42978</v>
      </c>
      <c r="B397" s="11">
        <f t="shared" si="47"/>
        <v>42978</v>
      </c>
      <c r="C397" s="47">
        <f>SUMIFS('On The Board'!$M$5:$M$219,'On The Board'!F$5:F$219,"&lt;="&amp;$B397,'On The Board'!E$5:E$219,"="&amp;FutureWork)</f>
        <v>0</v>
      </c>
      <c r="D397" s="47" t="str">
        <f ca="1">IF(TodaysDate&gt;=B397,SUMIF('On The Board'!F$5:F$219,"&lt;="&amp;$B397,'On The Board'!$M$5:$M$219)-SUM(F397:J397),"")</f>
        <v/>
      </c>
      <c r="E397" s="12">
        <f ca="1">IF(TodaysDate&gt;=B397,SUMIF('On The Board'!F$5:F$219,"&lt;="&amp;$B397,'On The Board'!$M$5:$M$219)-SUM(F397:J397),E396)</f>
        <v>47</v>
      </c>
      <c r="F397" s="12">
        <f>SUMIF('On The Board'!G$5:G$219,"&lt;="&amp;$B397,'On The Board'!$M$5:$M$219)-SUM(G397:J397)</f>
        <v>0</v>
      </c>
      <c r="G397" s="12">
        <f>SUMIF('On The Board'!H$5:H$219,"&lt;="&amp;$B397,'On The Board'!$M$5:$M$219)-SUM(H397:J397)</f>
        <v>5</v>
      </c>
      <c r="H397" s="12">
        <f>SUMIF('On The Board'!I$5:I$219,"&lt;="&amp;$B397,'On The Board'!$M$5:$M$219)-SUM(I397,J397)</f>
        <v>2</v>
      </c>
      <c r="I397" s="12">
        <f>SUMIF('On The Board'!J$5:J$219,"&lt;="&amp;$B397,'On The Board'!$M$5:$M$219)-SUM(J397)</f>
        <v>0</v>
      </c>
      <c r="J397" s="12">
        <f>SUMIF('On The Board'!K$5:K$219,"&lt;="&amp;$B397,'On The Board'!$M$5:$M$219)</f>
        <v>70</v>
      </c>
      <c r="K397" s="10">
        <f t="shared" si="46"/>
        <v>77</v>
      </c>
      <c r="L397" s="10" t="e">
        <f ca="1">IF(TodaysDate&gt;=B397,SUM(F397:I397),NA())</f>
        <v>#N/A</v>
      </c>
      <c r="M397" s="44" t="e">
        <f t="shared" ref="M397:M460" ca="1" si="49">AVERAGE(L387:L397)</f>
        <v>#N/A</v>
      </c>
      <c r="N397" s="44" t="e">
        <f ca="1">IF(ISNUMBER(M397),(J397-J387)/NETWORKDAYS(B387,B397,BankHolidays),NA())</f>
        <v>#N/A</v>
      </c>
      <c r="O397" s="44" t="e">
        <f t="shared" ca="1" si="48"/>
        <v>#N/A</v>
      </c>
      <c r="P397" s="53" t="e">
        <f t="shared" ref="P397:P460" ca="1" si="50">AVERAGE(O387:O397)</f>
        <v>#N/A</v>
      </c>
      <c r="Q397" s="53" t="str">
        <f ca="1">IFERROR(DayByDayTable[[#This Row],[Lead Time]],"")</f>
        <v/>
      </c>
      <c r="R397" s="44" t="e">
        <f t="shared" ca="1" si="44"/>
        <v>#N/A</v>
      </c>
      <c r="S397" s="44">
        <f ca="1">ROUND(PERCENTILE(DayByDayTable[[#Data],[BlankLeadTime]],0.8),0)</f>
        <v>8</v>
      </c>
    </row>
    <row r="398" spans="1:19">
      <c r="A398" s="51">
        <f t="shared" si="45"/>
        <v>42979</v>
      </c>
      <c r="B398" s="11">
        <f t="shared" si="47"/>
        <v>42979</v>
      </c>
      <c r="C398" s="47">
        <f>SUMIFS('On The Board'!$M$5:$M$219,'On The Board'!F$5:F$219,"&lt;="&amp;$B398,'On The Board'!E$5:E$219,"="&amp;FutureWork)</f>
        <v>0</v>
      </c>
      <c r="D398" s="47" t="str">
        <f ca="1">IF(TodaysDate&gt;=B398,SUMIF('On The Board'!F$5:F$219,"&lt;="&amp;$B398,'On The Board'!$M$5:$M$219)-SUM(F398:J398),"")</f>
        <v/>
      </c>
      <c r="E398" s="12">
        <f ca="1">IF(TodaysDate&gt;=B398,SUMIF('On The Board'!F$5:F$219,"&lt;="&amp;$B398,'On The Board'!$M$5:$M$219)-SUM(F398:J398),E397)</f>
        <v>47</v>
      </c>
      <c r="F398" s="12">
        <f>SUMIF('On The Board'!G$5:G$219,"&lt;="&amp;$B398,'On The Board'!$M$5:$M$219)-SUM(G398:J398)</f>
        <v>0</v>
      </c>
      <c r="G398" s="12">
        <f>SUMIF('On The Board'!H$5:H$219,"&lt;="&amp;$B398,'On The Board'!$M$5:$M$219)-SUM(H398:J398)</f>
        <v>5</v>
      </c>
      <c r="H398" s="12">
        <f>SUMIF('On The Board'!I$5:I$219,"&lt;="&amp;$B398,'On The Board'!$M$5:$M$219)-SUM(I398,J398)</f>
        <v>2</v>
      </c>
      <c r="I398" s="12">
        <f>SUMIF('On The Board'!J$5:J$219,"&lt;="&amp;$B398,'On The Board'!$M$5:$M$219)-SUM(J398)</f>
        <v>0</v>
      </c>
      <c r="J398" s="12">
        <f>SUMIF('On The Board'!K$5:K$219,"&lt;="&amp;$B398,'On The Board'!$M$5:$M$219)</f>
        <v>70</v>
      </c>
      <c r="K398" s="10">
        <f t="shared" si="46"/>
        <v>77</v>
      </c>
      <c r="L398" s="10" t="e">
        <f ca="1">IF(TodaysDate&gt;=B398,SUM(F398:I398),NA())</f>
        <v>#N/A</v>
      </c>
      <c r="M398" s="44" t="e">
        <f t="shared" ca="1" si="49"/>
        <v>#N/A</v>
      </c>
      <c r="N398" s="44" t="e">
        <f ca="1">IF(ISNUMBER(M398),(J398-J388)/NETWORKDAYS(B388,B398,BankHolidays),NA())</f>
        <v>#N/A</v>
      </c>
      <c r="O398" s="44" t="e">
        <f t="shared" ca="1" si="48"/>
        <v>#N/A</v>
      </c>
      <c r="P398" s="53" t="e">
        <f t="shared" ca="1" si="50"/>
        <v>#N/A</v>
      </c>
      <c r="Q398" s="53" t="str">
        <f ca="1">IFERROR(DayByDayTable[[#This Row],[Lead Time]],"")</f>
        <v/>
      </c>
      <c r="R398" s="44" t="e">
        <f t="shared" ca="1" si="44"/>
        <v>#N/A</v>
      </c>
      <c r="S398" s="44">
        <f ca="1">ROUND(PERCENTILE(DayByDayTable[[#Data],[BlankLeadTime]],0.8),0)</f>
        <v>8</v>
      </c>
    </row>
    <row r="399" spans="1:19">
      <c r="A399" s="51">
        <f t="shared" si="45"/>
        <v>42982</v>
      </c>
      <c r="B399" s="11">
        <f t="shared" si="47"/>
        <v>42982</v>
      </c>
      <c r="C399" s="47">
        <f>SUMIFS('On The Board'!$M$5:$M$219,'On The Board'!F$5:F$219,"&lt;="&amp;$B399,'On The Board'!E$5:E$219,"="&amp;FutureWork)</f>
        <v>0</v>
      </c>
      <c r="D399" s="47" t="str">
        <f ca="1">IF(TodaysDate&gt;=B399,SUMIF('On The Board'!F$5:F$219,"&lt;="&amp;$B399,'On The Board'!$M$5:$M$219)-SUM(F399:J399),"")</f>
        <v/>
      </c>
      <c r="E399" s="12">
        <f ca="1">IF(TodaysDate&gt;=B399,SUMIF('On The Board'!F$5:F$219,"&lt;="&amp;$B399,'On The Board'!$M$5:$M$219)-SUM(F399:J399),E398)</f>
        <v>47</v>
      </c>
      <c r="F399" s="12">
        <f>SUMIF('On The Board'!G$5:G$219,"&lt;="&amp;$B399,'On The Board'!$M$5:$M$219)-SUM(G399:J399)</f>
        <v>0</v>
      </c>
      <c r="G399" s="12">
        <f>SUMIF('On The Board'!H$5:H$219,"&lt;="&amp;$B399,'On The Board'!$M$5:$M$219)-SUM(H399:J399)</f>
        <v>5</v>
      </c>
      <c r="H399" s="12">
        <f>SUMIF('On The Board'!I$5:I$219,"&lt;="&amp;$B399,'On The Board'!$M$5:$M$219)-SUM(I399,J399)</f>
        <v>2</v>
      </c>
      <c r="I399" s="12">
        <f>SUMIF('On The Board'!J$5:J$219,"&lt;="&amp;$B399,'On The Board'!$M$5:$M$219)-SUM(J399)</f>
        <v>0</v>
      </c>
      <c r="J399" s="12">
        <f>SUMIF('On The Board'!K$5:K$219,"&lt;="&amp;$B399,'On The Board'!$M$5:$M$219)</f>
        <v>70</v>
      </c>
      <c r="K399" s="10">
        <f t="shared" si="46"/>
        <v>77</v>
      </c>
      <c r="L399" s="10" t="e">
        <f ca="1">IF(TodaysDate&gt;=B399,SUM(F399:I399),NA())</f>
        <v>#N/A</v>
      </c>
      <c r="M399" s="44" t="e">
        <f t="shared" ca="1" si="49"/>
        <v>#N/A</v>
      </c>
      <c r="N399" s="44" t="e">
        <f ca="1">IF(ISNUMBER(M399),(J399-J389)/NETWORKDAYS(B389,B399,BankHolidays),NA())</f>
        <v>#N/A</v>
      </c>
      <c r="O399" s="44" t="e">
        <f t="shared" ca="1" si="48"/>
        <v>#N/A</v>
      </c>
      <c r="P399" s="53" t="e">
        <f t="shared" ca="1" si="50"/>
        <v>#N/A</v>
      </c>
      <c r="Q399" s="53" t="str">
        <f ca="1">IFERROR(DayByDayTable[[#This Row],[Lead Time]],"")</f>
        <v/>
      </c>
      <c r="R399" s="44" t="e">
        <f t="shared" ca="1" si="44"/>
        <v>#N/A</v>
      </c>
      <c r="S399" s="44">
        <f ca="1">ROUND(PERCENTILE(DayByDayTable[[#Data],[BlankLeadTime]],0.8),0)</f>
        <v>8</v>
      </c>
    </row>
    <row r="400" spans="1:19">
      <c r="A400" s="51">
        <f t="shared" si="45"/>
        <v>42983</v>
      </c>
      <c r="B400" s="11">
        <f t="shared" si="47"/>
        <v>42983</v>
      </c>
      <c r="C400" s="47">
        <f>SUMIFS('On The Board'!$M$5:$M$219,'On The Board'!F$5:F$219,"&lt;="&amp;$B400,'On The Board'!E$5:E$219,"="&amp;FutureWork)</f>
        <v>0</v>
      </c>
      <c r="D400" s="47" t="str">
        <f ca="1">IF(TodaysDate&gt;=B400,SUMIF('On The Board'!F$5:F$219,"&lt;="&amp;$B400,'On The Board'!$M$5:$M$219)-SUM(F400:J400),"")</f>
        <v/>
      </c>
      <c r="E400" s="12">
        <f ca="1">IF(TodaysDate&gt;=B400,SUMIF('On The Board'!F$5:F$219,"&lt;="&amp;$B400,'On The Board'!$M$5:$M$219)-SUM(F400:J400),E399)</f>
        <v>47</v>
      </c>
      <c r="F400" s="12">
        <f>SUMIF('On The Board'!G$5:G$219,"&lt;="&amp;$B400,'On The Board'!$M$5:$M$219)-SUM(G400:J400)</f>
        <v>0</v>
      </c>
      <c r="G400" s="12">
        <f>SUMIF('On The Board'!H$5:H$219,"&lt;="&amp;$B400,'On The Board'!$M$5:$M$219)-SUM(H400:J400)</f>
        <v>5</v>
      </c>
      <c r="H400" s="12">
        <f>SUMIF('On The Board'!I$5:I$219,"&lt;="&amp;$B400,'On The Board'!$M$5:$M$219)-SUM(I400,J400)</f>
        <v>2</v>
      </c>
      <c r="I400" s="12">
        <f>SUMIF('On The Board'!J$5:J$219,"&lt;="&amp;$B400,'On The Board'!$M$5:$M$219)-SUM(J400)</f>
        <v>0</v>
      </c>
      <c r="J400" s="12">
        <f>SUMIF('On The Board'!K$5:K$219,"&lt;="&amp;$B400,'On The Board'!$M$5:$M$219)</f>
        <v>70</v>
      </c>
      <c r="K400" s="10">
        <f t="shared" si="46"/>
        <v>77</v>
      </c>
      <c r="L400" s="10" t="e">
        <f ca="1">IF(TodaysDate&gt;=B400,SUM(F400:I400),NA())</f>
        <v>#N/A</v>
      </c>
      <c r="M400" s="44" t="e">
        <f t="shared" ca="1" si="49"/>
        <v>#N/A</v>
      </c>
      <c r="N400" s="44" t="e">
        <f ca="1">IF(ISNUMBER(M400),(J400-J390)/NETWORKDAYS(B390,B400,BankHolidays),NA())</f>
        <v>#N/A</v>
      </c>
      <c r="O400" s="44" t="e">
        <f t="shared" ca="1" si="48"/>
        <v>#N/A</v>
      </c>
      <c r="P400" s="53" t="e">
        <f t="shared" ca="1" si="50"/>
        <v>#N/A</v>
      </c>
      <c r="Q400" s="53" t="str">
        <f ca="1">IFERROR(DayByDayTable[[#This Row],[Lead Time]],"")</f>
        <v/>
      </c>
      <c r="R400" s="44" t="e">
        <f t="shared" ref="R400:R463" ca="1" si="51">PERCENTILE(O389:O400,0.8)</f>
        <v>#N/A</v>
      </c>
      <c r="S400" s="44">
        <f ca="1">ROUND(PERCENTILE(DayByDayTable[[#Data],[BlankLeadTime]],0.8),0)</f>
        <v>8</v>
      </c>
    </row>
    <row r="401" spans="1:19">
      <c r="A401" s="51">
        <f t="shared" si="45"/>
        <v>42984</v>
      </c>
      <c r="B401" s="11">
        <f t="shared" si="47"/>
        <v>42984</v>
      </c>
      <c r="C401" s="47">
        <f>SUMIFS('On The Board'!$M$5:$M$219,'On The Board'!F$5:F$219,"&lt;="&amp;$B401,'On The Board'!E$5:E$219,"="&amp;FutureWork)</f>
        <v>0</v>
      </c>
      <c r="D401" s="47" t="str">
        <f ca="1">IF(TodaysDate&gt;=B401,SUMIF('On The Board'!F$5:F$219,"&lt;="&amp;$B401,'On The Board'!$M$5:$M$219)-SUM(F401:J401),"")</f>
        <v/>
      </c>
      <c r="E401" s="12">
        <f ca="1">IF(TodaysDate&gt;=B401,SUMIF('On The Board'!F$5:F$219,"&lt;="&amp;$B401,'On The Board'!$M$5:$M$219)-SUM(F401:J401),E400)</f>
        <v>47</v>
      </c>
      <c r="F401" s="12">
        <f>SUMIF('On The Board'!G$5:G$219,"&lt;="&amp;$B401,'On The Board'!$M$5:$M$219)-SUM(G401:J401)</f>
        <v>0</v>
      </c>
      <c r="G401" s="12">
        <f>SUMIF('On The Board'!H$5:H$219,"&lt;="&amp;$B401,'On The Board'!$M$5:$M$219)-SUM(H401:J401)</f>
        <v>5</v>
      </c>
      <c r="H401" s="12">
        <f>SUMIF('On The Board'!I$5:I$219,"&lt;="&amp;$B401,'On The Board'!$M$5:$M$219)-SUM(I401,J401)</f>
        <v>2</v>
      </c>
      <c r="I401" s="12">
        <f>SUMIF('On The Board'!J$5:J$219,"&lt;="&amp;$B401,'On The Board'!$M$5:$M$219)-SUM(J401)</f>
        <v>0</v>
      </c>
      <c r="J401" s="12">
        <f>SUMIF('On The Board'!K$5:K$219,"&lt;="&amp;$B401,'On The Board'!$M$5:$M$219)</f>
        <v>70</v>
      </c>
      <c r="K401" s="10">
        <f t="shared" si="46"/>
        <v>77</v>
      </c>
      <c r="L401" s="10" t="e">
        <f ca="1">IF(TodaysDate&gt;=B401,SUM(F401:I401),NA())</f>
        <v>#N/A</v>
      </c>
      <c r="M401" s="44" t="e">
        <f t="shared" ca="1" si="49"/>
        <v>#N/A</v>
      </c>
      <c r="N401" s="44" t="e">
        <f ca="1">IF(ISNUMBER(M401),(J401-J391)/NETWORKDAYS(B391,B401,BankHolidays),NA())</f>
        <v>#N/A</v>
      </c>
      <c r="O401" s="44" t="e">
        <f t="shared" ca="1" si="48"/>
        <v>#N/A</v>
      </c>
      <c r="P401" s="53" t="e">
        <f t="shared" ca="1" si="50"/>
        <v>#N/A</v>
      </c>
      <c r="Q401" s="53" t="str">
        <f ca="1">IFERROR(DayByDayTable[[#This Row],[Lead Time]],"")</f>
        <v/>
      </c>
      <c r="R401" s="44" t="e">
        <f t="shared" ca="1" si="51"/>
        <v>#N/A</v>
      </c>
      <c r="S401" s="44">
        <f ca="1">ROUND(PERCENTILE(DayByDayTable[[#Data],[BlankLeadTime]],0.8),0)</f>
        <v>8</v>
      </c>
    </row>
    <row r="402" spans="1:19">
      <c r="A402" s="51">
        <f t="shared" si="45"/>
        <v>42985</v>
      </c>
      <c r="B402" s="11">
        <f t="shared" si="47"/>
        <v>42985</v>
      </c>
      <c r="C402" s="47">
        <f>SUMIFS('On The Board'!$M$5:$M$219,'On The Board'!F$5:F$219,"&lt;="&amp;$B402,'On The Board'!E$5:E$219,"="&amp;FutureWork)</f>
        <v>0</v>
      </c>
      <c r="D402" s="47" t="str">
        <f ca="1">IF(TodaysDate&gt;=B402,SUMIF('On The Board'!F$5:F$219,"&lt;="&amp;$B402,'On The Board'!$M$5:$M$219)-SUM(F402:J402),"")</f>
        <v/>
      </c>
      <c r="E402" s="12">
        <f ca="1">IF(TodaysDate&gt;=B402,SUMIF('On The Board'!F$5:F$219,"&lt;="&amp;$B402,'On The Board'!$M$5:$M$219)-SUM(F402:J402),E401)</f>
        <v>47</v>
      </c>
      <c r="F402" s="12">
        <f>SUMIF('On The Board'!G$5:G$219,"&lt;="&amp;$B402,'On The Board'!$M$5:$M$219)-SUM(G402:J402)</f>
        <v>0</v>
      </c>
      <c r="G402" s="12">
        <f>SUMIF('On The Board'!H$5:H$219,"&lt;="&amp;$B402,'On The Board'!$M$5:$M$219)-SUM(H402:J402)</f>
        <v>5</v>
      </c>
      <c r="H402" s="12">
        <f>SUMIF('On The Board'!I$5:I$219,"&lt;="&amp;$B402,'On The Board'!$M$5:$M$219)-SUM(I402,J402)</f>
        <v>2</v>
      </c>
      <c r="I402" s="12">
        <f>SUMIF('On The Board'!J$5:J$219,"&lt;="&amp;$B402,'On The Board'!$M$5:$M$219)-SUM(J402)</f>
        <v>0</v>
      </c>
      <c r="J402" s="12">
        <f>SUMIF('On The Board'!K$5:K$219,"&lt;="&amp;$B402,'On The Board'!$M$5:$M$219)</f>
        <v>70</v>
      </c>
      <c r="K402" s="10">
        <f t="shared" si="46"/>
        <v>77</v>
      </c>
      <c r="L402" s="10" t="e">
        <f ca="1">IF(TodaysDate&gt;=B402,SUM(F402:I402),NA())</f>
        <v>#N/A</v>
      </c>
      <c r="M402" s="44" t="e">
        <f t="shared" ca="1" si="49"/>
        <v>#N/A</v>
      </c>
      <c r="N402" s="44" t="e">
        <f ca="1">IF(ISNUMBER(M402),(J402-J392)/NETWORKDAYS(B392,B402,BankHolidays),NA())</f>
        <v>#N/A</v>
      </c>
      <c r="O402" s="44" t="e">
        <f t="shared" ca="1" si="48"/>
        <v>#N/A</v>
      </c>
      <c r="P402" s="53" t="e">
        <f t="shared" ca="1" si="50"/>
        <v>#N/A</v>
      </c>
      <c r="Q402" s="53" t="str">
        <f ca="1">IFERROR(DayByDayTable[[#This Row],[Lead Time]],"")</f>
        <v/>
      </c>
      <c r="R402" s="44" t="e">
        <f t="shared" ca="1" si="51"/>
        <v>#N/A</v>
      </c>
      <c r="S402" s="44">
        <f ca="1">ROUND(PERCENTILE(DayByDayTable[[#Data],[BlankLeadTime]],0.8),0)</f>
        <v>8</v>
      </c>
    </row>
    <row r="403" spans="1:19">
      <c r="A403" s="51">
        <f t="shared" si="45"/>
        <v>42986</v>
      </c>
      <c r="B403" s="11">
        <f t="shared" si="47"/>
        <v>42986</v>
      </c>
      <c r="C403" s="47">
        <f>SUMIFS('On The Board'!$M$5:$M$219,'On The Board'!F$5:F$219,"&lt;="&amp;$B403,'On The Board'!E$5:E$219,"="&amp;FutureWork)</f>
        <v>0</v>
      </c>
      <c r="D403" s="47" t="str">
        <f ca="1">IF(TodaysDate&gt;=B403,SUMIF('On The Board'!F$5:F$219,"&lt;="&amp;$B403,'On The Board'!$M$5:$M$219)-SUM(F403:J403),"")</f>
        <v/>
      </c>
      <c r="E403" s="12">
        <f ca="1">IF(TodaysDate&gt;=B403,SUMIF('On The Board'!F$5:F$219,"&lt;="&amp;$B403,'On The Board'!$M$5:$M$219)-SUM(F403:J403),E402)</f>
        <v>47</v>
      </c>
      <c r="F403" s="12">
        <f>SUMIF('On The Board'!G$5:G$219,"&lt;="&amp;$B403,'On The Board'!$M$5:$M$219)-SUM(G403:J403)</f>
        <v>0</v>
      </c>
      <c r="G403" s="12">
        <f>SUMIF('On The Board'!H$5:H$219,"&lt;="&amp;$B403,'On The Board'!$M$5:$M$219)-SUM(H403:J403)</f>
        <v>5</v>
      </c>
      <c r="H403" s="12">
        <f>SUMIF('On The Board'!I$5:I$219,"&lt;="&amp;$B403,'On The Board'!$M$5:$M$219)-SUM(I403,J403)</f>
        <v>2</v>
      </c>
      <c r="I403" s="12">
        <f>SUMIF('On The Board'!J$5:J$219,"&lt;="&amp;$B403,'On The Board'!$M$5:$M$219)-SUM(J403)</f>
        <v>0</v>
      </c>
      <c r="J403" s="12">
        <f>SUMIF('On The Board'!K$5:K$219,"&lt;="&amp;$B403,'On The Board'!$M$5:$M$219)</f>
        <v>70</v>
      </c>
      <c r="K403" s="10">
        <f t="shared" si="46"/>
        <v>77</v>
      </c>
      <c r="L403" s="10" t="e">
        <f ca="1">IF(TodaysDate&gt;=B403,SUM(F403:I403),NA())</f>
        <v>#N/A</v>
      </c>
      <c r="M403" s="44" t="e">
        <f t="shared" ca="1" si="49"/>
        <v>#N/A</v>
      </c>
      <c r="N403" s="44" t="e">
        <f ca="1">IF(ISNUMBER(M403),(J403-J393)/NETWORKDAYS(B393,B403,BankHolidays),NA())</f>
        <v>#N/A</v>
      </c>
      <c r="O403" s="44" t="e">
        <f t="shared" ca="1" si="48"/>
        <v>#N/A</v>
      </c>
      <c r="P403" s="53" t="e">
        <f t="shared" ca="1" si="50"/>
        <v>#N/A</v>
      </c>
      <c r="Q403" s="53" t="str">
        <f ca="1">IFERROR(DayByDayTable[[#This Row],[Lead Time]],"")</f>
        <v/>
      </c>
      <c r="R403" s="44" t="e">
        <f t="shared" ca="1" si="51"/>
        <v>#N/A</v>
      </c>
      <c r="S403" s="44">
        <f ca="1">ROUND(PERCENTILE(DayByDayTable[[#Data],[BlankLeadTime]],0.8),0)</f>
        <v>8</v>
      </c>
    </row>
    <row r="404" spans="1:19">
      <c r="A404" s="51">
        <f t="shared" si="45"/>
        <v>42989</v>
      </c>
      <c r="B404" s="11">
        <f t="shared" si="47"/>
        <v>42989</v>
      </c>
      <c r="C404" s="47">
        <f>SUMIFS('On The Board'!$M$5:$M$219,'On The Board'!F$5:F$219,"&lt;="&amp;$B404,'On The Board'!E$5:E$219,"="&amp;FutureWork)</f>
        <v>0</v>
      </c>
      <c r="D404" s="47" t="str">
        <f ca="1">IF(TodaysDate&gt;=B404,SUMIF('On The Board'!F$5:F$219,"&lt;="&amp;$B404,'On The Board'!$M$5:$M$219)-SUM(F404:J404),"")</f>
        <v/>
      </c>
      <c r="E404" s="12">
        <f ca="1">IF(TodaysDate&gt;=B404,SUMIF('On The Board'!F$5:F$219,"&lt;="&amp;$B404,'On The Board'!$M$5:$M$219)-SUM(F404:J404),E403)</f>
        <v>47</v>
      </c>
      <c r="F404" s="12">
        <f>SUMIF('On The Board'!G$5:G$219,"&lt;="&amp;$B404,'On The Board'!$M$5:$M$219)-SUM(G404:J404)</f>
        <v>0</v>
      </c>
      <c r="G404" s="12">
        <f>SUMIF('On The Board'!H$5:H$219,"&lt;="&amp;$B404,'On The Board'!$M$5:$M$219)-SUM(H404:J404)</f>
        <v>5</v>
      </c>
      <c r="H404" s="12">
        <f>SUMIF('On The Board'!I$5:I$219,"&lt;="&amp;$B404,'On The Board'!$M$5:$M$219)-SUM(I404,J404)</f>
        <v>2</v>
      </c>
      <c r="I404" s="12">
        <f>SUMIF('On The Board'!J$5:J$219,"&lt;="&amp;$B404,'On The Board'!$M$5:$M$219)-SUM(J404)</f>
        <v>0</v>
      </c>
      <c r="J404" s="12">
        <f>SUMIF('On The Board'!K$5:K$219,"&lt;="&amp;$B404,'On The Board'!$M$5:$M$219)</f>
        <v>70</v>
      </c>
      <c r="K404" s="10">
        <f t="shared" si="46"/>
        <v>77</v>
      </c>
      <c r="L404" s="10" t="e">
        <f ca="1">IF(TodaysDate&gt;=B404,SUM(F404:I404),NA())</f>
        <v>#N/A</v>
      </c>
      <c r="M404" s="44" t="e">
        <f t="shared" ca="1" si="49"/>
        <v>#N/A</v>
      </c>
      <c r="N404" s="44" t="e">
        <f ca="1">IF(ISNUMBER(M404),(J404-J394)/NETWORKDAYS(B394,B404,BankHolidays),NA())</f>
        <v>#N/A</v>
      </c>
      <c r="O404" s="44" t="e">
        <f t="shared" ca="1" si="48"/>
        <v>#N/A</v>
      </c>
      <c r="P404" s="53" t="e">
        <f t="shared" ca="1" si="50"/>
        <v>#N/A</v>
      </c>
      <c r="Q404" s="53" t="str">
        <f ca="1">IFERROR(DayByDayTable[[#This Row],[Lead Time]],"")</f>
        <v/>
      </c>
      <c r="R404" s="44" t="e">
        <f t="shared" ca="1" si="51"/>
        <v>#N/A</v>
      </c>
      <c r="S404" s="44">
        <f ca="1">ROUND(PERCENTILE(DayByDayTable[[#Data],[BlankLeadTime]],0.8),0)</f>
        <v>8</v>
      </c>
    </row>
    <row r="405" spans="1:19">
      <c r="A405" s="51">
        <f t="shared" si="45"/>
        <v>42990</v>
      </c>
      <c r="B405" s="11">
        <f t="shared" si="47"/>
        <v>42990</v>
      </c>
      <c r="C405" s="47">
        <f>SUMIFS('On The Board'!$M$5:$M$219,'On The Board'!F$5:F$219,"&lt;="&amp;$B405,'On The Board'!E$5:E$219,"="&amp;FutureWork)</f>
        <v>0</v>
      </c>
      <c r="D405" s="47" t="str">
        <f ca="1">IF(TodaysDate&gt;=B405,SUMIF('On The Board'!F$5:F$219,"&lt;="&amp;$B405,'On The Board'!$M$5:$M$219)-SUM(F405:J405),"")</f>
        <v/>
      </c>
      <c r="E405" s="12">
        <f ca="1">IF(TodaysDate&gt;=B405,SUMIF('On The Board'!F$5:F$219,"&lt;="&amp;$B405,'On The Board'!$M$5:$M$219)-SUM(F405:J405),E404)</f>
        <v>47</v>
      </c>
      <c r="F405" s="12">
        <f>SUMIF('On The Board'!G$5:G$219,"&lt;="&amp;$B405,'On The Board'!$M$5:$M$219)-SUM(G405:J405)</f>
        <v>0</v>
      </c>
      <c r="G405" s="12">
        <f>SUMIF('On The Board'!H$5:H$219,"&lt;="&amp;$B405,'On The Board'!$M$5:$M$219)-SUM(H405:J405)</f>
        <v>5</v>
      </c>
      <c r="H405" s="12">
        <f>SUMIF('On The Board'!I$5:I$219,"&lt;="&amp;$B405,'On The Board'!$M$5:$M$219)-SUM(I405,J405)</f>
        <v>2</v>
      </c>
      <c r="I405" s="12">
        <f>SUMIF('On The Board'!J$5:J$219,"&lt;="&amp;$B405,'On The Board'!$M$5:$M$219)-SUM(J405)</f>
        <v>0</v>
      </c>
      <c r="J405" s="12">
        <f>SUMIF('On The Board'!K$5:K$219,"&lt;="&amp;$B405,'On The Board'!$M$5:$M$219)</f>
        <v>70</v>
      </c>
      <c r="K405" s="10">
        <f t="shared" si="46"/>
        <v>77</v>
      </c>
      <c r="L405" s="10" t="e">
        <f ca="1">IF(TodaysDate&gt;=B405,SUM(F405:I405),NA())</f>
        <v>#N/A</v>
      </c>
      <c r="M405" s="44" t="e">
        <f t="shared" ca="1" si="49"/>
        <v>#N/A</v>
      </c>
      <c r="N405" s="44" t="e">
        <f ca="1">IF(ISNUMBER(M405),(J405-J395)/NETWORKDAYS(B395,B405,BankHolidays),NA())</f>
        <v>#N/A</v>
      </c>
      <c r="O405" s="44" t="e">
        <f t="shared" ca="1" si="48"/>
        <v>#N/A</v>
      </c>
      <c r="P405" s="53" t="e">
        <f t="shared" ca="1" si="50"/>
        <v>#N/A</v>
      </c>
      <c r="Q405" s="53" t="str">
        <f ca="1">IFERROR(DayByDayTable[[#This Row],[Lead Time]],"")</f>
        <v/>
      </c>
      <c r="R405" s="44" t="e">
        <f t="shared" ca="1" si="51"/>
        <v>#N/A</v>
      </c>
      <c r="S405" s="44">
        <f ca="1">ROUND(PERCENTILE(DayByDayTable[[#Data],[BlankLeadTime]],0.8),0)</f>
        <v>8</v>
      </c>
    </row>
    <row r="406" spans="1:19">
      <c r="A406" s="51">
        <f t="shared" si="45"/>
        <v>42991</v>
      </c>
      <c r="B406" s="11">
        <f t="shared" si="47"/>
        <v>42991</v>
      </c>
      <c r="C406" s="47">
        <f>SUMIFS('On The Board'!$M$5:$M$219,'On The Board'!F$5:F$219,"&lt;="&amp;$B406,'On The Board'!E$5:E$219,"="&amp;FutureWork)</f>
        <v>0</v>
      </c>
      <c r="D406" s="47" t="str">
        <f ca="1">IF(TodaysDate&gt;=B406,SUMIF('On The Board'!F$5:F$219,"&lt;="&amp;$B406,'On The Board'!$M$5:$M$219)-SUM(F406:J406),"")</f>
        <v/>
      </c>
      <c r="E406" s="12">
        <f ca="1">IF(TodaysDate&gt;=B406,SUMIF('On The Board'!F$5:F$219,"&lt;="&amp;$B406,'On The Board'!$M$5:$M$219)-SUM(F406:J406),E405)</f>
        <v>47</v>
      </c>
      <c r="F406" s="12">
        <f>SUMIF('On The Board'!G$5:G$219,"&lt;="&amp;$B406,'On The Board'!$M$5:$M$219)-SUM(G406:J406)</f>
        <v>0</v>
      </c>
      <c r="G406" s="12">
        <f>SUMIF('On The Board'!H$5:H$219,"&lt;="&amp;$B406,'On The Board'!$M$5:$M$219)-SUM(H406:J406)</f>
        <v>5</v>
      </c>
      <c r="H406" s="12">
        <f>SUMIF('On The Board'!I$5:I$219,"&lt;="&amp;$B406,'On The Board'!$M$5:$M$219)-SUM(I406,J406)</f>
        <v>2</v>
      </c>
      <c r="I406" s="12">
        <f>SUMIF('On The Board'!J$5:J$219,"&lt;="&amp;$B406,'On The Board'!$M$5:$M$219)-SUM(J406)</f>
        <v>0</v>
      </c>
      <c r="J406" s="12">
        <f>SUMIF('On The Board'!K$5:K$219,"&lt;="&amp;$B406,'On The Board'!$M$5:$M$219)</f>
        <v>70</v>
      </c>
      <c r="K406" s="10">
        <f t="shared" si="46"/>
        <v>77</v>
      </c>
      <c r="L406" s="10" t="e">
        <f ca="1">IF(TodaysDate&gt;=B406,SUM(F406:I406),NA())</f>
        <v>#N/A</v>
      </c>
      <c r="M406" s="44" t="e">
        <f t="shared" ca="1" si="49"/>
        <v>#N/A</v>
      </c>
      <c r="N406" s="44" t="e">
        <f ca="1">IF(ISNUMBER(M406),(J406-J396)/NETWORKDAYS(B396,B406,BankHolidays),NA())</f>
        <v>#N/A</v>
      </c>
      <c r="O406" s="44" t="e">
        <f t="shared" ca="1" si="48"/>
        <v>#N/A</v>
      </c>
      <c r="P406" s="53" t="e">
        <f t="shared" ca="1" si="50"/>
        <v>#N/A</v>
      </c>
      <c r="Q406" s="53" t="str">
        <f ca="1">IFERROR(DayByDayTable[[#This Row],[Lead Time]],"")</f>
        <v/>
      </c>
      <c r="R406" s="44" t="e">
        <f t="shared" ca="1" si="51"/>
        <v>#N/A</v>
      </c>
      <c r="S406" s="44">
        <f ca="1">ROUND(PERCENTILE(DayByDayTable[[#Data],[BlankLeadTime]],0.8),0)</f>
        <v>8</v>
      </c>
    </row>
    <row r="407" spans="1:19">
      <c r="A407" s="51">
        <f t="shared" si="45"/>
        <v>42992</v>
      </c>
      <c r="B407" s="11">
        <f t="shared" si="47"/>
        <v>42992</v>
      </c>
      <c r="C407" s="47">
        <f>SUMIFS('On The Board'!$M$5:$M$219,'On The Board'!F$5:F$219,"&lt;="&amp;$B407,'On The Board'!E$5:E$219,"="&amp;FutureWork)</f>
        <v>0</v>
      </c>
      <c r="D407" s="47" t="str">
        <f ca="1">IF(TodaysDate&gt;=B407,SUMIF('On The Board'!F$5:F$219,"&lt;="&amp;$B407,'On The Board'!$M$5:$M$219)-SUM(F407:J407),"")</f>
        <v/>
      </c>
      <c r="E407" s="12">
        <f ca="1">IF(TodaysDate&gt;=B407,SUMIF('On The Board'!F$5:F$219,"&lt;="&amp;$B407,'On The Board'!$M$5:$M$219)-SUM(F407:J407),E406)</f>
        <v>47</v>
      </c>
      <c r="F407" s="12">
        <f>SUMIF('On The Board'!G$5:G$219,"&lt;="&amp;$B407,'On The Board'!$M$5:$M$219)-SUM(G407:J407)</f>
        <v>0</v>
      </c>
      <c r="G407" s="12">
        <f>SUMIF('On The Board'!H$5:H$219,"&lt;="&amp;$B407,'On The Board'!$M$5:$M$219)-SUM(H407:J407)</f>
        <v>5</v>
      </c>
      <c r="H407" s="12">
        <f>SUMIF('On The Board'!I$5:I$219,"&lt;="&amp;$B407,'On The Board'!$M$5:$M$219)-SUM(I407,J407)</f>
        <v>2</v>
      </c>
      <c r="I407" s="12">
        <f>SUMIF('On The Board'!J$5:J$219,"&lt;="&amp;$B407,'On The Board'!$M$5:$M$219)-SUM(J407)</f>
        <v>0</v>
      </c>
      <c r="J407" s="12">
        <f>SUMIF('On The Board'!K$5:K$219,"&lt;="&amp;$B407,'On The Board'!$M$5:$M$219)</f>
        <v>70</v>
      </c>
      <c r="K407" s="10">
        <f t="shared" si="46"/>
        <v>77</v>
      </c>
      <c r="L407" s="10" t="e">
        <f ca="1">IF(TodaysDate&gt;=B407,SUM(F407:I407),NA())</f>
        <v>#N/A</v>
      </c>
      <c r="M407" s="44" t="e">
        <f t="shared" ca="1" si="49"/>
        <v>#N/A</v>
      </c>
      <c r="N407" s="44" t="e">
        <f ca="1">IF(ISNUMBER(M407),(J407-J397)/NETWORKDAYS(B397,B407,BankHolidays),NA())</f>
        <v>#N/A</v>
      </c>
      <c r="O407" s="44" t="e">
        <f t="shared" ca="1" si="48"/>
        <v>#N/A</v>
      </c>
      <c r="P407" s="53" t="e">
        <f t="shared" ca="1" si="50"/>
        <v>#N/A</v>
      </c>
      <c r="Q407" s="53" t="str">
        <f ca="1">IFERROR(DayByDayTable[[#This Row],[Lead Time]],"")</f>
        <v/>
      </c>
      <c r="R407" s="44" t="e">
        <f t="shared" ca="1" si="51"/>
        <v>#N/A</v>
      </c>
      <c r="S407" s="44">
        <f ca="1">ROUND(PERCENTILE(DayByDayTable[[#Data],[BlankLeadTime]],0.8),0)</f>
        <v>8</v>
      </c>
    </row>
    <row r="408" spans="1:19">
      <c r="A408" s="51">
        <f t="shared" si="45"/>
        <v>42993</v>
      </c>
      <c r="B408" s="11">
        <f t="shared" si="47"/>
        <v>42993</v>
      </c>
      <c r="C408" s="47">
        <f>SUMIFS('On The Board'!$M$5:$M$219,'On The Board'!F$5:F$219,"&lt;="&amp;$B408,'On The Board'!E$5:E$219,"="&amp;FutureWork)</f>
        <v>0</v>
      </c>
      <c r="D408" s="47" t="str">
        <f ca="1">IF(TodaysDate&gt;=B408,SUMIF('On The Board'!F$5:F$219,"&lt;="&amp;$B408,'On The Board'!$M$5:$M$219)-SUM(F408:J408),"")</f>
        <v/>
      </c>
      <c r="E408" s="12">
        <f ca="1">IF(TodaysDate&gt;=B408,SUMIF('On The Board'!F$5:F$219,"&lt;="&amp;$B408,'On The Board'!$M$5:$M$219)-SUM(F408:J408),E407)</f>
        <v>47</v>
      </c>
      <c r="F408" s="12">
        <f>SUMIF('On The Board'!G$5:G$219,"&lt;="&amp;$B408,'On The Board'!$M$5:$M$219)-SUM(G408:J408)</f>
        <v>0</v>
      </c>
      <c r="G408" s="12">
        <f>SUMIF('On The Board'!H$5:H$219,"&lt;="&amp;$B408,'On The Board'!$M$5:$M$219)-SUM(H408:J408)</f>
        <v>5</v>
      </c>
      <c r="H408" s="12">
        <f>SUMIF('On The Board'!I$5:I$219,"&lt;="&amp;$B408,'On The Board'!$M$5:$M$219)-SUM(I408,J408)</f>
        <v>2</v>
      </c>
      <c r="I408" s="12">
        <f>SUMIF('On The Board'!J$5:J$219,"&lt;="&amp;$B408,'On The Board'!$M$5:$M$219)-SUM(J408)</f>
        <v>0</v>
      </c>
      <c r="J408" s="12">
        <f>SUMIF('On The Board'!K$5:K$219,"&lt;="&amp;$B408,'On The Board'!$M$5:$M$219)</f>
        <v>70</v>
      </c>
      <c r="K408" s="10">
        <f t="shared" si="46"/>
        <v>77</v>
      </c>
      <c r="L408" s="10" t="e">
        <f ca="1">IF(TodaysDate&gt;=B408,SUM(F408:I408),NA())</f>
        <v>#N/A</v>
      </c>
      <c r="M408" s="44" t="e">
        <f t="shared" ca="1" si="49"/>
        <v>#N/A</v>
      </c>
      <c r="N408" s="44" t="e">
        <f ca="1">IF(ISNUMBER(M408),(J408-J398)/NETWORKDAYS(B398,B408,BankHolidays),NA())</f>
        <v>#N/A</v>
      </c>
      <c r="O408" s="44" t="e">
        <f t="shared" ca="1" si="48"/>
        <v>#N/A</v>
      </c>
      <c r="P408" s="53" t="e">
        <f t="shared" ca="1" si="50"/>
        <v>#N/A</v>
      </c>
      <c r="Q408" s="53" t="str">
        <f ca="1">IFERROR(DayByDayTable[[#This Row],[Lead Time]],"")</f>
        <v/>
      </c>
      <c r="R408" s="44" t="e">
        <f t="shared" ca="1" si="51"/>
        <v>#N/A</v>
      </c>
      <c r="S408" s="44">
        <f ca="1">ROUND(PERCENTILE(DayByDayTable[[#Data],[BlankLeadTime]],0.8),0)</f>
        <v>8</v>
      </c>
    </row>
    <row r="409" spans="1:19">
      <c r="A409" s="51">
        <f t="shared" si="45"/>
        <v>42996</v>
      </c>
      <c r="B409" s="11">
        <f t="shared" si="47"/>
        <v>42996</v>
      </c>
      <c r="C409" s="47">
        <f>SUMIFS('On The Board'!$M$5:$M$219,'On The Board'!F$5:F$219,"&lt;="&amp;$B409,'On The Board'!E$5:E$219,"="&amp;FutureWork)</f>
        <v>0</v>
      </c>
      <c r="D409" s="47" t="str">
        <f ca="1">IF(TodaysDate&gt;=B409,SUMIF('On The Board'!F$5:F$219,"&lt;="&amp;$B409,'On The Board'!$M$5:$M$219)-SUM(F409:J409),"")</f>
        <v/>
      </c>
      <c r="E409" s="12">
        <f ca="1">IF(TodaysDate&gt;=B409,SUMIF('On The Board'!F$5:F$219,"&lt;="&amp;$B409,'On The Board'!$M$5:$M$219)-SUM(F409:J409),E408)</f>
        <v>47</v>
      </c>
      <c r="F409" s="12">
        <f>SUMIF('On The Board'!G$5:G$219,"&lt;="&amp;$B409,'On The Board'!$M$5:$M$219)-SUM(G409:J409)</f>
        <v>0</v>
      </c>
      <c r="G409" s="12">
        <f>SUMIF('On The Board'!H$5:H$219,"&lt;="&amp;$B409,'On The Board'!$M$5:$M$219)-SUM(H409:J409)</f>
        <v>5</v>
      </c>
      <c r="H409" s="12">
        <f>SUMIF('On The Board'!I$5:I$219,"&lt;="&amp;$B409,'On The Board'!$M$5:$M$219)-SUM(I409,J409)</f>
        <v>2</v>
      </c>
      <c r="I409" s="12">
        <f>SUMIF('On The Board'!J$5:J$219,"&lt;="&amp;$B409,'On The Board'!$M$5:$M$219)-SUM(J409)</f>
        <v>0</v>
      </c>
      <c r="J409" s="12">
        <f>SUMIF('On The Board'!K$5:K$219,"&lt;="&amp;$B409,'On The Board'!$M$5:$M$219)</f>
        <v>70</v>
      </c>
      <c r="K409" s="10">
        <f t="shared" si="46"/>
        <v>77</v>
      </c>
      <c r="L409" s="10" t="e">
        <f ca="1">IF(TodaysDate&gt;=B409,SUM(F409:I409),NA())</f>
        <v>#N/A</v>
      </c>
      <c r="M409" s="44" t="e">
        <f t="shared" ca="1" si="49"/>
        <v>#N/A</v>
      </c>
      <c r="N409" s="44" t="e">
        <f ca="1">IF(ISNUMBER(M409),(J409-J399)/NETWORKDAYS(B399,B409,BankHolidays),NA())</f>
        <v>#N/A</v>
      </c>
      <c r="O409" s="44" t="e">
        <f t="shared" ca="1" si="48"/>
        <v>#N/A</v>
      </c>
      <c r="P409" s="53" t="e">
        <f t="shared" ca="1" si="50"/>
        <v>#N/A</v>
      </c>
      <c r="Q409" s="53" t="str">
        <f ca="1">IFERROR(DayByDayTable[[#This Row],[Lead Time]],"")</f>
        <v/>
      </c>
      <c r="R409" s="44" t="e">
        <f t="shared" ca="1" si="51"/>
        <v>#N/A</v>
      </c>
      <c r="S409" s="44">
        <f ca="1">ROUND(PERCENTILE(DayByDayTable[[#Data],[BlankLeadTime]],0.8),0)</f>
        <v>8</v>
      </c>
    </row>
    <row r="410" spans="1:19">
      <c r="A410" s="51">
        <f t="shared" si="45"/>
        <v>42997</v>
      </c>
      <c r="B410" s="11">
        <f t="shared" si="47"/>
        <v>42997</v>
      </c>
      <c r="C410" s="47">
        <f>SUMIFS('On The Board'!$M$5:$M$219,'On The Board'!F$5:F$219,"&lt;="&amp;$B410,'On The Board'!E$5:E$219,"="&amp;FutureWork)</f>
        <v>0</v>
      </c>
      <c r="D410" s="47" t="str">
        <f ca="1">IF(TodaysDate&gt;=B410,SUMIF('On The Board'!F$5:F$219,"&lt;="&amp;$B410,'On The Board'!$M$5:$M$219)-SUM(F410:J410),"")</f>
        <v/>
      </c>
      <c r="E410" s="12">
        <f ca="1">IF(TodaysDate&gt;=B410,SUMIF('On The Board'!F$5:F$219,"&lt;="&amp;$B410,'On The Board'!$M$5:$M$219)-SUM(F410:J410),E409)</f>
        <v>47</v>
      </c>
      <c r="F410" s="12">
        <f>SUMIF('On The Board'!G$5:G$219,"&lt;="&amp;$B410,'On The Board'!$M$5:$M$219)-SUM(G410:J410)</f>
        <v>0</v>
      </c>
      <c r="G410" s="12">
        <f>SUMIF('On The Board'!H$5:H$219,"&lt;="&amp;$B410,'On The Board'!$M$5:$M$219)-SUM(H410:J410)</f>
        <v>5</v>
      </c>
      <c r="H410" s="12">
        <f>SUMIF('On The Board'!I$5:I$219,"&lt;="&amp;$B410,'On The Board'!$M$5:$M$219)-SUM(I410,J410)</f>
        <v>2</v>
      </c>
      <c r="I410" s="12">
        <f>SUMIF('On The Board'!J$5:J$219,"&lt;="&amp;$B410,'On The Board'!$M$5:$M$219)-SUM(J410)</f>
        <v>0</v>
      </c>
      <c r="J410" s="12">
        <f>SUMIF('On The Board'!K$5:K$219,"&lt;="&amp;$B410,'On The Board'!$M$5:$M$219)</f>
        <v>70</v>
      </c>
      <c r="K410" s="10">
        <f t="shared" si="46"/>
        <v>77</v>
      </c>
      <c r="L410" s="10" t="e">
        <f ca="1">IF(TodaysDate&gt;=B410,SUM(F410:I410),NA())</f>
        <v>#N/A</v>
      </c>
      <c r="M410" s="44" t="e">
        <f t="shared" ca="1" si="49"/>
        <v>#N/A</v>
      </c>
      <c r="N410" s="44" t="e">
        <f ca="1">IF(ISNUMBER(M410),(J410-J400)/NETWORKDAYS(B400,B410,BankHolidays),NA())</f>
        <v>#N/A</v>
      </c>
      <c r="O410" s="44" t="e">
        <f t="shared" ca="1" si="48"/>
        <v>#N/A</v>
      </c>
      <c r="P410" s="53" t="e">
        <f t="shared" ca="1" si="50"/>
        <v>#N/A</v>
      </c>
      <c r="Q410" s="53" t="str">
        <f ca="1">IFERROR(DayByDayTable[[#This Row],[Lead Time]],"")</f>
        <v/>
      </c>
      <c r="R410" s="44" t="e">
        <f t="shared" ca="1" si="51"/>
        <v>#N/A</v>
      </c>
      <c r="S410" s="44">
        <f ca="1">ROUND(PERCENTILE(DayByDayTable[[#Data],[BlankLeadTime]],0.8),0)</f>
        <v>8</v>
      </c>
    </row>
    <row r="411" spans="1:19">
      <c r="A411" s="51">
        <f t="shared" si="45"/>
        <v>42998</v>
      </c>
      <c r="B411" s="11">
        <f t="shared" si="47"/>
        <v>42998</v>
      </c>
      <c r="C411" s="47">
        <f>SUMIFS('On The Board'!$M$5:$M$219,'On The Board'!F$5:F$219,"&lt;="&amp;$B411,'On The Board'!E$5:E$219,"="&amp;FutureWork)</f>
        <v>0</v>
      </c>
      <c r="D411" s="47" t="str">
        <f ca="1">IF(TodaysDate&gt;=B411,SUMIF('On The Board'!F$5:F$219,"&lt;="&amp;$B411,'On The Board'!$M$5:$M$219)-SUM(F411:J411),"")</f>
        <v/>
      </c>
      <c r="E411" s="12">
        <f ca="1">IF(TodaysDate&gt;=B411,SUMIF('On The Board'!F$5:F$219,"&lt;="&amp;$B411,'On The Board'!$M$5:$M$219)-SUM(F411:J411),E410)</f>
        <v>47</v>
      </c>
      <c r="F411" s="12">
        <f>SUMIF('On The Board'!G$5:G$219,"&lt;="&amp;$B411,'On The Board'!$M$5:$M$219)-SUM(G411:J411)</f>
        <v>0</v>
      </c>
      <c r="G411" s="12">
        <f>SUMIF('On The Board'!H$5:H$219,"&lt;="&amp;$B411,'On The Board'!$M$5:$M$219)-SUM(H411:J411)</f>
        <v>5</v>
      </c>
      <c r="H411" s="12">
        <f>SUMIF('On The Board'!I$5:I$219,"&lt;="&amp;$B411,'On The Board'!$M$5:$M$219)-SUM(I411,J411)</f>
        <v>2</v>
      </c>
      <c r="I411" s="12">
        <f>SUMIF('On The Board'!J$5:J$219,"&lt;="&amp;$B411,'On The Board'!$M$5:$M$219)-SUM(J411)</f>
        <v>0</v>
      </c>
      <c r="J411" s="12">
        <f>SUMIF('On The Board'!K$5:K$219,"&lt;="&amp;$B411,'On The Board'!$M$5:$M$219)</f>
        <v>70</v>
      </c>
      <c r="K411" s="10">
        <f t="shared" si="46"/>
        <v>77</v>
      </c>
      <c r="L411" s="10" t="e">
        <f ca="1">IF(TodaysDate&gt;=B411,SUM(F411:I411),NA())</f>
        <v>#N/A</v>
      </c>
      <c r="M411" s="44" t="e">
        <f t="shared" ca="1" si="49"/>
        <v>#N/A</v>
      </c>
      <c r="N411" s="44" t="e">
        <f ca="1">IF(ISNUMBER(M411),(J411-J401)/NETWORKDAYS(B401,B411,BankHolidays),NA())</f>
        <v>#N/A</v>
      </c>
      <c r="O411" s="44" t="e">
        <f t="shared" ca="1" si="48"/>
        <v>#N/A</v>
      </c>
      <c r="P411" s="53" t="e">
        <f t="shared" ca="1" si="50"/>
        <v>#N/A</v>
      </c>
      <c r="Q411" s="53" t="str">
        <f ca="1">IFERROR(DayByDayTable[[#This Row],[Lead Time]],"")</f>
        <v/>
      </c>
      <c r="R411" s="44" t="e">
        <f t="shared" ca="1" si="51"/>
        <v>#N/A</v>
      </c>
      <c r="S411" s="44">
        <f ca="1">ROUND(PERCENTILE(DayByDayTable[[#Data],[BlankLeadTime]],0.8),0)</f>
        <v>8</v>
      </c>
    </row>
    <row r="412" spans="1:19">
      <c r="A412" s="51">
        <f t="shared" si="45"/>
        <v>42999</v>
      </c>
      <c r="B412" s="11">
        <f t="shared" si="47"/>
        <v>42999</v>
      </c>
      <c r="C412" s="47">
        <f>SUMIFS('On The Board'!$M$5:$M$219,'On The Board'!F$5:F$219,"&lt;="&amp;$B412,'On The Board'!E$5:E$219,"="&amp;FutureWork)</f>
        <v>0</v>
      </c>
      <c r="D412" s="47" t="str">
        <f ca="1">IF(TodaysDate&gt;=B412,SUMIF('On The Board'!F$5:F$219,"&lt;="&amp;$B412,'On The Board'!$M$5:$M$219)-SUM(F412:J412),"")</f>
        <v/>
      </c>
      <c r="E412" s="12">
        <f ca="1">IF(TodaysDate&gt;=B412,SUMIF('On The Board'!F$5:F$219,"&lt;="&amp;$B412,'On The Board'!$M$5:$M$219)-SUM(F412:J412),E411)</f>
        <v>47</v>
      </c>
      <c r="F412" s="12">
        <f>SUMIF('On The Board'!G$5:G$219,"&lt;="&amp;$B412,'On The Board'!$M$5:$M$219)-SUM(G412:J412)</f>
        <v>0</v>
      </c>
      <c r="G412" s="12">
        <f>SUMIF('On The Board'!H$5:H$219,"&lt;="&amp;$B412,'On The Board'!$M$5:$M$219)-SUM(H412:J412)</f>
        <v>5</v>
      </c>
      <c r="H412" s="12">
        <f>SUMIF('On The Board'!I$5:I$219,"&lt;="&amp;$B412,'On The Board'!$M$5:$M$219)-SUM(I412,J412)</f>
        <v>2</v>
      </c>
      <c r="I412" s="12">
        <f>SUMIF('On The Board'!J$5:J$219,"&lt;="&amp;$B412,'On The Board'!$M$5:$M$219)-SUM(J412)</f>
        <v>0</v>
      </c>
      <c r="J412" s="12">
        <f>SUMIF('On The Board'!K$5:K$219,"&lt;="&amp;$B412,'On The Board'!$M$5:$M$219)</f>
        <v>70</v>
      </c>
      <c r="K412" s="10">
        <f t="shared" si="46"/>
        <v>77</v>
      </c>
      <c r="L412" s="10" t="e">
        <f ca="1">IF(TodaysDate&gt;=B412,SUM(F412:I412),NA())</f>
        <v>#N/A</v>
      </c>
      <c r="M412" s="44" t="e">
        <f t="shared" ca="1" si="49"/>
        <v>#N/A</v>
      </c>
      <c r="N412" s="44" t="e">
        <f ca="1">IF(ISNUMBER(M412),(J412-J402)/NETWORKDAYS(B402,B412,BankHolidays),NA())</f>
        <v>#N/A</v>
      </c>
      <c r="O412" s="44" t="e">
        <f t="shared" ca="1" si="48"/>
        <v>#N/A</v>
      </c>
      <c r="P412" s="53" t="e">
        <f t="shared" ca="1" si="50"/>
        <v>#N/A</v>
      </c>
      <c r="Q412" s="53" t="str">
        <f ca="1">IFERROR(DayByDayTable[[#This Row],[Lead Time]],"")</f>
        <v/>
      </c>
      <c r="R412" s="44" t="e">
        <f t="shared" ca="1" si="51"/>
        <v>#N/A</v>
      </c>
      <c r="S412" s="44">
        <f ca="1">ROUND(PERCENTILE(DayByDayTable[[#Data],[BlankLeadTime]],0.8),0)</f>
        <v>8</v>
      </c>
    </row>
    <row r="413" spans="1:19">
      <c r="A413" s="51">
        <f t="shared" si="45"/>
        <v>43000</v>
      </c>
      <c r="B413" s="11">
        <f t="shared" si="47"/>
        <v>43000</v>
      </c>
      <c r="C413" s="47">
        <f>SUMIFS('On The Board'!$M$5:$M$219,'On The Board'!F$5:F$219,"&lt;="&amp;$B413,'On The Board'!E$5:E$219,"="&amp;FutureWork)</f>
        <v>0</v>
      </c>
      <c r="D413" s="47" t="str">
        <f ca="1">IF(TodaysDate&gt;=B413,SUMIF('On The Board'!F$5:F$219,"&lt;="&amp;$B413,'On The Board'!$M$5:$M$219)-SUM(F413:J413),"")</f>
        <v/>
      </c>
      <c r="E413" s="12">
        <f ca="1">IF(TodaysDate&gt;=B413,SUMIF('On The Board'!F$5:F$219,"&lt;="&amp;$B413,'On The Board'!$M$5:$M$219)-SUM(F413:J413),E412)</f>
        <v>47</v>
      </c>
      <c r="F413" s="12">
        <f>SUMIF('On The Board'!G$5:G$219,"&lt;="&amp;$B413,'On The Board'!$M$5:$M$219)-SUM(G413:J413)</f>
        <v>0</v>
      </c>
      <c r="G413" s="12">
        <f>SUMIF('On The Board'!H$5:H$219,"&lt;="&amp;$B413,'On The Board'!$M$5:$M$219)-SUM(H413:J413)</f>
        <v>5</v>
      </c>
      <c r="H413" s="12">
        <f>SUMIF('On The Board'!I$5:I$219,"&lt;="&amp;$B413,'On The Board'!$M$5:$M$219)-SUM(I413,J413)</f>
        <v>2</v>
      </c>
      <c r="I413" s="12">
        <f>SUMIF('On The Board'!J$5:J$219,"&lt;="&amp;$B413,'On The Board'!$M$5:$M$219)-SUM(J413)</f>
        <v>0</v>
      </c>
      <c r="J413" s="12">
        <f>SUMIF('On The Board'!K$5:K$219,"&lt;="&amp;$B413,'On The Board'!$M$5:$M$219)</f>
        <v>70</v>
      </c>
      <c r="K413" s="10">
        <f t="shared" si="46"/>
        <v>77</v>
      </c>
      <c r="L413" s="10" t="e">
        <f ca="1">IF(TodaysDate&gt;=B413,SUM(F413:I413),NA())</f>
        <v>#N/A</v>
      </c>
      <c r="M413" s="44" t="e">
        <f t="shared" ca="1" si="49"/>
        <v>#N/A</v>
      </c>
      <c r="N413" s="44" t="e">
        <f ca="1">IF(ISNUMBER(M413),(J413-J403)/NETWORKDAYS(B403,B413,BankHolidays),NA())</f>
        <v>#N/A</v>
      </c>
      <c r="O413" s="44" t="e">
        <f t="shared" ca="1" si="48"/>
        <v>#N/A</v>
      </c>
      <c r="P413" s="53" t="e">
        <f t="shared" ca="1" si="50"/>
        <v>#N/A</v>
      </c>
      <c r="Q413" s="53" t="str">
        <f ca="1">IFERROR(DayByDayTable[[#This Row],[Lead Time]],"")</f>
        <v/>
      </c>
      <c r="R413" s="44" t="e">
        <f t="shared" ca="1" si="51"/>
        <v>#N/A</v>
      </c>
      <c r="S413" s="44">
        <f ca="1">ROUND(PERCENTILE(DayByDayTable[[#Data],[BlankLeadTime]],0.8),0)</f>
        <v>8</v>
      </c>
    </row>
    <row r="414" spans="1:19">
      <c r="A414" s="51">
        <f t="shared" si="45"/>
        <v>43003</v>
      </c>
      <c r="B414" s="11">
        <f t="shared" si="47"/>
        <v>43003</v>
      </c>
      <c r="C414" s="47">
        <f>SUMIFS('On The Board'!$M$5:$M$219,'On The Board'!F$5:F$219,"&lt;="&amp;$B414,'On The Board'!E$5:E$219,"="&amp;FutureWork)</f>
        <v>0</v>
      </c>
      <c r="D414" s="47" t="str">
        <f ca="1">IF(TodaysDate&gt;=B414,SUMIF('On The Board'!F$5:F$219,"&lt;="&amp;$B414,'On The Board'!$M$5:$M$219)-SUM(F414:J414),"")</f>
        <v/>
      </c>
      <c r="E414" s="12">
        <f ca="1">IF(TodaysDate&gt;=B414,SUMIF('On The Board'!F$5:F$219,"&lt;="&amp;$B414,'On The Board'!$M$5:$M$219)-SUM(F414:J414),E413)</f>
        <v>47</v>
      </c>
      <c r="F414" s="12">
        <f>SUMIF('On The Board'!G$5:G$219,"&lt;="&amp;$B414,'On The Board'!$M$5:$M$219)-SUM(G414:J414)</f>
        <v>0</v>
      </c>
      <c r="G414" s="12">
        <f>SUMIF('On The Board'!H$5:H$219,"&lt;="&amp;$B414,'On The Board'!$M$5:$M$219)-SUM(H414:J414)</f>
        <v>5</v>
      </c>
      <c r="H414" s="12">
        <f>SUMIF('On The Board'!I$5:I$219,"&lt;="&amp;$B414,'On The Board'!$M$5:$M$219)-SUM(I414,J414)</f>
        <v>2</v>
      </c>
      <c r="I414" s="12">
        <f>SUMIF('On The Board'!J$5:J$219,"&lt;="&amp;$B414,'On The Board'!$M$5:$M$219)-SUM(J414)</f>
        <v>0</v>
      </c>
      <c r="J414" s="12">
        <f>SUMIF('On The Board'!K$5:K$219,"&lt;="&amp;$B414,'On The Board'!$M$5:$M$219)</f>
        <v>70</v>
      </c>
      <c r="K414" s="10">
        <f t="shared" si="46"/>
        <v>77</v>
      </c>
      <c r="L414" s="10" t="e">
        <f ca="1">IF(TodaysDate&gt;=B414,SUM(F414:I414),NA())</f>
        <v>#N/A</v>
      </c>
      <c r="M414" s="44" t="e">
        <f t="shared" ca="1" si="49"/>
        <v>#N/A</v>
      </c>
      <c r="N414" s="44" t="e">
        <f ca="1">IF(ISNUMBER(M414),(J414-J404)/NETWORKDAYS(B404,B414,BankHolidays),NA())</f>
        <v>#N/A</v>
      </c>
      <c r="O414" s="44" t="e">
        <f t="shared" ca="1" si="48"/>
        <v>#N/A</v>
      </c>
      <c r="P414" s="53" t="e">
        <f t="shared" ca="1" si="50"/>
        <v>#N/A</v>
      </c>
      <c r="Q414" s="53" t="str">
        <f ca="1">IFERROR(DayByDayTable[[#This Row],[Lead Time]],"")</f>
        <v/>
      </c>
      <c r="R414" s="44" t="e">
        <f t="shared" ca="1" si="51"/>
        <v>#N/A</v>
      </c>
      <c r="S414" s="44">
        <f ca="1">ROUND(PERCENTILE(DayByDayTable[[#Data],[BlankLeadTime]],0.8),0)</f>
        <v>8</v>
      </c>
    </row>
    <row r="415" spans="1:19">
      <c r="A415" s="51">
        <f t="shared" si="45"/>
        <v>43004</v>
      </c>
      <c r="B415" s="11">
        <f t="shared" si="47"/>
        <v>43004</v>
      </c>
      <c r="C415" s="47">
        <f>SUMIFS('On The Board'!$M$5:$M$219,'On The Board'!F$5:F$219,"&lt;="&amp;$B415,'On The Board'!E$5:E$219,"="&amp;FutureWork)</f>
        <v>0</v>
      </c>
      <c r="D415" s="47" t="str">
        <f ca="1">IF(TodaysDate&gt;=B415,SUMIF('On The Board'!F$5:F$219,"&lt;="&amp;$B415,'On The Board'!$M$5:$M$219)-SUM(F415:J415),"")</f>
        <v/>
      </c>
      <c r="E415" s="12">
        <f ca="1">IF(TodaysDate&gt;=B415,SUMIF('On The Board'!F$5:F$219,"&lt;="&amp;$B415,'On The Board'!$M$5:$M$219)-SUM(F415:J415),E414)</f>
        <v>47</v>
      </c>
      <c r="F415" s="12">
        <f>SUMIF('On The Board'!G$5:G$219,"&lt;="&amp;$B415,'On The Board'!$M$5:$M$219)-SUM(G415:J415)</f>
        <v>0</v>
      </c>
      <c r="G415" s="12">
        <f>SUMIF('On The Board'!H$5:H$219,"&lt;="&amp;$B415,'On The Board'!$M$5:$M$219)-SUM(H415:J415)</f>
        <v>5</v>
      </c>
      <c r="H415" s="12">
        <f>SUMIF('On The Board'!I$5:I$219,"&lt;="&amp;$B415,'On The Board'!$M$5:$M$219)-SUM(I415,J415)</f>
        <v>2</v>
      </c>
      <c r="I415" s="12">
        <f>SUMIF('On The Board'!J$5:J$219,"&lt;="&amp;$B415,'On The Board'!$M$5:$M$219)-SUM(J415)</f>
        <v>0</v>
      </c>
      <c r="J415" s="12">
        <f>SUMIF('On The Board'!K$5:K$219,"&lt;="&amp;$B415,'On The Board'!$M$5:$M$219)</f>
        <v>70</v>
      </c>
      <c r="K415" s="10">
        <f t="shared" si="46"/>
        <v>77</v>
      </c>
      <c r="L415" s="10" t="e">
        <f ca="1">IF(TodaysDate&gt;=B415,SUM(F415:I415),NA())</f>
        <v>#N/A</v>
      </c>
      <c r="M415" s="44" t="e">
        <f t="shared" ca="1" si="49"/>
        <v>#N/A</v>
      </c>
      <c r="N415" s="44" t="e">
        <f ca="1">IF(ISNUMBER(M415),(J415-J405)/NETWORKDAYS(B405,B415,BankHolidays),NA())</f>
        <v>#N/A</v>
      </c>
      <c r="O415" s="44" t="e">
        <f t="shared" ca="1" si="48"/>
        <v>#N/A</v>
      </c>
      <c r="P415" s="53" t="e">
        <f t="shared" ca="1" si="50"/>
        <v>#N/A</v>
      </c>
      <c r="Q415" s="53" t="str">
        <f ca="1">IFERROR(DayByDayTable[[#This Row],[Lead Time]],"")</f>
        <v/>
      </c>
      <c r="R415" s="44" t="e">
        <f t="shared" ca="1" si="51"/>
        <v>#N/A</v>
      </c>
      <c r="S415" s="44">
        <f ca="1">ROUND(PERCENTILE(DayByDayTable[[#Data],[BlankLeadTime]],0.8),0)</f>
        <v>8</v>
      </c>
    </row>
    <row r="416" spans="1:19">
      <c r="A416" s="51">
        <f t="shared" si="45"/>
        <v>43005</v>
      </c>
      <c r="B416" s="11">
        <f t="shared" si="47"/>
        <v>43005</v>
      </c>
      <c r="C416" s="47">
        <f>SUMIFS('On The Board'!$M$5:$M$219,'On The Board'!F$5:F$219,"&lt;="&amp;$B416,'On The Board'!E$5:E$219,"="&amp;FutureWork)</f>
        <v>0</v>
      </c>
      <c r="D416" s="47" t="str">
        <f ca="1">IF(TodaysDate&gt;=B416,SUMIF('On The Board'!F$5:F$219,"&lt;="&amp;$B416,'On The Board'!$M$5:$M$219)-SUM(F416:J416),"")</f>
        <v/>
      </c>
      <c r="E416" s="12">
        <f ca="1">IF(TodaysDate&gt;=B416,SUMIF('On The Board'!F$5:F$219,"&lt;="&amp;$B416,'On The Board'!$M$5:$M$219)-SUM(F416:J416),E415)</f>
        <v>47</v>
      </c>
      <c r="F416" s="12">
        <f>SUMIF('On The Board'!G$5:G$219,"&lt;="&amp;$B416,'On The Board'!$M$5:$M$219)-SUM(G416:J416)</f>
        <v>0</v>
      </c>
      <c r="G416" s="12">
        <f>SUMIF('On The Board'!H$5:H$219,"&lt;="&amp;$B416,'On The Board'!$M$5:$M$219)-SUM(H416:J416)</f>
        <v>5</v>
      </c>
      <c r="H416" s="12">
        <f>SUMIF('On The Board'!I$5:I$219,"&lt;="&amp;$B416,'On The Board'!$M$5:$M$219)-SUM(I416,J416)</f>
        <v>2</v>
      </c>
      <c r="I416" s="12">
        <f>SUMIF('On The Board'!J$5:J$219,"&lt;="&amp;$B416,'On The Board'!$M$5:$M$219)-SUM(J416)</f>
        <v>0</v>
      </c>
      <c r="J416" s="12">
        <f>SUMIF('On The Board'!K$5:K$219,"&lt;="&amp;$B416,'On The Board'!$M$5:$M$219)</f>
        <v>70</v>
      </c>
      <c r="K416" s="10">
        <f t="shared" si="46"/>
        <v>77</v>
      </c>
      <c r="L416" s="10" t="e">
        <f ca="1">IF(TodaysDate&gt;=B416,SUM(F416:I416),NA())</f>
        <v>#N/A</v>
      </c>
      <c r="M416" s="44" t="e">
        <f t="shared" ca="1" si="49"/>
        <v>#N/A</v>
      </c>
      <c r="N416" s="44" t="e">
        <f ca="1">IF(ISNUMBER(M416),(J416-J406)/NETWORKDAYS(B406,B416,BankHolidays),NA())</f>
        <v>#N/A</v>
      </c>
      <c r="O416" s="44" t="e">
        <f t="shared" ca="1" si="48"/>
        <v>#N/A</v>
      </c>
      <c r="P416" s="53" t="e">
        <f t="shared" ca="1" si="50"/>
        <v>#N/A</v>
      </c>
      <c r="Q416" s="53" t="str">
        <f ca="1">IFERROR(DayByDayTable[[#This Row],[Lead Time]],"")</f>
        <v/>
      </c>
      <c r="R416" s="44" t="e">
        <f t="shared" ca="1" si="51"/>
        <v>#N/A</v>
      </c>
      <c r="S416" s="44">
        <f ca="1">ROUND(PERCENTILE(DayByDayTable[[#Data],[BlankLeadTime]],0.8),0)</f>
        <v>8</v>
      </c>
    </row>
    <row r="417" spans="1:19">
      <c r="A417" s="51">
        <f t="shared" si="45"/>
        <v>43006</v>
      </c>
      <c r="B417" s="11">
        <f t="shared" si="47"/>
        <v>43006</v>
      </c>
      <c r="C417" s="47">
        <f>SUMIFS('On The Board'!$M$5:$M$219,'On The Board'!F$5:F$219,"&lt;="&amp;$B417,'On The Board'!E$5:E$219,"="&amp;FutureWork)</f>
        <v>0</v>
      </c>
      <c r="D417" s="47" t="str">
        <f ca="1">IF(TodaysDate&gt;=B417,SUMIF('On The Board'!F$5:F$219,"&lt;="&amp;$B417,'On The Board'!$M$5:$M$219)-SUM(F417:J417),"")</f>
        <v/>
      </c>
      <c r="E417" s="12">
        <f ca="1">IF(TodaysDate&gt;=B417,SUMIF('On The Board'!F$5:F$219,"&lt;="&amp;$B417,'On The Board'!$M$5:$M$219)-SUM(F417:J417),E416)</f>
        <v>47</v>
      </c>
      <c r="F417" s="12">
        <f>SUMIF('On The Board'!G$5:G$219,"&lt;="&amp;$B417,'On The Board'!$M$5:$M$219)-SUM(G417:J417)</f>
        <v>0</v>
      </c>
      <c r="G417" s="12">
        <f>SUMIF('On The Board'!H$5:H$219,"&lt;="&amp;$B417,'On The Board'!$M$5:$M$219)-SUM(H417:J417)</f>
        <v>5</v>
      </c>
      <c r="H417" s="12">
        <f>SUMIF('On The Board'!I$5:I$219,"&lt;="&amp;$B417,'On The Board'!$M$5:$M$219)-SUM(I417,J417)</f>
        <v>2</v>
      </c>
      <c r="I417" s="12">
        <f>SUMIF('On The Board'!J$5:J$219,"&lt;="&amp;$B417,'On The Board'!$M$5:$M$219)-SUM(J417)</f>
        <v>0</v>
      </c>
      <c r="J417" s="12">
        <f>SUMIF('On The Board'!K$5:K$219,"&lt;="&amp;$B417,'On The Board'!$M$5:$M$219)</f>
        <v>70</v>
      </c>
      <c r="K417" s="10">
        <f t="shared" si="46"/>
        <v>77</v>
      </c>
      <c r="L417" s="10" t="e">
        <f ca="1">IF(TodaysDate&gt;=B417,SUM(F417:I417),NA())</f>
        <v>#N/A</v>
      </c>
      <c r="M417" s="44" t="e">
        <f t="shared" ca="1" si="49"/>
        <v>#N/A</v>
      </c>
      <c r="N417" s="44" t="e">
        <f ca="1">IF(ISNUMBER(M417),(J417-J407)/NETWORKDAYS(B407,B417,BankHolidays),NA())</f>
        <v>#N/A</v>
      </c>
      <c r="O417" s="44" t="e">
        <f t="shared" ca="1" si="48"/>
        <v>#N/A</v>
      </c>
      <c r="P417" s="53" t="e">
        <f t="shared" ca="1" si="50"/>
        <v>#N/A</v>
      </c>
      <c r="Q417" s="53" t="str">
        <f ca="1">IFERROR(DayByDayTable[[#This Row],[Lead Time]],"")</f>
        <v/>
      </c>
      <c r="R417" s="44" t="e">
        <f t="shared" ca="1" si="51"/>
        <v>#N/A</v>
      </c>
      <c r="S417" s="44">
        <f ca="1">ROUND(PERCENTILE(DayByDayTable[[#Data],[BlankLeadTime]],0.8),0)</f>
        <v>8</v>
      </c>
    </row>
    <row r="418" spans="1:19">
      <c r="A418" s="51">
        <f t="shared" si="45"/>
        <v>43007</v>
      </c>
      <c r="B418" s="11">
        <f t="shared" si="47"/>
        <v>43007</v>
      </c>
      <c r="C418" s="47">
        <f>SUMIFS('On The Board'!$M$5:$M$219,'On The Board'!F$5:F$219,"&lt;="&amp;$B418,'On The Board'!E$5:E$219,"="&amp;FutureWork)</f>
        <v>0</v>
      </c>
      <c r="D418" s="47" t="str">
        <f ca="1">IF(TodaysDate&gt;=B418,SUMIF('On The Board'!F$5:F$219,"&lt;="&amp;$B418,'On The Board'!$M$5:$M$219)-SUM(F418:J418),"")</f>
        <v/>
      </c>
      <c r="E418" s="12">
        <f ca="1">IF(TodaysDate&gt;=B418,SUMIF('On The Board'!F$5:F$219,"&lt;="&amp;$B418,'On The Board'!$M$5:$M$219)-SUM(F418:J418),E417)</f>
        <v>47</v>
      </c>
      <c r="F418" s="12">
        <f>SUMIF('On The Board'!G$5:G$219,"&lt;="&amp;$B418,'On The Board'!$M$5:$M$219)-SUM(G418:J418)</f>
        <v>0</v>
      </c>
      <c r="G418" s="12">
        <f>SUMIF('On The Board'!H$5:H$219,"&lt;="&amp;$B418,'On The Board'!$M$5:$M$219)-SUM(H418:J418)</f>
        <v>5</v>
      </c>
      <c r="H418" s="12">
        <f>SUMIF('On The Board'!I$5:I$219,"&lt;="&amp;$B418,'On The Board'!$M$5:$M$219)-SUM(I418,J418)</f>
        <v>2</v>
      </c>
      <c r="I418" s="12">
        <f>SUMIF('On The Board'!J$5:J$219,"&lt;="&amp;$B418,'On The Board'!$M$5:$M$219)-SUM(J418)</f>
        <v>0</v>
      </c>
      <c r="J418" s="12">
        <f>SUMIF('On The Board'!K$5:K$219,"&lt;="&amp;$B418,'On The Board'!$M$5:$M$219)</f>
        <v>70</v>
      </c>
      <c r="K418" s="10">
        <f t="shared" si="46"/>
        <v>77</v>
      </c>
      <c r="L418" s="10" t="e">
        <f ca="1">IF(TodaysDate&gt;=B418,SUM(F418:I418),NA())</f>
        <v>#N/A</v>
      </c>
      <c r="M418" s="44" t="e">
        <f t="shared" ca="1" si="49"/>
        <v>#N/A</v>
      </c>
      <c r="N418" s="44" t="e">
        <f ca="1">IF(ISNUMBER(M418),(J418-J408)/NETWORKDAYS(B408,B418,BankHolidays),NA())</f>
        <v>#N/A</v>
      </c>
      <c r="O418" s="44" t="e">
        <f t="shared" ca="1" si="48"/>
        <v>#N/A</v>
      </c>
      <c r="P418" s="53" t="e">
        <f t="shared" ca="1" si="50"/>
        <v>#N/A</v>
      </c>
      <c r="Q418" s="53" t="str">
        <f ca="1">IFERROR(DayByDayTable[[#This Row],[Lead Time]],"")</f>
        <v/>
      </c>
      <c r="R418" s="44" t="e">
        <f t="shared" ca="1" si="51"/>
        <v>#N/A</v>
      </c>
      <c r="S418" s="44">
        <f ca="1">ROUND(PERCENTILE(DayByDayTable[[#Data],[BlankLeadTime]],0.8),0)</f>
        <v>8</v>
      </c>
    </row>
    <row r="419" spans="1:19">
      <c r="A419" s="51">
        <f t="shared" si="45"/>
        <v>43010</v>
      </c>
      <c r="B419" s="11">
        <f t="shared" si="47"/>
        <v>43010</v>
      </c>
      <c r="C419" s="47">
        <f>SUMIFS('On The Board'!$M$5:$M$219,'On The Board'!F$5:F$219,"&lt;="&amp;$B419,'On The Board'!E$5:E$219,"="&amp;FutureWork)</f>
        <v>0</v>
      </c>
      <c r="D419" s="47" t="str">
        <f ca="1">IF(TodaysDate&gt;=B419,SUMIF('On The Board'!F$5:F$219,"&lt;="&amp;$B419,'On The Board'!$M$5:$M$219)-SUM(F419:J419),"")</f>
        <v/>
      </c>
      <c r="E419" s="12">
        <f ca="1">IF(TodaysDate&gt;=B419,SUMIF('On The Board'!F$5:F$219,"&lt;="&amp;$B419,'On The Board'!$M$5:$M$219)-SUM(F419:J419),E418)</f>
        <v>47</v>
      </c>
      <c r="F419" s="12">
        <f>SUMIF('On The Board'!G$5:G$219,"&lt;="&amp;$B419,'On The Board'!$M$5:$M$219)-SUM(G419:J419)</f>
        <v>0</v>
      </c>
      <c r="G419" s="12">
        <f>SUMIF('On The Board'!H$5:H$219,"&lt;="&amp;$B419,'On The Board'!$M$5:$M$219)-SUM(H419:J419)</f>
        <v>5</v>
      </c>
      <c r="H419" s="12">
        <f>SUMIF('On The Board'!I$5:I$219,"&lt;="&amp;$B419,'On The Board'!$M$5:$M$219)-SUM(I419,J419)</f>
        <v>2</v>
      </c>
      <c r="I419" s="12">
        <f>SUMIF('On The Board'!J$5:J$219,"&lt;="&amp;$B419,'On The Board'!$M$5:$M$219)-SUM(J419)</f>
        <v>0</v>
      </c>
      <c r="J419" s="12">
        <f>SUMIF('On The Board'!K$5:K$219,"&lt;="&amp;$B419,'On The Board'!$M$5:$M$219)</f>
        <v>70</v>
      </c>
      <c r="K419" s="10">
        <f t="shared" si="46"/>
        <v>77</v>
      </c>
      <c r="L419" s="10" t="e">
        <f ca="1">IF(TodaysDate&gt;=B419,SUM(F419:I419),NA())</f>
        <v>#N/A</v>
      </c>
      <c r="M419" s="44" t="e">
        <f t="shared" ca="1" si="49"/>
        <v>#N/A</v>
      </c>
      <c r="N419" s="44" t="e">
        <f ca="1">IF(ISNUMBER(M419),(J419-J409)/NETWORKDAYS(B409,B419,BankHolidays),NA())</f>
        <v>#N/A</v>
      </c>
      <c r="O419" s="44" t="e">
        <f t="shared" ca="1" si="48"/>
        <v>#N/A</v>
      </c>
      <c r="P419" s="53" t="e">
        <f t="shared" ca="1" si="50"/>
        <v>#N/A</v>
      </c>
      <c r="Q419" s="53" t="str">
        <f ca="1">IFERROR(DayByDayTable[[#This Row],[Lead Time]],"")</f>
        <v/>
      </c>
      <c r="R419" s="44" t="e">
        <f t="shared" ca="1" si="51"/>
        <v>#N/A</v>
      </c>
      <c r="S419" s="44">
        <f ca="1">ROUND(PERCENTILE(DayByDayTable[[#Data],[BlankLeadTime]],0.8),0)</f>
        <v>8</v>
      </c>
    </row>
    <row r="420" spans="1:19">
      <c r="A420" s="51">
        <f t="shared" si="45"/>
        <v>43011</v>
      </c>
      <c r="B420" s="11">
        <f t="shared" si="47"/>
        <v>43011</v>
      </c>
      <c r="C420" s="47">
        <f>SUMIFS('On The Board'!$M$5:$M$219,'On The Board'!F$5:F$219,"&lt;="&amp;$B420,'On The Board'!E$5:E$219,"="&amp;FutureWork)</f>
        <v>0</v>
      </c>
      <c r="D420" s="47" t="str">
        <f ca="1">IF(TodaysDate&gt;=B420,SUMIF('On The Board'!F$5:F$219,"&lt;="&amp;$B420,'On The Board'!$M$5:$M$219)-SUM(F420:J420),"")</f>
        <v/>
      </c>
      <c r="E420" s="12">
        <f ca="1">IF(TodaysDate&gt;=B420,SUMIF('On The Board'!F$5:F$219,"&lt;="&amp;$B420,'On The Board'!$M$5:$M$219)-SUM(F420:J420),E419)</f>
        <v>47</v>
      </c>
      <c r="F420" s="12">
        <f>SUMIF('On The Board'!G$5:G$219,"&lt;="&amp;$B420,'On The Board'!$M$5:$M$219)-SUM(G420:J420)</f>
        <v>0</v>
      </c>
      <c r="G420" s="12">
        <f>SUMIF('On The Board'!H$5:H$219,"&lt;="&amp;$B420,'On The Board'!$M$5:$M$219)-SUM(H420:J420)</f>
        <v>5</v>
      </c>
      <c r="H420" s="12">
        <f>SUMIF('On The Board'!I$5:I$219,"&lt;="&amp;$B420,'On The Board'!$M$5:$M$219)-SUM(I420,J420)</f>
        <v>2</v>
      </c>
      <c r="I420" s="12">
        <f>SUMIF('On The Board'!J$5:J$219,"&lt;="&amp;$B420,'On The Board'!$M$5:$M$219)-SUM(J420)</f>
        <v>0</v>
      </c>
      <c r="J420" s="12">
        <f>SUMIF('On The Board'!K$5:K$219,"&lt;="&amp;$B420,'On The Board'!$M$5:$M$219)</f>
        <v>70</v>
      </c>
      <c r="K420" s="10">
        <f t="shared" si="46"/>
        <v>77</v>
      </c>
      <c r="L420" s="10" t="e">
        <f ca="1">IF(TodaysDate&gt;=B420,SUM(F420:I420),NA())</f>
        <v>#N/A</v>
      </c>
      <c r="M420" s="44" t="e">
        <f t="shared" ca="1" si="49"/>
        <v>#N/A</v>
      </c>
      <c r="N420" s="44" t="e">
        <f ca="1">IF(ISNUMBER(M420),(J420-J410)/NETWORKDAYS(B410,B420,BankHolidays),NA())</f>
        <v>#N/A</v>
      </c>
      <c r="O420" s="44" t="e">
        <f t="shared" ca="1" si="48"/>
        <v>#N/A</v>
      </c>
      <c r="P420" s="53" t="e">
        <f t="shared" ca="1" si="50"/>
        <v>#N/A</v>
      </c>
      <c r="Q420" s="53" t="str">
        <f ca="1">IFERROR(DayByDayTable[[#This Row],[Lead Time]],"")</f>
        <v/>
      </c>
      <c r="R420" s="44" t="e">
        <f t="shared" ca="1" si="51"/>
        <v>#N/A</v>
      </c>
      <c r="S420" s="44">
        <f ca="1">ROUND(PERCENTILE(DayByDayTable[[#Data],[BlankLeadTime]],0.8),0)</f>
        <v>8</v>
      </c>
    </row>
    <row r="421" spans="1:19">
      <c r="A421" s="51">
        <f t="shared" si="45"/>
        <v>43012</v>
      </c>
      <c r="B421" s="11">
        <f t="shared" si="47"/>
        <v>43012</v>
      </c>
      <c r="C421" s="47">
        <f>SUMIFS('On The Board'!$M$5:$M$219,'On The Board'!F$5:F$219,"&lt;="&amp;$B421,'On The Board'!E$5:E$219,"="&amp;FutureWork)</f>
        <v>0</v>
      </c>
      <c r="D421" s="47" t="str">
        <f ca="1">IF(TodaysDate&gt;=B421,SUMIF('On The Board'!F$5:F$219,"&lt;="&amp;$B421,'On The Board'!$M$5:$M$219)-SUM(F421:J421),"")</f>
        <v/>
      </c>
      <c r="E421" s="12">
        <f ca="1">IF(TodaysDate&gt;=B421,SUMIF('On The Board'!F$5:F$219,"&lt;="&amp;$B421,'On The Board'!$M$5:$M$219)-SUM(F421:J421),E420)</f>
        <v>47</v>
      </c>
      <c r="F421" s="12">
        <f>SUMIF('On The Board'!G$5:G$219,"&lt;="&amp;$B421,'On The Board'!$M$5:$M$219)-SUM(G421:J421)</f>
        <v>0</v>
      </c>
      <c r="G421" s="12">
        <f>SUMIF('On The Board'!H$5:H$219,"&lt;="&amp;$B421,'On The Board'!$M$5:$M$219)-SUM(H421:J421)</f>
        <v>5</v>
      </c>
      <c r="H421" s="12">
        <f>SUMIF('On The Board'!I$5:I$219,"&lt;="&amp;$B421,'On The Board'!$M$5:$M$219)-SUM(I421,J421)</f>
        <v>2</v>
      </c>
      <c r="I421" s="12">
        <f>SUMIF('On The Board'!J$5:J$219,"&lt;="&amp;$B421,'On The Board'!$M$5:$M$219)-SUM(J421)</f>
        <v>0</v>
      </c>
      <c r="J421" s="12">
        <f>SUMIF('On The Board'!K$5:K$219,"&lt;="&amp;$B421,'On The Board'!$M$5:$M$219)</f>
        <v>70</v>
      </c>
      <c r="K421" s="10">
        <f t="shared" si="46"/>
        <v>77</v>
      </c>
      <c r="L421" s="10" t="e">
        <f ca="1">IF(TodaysDate&gt;=B421,SUM(F421:I421),NA())</f>
        <v>#N/A</v>
      </c>
      <c r="M421" s="44" t="e">
        <f t="shared" ca="1" si="49"/>
        <v>#N/A</v>
      </c>
      <c r="N421" s="44" t="e">
        <f ca="1">IF(ISNUMBER(M421),(J421-J411)/NETWORKDAYS(B411,B421,BankHolidays),NA())</f>
        <v>#N/A</v>
      </c>
      <c r="O421" s="44" t="e">
        <f t="shared" ca="1" si="48"/>
        <v>#N/A</v>
      </c>
      <c r="P421" s="53" t="e">
        <f t="shared" ca="1" si="50"/>
        <v>#N/A</v>
      </c>
      <c r="Q421" s="53" t="str">
        <f ca="1">IFERROR(DayByDayTable[[#This Row],[Lead Time]],"")</f>
        <v/>
      </c>
      <c r="R421" s="44" t="e">
        <f t="shared" ca="1" si="51"/>
        <v>#N/A</v>
      </c>
      <c r="S421" s="44">
        <f ca="1">ROUND(PERCENTILE(DayByDayTable[[#Data],[BlankLeadTime]],0.8),0)</f>
        <v>8</v>
      </c>
    </row>
    <row r="422" spans="1:19">
      <c r="A422" s="51">
        <f t="shared" si="45"/>
        <v>43013</v>
      </c>
      <c r="B422" s="11">
        <f t="shared" si="47"/>
        <v>43013</v>
      </c>
      <c r="C422" s="47">
        <f>SUMIFS('On The Board'!$M$5:$M$219,'On The Board'!F$5:F$219,"&lt;="&amp;$B422,'On The Board'!E$5:E$219,"="&amp;FutureWork)</f>
        <v>0</v>
      </c>
      <c r="D422" s="47" t="str">
        <f ca="1">IF(TodaysDate&gt;=B422,SUMIF('On The Board'!F$5:F$219,"&lt;="&amp;$B422,'On The Board'!$M$5:$M$219)-SUM(F422:J422),"")</f>
        <v/>
      </c>
      <c r="E422" s="12">
        <f ca="1">IF(TodaysDate&gt;=B422,SUMIF('On The Board'!F$5:F$219,"&lt;="&amp;$B422,'On The Board'!$M$5:$M$219)-SUM(F422:J422),E421)</f>
        <v>47</v>
      </c>
      <c r="F422" s="12">
        <f>SUMIF('On The Board'!G$5:G$219,"&lt;="&amp;$B422,'On The Board'!$M$5:$M$219)-SUM(G422:J422)</f>
        <v>0</v>
      </c>
      <c r="G422" s="12">
        <f>SUMIF('On The Board'!H$5:H$219,"&lt;="&amp;$B422,'On The Board'!$M$5:$M$219)-SUM(H422:J422)</f>
        <v>5</v>
      </c>
      <c r="H422" s="12">
        <f>SUMIF('On The Board'!I$5:I$219,"&lt;="&amp;$B422,'On The Board'!$M$5:$M$219)-SUM(I422,J422)</f>
        <v>2</v>
      </c>
      <c r="I422" s="12">
        <f>SUMIF('On The Board'!J$5:J$219,"&lt;="&amp;$B422,'On The Board'!$M$5:$M$219)-SUM(J422)</f>
        <v>0</v>
      </c>
      <c r="J422" s="12">
        <f>SUMIF('On The Board'!K$5:K$219,"&lt;="&amp;$B422,'On The Board'!$M$5:$M$219)</f>
        <v>70</v>
      </c>
      <c r="K422" s="10">
        <f t="shared" si="46"/>
        <v>77</v>
      </c>
      <c r="L422" s="10" t="e">
        <f ca="1">IF(TodaysDate&gt;=B422,SUM(F422:I422),NA())</f>
        <v>#N/A</v>
      </c>
      <c r="M422" s="44" t="e">
        <f t="shared" ca="1" si="49"/>
        <v>#N/A</v>
      </c>
      <c r="N422" s="44" t="e">
        <f ca="1">IF(ISNUMBER(M422),(J422-J412)/NETWORKDAYS(B412,B422,BankHolidays),NA())</f>
        <v>#N/A</v>
      </c>
      <c r="O422" s="44" t="e">
        <f t="shared" ca="1" si="48"/>
        <v>#N/A</v>
      </c>
      <c r="P422" s="53" t="e">
        <f t="shared" ca="1" si="50"/>
        <v>#N/A</v>
      </c>
      <c r="Q422" s="53" t="str">
        <f ca="1">IFERROR(DayByDayTable[[#This Row],[Lead Time]],"")</f>
        <v/>
      </c>
      <c r="R422" s="44" t="e">
        <f t="shared" ca="1" si="51"/>
        <v>#N/A</v>
      </c>
      <c r="S422" s="44">
        <f ca="1">ROUND(PERCENTILE(DayByDayTable[[#Data],[BlankLeadTime]],0.8),0)</f>
        <v>8</v>
      </c>
    </row>
    <row r="423" spans="1:19">
      <c r="A423" s="51">
        <f t="shared" si="45"/>
        <v>43014</v>
      </c>
      <c r="B423" s="11">
        <f t="shared" si="47"/>
        <v>43014</v>
      </c>
      <c r="C423" s="47">
        <f>SUMIFS('On The Board'!$M$5:$M$219,'On The Board'!F$5:F$219,"&lt;="&amp;$B423,'On The Board'!E$5:E$219,"="&amp;FutureWork)</f>
        <v>0</v>
      </c>
      <c r="D423" s="47" t="str">
        <f ca="1">IF(TodaysDate&gt;=B423,SUMIF('On The Board'!F$5:F$219,"&lt;="&amp;$B423,'On The Board'!$M$5:$M$219)-SUM(F423:J423),"")</f>
        <v/>
      </c>
      <c r="E423" s="12">
        <f ca="1">IF(TodaysDate&gt;=B423,SUMIF('On The Board'!F$5:F$219,"&lt;="&amp;$B423,'On The Board'!$M$5:$M$219)-SUM(F423:J423),E422)</f>
        <v>47</v>
      </c>
      <c r="F423" s="12">
        <f>SUMIF('On The Board'!G$5:G$219,"&lt;="&amp;$B423,'On The Board'!$M$5:$M$219)-SUM(G423:J423)</f>
        <v>0</v>
      </c>
      <c r="G423" s="12">
        <f>SUMIF('On The Board'!H$5:H$219,"&lt;="&amp;$B423,'On The Board'!$M$5:$M$219)-SUM(H423:J423)</f>
        <v>5</v>
      </c>
      <c r="H423" s="12">
        <f>SUMIF('On The Board'!I$5:I$219,"&lt;="&amp;$B423,'On The Board'!$M$5:$M$219)-SUM(I423,J423)</f>
        <v>2</v>
      </c>
      <c r="I423" s="12">
        <f>SUMIF('On The Board'!J$5:J$219,"&lt;="&amp;$B423,'On The Board'!$M$5:$M$219)-SUM(J423)</f>
        <v>0</v>
      </c>
      <c r="J423" s="12">
        <f>SUMIF('On The Board'!K$5:K$219,"&lt;="&amp;$B423,'On The Board'!$M$5:$M$219)</f>
        <v>70</v>
      </c>
      <c r="K423" s="10">
        <f t="shared" si="46"/>
        <v>77</v>
      </c>
      <c r="L423" s="10" t="e">
        <f ca="1">IF(TodaysDate&gt;=B423,SUM(F423:I423),NA())</f>
        <v>#N/A</v>
      </c>
      <c r="M423" s="44" t="e">
        <f t="shared" ca="1" si="49"/>
        <v>#N/A</v>
      </c>
      <c r="N423" s="44" t="e">
        <f ca="1">IF(ISNUMBER(M423),(J423-J413)/NETWORKDAYS(B413,B423,BankHolidays),NA())</f>
        <v>#N/A</v>
      </c>
      <c r="O423" s="44" t="e">
        <f t="shared" ca="1" si="48"/>
        <v>#N/A</v>
      </c>
      <c r="P423" s="53" t="e">
        <f t="shared" ca="1" si="50"/>
        <v>#N/A</v>
      </c>
      <c r="Q423" s="53" t="str">
        <f ca="1">IFERROR(DayByDayTable[[#This Row],[Lead Time]],"")</f>
        <v/>
      </c>
      <c r="R423" s="44" t="e">
        <f t="shared" ca="1" si="51"/>
        <v>#N/A</v>
      </c>
      <c r="S423" s="44">
        <f ca="1">ROUND(PERCENTILE(DayByDayTable[[#Data],[BlankLeadTime]],0.8),0)</f>
        <v>8</v>
      </c>
    </row>
    <row r="424" spans="1:19">
      <c r="A424" s="51">
        <f t="shared" si="45"/>
        <v>43017</v>
      </c>
      <c r="B424" s="11">
        <f t="shared" si="47"/>
        <v>43017</v>
      </c>
      <c r="C424" s="47">
        <f>SUMIFS('On The Board'!$M$5:$M$219,'On The Board'!F$5:F$219,"&lt;="&amp;$B424,'On The Board'!E$5:E$219,"="&amp;FutureWork)</f>
        <v>0</v>
      </c>
      <c r="D424" s="47" t="str">
        <f ca="1">IF(TodaysDate&gt;=B424,SUMIF('On The Board'!F$5:F$219,"&lt;="&amp;$B424,'On The Board'!$M$5:$M$219)-SUM(F424:J424),"")</f>
        <v/>
      </c>
      <c r="E424" s="12">
        <f ca="1">IF(TodaysDate&gt;=B424,SUMIF('On The Board'!F$5:F$219,"&lt;="&amp;$B424,'On The Board'!$M$5:$M$219)-SUM(F424:J424),E423)</f>
        <v>47</v>
      </c>
      <c r="F424" s="12">
        <f>SUMIF('On The Board'!G$5:G$219,"&lt;="&amp;$B424,'On The Board'!$M$5:$M$219)-SUM(G424:J424)</f>
        <v>0</v>
      </c>
      <c r="G424" s="12">
        <f>SUMIF('On The Board'!H$5:H$219,"&lt;="&amp;$B424,'On The Board'!$M$5:$M$219)-SUM(H424:J424)</f>
        <v>5</v>
      </c>
      <c r="H424" s="12">
        <f>SUMIF('On The Board'!I$5:I$219,"&lt;="&amp;$B424,'On The Board'!$M$5:$M$219)-SUM(I424,J424)</f>
        <v>2</v>
      </c>
      <c r="I424" s="12">
        <f>SUMIF('On The Board'!J$5:J$219,"&lt;="&amp;$B424,'On The Board'!$M$5:$M$219)-SUM(J424)</f>
        <v>0</v>
      </c>
      <c r="J424" s="12">
        <f>SUMIF('On The Board'!K$5:K$219,"&lt;="&amp;$B424,'On The Board'!$M$5:$M$219)</f>
        <v>70</v>
      </c>
      <c r="K424" s="10">
        <f t="shared" si="46"/>
        <v>77</v>
      </c>
      <c r="L424" s="10" t="e">
        <f ca="1">IF(TodaysDate&gt;=B424,SUM(F424:I424),NA())</f>
        <v>#N/A</v>
      </c>
      <c r="M424" s="44" t="e">
        <f t="shared" ca="1" si="49"/>
        <v>#N/A</v>
      </c>
      <c r="N424" s="44" t="e">
        <f ca="1">IF(ISNUMBER(M424),(J424-J414)/NETWORKDAYS(B414,B424,BankHolidays),NA())</f>
        <v>#N/A</v>
      </c>
      <c r="O424" s="44" t="e">
        <f t="shared" ca="1" si="48"/>
        <v>#N/A</v>
      </c>
      <c r="P424" s="53" t="e">
        <f t="shared" ca="1" si="50"/>
        <v>#N/A</v>
      </c>
      <c r="Q424" s="53" t="str">
        <f ca="1">IFERROR(DayByDayTable[[#This Row],[Lead Time]],"")</f>
        <v/>
      </c>
      <c r="R424" s="44" t="e">
        <f t="shared" ca="1" si="51"/>
        <v>#N/A</v>
      </c>
      <c r="S424" s="44">
        <f ca="1">ROUND(PERCENTILE(DayByDayTable[[#Data],[BlankLeadTime]],0.8),0)</f>
        <v>8</v>
      </c>
    </row>
    <row r="425" spans="1:19">
      <c r="A425" s="51">
        <f t="shared" si="45"/>
        <v>43018</v>
      </c>
      <c r="B425" s="11">
        <f t="shared" si="47"/>
        <v>43018</v>
      </c>
      <c r="C425" s="47">
        <f>SUMIFS('On The Board'!$M$5:$M$219,'On The Board'!F$5:F$219,"&lt;="&amp;$B425,'On The Board'!E$5:E$219,"="&amp;FutureWork)</f>
        <v>0</v>
      </c>
      <c r="D425" s="47" t="str">
        <f ca="1">IF(TodaysDate&gt;=B425,SUMIF('On The Board'!F$5:F$219,"&lt;="&amp;$B425,'On The Board'!$M$5:$M$219)-SUM(F425:J425),"")</f>
        <v/>
      </c>
      <c r="E425" s="12">
        <f ca="1">IF(TodaysDate&gt;=B425,SUMIF('On The Board'!F$5:F$219,"&lt;="&amp;$B425,'On The Board'!$M$5:$M$219)-SUM(F425:J425),E424)</f>
        <v>47</v>
      </c>
      <c r="F425" s="12">
        <f>SUMIF('On The Board'!G$5:G$219,"&lt;="&amp;$B425,'On The Board'!$M$5:$M$219)-SUM(G425:J425)</f>
        <v>0</v>
      </c>
      <c r="G425" s="12">
        <f>SUMIF('On The Board'!H$5:H$219,"&lt;="&amp;$B425,'On The Board'!$M$5:$M$219)-SUM(H425:J425)</f>
        <v>5</v>
      </c>
      <c r="H425" s="12">
        <f>SUMIF('On The Board'!I$5:I$219,"&lt;="&amp;$B425,'On The Board'!$M$5:$M$219)-SUM(I425,J425)</f>
        <v>2</v>
      </c>
      <c r="I425" s="12">
        <f>SUMIF('On The Board'!J$5:J$219,"&lt;="&amp;$B425,'On The Board'!$M$5:$M$219)-SUM(J425)</f>
        <v>0</v>
      </c>
      <c r="J425" s="12">
        <f>SUMIF('On The Board'!K$5:K$219,"&lt;="&amp;$B425,'On The Board'!$M$5:$M$219)</f>
        <v>70</v>
      </c>
      <c r="K425" s="10">
        <f t="shared" si="46"/>
        <v>77</v>
      </c>
      <c r="L425" s="10" t="e">
        <f ca="1">IF(TodaysDate&gt;=B425,SUM(F425:I425),NA())</f>
        <v>#N/A</v>
      </c>
      <c r="M425" s="44" t="e">
        <f t="shared" ca="1" si="49"/>
        <v>#N/A</v>
      </c>
      <c r="N425" s="44" t="e">
        <f ca="1">IF(ISNUMBER(M425),(J425-J415)/NETWORKDAYS(B415,B425,BankHolidays),NA())</f>
        <v>#N/A</v>
      </c>
      <c r="O425" s="44" t="e">
        <f t="shared" ca="1" si="48"/>
        <v>#N/A</v>
      </c>
      <c r="P425" s="53" t="e">
        <f t="shared" ca="1" si="50"/>
        <v>#N/A</v>
      </c>
      <c r="Q425" s="53" t="str">
        <f ca="1">IFERROR(DayByDayTable[[#This Row],[Lead Time]],"")</f>
        <v/>
      </c>
      <c r="R425" s="44" t="e">
        <f t="shared" ca="1" si="51"/>
        <v>#N/A</v>
      </c>
      <c r="S425" s="44">
        <f ca="1">ROUND(PERCENTILE(DayByDayTable[[#Data],[BlankLeadTime]],0.8),0)</f>
        <v>8</v>
      </c>
    </row>
    <row r="426" spans="1:19">
      <c r="A426" s="51">
        <f t="shared" si="45"/>
        <v>43019</v>
      </c>
      <c r="B426" s="11">
        <f t="shared" si="47"/>
        <v>43019</v>
      </c>
      <c r="C426" s="47">
        <f>SUMIFS('On The Board'!$M$5:$M$219,'On The Board'!F$5:F$219,"&lt;="&amp;$B426,'On The Board'!E$5:E$219,"="&amp;FutureWork)</f>
        <v>0</v>
      </c>
      <c r="D426" s="47" t="str">
        <f ca="1">IF(TodaysDate&gt;=B426,SUMIF('On The Board'!F$5:F$219,"&lt;="&amp;$B426,'On The Board'!$M$5:$M$219)-SUM(F426:J426),"")</f>
        <v/>
      </c>
      <c r="E426" s="12">
        <f ca="1">IF(TodaysDate&gt;=B426,SUMIF('On The Board'!F$5:F$219,"&lt;="&amp;$B426,'On The Board'!$M$5:$M$219)-SUM(F426:J426),E425)</f>
        <v>47</v>
      </c>
      <c r="F426" s="12">
        <f>SUMIF('On The Board'!G$5:G$219,"&lt;="&amp;$B426,'On The Board'!$M$5:$M$219)-SUM(G426:J426)</f>
        <v>0</v>
      </c>
      <c r="G426" s="12">
        <f>SUMIF('On The Board'!H$5:H$219,"&lt;="&amp;$B426,'On The Board'!$M$5:$M$219)-SUM(H426:J426)</f>
        <v>5</v>
      </c>
      <c r="H426" s="12">
        <f>SUMIF('On The Board'!I$5:I$219,"&lt;="&amp;$B426,'On The Board'!$M$5:$M$219)-SUM(I426,J426)</f>
        <v>2</v>
      </c>
      <c r="I426" s="12">
        <f>SUMIF('On The Board'!J$5:J$219,"&lt;="&amp;$B426,'On The Board'!$M$5:$M$219)-SUM(J426)</f>
        <v>0</v>
      </c>
      <c r="J426" s="12">
        <f>SUMIF('On The Board'!K$5:K$219,"&lt;="&amp;$B426,'On The Board'!$M$5:$M$219)</f>
        <v>70</v>
      </c>
      <c r="K426" s="10">
        <f t="shared" si="46"/>
        <v>77</v>
      </c>
      <c r="L426" s="10" t="e">
        <f ca="1">IF(TodaysDate&gt;=B426,SUM(F426:I426),NA())</f>
        <v>#N/A</v>
      </c>
      <c r="M426" s="44" t="e">
        <f t="shared" ca="1" si="49"/>
        <v>#N/A</v>
      </c>
      <c r="N426" s="44" t="e">
        <f ca="1">IF(ISNUMBER(M426),(J426-J416)/NETWORKDAYS(B416,B426,BankHolidays),NA())</f>
        <v>#N/A</v>
      </c>
      <c r="O426" s="44" t="e">
        <f t="shared" ca="1" si="48"/>
        <v>#N/A</v>
      </c>
      <c r="P426" s="53" t="e">
        <f t="shared" ca="1" si="50"/>
        <v>#N/A</v>
      </c>
      <c r="Q426" s="53" t="str">
        <f ca="1">IFERROR(DayByDayTable[[#This Row],[Lead Time]],"")</f>
        <v/>
      </c>
      <c r="R426" s="44" t="e">
        <f t="shared" ca="1" si="51"/>
        <v>#N/A</v>
      </c>
      <c r="S426" s="44">
        <f ca="1">ROUND(PERCENTILE(DayByDayTable[[#Data],[BlankLeadTime]],0.8),0)</f>
        <v>8</v>
      </c>
    </row>
    <row r="427" spans="1:19">
      <c r="A427" s="51">
        <f t="shared" si="45"/>
        <v>43020</v>
      </c>
      <c r="B427" s="11">
        <f t="shared" si="47"/>
        <v>43020</v>
      </c>
      <c r="C427" s="47">
        <f>SUMIFS('On The Board'!$M$5:$M$219,'On The Board'!F$5:F$219,"&lt;="&amp;$B427,'On The Board'!E$5:E$219,"="&amp;FutureWork)</f>
        <v>0</v>
      </c>
      <c r="D427" s="47" t="str">
        <f ca="1">IF(TodaysDate&gt;=B427,SUMIF('On The Board'!F$5:F$219,"&lt;="&amp;$B427,'On The Board'!$M$5:$M$219)-SUM(F427:J427),"")</f>
        <v/>
      </c>
      <c r="E427" s="12">
        <f ca="1">IF(TodaysDate&gt;=B427,SUMIF('On The Board'!F$5:F$219,"&lt;="&amp;$B427,'On The Board'!$M$5:$M$219)-SUM(F427:J427),E426)</f>
        <v>47</v>
      </c>
      <c r="F427" s="12">
        <f>SUMIF('On The Board'!G$5:G$219,"&lt;="&amp;$B427,'On The Board'!$M$5:$M$219)-SUM(G427:J427)</f>
        <v>0</v>
      </c>
      <c r="G427" s="12">
        <f>SUMIF('On The Board'!H$5:H$219,"&lt;="&amp;$B427,'On The Board'!$M$5:$M$219)-SUM(H427:J427)</f>
        <v>5</v>
      </c>
      <c r="H427" s="12">
        <f>SUMIF('On The Board'!I$5:I$219,"&lt;="&amp;$B427,'On The Board'!$M$5:$M$219)-SUM(I427,J427)</f>
        <v>2</v>
      </c>
      <c r="I427" s="12">
        <f>SUMIF('On The Board'!J$5:J$219,"&lt;="&amp;$B427,'On The Board'!$M$5:$M$219)-SUM(J427)</f>
        <v>0</v>
      </c>
      <c r="J427" s="12">
        <f>SUMIF('On The Board'!K$5:K$219,"&lt;="&amp;$B427,'On The Board'!$M$5:$M$219)</f>
        <v>70</v>
      </c>
      <c r="K427" s="10">
        <f t="shared" si="46"/>
        <v>77</v>
      </c>
      <c r="L427" s="10" t="e">
        <f ca="1">IF(TodaysDate&gt;=B427,SUM(F427:I427),NA())</f>
        <v>#N/A</v>
      </c>
      <c r="M427" s="44" t="e">
        <f t="shared" ca="1" si="49"/>
        <v>#N/A</v>
      </c>
      <c r="N427" s="44" t="e">
        <f ca="1">IF(ISNUMBER(M427),(J427-J417)/NETWORKDAYS(B417,B427,BankHolidays),NA())</f>
        <v>#N/A</v>
      </c>
      <c r="O427" s="44" t="e">
        <f t="shared" ca="1" si="48"/>
        <v>#N/A</v>
      </c>
      <c r="P427" s="53" t="e">
        <f t="shared" ca="1" si="50"/>
        <v>#N/A</v>
      </c>
      <c r="Q427" s="53" t="str">
        <f ca="1">IFERROR(DayByDayTable[[#This Row],[Lead Time]],"")</f>
        <v/>
      </c>
      <c r="R427" s="44" t="e">
        <f t="shared" ca="1" si="51"/>
        <v>#N/A</v>
      </c>
      <c r="S427" s="44">
        <f ca="1">ROUND(PERCENTILE(DayByDayTable[[#Data],[BlankLeadTime]],0.8),0)</f>
        <v>8</v>
      </c>
    </row>
    <row r="428" spans="1:19">
      <c r="A428" s="51">
        <f t="shared" si="45"/>
        <v>43021</v>
      </c>
      <c r="B428" s="11">
        <f t="shared" si="47"/>
        <v>43021</v>
      </c>
      <c r="C428" s="47">
        <f>SUMIFS('On The Board'!$M$5:$M$219,'On The Board'!F$5:F$219,"&lt;="&amp;$B428,'On The Board'!E$5:E$219,"="&amp;FutureWork)</f>
        <v>0</v>
      </c>
      <c r="D428" s="47" t="str">
        <f ca="1">IF(TodaysDate&gt;=B428,SUMIF('On The Board'!F$5:F$219,"&lt;="&amp;$B428,'On The Board'!$M$5:$M$219)-SUM(F428:J428),"")</f>
        <v/>
      </c>
      <c r="E428" s="12">
        <f ca="1">IF(TodaysDate&gt;=B428,SUMIF('On The Board'!F$5:F$219,"&lt;="&amp;$B428,'On The Board'!$M$5:$M$219)-SUM(F428:J428),E427)</f>
        <v>47</v>
      </c>
      <c r="F428" s="12">
        <f>SUMIF('On The Board'!G$5:G$219,"&lt;="&amp;$B428,'On The Board'!$M$5:$M$219)-SUM(G428:J428)</f>
        <v>0</v>
      </c>
      <c r="G428" s="12">
        <f>SUMIF('On The Board'!H$5:H$219,"&lt;="&amp;$B428,'On The Board'!$M$5:$M$219)-SUM(H428:J428)</f>
        <v>5</v>
      </c>
      <c r="H428" s="12">
        <f>SUMIF('On The Board'!I$5:I$219,"&lt;="&amp;$B428,'On The Board'!$M$5:$M$219)-SUM(I428,J428)</f>
        <v>2</v>
      </c>
      <c r="I428" s="12">
        <f>SUMIF('On The Board'!J$5:J$219,"&lt;="&amp;$B428,'On The Board'!$M$5:$M$219)-SUM(J428)</f>
        <v>0</v>
      </c>
      <c r="J428" s="12">
        <f>SUMIF('On The Board'!K$5:K$219,"&lt;="&amp;$B428,'On The Board'!$M$5:$M$219)</f>
        <v>70</v>
      </c>
      <c r="K428" s="10">
        <f t="shared" si="46"/>
        <v>77</v>
      </c>
      <c r="L428" s="10" t="e">
        <f ca="1">IF(TodaysDate&gt;=B428,SUM(F428:I428),NA())</f>
        <v>#N/A</v>
      </c>
      <c r="M428" s="44" t="e">
        <f t="shared" ca="1" si="49"/>
        <v>#N/A</v>
      </c>
      <c r="N428" s="44" t="e">
        <f ca="1">IF(ISNUMBER(M428),(J428-J418)/NETWORKDAYS(B418,B428,BankHolidays),NA())</f>
        <v>#N/A</v>
      </c>
      <c r="O428" s="44" t="e">
        <f t="shared" ca="1" si="48"/>
        <v>#N/A</v>
      </c>
      <c r="P428" s="53" t="e">
        <f t="shared" ca="1" si="50"/>
        <v>#N/A</v>
      </c>
      <c r="Q428" s="53" t="str">
        <f ca="1">IFERROR(DayByDayTable[[#This Row],[Lead Time]],"")</f>
        <v/>
      </c>
      <c r="R428" s="44" t="e">
        <f t="shared" ca="1" si="51"/>
        <v>#N/A</v>
      </c>
      <c r="S428" s="44">
        <f ca="1">ROUND(PERCENTILE(DayByDayTable[[#Data],[BlankLeadTime]],0.8),0)</f>
        <v>8</v>
      </c>
    </row>
    <row r="429" spans="1:19">
      <c r="A429" s="51">
        <f t="shared" si="45"/>
        <v>43024</v>
      </c>
      <c r="B429" s="11">
        <f t="shared" si="47"/>
        <v>43024</v>
      </c>
      <c r="C429" s="47">
        <f>SUMIFS('On The Board'!$M$5:$M$219,'On The Board'!F$5:F$219,"&lt;="&amp;$B429,'On The Board'!E$5:E$219,"="&amp;FutureWork)</f>
        <v>0</v>
      </c>
      <c r="D429" s="47" t="str">
        <f ca="1">IF(TodaysDate&gt;=B429,SUMIF('On The Board'!F$5:F$219,"&lt;="&amp;$B429,'On The Board'!$M$5:$M$219)-SUM(F429:J429),"")</f>
        <v/>
      </c>
      <c r="E429" s="12">
        <f ca="1">IF(TodaysDate&gt;=B429,SUMIF('On The Board'!F$5:F$219,"&lt;="&amp;$B429,'On The Board'!$M$5:$M$219)-SUM(F429:J429),E428)</f>
        <v>47</v>
      </c>
      <c r="F429" s="12">
        <f>SUMIF('On The Board'!G$5:G$219,"&lt;="&amp;$B429,'On The Board'!$M$5:$M$219)-SUM(G429:J429)</f>
        <v>0</v>
      </c>
      <c r="G429" s="12">
        <f>SUMIF('On The Board'!H$5:H$219,"&lt;="&amp;$B429,'On The Board'!$M$5:$M$219)-SUM(H429:J429)</f>
        <v>5</v>
      </c>
      <c r="H429" s="12">
        <f>SUMIF('On The Board'!I$5:I$219,"&lt;="&amp;$B429,'On The Board'!$M$5:$M$219)-SUM(I429,J429)</f>
        <v>2</v>
      </c>
      <c r="I429" s="12">
        <f>SUMIF('On The Board'!J$5:J$219,"&lt;="&amp;$B429,'On The Board'!$M$5:$M$219)-SUM(J429)</f>
        <v>0</v>
      </c>
      <c r="J429" s="12">
        <f>SUMIF('On The Board'!K$5:K$219,"&lt;="&amp;$B429,'On The Board'!$M$5:$M$219)</f>
        <v>70</v>
      </c>
      <c r="K429" s="10">
        <f t="shared" si="46"/>
        <v>77</v>
      </c>
      <c r="L429" s="10" t="e">
        <f ca="1">IF(TodaysDate&gt;=B429,SUM(F429:I429),NA())</f>
        <v>#N/A</v>
      </c>
      <c r="M429" s="44" t="e">
        <f t="shared" ca="1" si="49"/>
        <v>#N/A</v>
      </c>
      <c r="N429" s="44" t="e">
        <f ca="1">IF(ISNUMBER(M429),(J429-J419)/NETWORKDAYS(B419,B429,BankHolidays),NA())</f>
        <v>#N/A</v>
      </c>
      <c r="O429" s="44" t="e">
        <f t="shared" ca="1" si="48"/>
        <v>#N/A</v>
      </c>
      <c r="P429" s="53" t="e">
        <f t="shared" ca="1" si="50"/>
        <v>#N/A</v>
      </c>
      <c r="Q429" s="53" t="str">
        <f ca="1">IFERROR(DayByDayTable[[#This Row],[Lead Time]],"")</f>
        <v/>
      </c>
      <c r="R429" s="44" t="e">
        <f t="shared" ca="1" si="51"/>
        <v>#N/A</v>
      </c>
      <c r="S429" s="44">
        <f ca="1">ROUND(PERCENTILE(DayByDayTable[[#Data],[BlankLeadTime]],0.8),0)</f>
        <v>8</v>
      </c>
    </row>
    <row r="430" spans="1:19">
      <c r="A430" s="51">
        <f t="shared" si="45"/>
        <v>43025</v>
      </c>
      <c r="B430" s="11">
        <f t="shared" si="47"/>
        <v>43025</v>
      </c>
      <c r="C430" s="47">
        <f>SUMIFS('On The Board'!$M$5:$M$219,'On The Board'!F$5:F$219,"&lt;="&amp;$B430,'On The Board'!E$5:E$219,"="&amp;FutureWork)</f>
        <v>0</v>
      </c>
      <c r="D430" s="47" t="str">
        <f ca="1">IF(TodaysDate&gt;=B430,SUMIF('On The Board'!F$5:F$219,"&lt;="&amp;$B430,'On The Board'!$M$5:$M$219)-SUM(F430:J430),"")</f>
        <v/>
      </c>
      <c r="E430" s="12">
        <f ca="1">IF(TodaysDate&gt;=B430,SUMIF('On The Board'!F$5:F$219,"&lt;="&amp;$B430,'On The Board'!$M$5:$M$219)-SUM(F430:J430),E429)</f>
        <v>47</v>
      </c>
      <c r="F430" s="12">
        <f>SUMIF('On The Board'!G$5:G$219,"&lt;="&amp;$B430,'On The Board'!$M$5:$M$219)-SUM(G430:J430)</f>
        <v>0</v>
      </c>
      <c r="G430" s="12">
        <f>SUMIF('On The Board'!H$5:H$219,"&lt;="&amp;$B430,'On The Board'!$M$5:$M$219)-SUM(H430:J430)</f>
        <v>5</v>
      </c>
      <c r="H430" s="12">
        <f>SUMIF('On The Board'!I$5:I$219,"&lt;="&amp;$B430,'On The Board'!$M$5:$M$219)-SUM(I430,J430)</f>
        <v>2</v>
      </c>
      <c r="I430" s="12">
        <f>SUMIF('On The Board'!J$5:J$219,"&lt;="&amp;$B430,'On The Board'!$M$5:$M$219)-SUM(J430)</f>
        <v>0</v>
      </c>
      <c r="J430" s="12">
        <f>SUMIF('On The Board'!K$5:K$219,"&lt;="&amp;$B430,'On The Board'!$M$5:$M$219)</f>
        <v>70</v>
      </c>
      <c r="K430" s="10">
        <f t="shared" si="46"/>
        <v>77</v>
      </c>
      <c r="L430" s="10" t="e">
        <f ca="1">IF(TodaysDate&gt;=B430,SUM(F430:I430),NA())</f>
        <v>#N/A</v>
      </c>
      <c r="M430" s="44" t="e">
        <f t="shared" ca="1" si="49"/>
        <v>#N/A</v>
      </c>
      <c r="N430" s="44" t="e">
        <f ca="1">IF(ISNUMBER(M430),(J430-J420)/NETWORKDAYS(B420,B430,BankHolidays),NA())</f>
        <v>#N/A</v>
      </c>
      <c r="O430" s="44" t="e">
        <f t="shared" ca="1" si="48"/>
        <v>#N/A</v>
      </c>
      <c r="P430" s="53" t="e">
        <f t="shared" ca="1" si="50"/>
        <v>#N/A</v>
      </c>
      <c r="Q430" s="53" t="str">
        <f ca="1">IFERROR(DayByDayTable[[#This Row],[Lead Time]],"")</f>
        <v/>
      </c>
      <c r="R430" s="44" t="e">
        <f t="shared" ca="1" si="51"/>
        <v>#N/A</v>
      </c>
      <c r="S430" s="44">
        <f ca="1">ROUND(PERCENTILE(DayByDayTable[[#Data],[BlankLeadTime]],0.8),0)</f>
        <v>8</v>
      </c>
    </row>
    <row r="431" spans="1:19">
      <c r="A431" s="51">
        <f t="shared" si="45"/>
        <v>43026</v>
      </c>
      <c r="B431" s="11">
        <f t="shared" si="47"/>
        <v>43026</v>
      </c>
      <c r="C431" s="47">
        <f>SUMIFS('On The Board'!$M$5:$M$219,'On The Board'!F$5:F$219,"&lt;="&amp;$B431,'On The Board'!E$5:E$219,"="&amp;FutureWork)</f>
        <v>0</v>
      </c>
      <c r="D431" s="47" t="str">
        <f ca="1">IF(TodaysDate&gt;=B431,SUMIF('On The Board'!F$5:F$219,"&lt;="&amp;$B431,'On The Board'!$M$5:$M$219)-SUM(F431:J431),"")</f>
        <v/>
      </c>
      <c r="E431" s="12">
        <f ca="1">IF(TodaysDate&gt;=B431,SUMIF('On The Board'!F$5:F$219,"&lt;="&amp;$B431,'On The Board'!$M$5:$M$219)-SUM(F431:J431),E430)</f>
        <v>47</v>
      </c>
      <c r="F431" s="12">
        <f>SUMIF('On The Board'!G$5:G$219,"&lt;="&amp;$B431,'On The Board'!$M$5:$M$219)-SUM(G431:J431)</f>
        <v>0</v>
      </c>
      <c r="G431" s="12">
        <f>SUMIF('On The Board'!H$5:H$219,"&lt;="&amp;$B431,'On The Board'!$M$5:$M$219)-SUM(H431:J431)</f>
        <v>5</v>
      </c>
      <c r="H431" s="12">
        <f>SUMIF('On The Board'!I$5:I$219,"&lt;="&amp;$B431,'On The Board'!$M$5:$M$219)-SUM(I431,J431)</f>
        <v>2</v>
      </c>
      <c r="I431" s="12">
        <f>SUMIF('On The Board'!J$5:J$219,"&lt;="&amp;$B431,'On The Board'!$M$5:$M$219)-SUM(J431)</f>
        <v>0</v>
      </c>
      <c r="J431" s="12">
        <f>SUMIF('On The Board'!K$5:K$219,"&lt;="&amp;$B431,'On The Board'!$M$5:$M$219)</f>
        <v>70</v>
      </c>
      <c r="K431" s="10">
        <f t="shared" si="46"/>
        <v>77</v>
      </c>
      <c r="L431" s="10" t="e">
        <f ca="1">IF(TodaysDate&gt;=B431,SUM(F431:I431),NA())</f>
        <v>#N/A</v>
      </c>
      <c r="M431" s="44" t="e">
        <f t="shared" ca="1" si="49"/>
        <v>#N/A</v>
      </c>
      <c r="N431" s="44" t="e">
        <f ca="1">IF(ISNUMBER(M431),(J431-J421)/NETWORKDAYS(B421,B431,BankHolidays),NA())</f>
        <v>#N/A</v>
      </c>
      <c r="O431" s="44" t="e">
        <f t="shared" ca="1" si="48"/>
        <v>#N/A</v>
      </c>
      <c r="P431" s="53" t="e">
        <f t="shared" ca="1" si="50"/>
        <v>#N/A</v>
      </c>
      <c r="Q431" s="53" t="str">
        <f ca="1">IFERROR(DayByDayTable[[#This Row],[Lead Time]],"")</f>
        <v/>
      </c>
      <c r="R431" s="44" t="e">
        <f t="shared" ca="1" si="51"/>
        <v>#N/A</v>
      </c>
      <c r="S431" s="44">
        <f ca="1">ROUND(PERCENTILE(DayByDayTable[[#Data],[BlankLeadTime]],0.8),0)</f>
        <v>8</v>
      </c>
    </row>
    <row r="432" spans="1:19">
      <c r="A432" s="51">
        <f t="shared" si="45"/>
        <v>43027</v>
      </c>
      <c r="B432" s="11">
        <f t="shared" si="47"/>
        <v>43027</v>
      </c>
      <c r="C432" s="47">
        <f>SUMIFS('On The Board'!$M$5:$M$219,'On The Board'!F$5:F$219,"&lt;="&amp;$B432,'On The Board'!E$5:E$219,"="&amp;FutureWork)</f>
        <v>0</v>
      </c>
      <c r="D432" s="47" t="str">
        <f ca="1">IF(TodaysDate&gt;=B432,SUMIF('On The Board'!F$5:F$219,"&lt;="&amp;$B432,'On The Board'!$M$5:$M$219)-SUM(F432:J432),"")</f>
        <v/>
      </c>
      <c r="E432" s="12">
        <f ca="1">IF(TodaysDate&gt;=B432,SUMIF('On The Board'!F$5:F$219,"&lt;="&amp;$B432,'On The Board'!$M$5:$M$219)-SUM(F432:J432),E431)</f>
        <v>47</v>
      </c>
      <c r="F432" s="12">
        <f>SUMIF('On The Board'!G$5:G$219,"&lt;="&amp;$B432,'On The Board'!$M$5:$M$219)-SUM(G432:J432)</f>
        <v>0</v>
      </c>
      <c r="G432" s="12">
        <f>SUMIF('On The Board'!H$5:H$219,"&lt;="&amp;$B432,'On The Board'!$M$5:$M$219)-SUM(H432:J432)</f>
        <v>5</v>
      </c>
      <c r="H432" s="12">
        <f>SUMIF('On The Board'!I$5:I$219,"&lt;="&amp;$B432,'On The Board'!$M$5:$M$219)-SUM(I432,J432)</f>
        <v>2</v>
      </c>
      <c r="I432" s="12">
        <f>SUMIF('On The Board'!J$5:J$219,"&lt;="&amp;$B432,'On The Board'!$M$5:$M$219)-SUM(J432)</f>
        <v>0</v>
      </c>
      <c r="J432" s="12">
        <f>SUMIF('On The Board'!K$5:K$219,"&lt;="&amp;$B432,'On The Board'!$M$5:$M$219)</f>
        <v>70</v>
      </c>
      <c r="K432" s="10">
        <f t="shared" si="46"/>
        <v>77</v>
      </c>
      <c r="L432" s="10" t="e">
        <f ca="1">IF(TodaysDate&gt;=B432,SUM(F432:I432),NA())</f>
        <v>#N/A</v>
      </c>
      <c r="M432" s="44" t="e">
        <f t="shared" ca="1" si="49"/>
        <v>#N/A</v>
      </c>
      <c r="N432" s="44" t="e">
        <f ca="1">IF(ISNUMBER(M432),(J432-J422)/NETWORKDAYS(B422,B432,BankHolidays),NA())</f>
        <v>#N/A</v>
      </c>
      <c r="O432" s="44" t="e">
        <f t="shared" ca="1" si="48"/>
        <v>#N/A</v>
      </c>
      <c r="P432" s="53" t="e">
        <f t="shared" ca="1" si="50"/>
        <v>#N/A</v>
      </c>
      <c r="Q432" s="53" t="str">
        <f ca="1">IFERROR(DayByDayTable[[#This Row],[Lead Time]],"")</f>
        <v/>
      </c>
      <c r="R432" s="44" t="e">
        <f t="shared" ca="1" si="51"/>
        <v>#N/A</v>
      </c>
      <c r="S432" s="44">
        <f ca="1">ROUND(PERCENTILE(DayByDayTable[[#Data],[BlankLeadTime]],0.8),0)</f>
        <v>8</v>
      </c>
    </row>
    <row r="433" spans="1:19">
      <c r="A433" s="51">
        <f t="shared" si="45"/>
        <v>43028</v>
      </c>
      <c r="B433" s="11">
        <f t="shared" si="47"/>
        <v>43028</v>
      </c>
      <c r="C433" s="47">
        <f>SUMIFS('On The Board'!$M$5:$M$219,'On The Board'!F$5:F$219,"&lt;="&amp;$B433,'On The Board'!E$5:E$219,"="&amp;FutureWork)</f>
        <v>0</v>
      </c>
      <c r="D433" s="47" t="str">
        <f ca="1">IF(TodaysDate&gt;=B433,SUMIF('On The Board'!F$5:F$219,"&lt;="&amp;$B433,'On The Board'!$M$5:$M$219)-SUM(F433:J433),"")</f>
        <v/>
      </c>
      <c r="E433" s="12">
        <f ca="1">IF(TodaysDate&gt;=B433,SUMIF('On The Board'!F$5:F$219,"&lt;="&amp;$B433,'On The Board'!$M$5:$M$219)-SUM(F433:J433),E432)</f>
        <v>47</v>
      </c>
      <c r="F433" s="12">
        <f>SUMIF('On The Board'!G$5:G$219,"&lt;="&amp;$B433,'On The Board'!$M$5:$M$219)-SUM(G433:J433)</f>
        <v>0</v>
      </c>
      <c r="G433" s="12">
        <f>SUMIF('On The Board'!H$5:H$219,"&lt;="&amp;$B433,'On The Board'!$M$5:$M$219)-SUM(H433:J433)</f>
        <v>5</v>
      </c>
      <c r="H433" s="12">
        <f>SUMIF('On The Board'!I$5:I$219,"&lt;="&amp;$B433,'On The Board'!$M$5:$M$219)-SUM(I433,J433)</f>
        <v>2</v>
      </c>
      <c r="I433" s="12">
        <f>SUMIF('On The Board'!J$5:J$219,"&lt;="&amp;$B433,'On The Board'!$M$5:$M$219)-SUM(J433)</f>
        <v>0</v>
      </c>
      <c r="J433" s="12">
        <f>SUMIF('On The Board'!K$5:K$219,"&lt;="&amp;$B433,'On The Board'!$M$5:$M$219)</f>
        <v>70</v>
      </c>
      <c r="K433" s="10">
        <f t="shared" si="46"/>
        <v>77</v>
      </c>
      <c r="L433" s="10" t="e">
        <f ca="1">IF(TodaysDate&gt;=B433,SUM(F433:I433),NA())</f>
        <v>#N/A</v>
      </c>
      <c r="M433" s="44" t="e">
        <f t="shared" ca="1" si="49"/>
        <v>#N/A</v>
      </c>
      <c r="N433" s="44" t="e">
        <f ca="1">IF(ISNUMBER(M433),(J433-J423)/NETWORKDAYS(B423,B433,BankHolidays),NA())</f>
        <v>#N/A</v>
      </c>
      <c r="O433" s="44" t="e">
        <f t="shared" ca="1" si="48"/>
        <v>#N/A</v>
      </c>
      <c r="P433" s="53" t="e">
        <f t="shared" ca="1" si="50"/>
        <v>#N/A</v>
      </c>
      <c r="Q433" s="53" t="str">
        <f ca="1">IFERROR(DayByDayTable[[#This Row],[Lead Time]],"")</f>
        <v/>
      </c>
      <c r="R433" s="44" t="e">
        <f t="shared" ca="1" si="51"/>
        <v>#N/A</v>
      </c>
      <c r="S433" s="44">
        <f ca="1">ROUND(PERCENTILE(DayByDayTable[[#Data],[BlankLeadTime]],0.8),0)</f>
        <v>8</v>
      </c>
    </row>
    <row r="434" spans="1:19">
      <c r="A434" s="51">
        <f t="shared" si="45"/>
        <v>43031</v>
      </c>
      <c r="B434" s="11">
        <f t="shared" si="47"/>
        <v>43031</v>
      </c>
      <c r="C434" s="47">
        <f>SUMIFS('On The Board'!$M$5:$M$219,'On The Board'!F$5:F$219,"&lt;="&amp;$B434,'On The Board'!E$5:E$219,"="&amp;FutureWork)</f>
        <v>0</v>
      </c>
      <c r="D434" s="47" t="str">
        <f ca="1">IF(TodaysDate&gt;=B434,SUMIF('On The Board'!F$5:F$219,"&lt;="&amp;$B434,'On The Board'!$M$5:$M$219)-SUM(F434:J434),"")</f>
        <v/>
      </c>
      <c r="E434" s="12">
        <f ca="1">IF(TodaysDate&gt;=B434,SUMIF('On The Board'!F$5:F$219,"&lt;="&amp;$B434,'On The Board'!$M$5:$M$219)-SUM(F434:J434),E433)</f>
        <v>47</v>
      </c>
      <c r="F434" s="12">
        <f>SUMIF('On The Board'!G$5:G$219,"&lt;="&amp;$B434,'On The Board'!$M$5:$M$219)-SUM(G434:J434)</f>
        <v>0</v>
      </c>
      <c r="G434" s="12">
        <f>SUMIF('On The Board'!H$5:H$219,"&lt;="&amp;$B434,'On The Board'!$M$5:$M$219)-SUM(H434:J434)</f>
        <v>5</v>
      </c>
      <c r="H434" s="12">
        <f>SUMIF('On The Board'!I$5:I$219,"&lt;="&amp;$B434,'On The Board'!$M$5:$M$219)-SUM(I434,J434)</f>
        <v>2</v>
      </c>
      <c r="I434" s="12">
        <f>SUMIF('On The Board'!J$5:J$219,"&lt;="&amp;$B434,'On The Board'!$M$5:$M$219)-SUM(J434)</f>
        <v>0</v>
      </c>
      <c r="J434" s="12">
        <f>SUMIF('On The Board'!K$5:K$219,"&lt;="&amp;$B434,'On The Board'!$M$5:$M$219)</f>
        <v>70</v>
      </c>
      <c r="K434" s="10">
        <f t="shared" si="46"/>
        <v>77</v>
      </c>
      <c r="L434" s="10" t="e">
        <f ca="1">IF(TodaysDate&gt;=B434,SUM(F434:I434),NA())</f>
        <v>#N/A</v>
      </c>
      <c r="M434" s="44" t="e">
        <f t="shared" ca="1" si="49"/>
        <v>#N/A</v>
      </c>
      <c r="N434" s="44" t="e">
        <f ca="1">IF(ISNUMBER(M434),(J434-J424)/NETWORKDAYS(B424,B434,BankHolidays),NA())</f>
        <v>#N/A</v>
      </c>
      <c r="O434" s="44" t="e">
        <f t="shared" ca="1" si="48"/>
        <v>#N/A</v>
      </c>
      <c r="P434" s="53" t="e">
        <f t="shared" ca="1" si="50"/>
        <v>#N/A</v>
      </c>
      <c r="Q434" s="53" t="str">
        <f ca="1">IFERROR(DayByDayTable[[#This Row],[Lead Time]],"")</f>
        <v/>
      </c>
      <c r="R434" s="44" t="e">
        <f t="shared" ca="1" si="51"/>
        <v>#N/A</v>
      </c>
      <c r="S434" s="44">
        <f ca="1">ROUND(PERCENTILE(DayByDayTable[[#Data],[BlankLeadTime]],0.8),0)</f>
        <v>8</v>
      </c>
    </row>
    <row r="435" spans="1:19">
      <c r="A435" s="51">
        <f t="shared" si="45"/>
        <v>43032</v>
      </c>
      <c r="B435" s="11">
        <f t="shared" si="47"/>
        <v>43032</v>
      </c>
      <c r="C435" s="47">
        <f>SUMIFS('On The Board'!$M$5:$M$219,'On The Board'!F$5:F$219,"&lt;="&amp;$B435,'On The Board'!E$5:E$219,"="&amp;FutureWork)</f>
        <v>0</v>
      </c>
      <c r="D435" s="47" t="str">
        <f ca="1">IF(TodaysDate&gt;=B435,SUMIF('On The Board'!F$5:F$219,"&lt;="&amp;$B435,'On The Board'!$M$5:$M$219)-SUM(F435:J435),"")</f>
        <v/>
      </c>
      <c r="E435" s="12">
        <f ca="1">IF(TodaysDate&gt;=B435,SUMIF('On The Board'!F$5:F$219,"&lt;="&amp;$B435,'On The Board'!$M$5:$M$219)-SUM(F435:J435),E434)</f>
        <v>47</v>
      </c>
      <c r="F435" s="12">
        <f>SUMIF('On The Board'!G$5:G$219,"&lt;="&amp;$B435,'On The Board'!$M$5:$M$219)-SUM(G435:J435)</f>
        <v>0</v>
      </c>
      <c r="G435" s="12">
        <f>SUMIF('On The Board'!H$5:H$219,"&lt;="&amp;$B435,'On The Board'!$M$5:$M$219)-SUM(H435:J435)</f>
        <v>5</v>
      </c>
      <c r="H435" s="12">
        <f>SUMIF('On The Board'!I$5:I$219,"&lt;="&amp;$B435,'On The Board'!$M$5:$M$219)-SUM(I435,J435)</f>
        <v>2</v>
      </c>
      <c r="I435" s="12">
        <f>SUMIF('On The Board'!J$5:J$219,"&lt;="&amp;$B435,'On The Board'!$M$5:$M$219)-SUM(J435)</f>
        <v>0</v>
      </c>
      <c r="J435" s="12">
        <f>SUMIF('On The Board'!K$5:K$219,"&lt;="&amp;$B435,'On The Board'!$M$5:$M$219)</f>
        <v>70</v>
      </c>
      <c r="K435" s="10">
        <f t="shared" si="46"/>
        <v>77</v>
      </c>
      <c r="L435" s="10" t="e">
        <f ca="1">IF(TodaysDate&gt;=B435,SUM(F435:I435),NA())</f>
        <v>#N/A</v>
      </c>
      <c r="M435" s="44" t="e">
        <f t="shared" ca="1" si="49"/>
        <v>#N/A</v>
      </c>
      <c r="N435" s="44" t="e">
        <f ca="1">IF(ISNUMBER(M435),(J435-J425)/NETWORKDAYS(B425,B435,BankHolidays),NA())</f>
        <v>#N/A</v>
      </c>
      <c r="O435" s="44" t="e">
        <f t="shared" ca="1" si="48"/>
        <v>#N/A</v>
      </c>
      <c r="P435" s="53" t="e">
        <f t="shared" ca="1" si="50"/>
        <v>#N/A</v>
      </c>
      <c r="Q435" s="53" t="str">
        <f ca="1">IFERROR(DayByDayTable[[#This Row],[Lead Time]],"")</f>
        <v/>
      </c>
      <c r="R435" s="44" t="e">
        <f t="shared" ca="1" si="51"/>
        <v>#N/A</v>
      </c>
      <c r="S435" s="44">
        <f ca="1">ROUND(PERCENTILE(DayByDayTable[[#Data],[BlankLeadTime]],0.8),0)</f>
        <v>8</v>
      </c>
    </row>
    <row r="436" spans="1:19">
      <c r="A436" s="51">
        <f t="shared" si="45"/>
        <v>43033</v>
      </c>
      <c r="B436" s="11">
        <f t="shared" si="47"/>
        <v>43033</v>
      </c>
      <c r="C436" s="47">
        <f>SUMIFS('On The Board'!$M$5:$M$219,'On The Board'!F$5:F$219,"&lt;="&amp;$B436,'On The Board'!E$5:E$219,"="&amp;FutureWork)</f>
        <v>0</v>
      </c>
      <c r="D436" s="47" t="str">
        <f ca="1">IF(TodaysDate&gt;=B436,SUMIF('On The Board'!F$5:F$219,"&lt;="&amp;$B436,'On The Board'!$M$5:$M$219)-SUM(F436:J436),"")</f>
        <v/>
      </c>
      <c r="E436" s="12">
        <f ca="1">IF(TodaysDate&gt;=B436,SUMIF('On The Board'!F$5:F$219,"&lt;="&amp;$B436,'On The Board'!$M$5:$M$219)-SUM(F436:J436),E435)</f>
        <v>47</v>
      </c>
      <c r="F436" s="12">
        <f>SUMIF('On The Board'!G$5:G$219,"&lt;="&amp;$B436,'On The Board'!$M$5:$M$219)-SUM(G436:J436)</f>
        <v>0</v>
      </c>
      <c r="G436" s="12">
        <f>SUMIF('On The Board'!H$5:H$219,"&lt;="&amp;$B436,'On The Board'!$M$5:$M$219)-SUM(H436:J436)</f>
        <v>5</v>
      </c>
      <c r="H436" s="12">
        <f>SUMIF('On The Board'!I$5:I$219,"&lt;="&amp;$B436,'On The Board'!$M$5:$M$219)-SUM(I436,J436)</f>
        <v>2</v>
      </c>
      <c r="I436" s="12">
        <f>SUMIF('On The Board'!J$5:J$219,"&lt;="&amp;$B436,'On The Board'!$M$5:$M$219)-SUM(J436)</f>
        <v>0</v>
      </c>
      <c r="J436" s="12">
        <f>SUMIF('On The Board'!K$5:K$219,"&lt;="&amp;$B436,'On The Board'!$M$5:$M$219)</f>
        <v>70</v>
      </c>
      <c r="K436" s="10">
        <f t="shared" si="46"/>
        <v>77</v>
      </c>
      <c r="L436" s="10" t="e">
        <f ca="1">IF(TodaysDate&gt;=B436,SUM(F436:I436),NA())</f>
        <v>#N/A</v>
      </c>
      <c r="M436" s="44" t="e">
        <f t="shared" ca="1" si="49"/>
        <v>#N/A</v>
      </c>
      <c r="N436" s="44" t="e">
        <f ca="1">IF(ISNUMBER(M436),(J436-J426)/NETWORKDAYS(B426,B436,BankHolidays),NA())</f>
        <v>#N/A</v>
      </c>
      <c r="O436" s="44" t="e">
        <f t="shared" ca="1" si="48"/>
        <v>#N/A</v>
      </c>
      <c r="P436" s="53" t="e">
        <f t="shared" ca="1" si="50"/>
        <v>#N/A</v>
      </c>
      <c r="Q436" s="53" t="str">
        <f ca="1">IFERROR(DayByDayTable[[#This Row],[Lead Time]],"")</f>
        <v/>
      </c>
      <c r="R436" s="44" t="e">
        <f t="shared" ca="1" si="51"/>
        <v>#N/A</v>
      </c>
      <c r="S436" s="44">
        <f ca="1">ROUND(PERCENTILE(DayByDayTable[[#Data],[BlankLeadTime]],0.8),0)</f>
        <v>8</v>
      </c>
    </row>
    <row r="437" spans="1:19">
      <c r="A437" s="51">
        <f t="shared" si="45"/>
        <v>43034</v>
      </c>
      <c r="B437" s="11">
        <f t="shared" si="47"/>
        <v>43034</v>
      </c>
      <c r="C437" s="47">
        <f>SUMIFS('On The Board'!$M$5:$M$219,'On The Board'!F$5:F$219,"&lt;="&amp;$B437,'On The Board'!E$5:E$219,"="&amp;FutureWork)</f>
        <v>0</v>
      </c>
      <c r="D437" s="47" t="str">
        <f ca="1">IF(TodaysDate&gt;=B437,SUMIF('On The Board'!F$5:F$219,"&lt;="&amp;$B437,'On The Board'!$M$5:$M$219)-SUM(F437:J437),"")</f>
        <v/>
      </c>
      <c r="E437" s="12">
        <f ca="1">IF(TodaysDate&gt;=B437,SUMIF('On The Board'!F$5:F$219,"&lt;="&amp;$B437,'On The Board'!$M$5:$M$219)-SUM(F437:J437),E436)</f>
        <v>47</v>
      </c>
      <c r="F437" s="12">
        <f>SUMIF('On The Board'!G$5:G$219,"&lt;="&amp;$B437,'On The Board'!$M$5:$M$219)-SUM(G437:J437)</f>
        <v>0</v>
      </c>
      <c r="G437" s="12">
        <f>SUMIF('On The Board'!H$5:H$219,"&lt;="&amp;$B437,'On The Board'!$M$5:$M$219)-SUM(H437:J437)</f>
        <v>5</v>
      </c>
      <c r="H437" s="12">
        <f>SUMIF('On The Board'!I$5:I$219,"&lt;="&amp;$B437,'On The Board'!$M$5:$M$219)-SUM(I437,J437)</f>
        <v>2</v>
      </c>
      <c r="I437" s="12">
        <f>SUMIF('On The Board'!J$5:J$219,"&lt;="&amp;$B437,'On The Board'!$M$5:$M$219)-SUM(J437)</f>
        <v>0</v>
      </c>
      <c r="J437" s="12">
        <f>SUMIF('On The Board'!K$5:K$219,"&lt;="&amp;$B437,'On The Board'!$M$5:$M$219)</f>
        <v>70</v>
      </c>
      <c r="K437" s="10">
        <f t="shared" si="46"/>
        <v>77</v>
      </c>
      <c r="L437" s="10" t="e">
        <f ca="1">IF(TodaysDate&gt;=B437,SUM(F437:I437),NA())</f>
        <v>#N/A</v>
      </c>
      <c r="M437" s="44" t="e">
        <f t="shared" ca="1" si="49"/>
        <v>#N/A</v>
      </c>
      <c r="N437" s="44" t="e">
        <f ca="1">IF(ISNUMBER(M437),(J437-J427)/NETWORKDAYS(B427,B437,BankHolidays),NA())</f>
        <v>#N/A</v>
      </c>
      <c r="O437" s="44" t="e">
        <f t="shared" ca="1" si="48"/>
        <v>#N/A</v>
      </c>
      <c r="P437" s="53" t="e">
        <f t="shared" ca="1" si="50"/>
        <v>#N/A</v>
      </c>
      <c r="Q437" s="53" t="str">
        <f ca="1">IFERROR(DayByDayTable[[#This Row],[Lead Time]],"")</f>
        <v/>
      </c>
      <c r="R437" s="44" t="e">
        <f t="shared" ca="1" si="51"/>
        <v>#N/A</v>
      </c>
      <c r="S437" s="44">
        <f ca="1">ROUND(PERCENTILE(DayByDayTable[[#Data],[BlankLeadTime]],0.8),0)</f>
        <v>8</v>
      </c>
    </row>
    <row r="438" spans="1:19">
      <c r="A438" s="51">
        <f t="shared" si="45"/>
        <v>43035</v>
      </c>
      <c r="B438" s="11">
        <f t="shared" si="47"/>
        <v>43035</v>
      </c>
      <c r="C438" s="47">
        <f>SUMIFS('On The Board'!$M$5:$M$219,'On The Board'!F$5:F$219,"&lt;="&amp;$B438,'On The Board'!E$5:E$219,"="&amp;FutureWork)</f>
        <v>0</v>
      </c>
      <c r="D438" s="47" t="str">
        <f ca="1">IF(TodaysDate&gt;=B438,SUMIF('On The Board'!F$5:F$219,"&lt;="&amp;$B438,'On The Board'!$M$5:$M$219)-SUM(F438:J438),"")</f>
        <v/>
      </c>
      <c r="E438" s="12">
        <f ca="1">IF(TodaysDate&gt;=B438,SUMIF('On The Board'!F$5:F$219,"&lt;="&amp;$B438,'On The Board'!$M$5:$M$219)-SUM(F438:J438),E437)</f>
        <v>47</v>
      </c>
      <c r="F438" s="12">
        <f>SUMIF('On The Board'!G$5:G$219,"&lt;="&amp;$B438,'On The Board'!$M$5:$M$219)-SUM(G438:J438)</f>
        <v>0</v>
      </c>
      <c r="G438" s="12">
        <f>SUMIF('On The Board'!H$5:H$219,"&lt;="&amp;$B438,'On The Board'!$M$5:$M$219)-SUM(H438:J438)</f>
        <v>5</v>
      </c>
      <c r="H438" s="12">
        <f>SUMIF('On The Board'!I$5:I$219,"&lt;="&amp;$B438,'On The Board'!$M$5:$M$219)-SUM(I438,J438)</f>
        <v>2</v>
      </c>
      <c r="I438" s="12">
        <f>SUMIF('On The Board'!J$5:J$219,"&lt;="&amp;$B438,'On The Board'!$M$5:$M$219)-SUM(J438)</f>
        <v>0</v>
      </c>
      <c r="J438" s="12">
        <f>SUMIF('On The Board'!K$5:K$219,"&lt;="&amp;$B438,'On The Board'!$M$5:$M$219)</f>
        <v>70</v>
      </c>
      <c r="K438" s="10">
        <f t="shared" si="46"/>
        <v>77</v>
      </c>
      <c r="L438" s="10" t="e">
        <f ca="1">IF(TodaysDate&gt;=B438,SUM(F438:I438),NA())</f>
        <v>#N/A</v>
      </c>
      <c r="M438" s="44" t="e">
        <f t="shared" ca="1" si="49"/>
        <v>#N/A</v>
      </c>
      <c r="N438" s="44" t="e">
        <f ca="1">IF(ISNUMBER(M438),(J438-J428)/NETWORKDAYS(B428,B438,BankHolidays),NA())</f>
        <v>#N/A</v>
      </c>
      <c r="O438" s="44" t="e">
        <f t="shared" ca="1" si="48"/>
        <v>#N/A</v>
      </c>
      <c r="P438" s="53" t="e">
        <f t="shared" ca="1" si="50"/>
        <v>#N/A</v>
      </c>
      <c r="Q438" s="53" t="str">
        <f ca="1">IFERROR(DayByDayTable[[#This Row],[Lead Time]],"")</f>
        <v/>
      </c>
      <c r="R438" s="44" t="e">
        <f t="shared" ca="1" si="51"/>
        <v>#N/A</v>
      </c>
      <c r="S438" s="44">
        <f ca="1">ROUND(PERCENTILE(DayByDayTable[[#Data],[BlankLeadTime]],0.8),0)</f>
        <v>8</v>
      </c>
    </row>
    <row r="439" spans="1:19">
      <c r="A439" s="51">
        <f t="shared" si="45"/>
        <v>43038</v>
      </c>
      <c r="B439" s="11">
        <f t="shared" si="47"/>
        <v>43038</v>
      </c>
      <c r="C439" s="47">
        <f>SUMIFS('On The Board'!$M$5:$M$219,'On The Board'!F$5:F$219,"&lt;="&amp;$B439,'On The Board'!E$5:E$219,"="&amp;FutureWork)</f>
        <v>0</v>
      </c>
      <c r="D439" s="47" t="str">
        <f ca="1">IF(TodaysDate&gt;=B439,SUMIF('On The Board'!F$5:F$219,"&lt;="&amp;$B439,'On The Board'!$M$5:$M$219)-SUM(F439:J439),"")</f>
        <v/>
      </c>
      <c r="E439" s="12">
        <f ca="1">IF(TodaysDate&gt;=B439,SUMIF('On The Board'!F$5:F$219,"&lt;="&amp;$B439,'On The Board'!$M$5:$M$219)-SUM(F439:J439),E438)</f>
        <v>47</v>
      </c>
      <c r="F439" s="12">
        <f>SUMIF('On The Board'!G$5:G$219,"&lt;="&amp;$B439,'On The Board'!$M$5:$M$219)-SUM(G439:J439)</f>
        <v>0</v>
      </c>
      <c r="G439" s="12">
        <f>SUMIF('On The Board'!H$5:H$219,"&lt;="&amp;$B439,'On The Board'!$M$5:$M$219)-SUM(H439:J439)</f>
        <v>5</v>
      </c>
      <c r="H439" s="12">
        <f>SUMIF('On The Board'!I$5:I$219,"&lt;="&amp;$B439,'On The Board'!$M$5:$M$219)-SUM(I439,J439)</f>
        <v>2</v>
      </c>
      <c r="I439" s="12">
        <f>SUMIF('On The Board'!J$5:J$219,"&lt;="&amp;$B439,'On The Board'!$M$5:$M$219)-SUM(J439)</f>
        <v>0</v>
      </c>
      <c r="J439" s="12">
        <f>SUMIF('On The Board'!K$5:K$219,"&lt;="&amp;$B439,'On The Board'!$M$5:$M$219)</f>
        <v>70</v>
      </c>
      <c r="K439" s="10">
        <f t="shared" si="46"/>
        <v>77</v>
      </c>
      <c r="L439" s="10" t="e">
        <f ca="1">IF(TodaysDate&gt;=B439,SUM(F439:I439),NA())</f>
        <v>#N/A</v>
      </c>
      <c r="M439" s="44" t="e">
        <f t="shared" ca="1" si="49"/>
        <v>#N/A</v>
      </c>
      <c r="N439" s="44" t="e">
        <f ca="1">IF(ISNUMBER(M439),(J439-J429)/NETWORKDAYS(B429,B439,BankHolidays),NA())</f>
        <v>#N/A</v>
      </c>
      <c r="O439" s="44" t="e">
        <f t="shared" ca="1" si="48"/>
        <v>#N/A</v>
      </c>
      <c r="P439" s="53" t="e">
        <f t="shared" ca="1" si="50"/>
        <v>#N/A</v>
      </c>
      <c r="Q439" s="53" t="str">
        <f ca="1">IFERROR(DayByDayTable[[#This Row],[Lead Time]],"")</f>
        <v/>
      </c>
      <c r="R439" s="44" t="e">
        <f t="shared" ca="1" si="51"/>
        <v>#N/A</v>
      </c>
      <c r="S439" s="44">
        <f ca="1">ROUND(PERCENTILE(DayByDayTable[[#Data],[BlankLeadTime]],0.8),0)</f>
        <v>8</v>
      </c>
    </row>
    <row r="440" spans="1:19">
      <c r="A440" s="51">
        <f t="shared" si="45"/>
        <v>43039</v>
      </c>
      <c r="B440" s="11">
        <f t="shared" si="47"/>
        <v>43039</v>
      </c>
      <c r="C440" s="47">
        <f>SUMIFS('On The Board'!$M$5:$M$219,'On The Board'!F$5:F$219,"&lt;="&amp;$B440,'On The Board'!E$5:E$219,"="&amp;FutureWork)</f>
        <v>0</v>
      </c>
      <c r="D440" s="47" t="str">
        <f ca="1">IF(TodaysDate&gt;=B440,SUMIF('On The Board'!F$5:F$219,"&lt;="&amp;$B440,'On The Board'!$M$5:$M$219)-SUM(F440:J440),"")</f>
        <v/>
      </c>
      <c r="E440" s="12">
        <f ca="1">IF(TodaysDate&gt;=B440,SUMIF('On The Board'!F$5:F$219,"&lt;="&amp;$B440,'On The Board'!$M$5:$M$219)-SUM(F440:J440),E439)</f>
        <v>47</v>
      </c>
      <c r="F440" s="12">
        <f>SUMIF('On The Board'!G$5:G$219,"&lt;="&amp;$B440,'On The Board'!$M$5:$M$219)-SUM(G440:J440)</f>
        <v>0</v>
      </c>
      <c r="G440" s="12">
        <f>SUMIF('On The Board'!H$5:H$219,"&lt;="&amp;$B440,'On The Board'!$M$5:$M$219)-SUM(H440:J440)</f>
        <v>5</v>
      </c>
      <c r="H440" s="12">
        <f>SUMIF('On The Board'!I$5:I$219,"&lt;="&amp;$B440,'On The Board'!$M$5:$M$219)-SUM(I440,J440)</f>
        <v>2</v>
      </c>
      <c r="I440" s="12">
        <f>SUMIF('On The Board'!J$5:J$219,"&lt;="&amp;$B440,'On The Board'!$M$5:$M$219)-SUM(J440)</f>
        <v>0</v>
      </c>
      <c r="J440" s="12">
        <f>SUMIF('On The Board'!K$5:K$219,"&lt;="&amp;$B440,'On The Board'!$M$5:$M$219)</f>
        <v>70</v>
      </c>
      <c r="K440" s="10">
        <f t="shared" si="46"/>
        <v>77</v>
      </c>
      <c r="L440" s="10" t="e">
        <f ca="1">IF(TodaysDate&gt;=B440,SUM(F440:I440),NA())</f>
        <v>#N/A</v>
      </c>
      <c r="M440" s="44" t="e">
        <f t="shared" ca="1" si="49"/>
        <v>#N/A</v>
      </c>
      <c r="N440" s="44" t="e">
        <f ca="1">IF(ISNUMBER(M440),(J440-J430)/NETWORKDAYS(B430,B440,BankHolidays),NA())</f>
        <v>#N/A</v>
      </c>
      <c r="O440" s="44" t="e">
        <f t="shared" ca="1" si="48"/>
        <v>#N/A</v>
      </c>
      <c r="P440" s="53" t="e">
        <f t="shared" ca="1" si="50"/>
        <v>#N/A</v>
      </c>
      <c r="Q440" s="53" t="str">
        <f ca="1">IFERROR(DayByDayTable[[#This Row],[Lead Time]],"")</f>
        <v/>
      </c>
      <c r="R440" s="44" t="e">
        <f t="shared" ca="1" si="51"/>
        <v>#N/A</v>
      </c>
      <c r="S440" s="44">
        <f ca="1">ROUND(PERCENTILE(DayByDayTable[[#Data],[BlankLeadTime]],0.8),0)</f>
        <v>8</v>
      </c>
    </row>
    <row r="441" spans="1:19">
      <c r="A441" s="51">
        <f t="shared" si="45"/>
        <v>43040</v>
      </c>
      <c r="B441" s="11">
        <f t="shared" si="47"/>
        <v>43040</v>
      </c>
      <c r="C441" s="47">
        <f>SUMIFS('On The Board'!$M$5:$M$219,'On The Board'!F$5:F$219,"&lt;="&amp;$B441,'On The Board'!E$5:E$219,"="&amp;FutureWork)</f>
        <v>0</v>
      </c>
      <c r="D441" s="47" t="str">
        <f ca="1">IF(TodaysDate&gt;=B441,SUMIF('On The Board'!F$5:F$219,"&lt;="&amp;$B441,'On The Board'!$M$5:$M$219)-SUM(F441:J441),"")</f>
        <v/>
      </c>
      <c r="E441" s="12">
        <f ca="1">IF(TodaysDate&gt;=B441,SUMIF('On The Board'!F$5:F$219,"&lt;="&amp;$B441,'On The Board'!$M$5:$M$219)-SUM(F441:J441),E440)</f>
        <v>47</v>
      </c>
      <c r="F441" s="12">
        <f>SUMIF('On The Board'!G$5:G$219,"&lt;="&amp;$B441,'On The Board'!$M$5:$M$219)-SUM(G441:J441)</f>
        <v>0</v>
      </c>
      <c r="G441" s="12">
        <f>SUMIF('On The Board'!H$5:H$219,"&lt;="&amp;$B441,'On The Board'!$M$5:$M$219)-SUM(H441:J441)</f>
        <v>5</v>
      </c>
      <c r="H441" s="12">
        <f>SUMIF('On The Board'!I$5:I$219,"&lt;="&amp;$B441,'On The Board'!$M$5:$M$219)-SUM(I441,J441)</f>
        <v>2</v>
      </c>
      <c r="I441" s="12">
        <f>SUMIF('On The Board'!J$5:J$219,"&lt;="&amp;$B441,'On The Board'!$M$5:$M$219)-SUM(J441)</f>
        <v>0</v>
      </c>
      <c r="J441" s="12">
        <f>SUMIF('On The Board'!K$5:K$219,"&lt;="&amp;$B441,'On The Board'!$M$5:$M$219)</f>
        <v>70</v>
      </c>
      <c r="K441" s="10">
        <f t="shared" si="46"/>
        <v>77</v>
      </c>
      <c r="L441" s="10" t="e">
        <f ca="1">IF(TodaysDate&gt;=B441,SUM(F441:I441),NA())</f>
        <v>#N/A</v>
      </c>
      <c r="M441" s="44" t="e">
        <f t="shared" ca="1" si="49"/>
        <v>#N/A</v>
      </c>
      <c r="N441" s="44" t="e">
        <f ca="1">IF(ISNUMBER(M441),(J441-J431)/NETWORKDAYS(B431,B441,BankHolidays),NA())</f>
        <v>#N/A</v>
      </c>
      <c r="O441" s="44" t="e">
        <f t="shared" ca="1" si="48"/>
        <v>#N/A</v>
      </c>
      <c r="P441" s="53" t="e">
        <f t="shared" ca="1" si="50"/>
        <v>#N/A</v>
      </c>
      <c r="Q441" s="53" t="str">
        <f ca="1">IFERROR(DayByDayTable[[#This Row],[Lead Time]],"")</f>
        <v/>
      </c>
      <c r="R441" s="44" t="e">
        <f t="shared" ca="1" si="51"/>
        <v>#N/A</v>
      </c>
      <c r="S441" s="44">
        <f ca="1">ROUND(PERCENTILE(DayByDayTable[[#Data],[BlankLeadTime]],0.8),0)</f>
        <v>8</v>
      </c>
    </row>
    <row r="442" spans="1:19">
      <c r="A442" s="51">
        <f t="shared" si="45"/>
        <v>43041</v>
      </c>
      <c r="B442" s="11">
        <f t="shared" si="47"/>
        <v>43041</v>
      </c>
      <c r="C442" s="47">
        <f>SUMIFS('On The Board'!$M$5:$M$219,'On The Board'!F$5:F$219,"&lt;="&amp;$B442,'On The Board'!E$5:E$219,"="&amp;FutureWork)</f>
        <v>0</v>
      </c>
      <c r="D442" s="47" t="str">
        <f ca="1">IF(TodaysDate&gt;=B442,SUMIF('On The Board'!F$5:F$219,"&lt;="&amp;$B442,'On The Board'!$M$5:$M$219)-SUM(F442:J442),"")</f>
        <v/>
      </c>
      <c r="E442" s="12">
        <f ca="1">IF(TodaysDate&gt;=B442,SUMIF('On The Board'!F$5:F$219,"&lt;="&amp;$B442,'On The Board'!$M$5:$M$219)-SUM(F442:J442),E441)</f>
        <v>47</v>
      </c>
      <c r="F442" s="12">
        <f>SUMIF('On The Board'!G$5:G$219,"&lt;="&amp;$B442,'On The Board'!$M$5:$M$219)-SUM(G442:J442)</f>
        <v>0</v>
      </c>
      <c r="G442" s="12">
        <f>SUMIF('On The Board'!H$5:H$219,"&lt;="&amp;$B442,'On The Board'!$M$5:$M$219)-SUM(H442:J442)</f>
        <v>5</v>
      </c>
      <c r="H442" s="12">
        <f>SUMIF('On The Board'!I$5:I$219,"&lt;="&amp;$B442,'On The Board'!$M$5:$M$219)-SUM(I442,J442)</f>
        <v>2</v>
      </c>
      <c r="I442" s="12">
        <f>SUMIF('On The Board'!J$5:J$219,"&lt;="&amp;$B442,'On The Board'!$M$5:$M$219)-SUM(J442)</f>
        <v>0</v>
      </c>
      <c r="J442" s="12">
        <f>SUMIF('On The Board'!K$5:K$219,"&lt;="&amp;$B442,'On The Board'!$M$5:$M$219)</f>
        <v>70</v>
      </c>
      <c r="K442" s="10">
        <f t="shared" si="46"/>
        <v>77</v>
      </c>
      <c r="L442" s="10" t="e">
        <f ca="1">IF(TodaysDate&gt;=B442,SUM(F442:I442),NA())</f>
        <v>#N/A</v>
      </c>
      <c r="M442" s="44" t="e">
        <f t="shared" ca="1" si="49"/>
        <v>#N/A</v>
      </c>
      <c r="N442" s="44" t="e">
        <f ca="1">IF(ISNUMBER(M442),(J442-J432)/NETWORKDAYS(B432,B442,BankHolidays),NA())</f>
        <v>#N/A</v>
      </c>
      <c r="O442" s="44" t="e">
        <f t="shared" ca="1" si="48"/>
        <v>#N/A</v>
      </c>
      <c r="P442" s="53" t="e">
        <f t="shared" ca="1" si="50"/>
        <v>#N/A</v>
      </c>
      <c r="Q442" s="53" t="str">
        <f ca="1">IFERROR(DayByDayTable[[#This Row],[Lead Time]],"")</f>
        <v/>
      </c>
      <c r="R442" s="44" t="e">
        <f t="shared" ca="1" si="51"/>
        <v>#N/A</v>
      </c>
      <c r="S442" s="44">
        <f ca="1">ROUND(PERCENTILE(DayByDayTable[[#Data],[BlankLeadTime]],0.8),0)</f>
        <v>8</v>
      </c>
    </row>
    <row r="443" spans="1:19">
      <c r="A443" s="51">
        <f t="shared" si="45"/>
        <v>43042</v>
      </c>
      <c r="B443" s="11">
        <f t="shared" si="47"/>
        <v>43042</v>
      </c>
      <c r="C443" s="47">
        <f>SUMIFS('On The Board'!$M$5:$M$219,'On The Board'!F$5:F$219,"&lt;="&amp;$B443,'On The Board'!E$5:E$219,"="&amp;FutureWork)</f>
        <v>0</v>
      </c>
      <c r="D443" s="47" t="str">
        <f ca="1">IF(TodaysDate&gt;=B443,SUMIF('On The Board'!F$5:F$219,"&lt;="&amp;$B443,'On The Board'!$M$5:$M$219)-SUM(F443:J443),"")</f>
        <v/>
      </c>
      <c r="E443" s="12">
        <f ca="1">IF(TodaysDate&gt;=B443,SUMIF('On The Board'!F$5:F$219,"&lt;="&amp;$B443,'On The Board'!$M$5:$M$219)-SUM(F443:J443),E442)</f>
        <v>47</v>
      </c>
      <c r="F443" s="12">
        <f>SUMIF('On The Board'!G$5:G$219,"&lt;="&amp;$B443,'On The Board'!$M$5:$M$219)-SUM(G443:J443)</f>
        <v>0</v>
      </c>
      <c r="G443" s="12">
        <f>SUMIF('On The Board'!H$5:H$219,"&lt;="&amp;$B443,'On The Board'!$M$5:$M$219)-SUM(H443:J443)</f>
        <v>5</v>
      </c>
      <c r="H443" s="12">
        <f>SUMIF('On The Board'!I$5:I$219,"&lt;="&amp;$B443,'On The Board'!$M$5:$M$219)-SUM(I443,J443)</f>
        <v>2</v>
      </c>
      <c r="I443" s="12">
        <f>SUMIF('On The Board'!J$5:J$219,"&lt;="&amp;$B443,'On The Board'!$M$5:$M$219)-SUM(J443)</f>
        <v>0</v>
      </c>
      <c r="J443" s="12">
        <f>SUMIF('On The Board'!K$5:K$219,"&lt;="&amp;$B443,'On The Board'!$M$5:$M$219)</f>
        <v>70</v>
      </c>
      <c r="K443" s="10">
        <f t="shared" si="46"/>
        <v>77</v>
      </c>
      <c r="L443" s="10" t="e">
        <f ca="1">IF(TodaysDate&gt;=B443,SUM(F443:I443),NA())</f>
        <v>#N/A</v>
      </c>
      <c r="M443" s="44" t="e">
        <f t="shared" ca="1" si="49"/>
        <v>#N/A</v>
      </c>
      <c r="N443" s="44" t="e">
        <f ca="1">IF(ISNUMBER(M443),(J443-J433)/NETWORKDAYS(B433,B443,BankHolidays),NA())</f>
        <v>#N/A</v>
      </c>
      <c r="O443" s="44" t="e">
        <f t="shared" ca="1" si="48"/>
        <v>#N/A</v>
      </c>
      <c r="P443" s="53" t="e">
        <f t="shared" ca="1" si="50"/>
        <v>#N/A</v>
      </c>
      <c r="Q443" s="53" t="str">
        <f ca="1">IFERROR(DayByDayTable[[#This Row],[Lead Time]],"")</f>
        <v/>
      </c>
      <c r="R443" s="44" t="e">
        <f t="shared" ca="1" si="51"/>
        <v>#N/A</v>
      </c>
      <c r="S443" s="44">
        <f ca="1">ROUND(PERCENTILE(DayByDayTable[[#Data],[BlankLeadTime]],0.8),0)</f>
        <v>8</v>
      </c>
    </row>
    <row r="444" spans="1:19">
      <c r="A444" s="51">
        <f t="shared" si="45"/>
        <v>43045</v>
      </c>
      <c r="B444" s="11">
        <f t="shared" si="47"/>
        <v>43045</v>
      </c>
      <c r="C444" s="47">
        <f>SUMIFS('On The Board'!$M$5:$M$219,'On The Board'!F$5:F$219,"&lt;="&amp;$B444,'On The Board'!E$5:E$219,"="&amp;FutureWork)</f>
        <v>0</v>
      </c>
      <c r="D444" s="47" t="str">
        <f ca="1">IF(TodaysDate&gt;=B444,SUMIF('On The Board'!F$5:F$219,"&lt;="&amp;$B444,'On The Board'!$M$5:$M$219)-SUM(F444:J444),"")</f>
        <v/>
      </c>
      <c r="E444" s="12">
        <f ca="1">IF(TodaysDate&gt;=B444,SUMIF('On The Board'!F$5:F$219,"&lt;="&amp;$B444,'On The Board'!$M$5:$M$219)-SUM(F444:J444),E443)</f>
        <v>47</v>
      </c>
      <c r="F444" s="12">
        <f>SUMIF('On The Board'!G$5:G$219,"&lt;="&amp;$B444,'On The Board'!$M$5:$M$219)-SUM(G444:J444)</f>
        <v>0</v>
      </c>
      <c r="G444" s="12">
        <f>SUMIF('On The Board'!H$5:H$219,"&lt;="&amp;$B444,'On The Board'!$M$5:$M$219)-SUM(H444:J444)</f>
        <v>5</v>
      </c>
      <c r="H444" s="12">
        <f>SUMIF('On The Board'!I$5:I$219,"&lt;="&amp;$B444,'On The Board'!$M$5:$M$219)-SUM(I444,J444)</f>
        <v>2</v>
      </c>
      <c r="I444" s="12">
        <f>SUMIF('On The Board'!J$5:J$219,"&lt;="&amp;$B444,'On The Board'!$M$5:$M$219)-SUM(J444)</f>
        <v>0</v>
      </c>
      <c r="J444" s="12">
        <f>SUMIF('On The Board'!K$5:K$219,"&lt;="&amp;$B444,'On The Board'!$M$5:$M$219)</f>
        <v>70</v>
      </c>
      <c r="K444" s="10">
        <f t="shared" si="46"/>
        <v>77</v>
      </c>
      <c r="L444" s="10" t="e">
        <f ca="1">IF(TodaysDate&gt;=B444,SUM(F444:I444),NA())</f>
        <v>#N/A</v>
      </c>
      <c r="M444" s="44" t="e">
        <f t="shared" ca="1" si="49"/>
        <v>#N/A</v>
      </c>
      <c r="N444" s="44" t="e">
        <f ca="1">IF(ISNUMBER(M444),(J444-J434)/NETWORKDAYS(B434,B444,BankHolidays),NA())</f>
        <v>#N/A</v>
      </c>
      <c r="O444" s="44" t="e">
        <f t="shared" ca="1" si="48"/>
        <v>#N/A</v>
      </c>
      <c r="P444" s="53" t="e">
        <f t="shared" ca="1" si="50"/>
        <v>#N/A</v>
      </c>
      <c r="Q444" s="53" t="str">
        <f ca="1">IFERROR(DayByDayTable[[#This Row],[Lead Time]],"")</f>
        <v/>
      </c>
      <c r="R444" s="44" t="e">
        <f t="shared" ca="1" si="51"/>
        <v>#N/A</v>
      </c>
      <c r="S444" s="44">
        <f ca="1">ROUND(PERCENTILE(DayByDayTable[[#Data],[BlankLeadTime]],0.8),0)</f>
        <v>8</v>
      </c>
    </row>
    <row r="445" spans="1:19">
      <c r="A445" s="51">
        <f t="shared" si="45"/>
        <v>43046</v>
      </c>
      <c r="B445" s="11">
        <f t="shared" si="47"/>
        <v>43046</v>
      </c>
      <c r="C445" s="47">
        <f>SUMIFS('On The Board'!$M$5:$M$219,'On The Board'!F$5:F$219,"&lt;="&amp;$B445,'On The Board'!E$5:E$219,"="&amp;FutureWork)</f>
        <v>0</v>
      </c>
      <c r="D445" s="47" t="str">
        <f ca="1">IF(TodaysDate&gt;=B445,SUMIF('On The Board'!F$5:F$219,"&lt;="&amp;$B445,'On The Board'!$M$5:$M$219)-SUM(F445:J445),"")</f>
        <v/>
      </c>
      <c r="E445" s="12">
        <f ca="1">IF(TodaysDate&gt;=B445,SUMIF('On The Board'!F$5:F$219,"&lt;="&amp;$B445,'On The Board'!$M$5:$M$219)-SUM(F445:J445),E444)</f>
        <v>47</v>
      </c>
      <c r="F445" s="12">
        <f>SUMIF('On The Board'!G$5:G$219,"&lt;="&amp;$B445,'On The Board'!$M$5:$M$219)-SUM(G445:J445)</f>
        <v>0</v>
      </c>
      <c r="G445" s="12">
        <f>SUMIF('On The Board'!H$5:H$219,"&lt;="&amp;$B445,'On The Board'!$M$5:$M$219)-SUM(H445:J445)</f>
        <v>5</v>
      </c>
      <c r="H445" s="12">
        <f>SUMIF('On The Board'!I$5:I$219,"&lt;="&amp;$B445,'On The Board'!$M$5:$M$219)-SUM(I445,J445)</f>
        <v>2</v>
      </c>
      <c r="I445" s="12">
        <f>SUMIF('On The Board'!J$5:J$219,"&lt;="&amp;$B445,'On The Board'!$M$5:$M$219)-SUM(J445)</f>
        <v>0</v>
      </c>
      <c r="J445" s="12">
        <f>SUMIF('On The Board'!K$5:K$219,"&lt;="&amp;$B445,'On The Board'!$M$5:$M$219)</f>
        <v>70</v>
      </c>
      <c r="K445" s="10">
        <f t="shared" si="46"/>
        <v>77</v>
      </c>
      <c r="L445" s="10" t="e">
        <f ca="1">IF(TodaysDate&gt;=B445,SUM(F445:I445),NA())</f>
        <v>#N/A</v>
      </c>
      <c r="M445" s="44" t="e">
        <f t="shared" ca="1" si="49"/>
        <v>#N/A</v>
      </c>
      <c r="N445" s="44" t="e">
        <f ca="1">IF(ISNUMBER(M445),(J445-J435)/NETWORKDAYS(B435,B445,BankHolidays),NA())</f>
        <v>#N/A</v>
      </c>
      <c r="O445" s="44" t="e">
        <f t="shared" ca="1" si="48"/>
        <v>#N/A</v>
      </c>
      <c r="P445" s="53" t="e">
        <f t="shared" ca="1" si="50"/>
        <v>#N/A</v>
      </c>
      <c r="Q445" s="53" t="str">
        <f ca="1">IFERROR(DayByDayTable[[#This Row],[Lead Time]],"")</f>
        <v/>
      </c>
      <c r="R445" s="44" t="e">
        <f t="shared" ca="1" si="51"/>
        <v>#N/A</v>
      </c>
      <c r="S445" s="44">
        <f ca="1">ROUND(PERCENTILE(DayByDayTable[[#Data],[BlankLeadTime]],0.8),0)</f>
        <v>8</v>
      </c>
    </row>
    <row r="446" spans="1:19">
      <c r="A446" s="51">
        <f t="shared" si="45"/>
        <v>43047</v>
      </c>
      <c r="B446" s="11">
        <f t="shared" si="47"/>
        <v>43047</v>
      </c>
      <c r="C446" s="47">
        <f>SUMIFS('On The Board'!$M$5:$M$219,'On The Board'!F$5:F$219,"&lt;="&amp;$B446,'On The Board'!E$5:E$219,"="&amp;FutureWork)</f>
        <v>0</v>
      </c>
      <c r="D446" s="47" t="str">
        <f ca="1">IF(TodaysDate&gt;=B446,SUMIF('On The Board'!F$5:F$219,"&lt;="&amp;$B446,'On The Board'!$M$5:$M$219)-SUM(F446:J446),"")</f>
        <v/>
      </c>
      <c r="E446" s="12">
        <f ca="1">IF(TodaysDate&gt;=B446,SUMIF('On The Board'!F$5:F$219,"&lt;="&amp;$B446,'On The Board'!$M$5:$M$219)-SUM(F446:J446),E445)</f>
        <v>47</v>
      </c>
      <c r="F446" s="12">
        <f>SUMIF('On The Board'!G$5:G$219,"&lt;="&amp;$B446,'On The Board'!$M$5:$M$219)-SUM(G446:J446)</f>
        <v>0</v>
      </c>
      <c r="G446" s="12">
        <f>SUMIF('On The Board'!H$5:H$219,"&lt;="&amp;$B446,'On The Board'!$M$5:$M$219)-SUM(H446:J446)</f>
        <v>5</v>
      </c>
      <c r="H446" s="12">
        <f>SUMIF('On The Board'!I$5:I$219,"&lt;="&amp;$B446,'On The Board'!$M$5:$M$219)-SUM(I446,J446)</f>
        <v>2</v>
      </c>
      <c r="I446" s="12">
        <f>SUMIF('On The Board'!J$5:J$219,"&lt;="&amp;$B446,'On The Board'!$M$5:$M$219)-SUM(J446)</f>
        <v>0</v>
      </c>
      <c r="J446" s="12">
        <f>SUMIF('On The Board'!K$5:K$219,"&lt;="&amp;$B446,'On The Board'!$M$5:$M$219)</f>
        <v>70</v>
      </c>
      <c r="K446" s="10">
        <f t="shared" si="46"/>
        <v>77</v>
      </c>
      <c r="L446" s="10" t="e">
        <f ca="1">IF(TodaysDate&gt;=B446,SUM(F446:I446),NA())</f>
        <v>#N/A</v>
      </c>
      <c r="M446" s="44" t="e">
        <f t="shared" ca="1" si="49"/>
        <v>#N/A</v>
      </c>
      <c r="N446" s="44" t="e">
        <f ca="1">IF(ISNUMBER(M446),(J446-J436)/NETWORKDAYS(B436,B446,BankHolidays),NA())</f>
        <v>#N/A</v>
      </c>
      <c r="O446" s="44" t="e">
        <f t="shared" ca="1" si="48"/>
        <v>#N/A</v>
      </c>
      <c r="P446" s="53" t="e">
        <f t="shared" ca="1" si="50"/>
        <v>#N/A</v>
      </c>
      <c r="Q446" s="53" t="str">
        <f ca="1">IFERROR(DayByDayTable[[#This Row],[Lead Time]],"")</f>
        <v/>
      </c>
      <c r="R446" s="44" t="e">
        <f t="shared" ca="1" si="51"/>
        <v>#N/A</v>
      </c>
      <c r="S446" s="44">
        <f ca="1">ROUND(PERCENTILE(DayByDayTable[[#Data],[BlankLeadTime]],0.8),0)</f>
        <v>8</v>
      </c>
    </row>
    <row r="447" spans="1:19">
      <c r="A447" s="51">
        <f t="shared" ref="A447:A510" si="52">B447</f>
        <v>43048</v>
      </c>
      <c r="B447" s="11">
        <f t="shared" si="47"/>
        <v>43048</v>
      </c>
      <c r="C447" s="47">
        <f>SUMIFS('On The Board'!$M$5:$M$219,'On The Board'!F$5:F$219,"&lt;="&amp;$B447,'On The Board'!E$5:E$219,"="&amp;FutureWork)</f>
        <v>0</v>
      </c>
      <c r="D447" s="47" t="str">
        <f ca="1">IF(TodaysDate&gt;=B447,SUMIF('On The Board'!F$5:F$219,"&lt;="&amp;$B447,'On The Board'!$M$5:$M$219)-SUM(F447:J447),"")</f>
        <v/>
      </c>
      <c r="E447" s="12">
        <f ca="1">IF(TodaysDate&gt;=B447,SUMIF('On The Board'!F$5:F$219,"&lt;="&amp;$B447,'On The Board'!$M$5:$M$219)-SUM(F447:J447),E446)</f>
        <v>47</v>
      </c>
      <c r="F447" s="12">
        <f>SUMIF('On The Board'!G$5:G$219,"&lt;="&amp;$B447,'On The Board'!$M$5:$M$219)-SUM(G447:J447)</f>
        <v>0</v>
      </c>
      <c r="G447" s="12">
        <f>SUMIF('On The Board'!H$5:H$219,"&lt;="&amp;$B447,'On The Board'!$M$5:$M$219)-SUM(H447:J447)</f>
        <v>5</v>
      </c>
      <c r="H447" s="12">
        <f>SUMIF('On The Board'!I$5:I$219,"&lt;="&amp;$B447,'On The Board'!$M$5:$M$219)-SUM(I447,J447)</f>
        <v>2</v>
      </c>
      <c r="I447" s="12">
        <f>SUMIF('On The Board'!J$5:J$219,"&lt;="&amp;$B447,'On The Board'!$M$5:$M$219)-SUM(J447)</f>
        <v>0</v>
      </c>
      <c r="J447" s="12">
        <f>SUMIF('On The Board'!K$5:K$219,"&lt;="&amp;$B447,'On The Board'!$M$5:$M$219)</f>
        <v>70</v>
      </c>
      <c r="K447" s="10">
        <f t="shared" ref="K447:K510" si="53">SUM(F447:J447)</f>
        <v>77</v>
      </c>
      <c r="L447" s="10" t="e">
        <f ca="1">IF(TodaysDate&gt;=B447,SUM(F447:I447),NA())</f>
        <v>#N/A</v>
      </c>
      <c r="M447" s="44" t="e">
        <f t="shared" ca="1" si="49"/>
        <v>#N/A</v>
      </c>
      <c r="N447" s="44" t="e">
        <f ca="1">IF(ISNUMBER(M447),(J447-J437)/NETWORKDAYS(B437,B447,BankHolidays),NA())</f>
        <v>#N/A</v>
      </c>
      <c r="O447" s="44" t="e">
        <f t="shared" ca="1" si="48"/>
        <v>#N/A</v>
      </c>
      <c r="P447" s="53" t="e">
        <f t="shared" ca="1" si="50"/>
        <v>#N/A</v>
      </c>
      <c r="Q447" s="53" t="str">
        <f ca="1">IFERROR(DayByDayTable[[#This Row],[Lead Time]],"")</f>
        <v/>
      </c>
      <c r="R447" s="44" t="e">
        <f t="shared" ca="1" si="51"/>
        <v>#N/A</v>
      </c>
      <c r="S447" s="44">
        <f ca="1">ROUND(PERCENTILE(DayByDayTable[[#Data],[BlankLeadTime]],0.8),0)</f>
        <v>8</v>
      </c>
    </row>
    <row r="448" spans="1:19">
      <c r="A448" s="51">
        <f t="shared" si="52"/>
        <v>43049</v>
      </c>
      <c r="B448" s="11">
        <f t="shared" si="47"/>
        <v>43049</v>
      </c>
      <c r="C448" s="47">
        <f>SUMIFS('On The Board'!$M$5:$M$219,'On The Board'!F$5:F$219,"&lt;="&amp;$B448,'On The Board'!E$5:E$219,"="&amp;FutureWork)</f>
        <v>0</v>
      </c>
      <c r="D448" s="47" t="str">
        <f ca="1">IF(TodaysDate&gt;=B448,SUMIF('On The Board'!F$5:F$219,"&lt;="&amp;$B448,'On The Board'!$M$5:$M$219)-SUM(F448:J448),"")</f>
        <v/>
      </c>
      <c r="E448" s="12">
        <f ca="1">IF(TodaysDate&gt;=B448,SUMIF('On The Board'!F$5:F$219,"&lt;="&amp;$B448,'On The Board'!$M$5:$M$219)-SUM(F448:J448),E447)</f>
        <v>47</v>
      </c>
      <c r="F448" s="12">
        <f>SUMIF('On The Board'!G$5:G$219,"&lt;="&amp;$B448,'On The Board'!$M$5:$M$219)-SUM(G448:J448)</f>
        <v>0</v>
      </c>
      <c r="G448" s="12">
        <f>SUMIF('On The Board'!H$5:H$219,"&lt;="&amp;$B448,'On The Board'!$M$5:$M$219)-SUM(H448:J448)</f>
        <v>5</v>
      </c>
      <c r="H448" s="12">
        <f>SUMIF('On The Board'!I$5:I$219,"&lt;="&amp;$B448,'On The Board'!$M$5:$M$219)-SUM(I448,J448)</f>
        <v>2</v>
      </c>
      <c r="I448" s="12">
        <f>SUMIF('On The Board'!J$5:J$219,"&lt;="&amp;$B448,'On The Board'!$M$5:$M$219)-SUM(J448)</f>
        <v>0</v>
      </c>
      <c r="J448" s="12">
        <f>SUMIF('On The Board'!K$5:K$219,"&lt;="&amp;$B448,'On The Board'!$M$5:$M$219)</f>
        <v>70</v>
      </c>
      <c r="K448" s="10">
        <f t="shared" si="53"/>
        <v>77</v>
      </c>
      <c r="L448" s="10" t="e">
        <f ca="1">IF(TodaysDate&gt;=B448,SUM(F448:I448),NA())</f>
        <v>#N/A</v>
      </c>
      <c r="M448" s="44" t="e">
        <f t="shared" ca="1" si="49"/>
        <v>#N/A</v>
      </c>
      <c r="N448" s="44" t="e">
        <f ca="1">IF(ISNUMBER(M448),(J448-J438)/NETWORKDAYS(B438,B448,BankHolidays),NA())</f>
        <v>#N/A</v>
      </c>
      <c r="O448" s="44" t="e">
        <f t="shared" ca="1" si="48"/>
        <v>#N/A</v>
      </c>
      <c r="P448" s="53" t="e">
        <f t="shared" ca="1" si="50"/>
        <v>#N/A</v>
      </c>
      <c r="Q448" s="53" t="str">
        <f ca="1">IFERROR(DayByDayTable[[#This Row],[Lead Time]],"")</f>
        <v/>
      </c>
      <c r="R448" s="44" t="e">
        <f t="shared" ca="1" si="51"/>
        <v>#N/A</v>
      </c>
      <c r="S448" s="44">
        <f ca="1">ROUND(PERCENTILE(DayByDayTable[[#Data],[BlankLeadTime]],0.8),0)</f>
        <v>8</v>
      </c>
    </row>
    <row r="449" spans="1:19">
      <c r="A449" s="51">
        <f t="shared" si="52"/>
        <v>43052</v>
      </c>
      <c r="B449" s="11">
        <f t="shared" si="47"/>
        <v>43052</v>
      </c>
      <c r="C449" s="47">
        <f>SUMIFS('On The Board'!$M$5:$M$219,'On The Board'!F$5:F$219,"&lt;="&amp;$B449,'On The Board'!E$5:E$219,"="&amp;FutureWork)</f>
        <v>0</v>
      </c>
      <c r="D449" s="47" t="str">
        <f ca="1">IF(TodaysDate&gt;=B449,SUMIF('On The Board'!F$5:F$219,"&lt;="&amp;$B449,'On The Board'!$M$5:$M$219)-SUM(F449:J449),"")</f>
        <v/>
      </c>
      <c r="E449" s="12">
        <f ca="1">IF(TodaysDate&gt;=B449,SUMIF('On The Board'!F$5:F$219,"&lt;="&amp;$B449,'On The Board'!$M$5:$M$219)-SUM(F449:J449),E448)</f>
        <v>47</v>
      </c>
      <c r="F449" s="12">
        <f>SUMIF('On The Board'!G$5:G$219,"&lt;="&amp;$B449,'On The Board'!$M$5:$M$219)-SUM(G449:J449)</f>
        <v>0</v>
      </c>
      <c r="G449" s="12">
        <f>SUMIF('On The Board'!H$5:H$219,"&lt;="&amp;$B449,'On The Board'!$M$5:$M$219)-SUM(H449:J449)</f>
        <v>5</v>
      </c>
      <c r="H449" s="12">
        <f>SUMIF('On The Board'!I$5:I$219,"&lt;="&amp;$B449,'On The Board'!$M$5:$M$219)-SUM(I449,J449)</f>
        <v>2</v>
      </c>
      <c r="I449" s="12">
        <f>SUMIF('On The Board'!J$5:J$219,"&lt;="&amp;$B449,'On The Board'!$M$5:$M$219)-SUM(J449)</f>
        <v>0</v>
      </c>
      <c r="J449" s="12">
        <f>SUMIF('On The Board'!K$5:K$219,"&lt;="&amp;$B449,'On The Board'!$M$5:$M$219)</f>
        <v>70</v>
      </c>
      <c r="K449" s="10">
        <f t="shared" si="53"/>
        <v>77</v>
      </c>
      <c r="L449" s="10" t="e">
        <f ca="1">IF(TodaysDate&gt;=B449,SUM(F449:I449),NA())</f>
        <v>#N/A</v>
      </c>
      <c r="M449" s="44" t="e">
        <f t="shared" ca="1" si="49"/>
        <v>#N/A</v>
      </c>
      <c r="N449" s="44" t="e">
        <f ca="1">IF(ISNUMBER(M449),(J449-J439)/NETWORKDAYS(B439,B449,BankHolidays),NA())</f>
        <v>#N/A</v>
      </c>
      <c r="O449" s="44" t="e">
        <f t="shared" ca="1" si="48"/>
        <v>#N/A</v>
      </c>
      <c r="P449" s="53" t="e">
        <f t="shared" ca="1" si="50"/>
        <v>#N/A</v>
      </c>
      <c r="Q449" s="53" t="str">
        <f ca="1">IFERROR(DayByDayTable[[#This Row],[Lead Time]],"")</f>
        <v/>
      </c>
      <c r="R449" s="44" t="e">
        <f t="shared" ca="1" si="51"/>
        <v>#N/A</v>
      </c>
      <c r="S449" s="44">
        <f ca="1">ROUND(PERCENTILE(DayByDayTable[[#Data],[BlankLeadTime]],0.8),0)</f>
        <v>8</v>
      </c>
    </row>
    <row r="450" spans="1:19">
      <c r="A450" s="51">
        <f t="shared" si="52"/>
        <v>43053</v>
      </c>
      <c r="B450" s="11">
        <f t="shared" si="47"/>
        <v>43053</v>
      </c>
      <c r="C450" s="47">
        <f>SUMIFS('On The Board'!$M$5:$M$219,'On The Board'!F$5:F$219,"&lt;="&amp;$B450,'On The Board'!E$5:E$219,"="&amp;FutureWork)</f>
        <v>0</v>
      </c>
      <c r="D450" s="47" t="str">
        <f ca="1">IF(TodaysDate&gt;=B450,SUMIF('On The Board'!F$5:F$219,"&lt;="&amp;$B450,'On The Board'!$M$5:$M$219)-SUM(F450:J450),"")</f>
        <v/>
      </c>
      <c r="E450" s="12">
        <f ca="1">IF(TodaysDate&gt;=B450,SUMIF('On The Board'!F$5:F$219,"&lt;="&amp;$B450,'On The Board'!$M$5:$M$219)-SUM(F450:J450),E449)</f>
        <v>47</v>
      </c>
      <c r="F450" s="12">
        <f>SUMIF('On The Board'!G$5:G$219,"&lt;="&amp;$B450,'On The Board'!$M$5:$M$219)-SUM(G450:J450)</f>
        <v>0</v>
      </c>
      <c r="G450" s="12">
        <f>SUMIF('On The Board'!H$5:H$219,"&lt;="&amp;$B450,'On The Board'!$M$5:$M$219)-SUM(H450:J450)</f>
        <v>5</v>
      </c>
      <c r="H450" s="12">
        <f>SUMIF('On The Board'!I$5:I$219,"&lt;="&amp;$B450,'On The Board'!$M$5:$M$219)-SUM(I450,J450)</f>
        <v>2</v>
      </c>
      <c r="I450" s="12">
        <f>SUMIF('On The Board'!J$5:J$219,"&lt;="&amp;$B450,'On The Board'!$M$5:$M$219)-SUM(J450)</f>
        <v>0</v>
      </c>
      <c r="J450" s="12">
        <f>SUMIF('On The Board'!K$5:K$219,"&lt;="&amp;$B450,'On The Board'!$M$5:$M$219)</f>
        <v>70</v>
      </c>
      <c r="K450" s="10">
        <f t="shared" si="53"/>
        <v>77</v>
      </c>
      <c r="L450" s="10" t="e">
        <f ca="1">IF(TodaysDate&gt;=B450,SUM(F450:I450),NA())</f>
        <v>#N/A</v>
      </c>
      <c r="M450" s="44" t="e">
        <f t="shared" ca="1" si="49"/>
        <v>#N/A</v>
      </c>
      <c r="N450" s="44" t="e">
        <f ca="1">IF(ISNUMBER(M450),(J450-J440)/NETWORKDAYS(B440,B450,BankHolidays),NA())</f>
        <v>#N/A</v>
      </c>
      <c r="O450" s="44" t="e">
        <f t="shared" ca="1" si="48"/>
        <v>#N/A</v>
      </c>
      <c r="P450" s="53" t="e">
        <f t="shared" ca="1" si="50"/>
        <v>#N/A</v>
      </c>
      <c r="Q450" s="53" t="str">
        <f ca="1">IFERROR(DayByDayTable[[#This Row],[Lead Time]],"")</f>
        <v/>
      </c>
      <c r="R450" s="44" t="e">
        <f t="shared" ca="1" si="51"/>
        <v>#N/A</v>
      </c>
      <c r="S450" s="44">
        <f ca="1">ROUND(PERCENTILE(DayByDayTable[[#Data],[BlankLeadTime]],0.8),0)</f>
        <v>8</v>
      </c>
    </row>
    <row r="451" spans="1:19">
      <c r="A451" s="51">
        <f t="shared" si="52"/>
        <v>43054</v>
      </c>
      <c r="B451" s="11">
        <f t="shared" ref="B451:B514" si="54">IF(NETWORKDAYS(B450,B450+1,BankHolidays)=2,B450+1,IF(NETWORKDAYS(B450,B450+2,BankHolidays)=2,B450+2,IF(NETWORKDAYS(B450,B450+3,BankHolidays)=2,B450+3,IF(NETWORKDAYS(B450,B450+4,BankHolidays)=2,B450+4,IF(NETWORKDAYS(B450,B450+5,BankHolidays)=2,B450+5,NA())))))</f>
        <v>43054</v>
      </c>
      <c r="C451" s="47">
        <f>SUMIFS('On The Board'!$M$5:$M$219,'On The Board'!F$5:F$219,"&lt;="&amp;$B451,'On The Board'!E$5:E$219,"="&amp;FutureWork)</f>
        <v>0</v>
      </c>
      <c r="D451" s="47" t="str">
        <f ca="1">IF(TodaysDate&gt;=B451,SUMIF('On The Board'!F$5:F$219,"&lt;="&amp;$B451,'On The Board'!$M$5:$M$219)-SUM(F451:J451),"")</f>
        <v/>
      </c>
      <c r="E451" s="12">
        <f ca="1">IF(TodaysDate&gt;=B451,SUMIF('On The Board'!F$5:F$219,"&lt;="&amp;$B451,'On The Board'!$M$5:$M$219)-SUM(F451:J451),E450)</f>
        <v>47</v>
      </c>
      <c r="F451" s="12">
        <f>SUMIF('On The Board'!G$5:G$219,"&lt;="&amp;$B451,'On The Board'!$M$5:$M$219)-SUM(G451:J451)</f>
        <v>0</v>
      </c>
      <c r="G451" s="12">
        <f>SUMIF('On The Board'!H$5:H$219,"&lt;="&amp;$B451,'On The Board'!$M$5:$M$219)-SUM(H451:J451)</f>
        <v>5</v>
      </c>
      <c r="H451" s="12">
        <f>SUMIF('On The Board'!I$5:I$219,"&lt;="&amp;$B451,'On The Board'!$M$5:$M$219)-SUM(I451,J451)</f>
        <v>2</v>
      </c>
      <c r="I451" s="12">
        <f>SUMIF('On The Board'!J$5:J$219,"&lt;="&amp;$B451,'On The Board'!$M$5:$M$219)-SUM(J451)</f>
        <v>0</v>
      </c>
      <c r="J451" s="12">
        <f>SUMIF('On The Board'!K$5:K$219,"&lt;="&amp;$B451,'On The Board'!$M$5:$M$219)</f>
        <v>70</v>
      </c>
      <c r="K451" s="10">
        <f t="shared" si="53"/>
        <v>77</v>
      </c>
      <c r="L451" s="10" t="e">
        <f ca="1">IF(TodaysDate&gt;=B451,SUM(F451:I451),NA())</f>
        <v>#N/A</v>
      </c>
      <c r="M451" s="44" t="e">
        <f t="shared" ca="1" si="49"/>
        <v>#N/A</v>
      </c>
      <c r="N451" s="44" t="e">
        <f ca="1">IF(ISNUMBER(M451),(J451-J441)/NETWORKDAYS(B441,B451,BankHolidays),NA())</f>
        <v>#N/A</v>
      </c>
      <c r="O451" s="44" t="e">
        <f t="shared" ref="O451:O514" ca="1" si="55">IF(N451&gt;0,M451/N451,NA())</f>
        <v>#N/A</v>
      </c>
      <c r="P451" s="53" t="e">
        <f t="shared" ca="1" si="50"/>
        <v>#N/A</v>
      </c>
      <c r="Q451" s="53" t="str">
        <f ca="1">IFERROR(DayByDayTable[[#This Row],[Lead Time]],"")</f>
        <v/>
      </c>
      <c r="R451" s="44" t="e">
        <f t="shared" ca="1" si="51"/>
        <v>#N/A</v>
      </c>
      <c r="S451" s="44">
        <f ca="1">ROUND(PERCENTILE(DayByDayTable[[#Data],[BlankLeadTime]],0.8),0)</f>
        <v>8</v>
      </c>
    </row>
    <row r="452" spans="1:19">
      <c r="A452" s="51">
        <f t="shared" si="52"/>
        <v>43055</v>
      </c>
      <c r="B452" s="11">
        <f t="shared" si="54"/>
        <v>43055</v>
      </c>
      <c r="C452" s="47">
        <f>SUMIFS('On The Board'!$M$5:$M$219,'On The Board'!F$5:F$219,"&lt;="&amp;$B452,'On The Board'!E$5:E$219,"="&amp;FutureWork)</f>
        <v>0</v>
      </c>
      <c r="D452" s="47" t="str">
        <f ca="1">IF(TodaysDate&gt;=B452,SUMIF('On The Board'!F$5:F$219,"&lt;="&amp;$B452,'On The Board'!$M$5:$M$219)-SUM(F452:J452),"")</f>
        <v/>
      </c>
      <c r="E452" s="12">
        <f ca="1">IF(TodaysDate&gt;=B452,SUMIF('On The Board'!F$5:F$219,"&lt;="&amp;$B452,'On The Board'!$M$5:$M$219)-SUM(F452:J452),E451)</f>
        <v>47</v>
      </c>
      <c r="F452" s="12">
        <f>SUMIF('On The Board'!G$5:G$219,"&lt;="&amp;$B452,'On The Board'!$M$5:$M$219)-SUM(G452:J452)</f>
        <v>0</v>
      </c>
      <c r="G452" s="12">
        <f>SUMIF('On The Board'!H$5:H$219,"&lt;="&amp;$B452,'On The Board'!$M$5:$M$219)-SUM(H452:J452)</f>
        <v>5</v>
      </c>
      <c r="H452" s="12">
        <f>SUMIF('On The Board'!I$5:I$219,"&lt;="&amp;$B452,'On The Board'!$M$5:$M$219)-SUM(I452,J452)</f>
        <v>2</v>
      </c>
      <c r="I452" s="12">
        <f>SUMIF('On The Board'!J$5:J$219,"&lt;="&amp;$B452,'On The Board'!$M$5:$M$219)-SUM(J452)</f>
        <v>0</v>
      </c>
      <c r="J452" s="12">
        <f>SUMIF('On The Board'!K$5:K$219,"&lt;="&amp;$B452,'On The Board'!$M$5:$M$219)</f>
        <v>70</v>
      </c>
      <c r="K452" s="10">
        <f t="shared" si="53"/>
        <v>77</v>
      </c>
      <c r="L452" s="10" t="e">
        <f ca="1">IF(TodaysDate&gt;=B452,SUM(F452:I452),NA())</f>
        <v>#N/A</v>
      </c>
      <c r="M452" s="44" t="e">
        <f t="shared" ca="1" si="49"/>
        <v>#N/A</v>
      </c>
      <c r="N452" s="44" t="e">
        <f ca="1">IF(ISNUMBER(M452),(J452-J442)/NETWORKDAYS(B442,B452,BankHolidays),NA())</f>
        <v>#N/A</v>
      </c>
      <c r="O452" s="44" t="e">
        <f t="shared" ca="1" si="55"/>
        <v>#N/A</v>
      </c>
      <c r="P452" s="53" t="e">
        <f t="shared" ca="1" si="50"/>
        <v>#N/A</v>
      </c>
      <c r="Q452" s="53" t="str">
        <f ca="1">IFERROR(DayByDayTable[[#This Row],[Lead Time]],"")</f>
        <v/>
      </c>
      <c r="R452" s="44" t="e">
        <f t="shared" ca="1" si="51"/>
        <v>#N/A</v>
      </c>
      <c r="S452" s="44">
        <f ca="1">ROUND(PERCENTILE(DayByDayTable[[#Data],[BlankLeadTime]],0.8),0)</f>
        <v>8</v>
      </c>
    </row>
    <row r="453" spans="1:19">
      <c r="A453" s="51">
        <f t="shared" si="52"/>
        <v>43056</v>
      </c>
      <c r="B453" s="11">
        <f t="shared" si="54"/>
        <v>43056</v>
      </c>
      <c r="C453" s="47">
        <f>SUMIFS('On The Board'!$M$5:$M$219,'On The Board'!F$5:F$219,"&lt;="&amp;$B453,'On The Board'!E$5:E$219,"="&amp;FutureWork)</f>
        <v>0</v>
      </c>
      <c r="D453" s="47" t="str">
        <f ca="1">IF(TodaysDate&gt;=B453,SUMIF('On The Board'!F$5:F$219,"&lt;="&amp;$B453,'On The Board'!$M$5:$M$219)-SUM(F453:J453),"")</f>
        <v/>
      </c>
      <c r="E453" s="12">
        <f ca="1">IF(TodaysDate&gt;=B453,SUMIF('On The Board'!F$5:F$219,"&lt;="&amp;$B453,'On The Board'!$M$5:$M$219)-SUM(F453:J453),E452)</f>
        <v>47</v>
      </c>
      <c r="F453" s="12">
        <f>SUMIF('On The Board'!G$5:G$219,"&lt;="&amp;$B453,'On The Board'!$M$5:$M$219)-SUM(G453:J453)</f>
        <v>0</v>
      </c>
      <c r="G453" s="12">
        <f>SUMIF('On The Board'!H$5:H$219,"&lt;="&amp;$B453,'On The Board'!$M$5:$M$219)-SUM(H453:J453)</f>
        <v>5</v>
      </c>
      <c r="H453" s="12">
        <f>SUMIF('On The Board'!I$5:I$219,"&lt;="&amp;$B453,'On The Board'!$M$5:$M$219)-SUM(I453,J453)</f>
        <v>2</v>
      </c>
      <c r="I453" s="12">
        <f>SUMIF('On The Board'!J$5:J$219,"&lt;="&amp;$B453,'On The Board'!$M$5:$M$219)-SUM(J453)</f>
        <v>0</v>
      </c>
      <c r="J453" s="12">
        <f>SUMIF('On The Board'!K$5:K$219,"&lt;="&amp;$B453,'On The Board'!$M$5:$M$219)</f>
        <v>70</v>
      </c>
      <c r="K453" s="10">
        <f t="shared" si="53"/>
        <v>77</v>
      </c>
      <c r="L453" s="10" t="e">
        <f ca="1">IF(TodaysDate&gt;=B453,SUM(F453:I453),NA())</f>
        <v>#N/A</v>
      </c>
      <c r="M453" s="44" t="e">
        <f t="shared" ca="1" si="49"/>
        <v>#N/A</v>
      </c>
      <c r="N453" s="44" t="e">
        <f ca="1">IF(ISNUMBER(M453),(J453-J443)/NETWORKDAYS(B443,B453,BankHolidays),NA())</f>
        <v>#N/A</v>
      </c>
      <c r="O453" s="44" t="e">
        <f t="shared" ca="1" si="55"/>
        <v>#N/A</v>
      </c>
      <c r="P453" s="53" t="e">
        <f t="shared" ca="1" si="50"/>
        <v>#N/A</v>
      </c>
      <c r="Q453" s="53" t="str">
        <f ca="1">IFERROR(DayByDayTable[[#This Row],[Lead Time]],"")</f>
        <v/>
      </c>
      <c r="R453" s="44" t="e">
        <f t="shared" ca="1" si="51"/>
        <v>#N/A</v>
      </c>
      <c r="S453" s="44">
        <f ca="1">ROUND(PERCENTILE(DayByDayTable[[#Data],[BlankLeadTime]],0.8),0)</f>
        <v>8</v>
      </c>
    </row>
    <row r="454" spans="1:19">
      <c r="A454" s="51">
        <f t="shared" si="52"/>
        <v>43059</v>
      </c>
      <c r="B454" s="11">
        <f t="shared" si="54"/>
        <v>43059</v>
      </c>
      <c r="C454" s="47">
        <f>SUMIFS('On The Board'!$M$5:$M$219,'On The Board'!F$5:F$219,"&lt;="&amp;$B454,'On The Board'!E$5:E$219,"="&amp;FutureWork)</f>
        <v>0</v>
      </c>
      <c r="D454" s="47" t="str">
        <f ca="1">IF(TodaysDate&gt;=B454,SUMIF('On The Board'!F$5:F$219,"&lt;="&amp;$B454,'On The Board'!$M$5:$M$219)-SUM(F454:J454),"")</f>
        <v/>
      </c>
      <c r="E454" s="12">
        <f ca="1">IF(TodaysDate&gt;=B454,SUMIF('On The Board'!F$5:F$219,"&lt;="&amp;$B454,'On The Board'!$M$5:$M$219)-SUM(F454:J454),E453)</f>
        <v>47</v>
      </c>
      <c r="F454" s="12">
        <f>SUMIF('On The Board'!G$5:G$219,"&lt;="&amp;$B454,'On The Board'!$M$5:$M$219)-SUM(G454:J454)</f>
        <v>0</v>
      </c>
      <c r="G454" s="12">
        <f>SUMIF('On The Board'!H$5:H$219,"&lt;="&amp;$B454,'On The Board'!$M$5:$M$219)-SUM(H454:J454)</f>
        <v>5</v>
      </c>
      <c r="H454" s="12">
        <f>SUMIF('On The Board'!I$5:I$219,"&lt;="&amp;$B454,'On The Board'!$M$5:$M$219)-SUM(I454,J454)</f>
        <v>2</v>
      </c>
      <c r="I454" s="12">
        <f>SUMIF('On The Board'!J$5:J$219,"&lt;="&amp;$B454,'On The Board'!$M$5:$M$219)-SUM(J454)</f>
        <v>0</v>
      </c>
      <c r="J454" s="12">
        <f>SUMIF('On The Board'!K$5:K$219,"&lt;="&amp;$B454,'On The Board'!$M$5:$M$219)</f>
        <v>70</v>
      </c>
      <c r="K454" s="10">
        <f t="shared" si="53"/>
        <v>77</v>
      </c>
      <c r="L454" s="10" t="e">
        <f ca="1">IF(TodaysDate&gt;=B454,SUM(F454:I454),NA())</f>
        <v>#N/A</v>
      </c>
      <c r="M454" s="44" t="e">
        <f t="shared" ca="1" si="49"/>
        <v>#N/A</v>
      </c>
      <c r="N454" s="44" t="e">
        <f ca="1">IF(ISNUMBER(M454),(J454-J444)/NETWORKDAYS(B444,B454,BankHolidays),NA())</f>
        <v>#N/A</v>
      </c>
      <c r="O454" s="44" t="e">
        <f t="shared" ca="1" si="55"/>
        <v>#N/A</v>
      </c>
      <c r="P454" s="53" t="e">
        <f t="shared" ca="1" si="50"/>
        <v>#N/A</v>
      </c>
      <c r="Q454" s="53" t="str">
        <f ca="1">IFERROR(DayByDayTable[[#This Row],[Lead Time]],"")</f>
        <v/>
      </c>
      <c r="R454" s="44" t="e">
        <f t="shared" ca="1" si="51"/>
        <v>#N/A</v>
      </c>
      <c r="S454" s="44">
        <f ca="1">ROUND(PERCENTILE(DayByDayTable[[#Data],[BlankLeadTime]],0.8),0)</f>
        <v>8</v>
      </c>
    </row>
    <row r="455" spans="1:19">
      <c r="A455" s="51">
        <f t="shared" si="52"/>
        <v>43060</v>
      </c>
      <c r="B455" s="11">
        <f t="shared" si="54"/>
        <v>43060</v>
      </c>
      <c r="C455" s="47">
        <f>SUMIFS('On The Board'!$M$5:$M$219,'On The Board'!F$5:F$219,"&lt;="&amp;$B455,'On The Board'!E$5:E$219,"="&amp;FutureWork)</f>
        <v>0</v>
      </c>
      <c r="D455" s="47" t="str">
        <f ca="1">IF(TodaysDate&gt;=B455,SUMIF('On The Board'!F$5:F$219,"&lt;="&amp;$B455,'On The Board'!$M$5:$M$219)-SUM(F455:J455),"")</f>
        <v/>
      </c>
      <c r="E455" s="12">
        <f ca="1">IF(TodaysDate&gt;=B455,SUMIF('On The Board'!F$5:F$219,"&lt;="&amp;$B455,'On The Board'!$M$5:$M$219)-SUM(F455:J455),E454)</f>
        <v>47</v>
      </c>
      <c r="F455" s="12">
        <f>SUMIF('On The Board'!G$5:G$219,"&lt;="&amp;$B455,'On The Board'!$M$5:$M$219)-SUM(G455:J455)</f>
        <v>0</v>
      </c>
      <c r="G455" s="12">
        <f>SUMIF('On The Board'!H$5:H$219,"&lt;="&amp;$B455,'On The Board'!$M$5:$M$219)-SUM(H455:J455)</f>
        <v>5</v>
      </c>
      <c r="H455" s="12">
        <f>SUMIF('On The Board'!I$5:I$219,"&lt;="&amp;$B455,'On The Board'!$M$5:$M$219)-SUM(I455,J455)</f>
        <v>2</v>
      </c>
      <c r="I455" s="12">
        <f>SUMIF('On The Board'!J$5:J$219,"&lt;="&amp;$B455,'On The Board'!$M$5:$M$219)-SUM(J455)</f>
        <v>0</v>
      </c>
      <c r="J455" s="12">
        <f>SUMIF('On The Board'!K$5:K$219,"&lt;="&amp;$B455,'On The Board'!$M$5:$M$219)</f>
        <v>70</v>
      </c>
      <c r="K455" s="10">
        <f t="shared" si="53"/>
        <v>77</v>
      </c>
      <c r="L455" s="10" t="e">
        <f ca="1">IF(TodaysDate&gt;=B455,SUM(F455:I455),NA())</f>
        <v>#N/A</v>
      </c>
      <c r="M455" s="44" t="e">
        <f t="shared" ca="1" si="49"/>
        <v>#N/A</v>
      </c>
      <c r="N455" s="44" t="e">
        <f ca="1">IF(ISNUMBER(M455),(J455-J445)/NETWORKDAYS(B445,B455,BankHolidays),NA())</f>
        <v>#N/A</v>
      </c>
      <c r="O455" s="44" t="e">
        <f t="shared" ca="1" si="55"/>
        <v>#N/A</v>
      </c>
      <c r="P455" s="53" t="e">
        <f t="shared" ca="1" si="50"/>
        <v>#N/A</v>
      </c>
      <c r="Q455" s="53" t="str">
        <f ca="1">IFERROR(DayByDayTable[[#This Row],[Lead Time]],"")</f>
        <v/>
      </c>
      <c r="R455" s="44" t="e">
        <f t="shared" ca="1" si="51"/>
        <v>#N/A</v>
      </c>
      <c r="S455" s="44">
        <f ca="1">ROUND(PERCENTILE(DayByDayTable[[#Data],[BlankLeadTime]],0.8),0)</f>
        <v>8</v>
      </c>
    </row>
    <row r="456" spans="1:19">
      <c r="A456" s="51">
        <f t="shared" si="52"/>
        <v>43061</v>
      </c>
      <c r="B456" s="11">
        <f t="shared" si="54"/>
        <v>43061</v>
      </c>
      <c r="C456" s="47">
        <f>SUMIFS('On The Board'!$M$5:$M$219,'On The Board'!F$5:F$219,"&lt;="&amp;$B456,'On The Board'!E$5:E$219,"="&amp;FutureWork)</f>
        <v>0</v>
      </c>
      <c r="D456" s="47" t="str">
        <f ca="1">IF(TodaysDate&gt;=B456,SUMIF('On The Board'!F$5:F$219,"&lt;="&amp;$B456,'On The Board'!$M$5:$M$219)-SUM(F456:J456),"")</f>
        <v/>
      </c>
      <c r="E456" s="12">
        <f ca="1">IF(TodaysDate&gt;=B456,SUMIF('On The Board'!F$5:F$219,"&lt;="&amp;$B456,'On The Board'!$M$5:$M$219)-SUM(F456:J456),E455)</f>
        <v>47</v>
      </c>
      <c r="F456" s="12">
        <f>SUMIF('On The Board'!G$5:G$219,"&lt;="&amp;$B456,'On The Board'!$M$5:$M$219)-SUM(G456:J456)</f>
        <v>0</v>
      </c>
      <c r="G456" s="12">
        <f>SUMIF('On The Board'!H$5:H$219,"&lt;="&amp;$B456,'On The Board'!$M$5:$M$219)-SUM(H456:J456)</f>
        <v>5</v>
      </c>
      <c r="H456" s="12">
        <f>SUMIF('On The Board'!I$5:I$219,"&lt;="&amp;$B456,'On The Board'!$M$5:$M$219)-SUM(I456,J456)</f>
        <v>2</v>
      </c>
      <c r="I456" s="12">
        <f>SUMIF('On The Board'!J$5:J$219,"&lt;="&amp;$B456,'On The Board'!$M$5:$M$219)-SUM(J456)</f>
        <v>0</v>
      </c>
      <c r="J456" s="12">
        <f>SUMIF('On The Board'!K$5:K$219,"&lt;="&amp;$B456,'On The Board'!$M$5:$M$219)</f>
        <v>70</v>
      </c>
      <c r="K456" s="10">
        <f t="shared" si="53"/>
        <v>77</v>
      </c>
      <c r="L456" s="10" t="e">
        <f ca="1">IF(TodaysDate&gt;=B456,SUM(F456:I456),NA())</f>
        <v>#N/A</v>
      </c>
      <c r="M456" s="44" t="e">
        <f t="shared" ca="1" si="49"/>
        <v>#N/A</v>
      </c>
      <c r="N456" s="44" t="e">
        <f ca="1">IF(ISNUMBER(M456),(J456-J446)/NETWORKDAYS(B446,B456,BankHolidays),NA())</f>
        <v>#N/A</v>
      </c>
      <c r="O456" s="44" t="e">
        <f t="shared" ca="1" si="55"/>
        <v>#N/A</v>
      </c>
      <c r="P456" s="53" t="e">
        <f t="shared" ca="1" si="50"/>
        <v>#N/A</v>
      </c>
      <c r="Q456" s="53" t="str">
        <f ca="1">IFERROR(DayByDayTable[[#This Row],[Lead Time]],"")</f>
        <v/>
      </c>
      <c r="R456" s="44" t="e">
        <f t="shared" ca="1" si="51"/>
        <v>#N/A</v>
      </c>
      <c r="S456" s="44">
        <f ca="1">ROUND(PERCENTILE(DayByDayTable[[#Data],[BlankLeadTime]],0.8),0)</f>
        <v>8</v>
      </c>
    </row>
    <row r="457" spans="1:19">
      <c r="A457" s="51">
        <f t="shared" si="52"/>
        <v>43062</v>
      </c>
      <c r="B457" s="11">
        <f t="shared" si="54"/>
        <v>43062</v>
      </c>
      <c r="C457" s="47">
        <f>SUMIFS('On The Board'!$M$5:$M$219,'On The Board'!F$5:F$219,"&lt;="&amp;$B457,'On The Board'!E$5:E$219,"="&amp;FutureWork)</f>
        <v>0</v>
      </c>
      <c r="D457" s="47" t="str">
        <f ca="1">IF(TodaysDate&gt;=B457,SUMIF('On The Board'!F$5:F$219,"&lt;="&amp;$B457,'On The Board'!$M$5:$M$219)-SUM(F457:J457),"")</f>
        <v/>
      </c>
      <c r="E457" s="12">
        <f ca="1">IF(TodaysDate&gt;=B457,SUMIF('On The Board'!F$5:F$219,"&lt;="&amp;$B457,'On The Board'!$M$5:$M$219)-SUM(F457:J457),E456)</f>
        <v>47</v>
      </c>
      <c r="F457" s="12">
        <f>SUMIF('On The Board'!G$5:G$219,"&lt;="&amp;$B457,'On The Board'!$M$5:$M$219)-SUM(G457:J457)</f>
        <v>0</v>
      </c>
      <c r="G457" s="12">
        <f>SUMIF('On The Board'!H$5:H$219,"&lt;="&amp;$B457,'On The Board'!$M$5:$M$219)-SUM(H457:J457)</f>
        <v>5</v>
      </c>
      <c r="H457" s="12">
        <f>SUMIF('On The Board'!I$5:I$219,"&lt;="&amp;$B457,'On The Board'!$M$5:$M$219)-SUM(I457,J457)</f>
        <v>2</v>
      </c>
      <c r="I457" s="12">
        <f>SUMIF('On The Board'!J$5:J$219,"&lt;="&amp;$B457,'On The Board'!$M$5:$M$219)-SUM(J457)</f>
        <v>0</v>
      </c>
      <c r="J457" s="12">
        <f>SUMIF('On The Board'!K$5:K$219,"&lt;="&amp;$B457,'On The Board'!$M$5:$M$219)</f>
        <v>70</v>
      </c>
      <c r="K457" s="10">
        <f t="shared" si="53"/>
        <v>77</v>
      </c>
      <c r="L457" s="10" t="e">
        <f ca="1">IF(TodaysDate&gt;=B457,SUM(F457:I457),NA())</f>
        <v>#N/A</v>
      </c>
      <c r="M457" s="44" t="e">
        <f t="shared" ca="1" si="49"/>
        <v>#N/A</v>
      </c>
      <c r="N457" s="44" t="e">
        <f ca="1">IF(ISNUMBER(M457),(J457-J447)/NETWORKDAYS(B447,B457,BankHolidays),NA())</f>
        <v>#N/A</v>
      </c>
      <c r="O457" s="44" t="e">
        <f t="shared" ca="1" si="55"/>
        <v>#N/A</v>
      </c>
      <c r="P457" s="53" t="e">
        <f t="shared" ca="1" si="50"/>
        <v>#N/A</v>
      </c>
      <c r="Q457" s="53" t="str">
        <f ca="1">IFERROR(DayByDayTable[[#This Row],[Lead Time]],"")</f>
        <v/>
      </c>
      <c r="R457" s="44" t="e">
        <f t="shared" ca="1" si="51"/>
        <v>#N/A</v>
      </c>
      <c r="S457" s="44">
        <f ca="1">ROUND(PERCENTILE(DayByDayTable[[#Data],[BlankLeadTime]],0.8),0)</f>
        <v>8</v>
      </c>
    </row>
    <row r="458" spans="1:19">
      <c r="A458" s="51">
        <f t="shared" si="52"/>
        <v>43063</v>
      </c>
      <c r="B458" s="11">
        <f t="shared" si="54"/>
        <v>43063</v>
      </c>
      <c r="C458" s="47">
        <f>SUMIFS('On The Board'!$M$5:$M$219,'On The Board'!F$5:F$219,"&lt;="&amp;$B458,'On The Board'!E$5:E$219,"="&amp;FutureWork)</f>
        <v>0</v>
      </c>
      <c r="D458" s="47" t="str">
        <f ca="1">IF(TodaysDate&gt;=B458,SUMIF('On The Board'!F$5:F$219,"&lt;="&amp;$B458,'On The Board'!$M$5:$M$219)-SUM(F458:J458),"")</f>
        <v/>
      </c>
      <c r="E458" s="12">
        <f ca="1">IF(TodaysDate&gt;=B458,SUMIF('On The Board'!F$5:F$219,"&lt;="&amp;$B458,'On The Board'!$M$5:$M$219)-SUM(F458:J458),E457)</f>
        <v>47</v>
      </c>
      <c r="F458" s="12">
        <f>SUMIF('On The Board'!G$5:G$219,"&lt;="&amp;$B458,'On The Board'!$M$5:$M$219)-SUM(G458:J458)</f>
        <v>0</v>
      </c>
      <c r="G458" s="12">
        <f>SUMIF('On The Board'!H$5:H$219,"&lt;="&amp;$B458,'On The Board'!$M$5:$M$219)-SUM(H458:J458)</f>
        <v>5</v>
      </c>
      <c r="H458" s="12">
        <f>SUMIF('On The Board'!I$5:I$219,"&lt;="&amp;$B458,'On The Board'!$M$5:$M$219)-SUM(I458,J458)</f>
        <v>2</v>
      </c>
      <c r="I458" s="12">
        <f>SUMIF('On The Board'!J$5:J$219,"&lt;="&amp;$B458,'On The Board'!$M$5:$M$219)-SUM(J458)</f>
        <v>0</v>
      </c>
      <c r="J458" s="12">
        <f>SUMIF('On The Board'!K$5:K$219,"&lt;="&amp;$B458,'On The Board'!$M$5:$M$219)</f>
        <v>70</v>
      </c>
      <c r="K458" s="10">
        <f t="shared" si="53"/>
        <v>77</v>
      </c>
      <c r="L458" s="10" t="e">
        <f ca="1">IF(TodaysDate&gt;=B458,SUM(F458:I458),NA())</f>
        <v>#N/A</v>
      </c>
      <c r="M458" s="44" t="e">
        <f t="shared" ca="1" si="49"/>
        <v>#N/A</v>
      </c>
      <c r="N458" s="44" t="e">
        <f ca="1">IF(ISNUMBER(M458),(J458-J448)/NETWORKDAYS(B448,B458,BankHolidays),NA())</f>
        <v>#N/A</v>
      </c>
      <c r="O458" s="44" t="e">
        <f t="shared" ca="1" si="55"/>
        <v>#N/A</v>
      </c>
      <c r="P458" s="53" t="e">
        <f t="shared" ca="1" si="50"/>
        <v>#N/A</v>
      </c>
      <c r="Q458" s="53" t="str">
        <f ca="1">IFERROR(DayByDayTable[[#This Row],[Lead Time]],"")</f>
        <v/>
      </c>
      <c r="R458" s="44" t="e">
        <f t="shared" ca="1" si="51"/>
        <v>#N/A</v>
      </c>
      <c r="S458" s="44">
        <f ca="1">ROUND(PERCENTILE(DayByDayTable[[#Data],[BlankLeadTime]],0.8),0)</f>
        <v>8</v>
      </c>
    </row>
    <row r="459" spans="1:19">
      <c r="A459" s="51">
        <f t="shared" si="52"/>
        <v>43066</v>
      </c>
      <c r="B459" s="11">
        <f t="shared" si="54"/>
        <v>43066</v>
      </c>
      <c r="C459" s="47">
        <f>SUMIFS('On The Board'!$M$5:$M$219,'On The Board'!F$5:F$219,"&lt;="&amp;$B459,'On The Board'!E$5:E$219,"="&amp;FutureWork)</f>
        <v>0</v>
      </c>
      <c r="D459" s="47" t="str">
        <f ca="1">IF(TodaysDate&gt;=B459,SUMIF('On The Board'!F$5:F$219,"&lt;="&amp;$B459,'On The Board'!$M$5:$M$219)-SUM(F459:J459),"")</f>
        <v/>
      </c>
      <c r="E459" s="12">
        <f ca="1">IF(TodaysDate&gt;=B459,SUMIF('On The Board'!F$5:F$219,"&lt;="&amp;$B459,'On The Board'!$M$5:$M$219)-SUM(F459:J459),E458)</f>
        <v>47</v>
      </c>
      <c r="F459" s="12">
        <f>SUMIF('On The Board'!G$5:G$219,"&lt;="&amp;$B459,'On The Board'!$M$5:$M$219)-SUM(G459:J459)</f>
        <v>0</v>
      </c>
      <c r="G459" s="12">
        <f>SUMIF('On The Board'!H$5:H$219,"&lt;="&amp;$B459,'On The Board'!$M$5:$M$219)-SUM(H459:J459)</f>
        <v>5</v>
      </c>
      <c r="H459" s="12">
        <f>SUMIF('On The Board'!I$5:I$219,"&lt;="&amp;$B459,'On The Board'!$M$5:$M$219)-SUM(I459,J459)</f>
        <v>2</v>
      </c>
      <c r="I459" s="12">
        <f>SUMIF('On The Board'!J$5:J$219,"&lt;="&amp;$B459,'On The Board'!$M$5:$M$219)-SUM(J459)</f>
        <v>0</v>
      </c>
      <c r="J459" s="12">
        <f>SUMIF('On The Board'!K$5:K$219,"&lt;="&amp;$B459,'On The Board'!$M$5:$M$219)</f>
        <v>70</v>
      </c>
      <c r="K459" s="10">
        <f t="shared" si="53"/>
        <v>77</v>
      </c>
      <c r="L459" s="10" t="e">
        <f ca="1">IF(TodaysDate&gt;=B459,SUM(F459:I459),NA())</f>
        <v>#N/A</v>
      </c>
      <c r="M459" s="44" t="e">
        <f t="shared" ca="1" si="49"/>
        <v>#N/A</v>
      </c>
      <c r="N459" s="44" t="e">
        <f ca="1">IF(ISNUMBER(M459),(J459-J449)/NETWORKDAYS(B449,B459,BankHolidays),NA())</f>
        <v>#N/A</v>
      </c>
      <c r="O459" s="44" t="e">
        <f t="shared" ca="1" si="55"/>
        <v>#N/A</v>
      </c>
      <c r="P459" s="53" t="e">
        <f t="shared" ca="1" si="50"/>
        <v>#N/A</v>
      </c>
      <c r="Q459" s="53" t="str">
        <f ca="1">IFERROR(DayByDayTable[[#This Row],[Lead Time]],"")</f>
        <v/>
      </c>
      <c r="R459" s="44" t="e">
        <f t="shared" ca="1" si="51"/>
        <v>#N/A</v>
      </c>
      <c r="S459" s="44">
        <f ca="1">ROUND(PERCENTILE(DayByDayTable[[#Data],[BlankLeadTime]],0.8),0)</f>
        <v>8</v>
      </c>
    </row>
    <row r="460" spans="1:19">
      <c r="A460" s="51">
        <f t="shared" si="52"/>
        <v>43067</v>
      </c>
      <c r="B460" s="11">
        <f t="shared" si="54"/>
        <v>43067</v>
      </c>
      <c r="C460" s="47">
        <f>SUMIFS('On The Board'!$M$5:$M$219,'On The Board'!F$5:F$219,"&lt;="&amp;$B460,'On The Board'!E$5:E$219,"="&amp;FutureWork)</f>
        <v>0</v>
      </c>
      <c r="D460" s="47" t="str">
        <f ca="1">IF(TodaysDate&gt;=B460,SUMIF('On The Board'!F$5:F$219,"&lt;="&amp;$B460,'On The Board'!$M$5:$M$219)-SUM(F460:J460),"")</f>
        <v/>
      </c>
      <c r="E460" s="12">
        <f ca="1">IF(TodaysDate&gt;=B460,SUMIF('On The Board'!F$5:F$219,"&lt;="&amp;$B460,'On The Board'!$M$5:$M$219)-SUM(F460:J460),E459)</f>
        <v>47</v>
      </c>
      <c r="F460" s="12">
        <f>SUMIF('On The Board'!G$5:G$219,"&lt;="&amp;$B460,'On The Board'!$M$5:$M$219)-SUM(G460:J460)</f>
        <v>0</v>
      </c>
      <c r="G460" s="12">
        <f>SUMIF('On The Board'!H$5:H$219,"&lt;="&amp;$B460,'On The Board'!$M$5:$M$219)-SUM(H460:J460)</f>
        <v>5</v>
      </c>
      <c r="H460" s="12">
        <f>SUMIF('On The Board'!I$5:I$219,"&lt;="&amp;$B460,'On The Board'!$M$5:$M$219)-SUM(I460,J460)</f>
        <v>2</v>
      </c>
      <c r="I460" s="12">
        <f>SUMIF('On The Board'!J$5:J$219,"&lt;="&amp;$B460,'On The Board'!$M$5:$M$219)-SUM(J460)</f>
        <v>0</v>
      </c>
      <c r="J460" s="12">
        <f>SUMIF('On The Board'!K$5:K$219,"&lt;="&amp;$B460,'On The Board'!$M$5:$M$219)</f>
        <v>70</v>
      </c>
      <c r="K460" s="10">
        <f t="shared" si="53"/>
        <v>77</v>
      </c>
      <c r="L460" s="10" t="e">
        <f ca="1">IF(TodaysDate&gt;=B460,SUM(F460:I460),NA())</f>
        <v>#N/A</v>
      </c>
      <c r="M460" s="44" t="e">
        <f t="shared" ca="1" si="49"/>
        <v>#N/A</v>
      </c>
      <c r="N460" s="44" t="e">
        <f ca="1">IF(ISNUMBER(M460),(J460-J450)/NETWORKDAYS(B450,B460,BankHolidays),NA())</f>
        <v>#N/A</v>
      </c>
      <c r="O460" s="44" t="e">
        <f t="shared" ca="1" si="55"/>
        <v>#N/A</v>
      </c>
      <c r="P460" s="53" t="e">
        <f t="shared" ca="1" si="50"/>
        <v>#N/A</v>
      </c>
      <c r="Q460" s="53" t="str">
        <f ca="1">IFERROR(DayByDayTable[[#This Row],[Lead Time]],"")</f>
        <v/>
      </c>
      <c r="R460" s="44" t="e">
        <f t="shared" ca="1" si="51"/>
        <v>#N/A</v>
      </c>
      <c r="S460" s="44">
        <f ca="1">ROUND(PERCENTILE(DayByDayTable[[#Data],[BlankLeadTime]],0.8),0)</f>
        <v>8</v>
      </c>
    </row>
    <row r="461" spans="1:19">
      <c r="A461" s="51">
        <f t="shared" si="52"/>
        <v>43068</v>
      </c>
      <c r="B461" s="11">
        <f t="shared" si="54"/>
        <v>43068</v>
      </c>
      <c r="C461" s="47">
        <f>SUMIFS('On The Board'!$M$5:$M$219,'On The Board'!F$5:F$219,"&lt;="&amp;$B461,'On The Board'!E$5:E$219,"="&amp;FutureWork)</f>
        <v>0</v>
      </c>
      <c r="D461" s="47" t="str">
        <f ca="1">IF(TodaysDate&gt;=B461,SUMIF('On The Board'!F$5:F$219,"&lt;="&amp;$B461,'On The Board'!$M$5:$M$219)-SUM(F461:J461),"")</f>
        <v/>
      </c>
      <c r="E461" s="12">
        <f ca="1">IF(TodaysDate&gt;=B461,SUMIF('On The Board'!F$5:F$219,"&lt;="&amp;$B461,'On The Board'!$M$5:$M$219)-SUM(F461:J461),E460)</f>
        <v>47</v>
      </c>
      <c r="F461" s="12">
        <f>SUMIF('On The Board'!G$5:G$219,"&lt;="&amp;$B461,'On The Board'!$M$5:$M$219)-SUM(G461:J461)</f>
        <v>0</v>
      </c>
      <c r="G461" s="12">
        <f>SUMIF('On The Board'!H$5:H$219,"&lt;="&amp;$B461,'On The Board'!$M$5:$M$219)-SUM(H461:J461)</f>
        <v>5</v>
      </c>
      <c r="H461" s="12">
        <f>SUMIF('On The Board'!I$5:I$219,"&lt;="&amp;$B461,'On The Board'!$M$5:$M$219)-SUM(I461,J461)</f>
        <v>2</v>
      </c>
      <c r="I461" s="12">
        <f>SUMIF('On The Board'!J$5:J$219,"&lt;="&amp;$B461,'On The Board'!$M$5:$M$219)-SUM(J461)</f>
        <v>0</v>
      </c>
      <c r="J461" s="12">
        <f>SUMIF('On The Board'!K$5:K$219,"&lt;="&amp;$B461,'On The Board'!$M$5:$M$219)</f>
        <v>70</v>
      </c>
      <c r="K461" s="10">
        <f t="shared" si="53"/>
        <v>77</v>
      </c>
      <c r="L461" s="10" t="e">
        <f ca="1">IF(TodaysDate&gt;=B461,SUM(F461:I461),NA())</f>
        <v>#N/A</v>
      </c>
      <c r="M461" s="44" t="e">
        <f t="shared" ref="M461:M524" ca="1" si="56">AVERAGE(L451:L461)</f>
        <v>#N/A</v>
      </c>
      <c r="N461" s="44" t="e">
        <f ca="1">IF(ISNUMBER(M461),(J461-J451)/NETWORKDAYS(B451,B461,BankHolidays),NA())</f>
        <v>#N/A</v>
      </c>
      <c r="O461" s="44" t="e">
        <f t="shared" ca="1" si="55"/>
        <v>#N/A</v>
      </c>
      <c r="P461" s="53" t="e">
        <f t="shared" ref="P461:P524" ca="1" si="57">AVERAGE(O451:O461)</f>
        <v>#N/A</v>
      </c>
      <c r="Q461" s="53" t="str">
        <f ca="1">IFERROR(DayByDayTable[[#This Row],[Lead Time]],"")</f>
        <v/>
      </c>
      <c r="R461" s="44" t="e">
        <f t="shared" ca="1" si="51"/>
        <v>#N/A</v>
      </c>
      <c r="S461" s="44">
        <f ca="1">ROUND(PERCENTILE(DayByDayTable[[#Data],[BlankLeadTime]],0.8),0)</f>
        <v>8</v>
      </c>
    </row>
    <row r="462" spans="1:19">
      <c r="A462" s="51">
        <f t="shared" si="52"/>
        <v>43069</v>
      </c>
      <c r="B462" s="11">
        <f t="shared" si="54"/>
        <v>43069</v>
      </c>
      <c r="C462" s="47">
        <f>SUMIFS('On The Board'!$M$5:$M$219,'On The Board'!F$5:F$219,"&lt;="&amp;$B462,'On The Board'!E$5:E$219,"="&amp;FutureWork)</f>
        <v>0</v>
      </c>
      <c r="D462" s="47" t="str">
        <f ca="1">IF(TodaysDate&gt;=B462,SUMIF('On The Board'!F$5:F$219,"&lt;="&amp;$B462,'On The Board'!$M$5:$M$219)-SUM(F462:J462),"")</f>
        <v/>
      </c>
      <c r="E462" s="12">
        <f ca="1">IF(TodaysDate&gt;=B462,SUMIF('On The Board'!F$5:F$219,"&lt;="&amp;$B462,'On The Board'!$M$5:$M$219)-SUM(F462:J462),E461)</f>
        <v>47</v>
      </c>
      <c r="F462" s="12">
        <f>SUMIF('On The Board'!G$5:G$219,"&lt;="&amp;$B462,'On The Board'!$M$5:$M$219)-SUM(G462:J462)</f>
        <v>0</v>
      </c>
      <c r="G462" s="12">
        <f>SUMIF('On The Board'!H$5:H$219,"&lt;="&amp;$B462,'On The Board'!$M$5:$M$219)-SUM(H462:J462)</f>
        <v>5</v>
      </c>
      <c r="H462" s="12">
        <f>SUMIF('On The Board'!I$5:I$219,"&lt;="&amp;$B462,'On The Board'!$M$5:$M$219)-SUM(I462,J462)</f>
        <v>2</v>
      </c>
      <c r="I462" s="12">
        <f>SUMIF('On The Board'!J$5:J$219,"&lt;="&amp;$B462,'On The Board'!$M$5:$M$219)-SUM(J462)</f>
        <v>0</v>
      </c>
      <c r="J462" s="12">
        <f>SUMIF('On The Board'!K$5:K$219,"&lt;="&amp;$B462,'On The Board'!$M$5:$M$219)</f>
        <v>70</v>
      </c>
      <c r="K462" s="10">
        <f t="shared" si="53"/>
        <v>77</v>
      </c>
      <c r="L462" s="10" t="e">
        <f ca="1">IF(TodaysDate&gt;=B462,SUM(F462:I462),NA())</f>
        <v>#N/A</v>
      </c>
      <c r="M462" s="44" t="e">
        <f t="shared" ca="1" si="56"/>
        <v>#N/A</v>
      </c>
      <c r="N462" s="44" t="e">
        <f ca="1">IF(ISNUMBER(M462),(J462-J452)/NETWORKDAYS(B452,B462,BankHolidays),NA())</f>
        <v>#N/A</v>
      </c>
      <c r="O462" s="44" t="e">
        <f t="shared" ca="1" si="55"/>
        <v>#N/A</v>
      </c>
      <c r="P462" s="53" t="e">
        <f t="shared" ca="1" si="57"/>
        <v>#N/A</v>
      </c>
      <c r="Q462" s="53" t="str">
        <f ca="1">IFERROR(DayByDayTable[[#This Row],[Lead Time]],"")</f>
        <v/>
      </c>
      <c r="R462" s="44" t="e">
        <f t="shared" ca="1" si="51"/>
        <v>#N/A</v>
      </c>
      <c r="S462" s="44">
        <f ca="1">ROUND(PERCENTILE(DayByDayTable[[#Data],[BlankLeadTime]],0.8),0)</f>
        <v>8</v>
      </c>
    </row>
    <row r="463" spans="1:19">
      <c r="A463" s="51">
        <f t="shared" si="52"/>
        <v>43070</v>
      </c>
      <c r="B463" s="11">
        <f t="shared" si="54"/>
        <v>43070</v>
      </c>
      <c r="C463" s="47">
        <f>SUMIFS('On The Board'!$M$5:$M$219,'On The Board'!F$5:F$219,"&lt;="&amp;$B463,'On The Board'!E$5:E$219,"="&amp;FutureWork)</f>
        <v>0</v>
      </c>
      <c r="D463" s="47" t="str">
        <f ca="1">IF(TodaysDate&gt;=B463,SUMIF('On The Board'!F$5:F$219,"&lt;="&amp;$B463,'On The Board'!$M$5:$M$219)-SUM(F463:J463),"")</f>
        <v/>
      </c>
      <c r="E463" s="12">
        <f ca="1">IF(TodaysDate&gt;=B463,SUMIF('On The Board'!F$5:F$219,"&lt;="&amp;$B463,'On The Board'!$M$5:$M$219)-SUM(F463:J463),E462)</f>
        <v>47</v>
      </c>
      <c r="F463" s="12">
        <f>SUMIF('On The Board'!G$5:G$219,"&lt;="&amp;$B463,'On The Board'!$M$5:$M$219)-SUM(G463:J463)</f>
        <v>0</v>
      </c>
      <c r="G463" s="12">
        <f>SUMIF('On The Board'!H$5:H$219,"&lt;="&amp;$B463,'On The Board'!$M$5:$M$219)-SUM(H463:J463)</f>
        <v>5</v>
      </c>
      <c r="H463" s="12">
        <f>SUMIF('On The Board'!I$5:I$219,"&lt;="&amp;$B463,'On The Board'!$M$5:$M$219)-SUM(I463,J463)</f>
        <v>2</v>
      </c>
      <c r="I463" s="12">
        <f>SUMIF('On The Board'!J$5:J$219,"&lt;="&amp;$B463,'On The Board'!$M$5:$M$219)-SUM(J463)</f>
        <v>0</v>
      </c>
      <c r="J463" s="12">
        <f>SUMIF('On The Board'!K$5:K$219,"&lt;="&amp;$B463,'On The Board'!$M$5:$M$219)</f>
        <v>70</v>
      </c>
      <c r="K463" s="10">
        <f t="shared" si="53"/>
        <v>77</v>
      </c>
      <c r="L463" s="10" t="e">
        <f ca="1">IF(TodaysDate&gt;=B463,SUM(F463:I463),NA())</f>
        <v>#N/A</v>
      </c>
      <c r="M463" s="44" t="e">
        <f t="shared" ca="1" si="56"/>
        <v>#N/A</v>
      </c>
      <c r="N463" s="44" t="e">
        <f ca="1">IF(ISNUMBER(M463),(J463-J453)/NETWORKDAYS(B453,B463,BankHolidays),NA())</f>
        <v>#N/A</v>
      </c>
      <c r="O463" s="44" t="e">
        <f t="shared" ca="1" si="55"/>
        <v>#N/A</v>
      </c>
      <c r="P463" s="53" t="e">
        <f t="shared" ca="1" si="57"/>
        <v>#N/A</v>
      </c>
      <c r="Q463" s="53" t="str">
        <f ca="1">IFERROR(DayByDayTable[[#This Row],[Lead Time]],"")</f>
        <v/>
      </c>
      <c r="R463" s="44" t="e">
        <f t="shared" ca="1" si="51"/>
        <v>#N/A</v>
      </c>
      <c r="S463" s="44">
        <f ca="1">ROUND(PERCENTILE(DayByDayTable[[#Data],[BlankLeadTime]],0.8),0)</f>
        <v>8</v>
      </c>
    </row>
    <row r="464" spans="1:19">
      <c r="A464" s="51">
        <f t="shared" si="52"/>
        <v>43073</v>
      </c>
      <c r="B464" s="11">
        <f t="shared" si="54"/>
        <v>43073</v>
      </c>
      <c r="C464" s="47">
        <f>SUMIFS('On The Board'!$M$5:$M$219,'On The Board'!F$5:F$219,"&lt;="&amp;$B464,'On The Board'!E$5:E$219,"="&amp;FutureWork)</f>
        <v>0</v>
      </c>
      <c r="D464" s="47" t="str">
        <f ca="1">IF(TodaysDate&gt;=B464,SUMIF('On The Board'!F$5:F$219,"&lt;="&amp;$B464,'On The Board'!$M$5:$M$219)-SUM(F464:J464),"")</f>
        <v/>
      </c>
      <c r="E464" s="12">
        <f ca="1">IF(TodaysDate&gt;=B464,SUMIF('On The Board'!F$5:F$219,"&lt;="&amp;$B464,'On The Board'!$M$5:$M$219)-SUM(F464:J464),E463)</f>
        <v>47</v>
      </c>
      <c r="F464" s="12">
        <f>SUMIF('On The Board'!G$5:G$219,"&lt;="&amp;$B464,'On The Board'!$M$5:$M$219)-SUM(G464:J464)</f>
        <v>0</v>
      </c>
      <c r="G464" s="12">
        <f>SUMIF('On The Board'!H$5:H$219,"&lt;="&amp;$B464,'On The Board'!$M$5:$M$219)-SUM(H464:J464)</f>
        <v>5</v>
      </c>
      <c r="H464" s="12">
        <f>SUMIF('On The Board'!I$5:I$219,"&lt;="&amp;$B464,'On The Board'!$M$5:$M$219)-SUM(I464,J464)</f>
        <v>2</v>
      </c>
      <c r="I464" s="12">
        <f>SUMIF('On The Board'!J$5:J$219,"&lt;="&amp;$B464,'On The Board'!$M$5:$M$219)-SUM(J464)</f>
        <v>0</v>
      </c>
      <c r="J464" s="12">
        <f>SUMIF('On The Board'!K$5:K$219,"&lt;="&amp;$B464,'On The Board'!$M$5:$M$219)</f>
        <v>70</v>
      </c>
      <c r="K464" s="10">
        <f t="shared" si="53"/>
        <v>77</v>
      </c>
      <c r="L464" s="10" t="e">
        <f ca="1">IF(TodaysDate&gt;=B464,SUM(F464:I464),NA())</f>
        <v>#N/A</v>
      </c>
      <c r="M464" s="44" t="e">
        <f t="shared" ca="1" si="56"/>
        <v>#N/A</v>
      </c>
      <c r="N464" s="44" t="e">
        <f ca="1">IF(ISNUMBER(M464),(J464-J454)/NETWORKDAYS(B454,B464,BankHolidays),NA())</f>
        <v>#N/A</v>
      </c>
      <c r="O464" s="44" t="e">
        <f t="shared" ca="1" si="55"/>
        <v>#N/A</v>
      </c>
      <c r="P464" s="53" t="e">
        <f t="shared" ca="1" si="57"/>
        <v>#N/A</v>
      </c>
      <c r="Q464" s="53" t="str">
        <f ca="1">IFERROR(DayByDayTable[[#This Row],[Lead Time]],"")</f>
        <v/>
      </c>
      <c r="R464" s="44" t="e">
        <f t="shared" ref="R464:R527" ca="1" si="58">PERCENTILE(O453:O464,0.8)</f>
        <v>#N/A</v>
      </c>
      <c r="S464" s="44">
        <f ca="1">ROUND(PERCENTILE(DayByDayTable[[#Data],[BlankLeadTime]],0.8),0)</f>
        <v>8</v>
      </c>
    </row>
    <row r="465" spans="1:19">
      <c r="A465" s="51">
        <f t="shared" si="52"/>
        <v>43074</v>
      </c>
      <c r="B465" s="11">
        <f t="shared" si="54"/>
        <v>43074</v>
      </c>
      <c r="C465" s="47">
        <f>SUMIFS('On The Board'!$M$5:$M$219,'On The Board'!F$5:F$219,"&lt;="&amp;$B465,'On The Board'!E$5:E$219,"="&amp;FutureWork)</f>
        <v>0</v>
      </c>
      <c r="D465" s="47" t="str">
        <f ca="1">IF(TodaysDate&gt;=B465,SUMIF('On The Board'!F$5:F$219,"&lt;="&amp;$B465,'On The Board'!$M$5:$M$219)-SUM(F465:J465),"")</f>
        <v/>
      </c>
      <c r="E465" s="12">
        <f ca="1">IF(TodaysDate&gt;=B465,SUMIF('On The Board'!F$5:F$219,"&lt;="&amp;$B465,'On The Board'!$M$5:$M$219)-SUM(F465:J465),E464)</f>
        <v>47</v>
      </c>
      <c r="F465" s="12">
        <f>SUMIF('On The Board'!G$5:G$219,"&lt;="&amp;$B465,'On The Board'!$M$5:$M$219)-SUM(G465:J465)</f>
        <v>0</v>
      </c>
      <c r="G465" s="12">
        <f>SUMIF('On The Board'!H$5:H$219,"&lt;="&amp;$B465,'On The Board'!$M$5:$M$219)-SUM(H465:J465)</f>
        <v>5</v>
      </c>
      <c r="H465" s="12">
        <f>SUMIF('On The Board'!I$5:I$219,"&lt;="&amp;$B465,'On The Board'!$M$5:$M$219)-SUM(I465,J465)</f>
        <v>2</v>
      </c>
      <c r="I465" s="12">
        <f>SUMIF('On The Board'!J$5:J$219,"&lt;="&amp;$B465,'On The Board'!$M$5:$M$219)-SUM(J465)</f>
        <v>0</v>
      </c>
      <c r="J465" s="12">
        <f>SUMIF('On The Board'!K$5:K$219,"&lt;="&amp;$B465,'On The Board'!$M$5:$M$219)</f>
        <v>70</v>
      </c>
      <c r="K465" s="10">
        <f t="shared" si="53"/>
        <v>77</v>
      </c>
      <c r="L465" s="10" t="e">
        <f ca="1">IF(TodaysDate&gt;=B465,SUM(F465:I465),NA())</f>
        <v>#N/A</v>
      </c>
      <c r="M465" s="44" t="e">
        <f t="shared" ca="1" si="56"/>
        <v>#N/A</v>
      </c>
      <c r="N465" s="44" t="e">
        <f ca="1">IF(ISNUMBER(M465),(J465-J455)/NETWORKDAYS(B455,B465,BankHolidays),NA())</f>
        <v>#N/A</v>
      </c>
      <c r="O465" s="44" t="e">
        <f t="shared" ca="1" si="55"/>
        <v>#N/A</v>
      </c>
      <c r="P465" s="53" t="e">
        <f t="shared" ca="1" si="57"/>
        <v>#N/A</v>
      </c>
      <c r="Q465" s="53" t="str">
        <f ca="1">IFERROR(DayByDayTable[[#This Row],[Lead Time]],"")</f>
        <v/>
      </c>
      <c r="R465" s="44" t="e">
        <f t="shared" ca="1" si="58"/>
        <v>#N/A</v>
      </c>
      <c r="S465" s="44">
        <f ca="1">ROUND(PERCENTILE(DayByDayTable[[#Data],[BlankLeadTime]],0.8),0)</f>
        <v>8</v>
      </c>
    </row>
    <row r="466" spans="1:19">
      <c r="A466" s="51">
        <f t="shared" si="52"/>
        <v>43075</v>
      </c>
      <c r="B466" s="11">
        <f t="shared" si="54"/>
        <v>43075</v>
      </c>
      <c r="C466" s="47">
        <f>SUMIFS('On The Board'!$M$5:$M$219,'On The Board'!F$5:F$219,"&lt;="&amp;$B466,'On The Board'!E$5:E$219,"="&amp;FutureWork)</f>
        <v>0</v>
      </c>
      <c r="D466" s="47" t="str">
        <f ca="1">IF(TodaysDate&gt;=B466,SUMIF('On The Board'!F$5:F$219,"&lt;="&amp;$B466,'On The Board'!$M$5:$M$219)-SUM(F466:J466),"")</f>
        <v/>
      </c>
      <c r="E466" s="12">
        <f ca="1">IF(TodaysDate&gt;=B466,SUMIF('On The Board'!F$5:F$219,"&lt;="&amp;$B466,'On The Board'!$M$5:$M$219)-SUM(F466:J466),E465)</f>
        <v>47</v>
      </c>
      <c r="F466" s="12">
        <f>SUMIF('On The Board'!G$5:G$219,"&lt;="&amp;$B466,'On The Board'!$M$5:$M$219)-SUM(G466:J466)</f>
        <v>0</v>
      </c>
      <c r="G466" s="12">
        <f>SUMIF('On The Board'!H$5:H$219,"&lt;="&amp;$B466,'On The Board'!$M$5:$M$219)-SUM(H466:J466)</f>
        <v>5</v>
      </c>
      <c r="H466" s="12">
        <f>SUMIF('On The Board'!I$5:I$219,"&lt;="&amp;$B466,'On The Board'!$M$5:$M$219)-SUM(I466,J466)</f>
        <v>2</v>
      </c>
      <c r="I466" s="12">
        <f>SUMIF('On The Board'!J$5:J$219,"&lt;="&amp;$B466,'On The Board'!$M$5:$M$219)-SUM(J466)</f>
        <v>0</v>
      </c>
      <c r="J466" s="12">
        <f>SUMIF('On The Board'!K$5:K$219,"&lt;="&amp;$B466,'On The Board'!$M$5:$M$219)</f>
        <v>70</v>
      </c>
      <c r="K466" s="10">
        <f t="shared" si="53"/>
        <v>77</v>
      </c>
      <c r="L466" s="10" t="e">
        <f ca="1">IF(TodaysDate&gt;=B466,SUM(F466:I466),NA())</f>
        <v>#N/A</v>
      </c>
      <c r="M466" s="44" t="e">
        <f t="shared" ca="1" si="56"/>
        <v>#N/A</v>
      </c>
      <c r="N466" s="44" t="e">
        <f ca="1">IF(ISNUMBER(M466),(J466-J456)/NETWORKDAYS(B456,B466,BankHolidays),NA())</f>
        <v>#N/A</v>
      </c>
      <c r="O466" s="44" t="e">
        <f t="shared" ca="1" si="55"/>
        <v>#N/A</v>
      </c>
      <c r="P466" s="53" t="e">
        <f t="shared" ca="1" si="57"/>
        <v>#N/A</v>
      </c>
      <c r="Q466" s="53" t="str">
        <f ca="1">IFERROR(DayByDayTable[[#This Row],[Lead Time]],"")</f>
        <v/>
      </c>
      <c r="R466" s="44" t="e">
        <f t="shared" ca="1" si="58"/>
        <v>#N/A</v>
      </c>
      <c r="S466" s="44">
        <f ca="1">ROUND(PERCENTILE(DayByDayTable[[#Data],[BlankLeadTime]],0.8),0)</f>
        <v>8</v>
      </c>
    </row>
    <row r="467" spans="1:19">
      <c r="A467" s="51">
        <f t="shared" si="52"/>
        <v>43076</v>
      </c>
      <c r="B467" s="11">
        <f t="shared" si="54"/>
        <v>43076</v>
      </c>
      <c r="C467" s="47">
        <f>SUMIFS('On The Board'!$M$5:$M$219,'On The Board'!F$5:F$219,"&lt;="&amp;$B467,'On The Board'!E$5:E$219,"="&amp;FutureWork)</f>
        <v>0</v>
      </c>
      <c r="D467" s="47" t="str">
        <f ca="1">IF(TodaysDate&gt;=B467,SUMIF('On The Board'!F$5:F$219,"&lt;="&amp;$B467,'On The Board'!$M$5:$M$219)-SUM(F467:J467),"")</f>
        <v/>
      </c>
      <c r="E467" s="12">
        <f ca="1">IF(TodaysDate&gt;=B467,SUMIF('On The Board'!F$5:F$219,"&lt;="&amp;$B467,'On The Board'!$M$5:$M$219)-SUM(F467:J467),E466)</f>
        <v>47</v>
      </c>
      <c r="F467" s="12">
        <f>SUMIF('On The Board'!G$5:G$219,"&lt;="&amp;$B467,'On The Board'!$M$5:$M$219)-SUM(G467:J467)</f>
        <v>0</v>
      </c>
      <c r="G467" s="12">
        <f>SUMIF('On The Board'!H$5:H$219,"&lt;="&amp;$B467,'On The Board'!$M$5:$M$219)-SUM(H467:J467)</f>
        <v>5</v>
      </c>
      <c r="H467" s="12">
        <f>SUMIF('On The Board'!I$5:I$219,"&lt;="&amp;$B467,'On The Board'!$M$5:$M$219)-SUM(I467,J467)</f>
        <v>2</v>
      </c>
      <c r="I467" s="12">
        <f>SUMIF('On The Board'!J$5:J$219,"&lt;="&amp;$B467,'On The Board'!$M$5:$M$219)-SUM(J467)</f>
        <v>0</v>
      </c>
      <c r="J467" s="12">
        <f>SUMIF('On The Board'!K$5:K$219,"&lt;="&amp;$B467,'On The Board'!$M$5:$M$219)</f>
        <v>70</v>
      </c>
      <c r="K467" s="10">
        <f t="shared" si="53"/>
        <v>77</v>
      </c>
      <c r="L467" s="10" t="e">
        <f ca="1">IF(TodaysDate&gt;=B467,SUM(F467:I467),NA())</f>
        <v>#N/A</v>
      </c>
      <c r="M467" s="44" t="e">
        <f t="shared" ca="1" si="56"/>
        <v>#N/A</v>
      </c>
      <c r="N467" s="44" t="e">
        <f ca="1">IF(ISNUMBER(M467),(J467-J457)/NETWORKDAYS(B457,B467,BankHolidays),NA())</f>
        <v>#N/A</v>
      </c>
      <c r="O467" s="44" t="e">
        <f t="shared" ca="1" si="55"/>
        <v>#N/A</v>
      </c>
      <c r="P467" s="53" t="e">
        <f t="shared" ca="1" si="57"/>
        <v>#N/A</v>
      </c>
      <c r="Q467" s="53" t="str">
        <f ca="1">IFERROR(DayByDayTable[[#This Row],[Lead Time]],"")</f>
        <v/>
      </c>
      <c r="R467" s="44" t="e">
        <f t="shared" ca="1" si="58"/>
        <v>#N/A</v>
      </c>
      <c r="S467" s="44">
        <f ca="1">ROUND(PERCENTILE(DayByDayTable[[#Data],[BlankLeadTime]],0.8),0)</f>
        <v>8</v>
      </c>
    </row>
    <row r="468" spans="1:19">
      <c r="A468" s="51">
        <f t="shared" si="52"/>
        <v>43077</v>
      </c>
      <c r="B468" s="11">
        <f t="shared" si="54"/>
        <v>43077</v>
      </c>
      <c r="C468" s="47">
        <f>SUMIFS('On The Board'!$M$5:$M$219,'On The Board'!F$5:F$219,"&lt;="&amp;$B468,'On The Board'!E$5:E$219,"="&amp;FutureWork)</f>
        <v>0</v>
      </c>
      <c r="D468" s="47" t="str">
        <f ca="1">IF(TodaysDate&gt;=B468,SUMIF('On The Board'!F$5:F$219,"&lt;="&amp;$B468,'On The Board'!$M$5:$M$219)-SUM(F468:J468),"")</f>
        <v/>
      </c>
      <c r="E468" s="12">
        <f ca="1">IF(TodaysDate&gt;=B468,SUMIF('On The Board'!F$5:F$219,"&lt;="&amp;$B468,'On The Board'!$M$5:$M$219)-SUM(F468:J468),E467)</f>
        <v>47</v>
      </c>
      <c r="F468" s="12">
        <f>SUMIF('On The Board'!G$5:G$219,"&lt;="&amp;$B468,'On The Board'!$M$5:$M$219)-SUM(G468:J468)</f>
        <v>0</v>
      </c>
      <c r="G468" s="12">
        <f>SUMIF('On The Board'!H$5:H$219,"&lt;="&amp;$B468,'On The Board'!$M$5:$M$219)-SUM(H468:J468)</f>
        <v>5</v>
      </c>
      <c r="H468" s="12">
        <f>SUMIF('On The Board'!I$5:I$219,"&lt;="&amp;$B468,'On The Board'!$M$5:$M$219)-SUM(I468,J468)</f>
        <v>2</v>
      </c>
      <c r="I468" s="12">
        <f>SUMIF('On The Board'!J$5:J$219,"&lt;="&amp;$B468,'On The Board'!$M$5:$M$219)-SUM(J468)</f>
        <v>0</v>
      </c>
      <c r="J468" s="12">
        <f>SUMIF('On The Board'!K$5:K$219,"&lt;="&amp;$B468,'On The Board'!$M$5:$M$219)</f>
        <v>70</v>
      </c>
      <c r="K468" s="10">
        <f t="shared" si="53"/>
        <v>77</v>
      </c>
      <c r="L468" s="10" t="e">
        <f ca="1">IF(TodaysDate&gt;=B468,SUM(F468:I468),NA())</f>
        <v>#N/A</v>
      </c>
      <c r="M468" s="44" t="e">
        <f t="shared" ca="1" si="56"/>
        <v>#N/A</v>
      </c>
      <c r="N468" s="44" t="e">
        <f ca="1">IF(ISNUMBER(M468),(J468-J458)/NETWORKDAYS(B458,B468,BankHolidays),NA())</f>
        <v>#N/A</v>
      </c>
      <c r="O468" s="44" t="e">
        <f t="shared" ca="1" si="55"/>
        <v>#N/A</v>
      </c>
      <c r="P468" s="53" t="e">
        <f t="shared" ca="1" si="57"/>
        <v>#N/A</v>
      </c>
      <c r="Q468" s="53" t="str">
        <f ca="1">IFERROR(DayByDayTable[[#This Row],[Lead Time]],"")</f>
        <v/>
      </c>
      <c r="R468" s="44" t="e">
        <f t="shared" ca="1" si="58"/>
        <v>#N/A</v>
      </c>
      <c r="S468" s="44">
        <f ca="1">ROUND(PERCENTILE(DayByDayTable[[#Data],[BlankLeadTime]],0.8),0)</f>
        <v>8</v>
      </c>
    </row>
    <row r="469" spans="1:19">
      <c r="A469" s="51">
        <f t="shared" si="52"/>
        <v>43080</v>
      </c>
      <c r="B469" s="11">
        <f t="shared" si="54"/>
        <v>43080</v>
      </c>
      <c r="C469" s="47">
        <f>SUMIFS('On The Board'!$M$5:$M$219,'On The Board'!F$5:F$219,"&lt;="&amp;$B469,'On The Board'!E$5:E$219,"="&amp;FutureWork)</f>
        <v>0</v>
      </c>
      <c r="D469" s="47" t="str">
        <f ca="1">IF(TodaysDate&gt;=B469,SUMIF('On The Board'!F$5:F$219,"&lt;="&amp;$B469,'On The Board'!$M$5:$M$219)-SUM(F469:J469),"")</f>
        <v/>
      </c>
      <c r="E469" s="12">
        <f ca="1">IF(TodaysDate&gt;=B469,SUMIF('On The Board'!F$5:F$219,"&lt;="&amp;$B469,'On The Board'!$M$5:$M$219)-SUM(F469:J469),E468)</f>
        <v>47</v>
      </c>
      <c r="F469" s="12">
        <f>SUMIF('On The Board'!G$5:G$219,"&lt;="&amp;$B469,'On The Board'!$M$5:$M$219)-SUM(G469:J469)</f>
        <v>0</v>
      </c>
      <c r="G469" s="12">
        <f>SUMIF('On The Board'!H$5:H$219,"&lt;="&amp;$B469,'On The Board'!$M$5:$M$219)-SUM(H469:J469)</f>
        <v>5</v>
      </c>
      <c r="H469" s="12">
        <f>SUMIF('On The Board'!I$5:I$219,"&lt;="&amp;$B469,'On The Board'!$M$5:$M$219)-SUM(I469,J469)</f>
        <v>2</v>
      </c>
      <c r="I469" s="12">
        <f>SUMIF('On The Board'!J$5:J$219,"&lt;="&amp;$B469,'On The Board'!$M$5:$M$219)-SUM(J469)</f>
        <v>0</v>
      </c>
      <c r="J469" s="12">
        <f>SUMIF('On The Board'!K$5:K$219,"&lt;="&amp;$B469,'On The Board'!$M$5:$M$219)</f>
        <v>70</v>
      </c>
      <c r="K469" s="10">
        <f t="shared" si="53"/>
        <v>77</v>
      </c>
      <c r="L469" s="10" t="e">
        <f ca="1">IF(TodaysDate&gt;=B469,SUM(F469:I469),NA())</f>
        <v>#N/A</v>
      </c>
      <c r="M469" s="44" t="e">
        <f t="shared" ca="1" si="56"/>
        <v>#N/A</v>
      </c>
      <c r="N469" s="44" t="e">
        <f ca="1">IF(ISNUMBER(M469),(J469-J459)/NETWORKDAYS(B459,B469,BankHolidays),NA())</f>
        <v>#N/A</v>
      </c>
      <c r="O469" s="44" t="e">
        <f t="shared" ca="1" si="55"/>
        <v>#N/A</v>
      </c>
      <c r="P469" s="53" t="e">
        <f t="shared" ca="1" si="57"/>
        <v>#N/A</v>
      </c>
      <c r="Q469" s="53" t="str">
        <f ca="1">IFERROR(DayByDayTable[[#This Row],[Lead Time]],"")</f>
        <v/>
      </c>
      <c r="R469" s="44" t="e">
        <f t="shared" ca="1" si="58"/>
        <v>#N/A</v>
      </c>
      <c r="S469" s="44">
        <f ca="1">ROUND(PERCENTILE(DayByDayTable[[#Data],[BlankLeadTime]],0.8),0)</f>
        <v>8</v>
      </c>
    </row>
    <row r="470" spans="1:19">
      <c r="A470" s="51">
        <f t="shared" si="52"/>
        <v>43081</v>
      </c>
      <c r="B470" s="11">
        <f t="shared" si="54"/>
        <v>43081</v>
      </c>
      <c r="C470" s="47">
        <f>SUMIFS('On The Board'!$M$5:$M$219,'On The Board'!F$5:F$219,"&lt;="&amp;$B470,'On The Board'!E$5:E$219,"="&amp;FutureWork)</f>
        <v>0</v>
      </c>
      <c r="D470" s="47" t="str">
        <f ca="1">IF(TodaysDate&gt;=B470,SUMIF('On The Board'!F$5:F$219,"&lt;="&amp;$B470,'On The Board'!$M$5:$M$219)-SUM(F470:J470),"")</f>
        <v/>
      </c>
      <c r="E470" s="12">
        <f ca="1">IF(TodaysDate&gt;=B470,SUMIF('On The Board'!F$5:F$219,"&lt;="&amp;$B470,'On The Board'!$M$5:$M$219)-SUM(F470:J470),E469)</f>
        <v>47</v>
      </c>
      <c r="F470" s="12">
        <f>SUMIF('On The Board'!G$5:G$219,"&lt;="&amp;$B470,'On The Board'!$M$5:$M$219)-SUM(G470:J470)</f>
        <v>0</v>
      </c>
      <c r="G470" s="12">
        <f>SUMIF('On The Board'!H$5:H$219,"&lt;="&amp;$B470,'On The Board'!$M$5:$M$219)-SUM(H470:J470)</f>
        <v>5</v>
      </c>
      <c r="H470" s="12">
        <f>SUMIF('On The Board'!I$5:I$219,"&lt;="&amp;$B470,'On The Board'!$M$5:$M$219)-SUM(I470,J470)</f>
        <v>2</v>
      </c>
      <c r="I470" s="12">
        <f>SUMIF('On The Board'!J$5:J$219,"&lt;="&amp;$B470,'On The Board'!$M$5:$M$219)-SUM(J470)</f>
        <v>0</v>
      </c>
      <c r="J470" s="12">
        <f>SUMIF('On The Board'!K$5:K$219,"&lt;="&amp;$B470,'On The Board'!$M$5:$M$219)</f>
        <v>70</v>
      </c>
      <c r="K470" s="10">
        <f t="shared" si="53"/>
        <v>77</v>
      </c>
      <c r="L470" s="10" t="e">
        <f ca="1">IF(TodaysDate&gt;=B470,SUM(F470:I470),NA())</f>
        <v>#N/A</v>
      </c>
      <c r="M470" s="44" t="e">
        <f t="shared" ca="1" si="56"/>
        <v>#N/A</v>
      </c>
      <c r="N470" s="44" t="e">
        <f ca="1">IF(ISNUMBER(M470),(J470-J460)/NETWORKDAYS(B460,B470,BankHolidays),NA())</f>
        <v>#N/A</v>
      </c>
      <c r="O470" s="44" t="e">
        <f t="shared" ca="1" si="55"/>
        <v>#N/A</v>
      </c>
      <c r="P470" s="53" t="e">
        <f t="shared" ca="1" si="57"/>
        <v>#N/A</v>
      </c>
      <c r="Q470" s="53" t="str">
        <f ca="1">IFERROR(DayByDayTable[[#This Row],[Lead Time]],"")</f>
        <v/>
      </c>
      <c r="R470" s="44" t="e">
        <f t="shared" ca="1" si="58"/>
        <v>#N/A</v>
      </c>
      <c r="S470" s="44">
        <f ca="1">ROUND(PERCENTILE(DayByDayTable[[#Data],[BlankLeadTime]],0.8),0)</f>
        <v>8</v>
      </c>
    </row>
    <row r="471" spans="1:19">
      <c r="A471" s="51">
        <f t="shared" si="52"/>
        <v>43082</v>
      </c>
      <c r="B471" s="11">
        <f t="shared" si="54"/>
        <v>43082</v>
      </c>
      <c r="C471" s="47">
        <f>SUMIFS('On The Board'!$M$5:$M$219,'On The Board'!F$5:F$219,"&lt;="&amp;$B471,'On The Board'!E$5:E$219,"="&amp;FutureWork)</f>
        <v>0</v>
      </c>
      <c r="D471" s="47" t="str">
        <f ca="1">IF(TodaysDate&gt;=B471,SUMIF('On The Board'!F$5:F$219,"&lt;="&amp;$B471,'On The Board'!$M$5:$M$219)-SUM(F471:J471),"")</f>
        <v/>
      </c>
      <c r="E471" s="12">
        <f ca="1">IF(TodaysDate&gt;=B471,SUMIF('On The Board'!F$5:F$219,"&lt;="&amp;$B471,'On The Board'!$M$5:$M$219)-SUM(F471:J471),E470)</f>
        <v>47</v>
      </c>
      <c r="F471" s="12">
        <f>SUMIF('On The Board'!G$5:G$219,"&lt;="&amp;$B471,'On The Board'!$M$5:$M$219)-SUM(G471:J471)</f>
        <v>0</v>
      </c>
      <c r="G471" s="12">
        <f>SUMIF('On The Board'!H$5:H$219,"&lt;="&amp;$B471,'On The Board'!$M$5:$M$219)-SUM(H471:J471)</f>
        <v>5</v>
      </c>
      <c r="H471" s="12">
        <f>SUMIF('On The Board'!I$5:I$219,"&lt;="&amp;$B471,'On The Board'!$M$5:$M$219)-SUM(I471,J471)</f>
        <v>2</v>
      </c>
      <c r="I471" s="12">
        <f>SUMIF('On The Board'!J$5:J$219,"&lt;="&amp;$B471,'On The Board'!$M$5:$M$219)-SUM(J471)</f>
        <v>0</v>
      </c>
      <c r="J471" s="12">
        <f>SUMIF('On The Board'!K$5:K$219,"&lt;="&amp;$B471,'On The Board'!$M$5:$M$219)</f>
        <v>70</v>
      </c>
      <c r="K471" s="10">
        <f t="shared" si="53"/>
        <v>77</v>
      </c>
      <c r="L471" s="10" t="e">
        <f ca="1">IF(TodaysDate&gt;=B471,SUM(F471:I471),NA())</f>
        <v>#N/A</v>
      </c>
      <c r="M471" s="44" t="e">
        <f t="shared" ca="1" si="56"/>
        <v>#N/A</v>
      </c>
      <c r="N471" s="44" t="e">
        <f ca="1">IF(ISNUMBER(M471),(J471-J461)/NETWORKDAYS(B461,B471,BankHolidays),NA())</f>
        <v>#N/A</v>
      </c>
      <c r="O471" s="44" t="e">
        <f t="shared" ca="1" si="55"/>
        <v>#N/A</v>
      </c>
      <c r="P471" s="53" t="e">
        <f t="shared" ca="1" si="57"/>
        <v>#N/A</v>
      </c>
      <c r="Q471" s="53" t="str">
        <f ca="1">IFERROR(DayByDayTable[[#This Row],[Lead Time]],"")</f>
        <v/>
      </c>
      <c r="R471" s="44" t="e">
        <f t="shared" ca="1" si="58"/>
        <v>#N/A</v>
      </c>
      <c r="S471" s="44">
        <f ca="1">ROUND(PERCENTILE(DayByDayTable[[#Data],[BlankLeadTime]],0.8),0)</f>
        <v>8</v>
      </c>
    </row>
    <row r="472" spans="1:19">
      <c r="A472" s="51">
        <f t="shared" si="52"/>
        <v>43083</v>
      </c>
      <c r="B472" s="11">
        <f t="shared" si="54"/>
        <v>43083</v>
      </c>
      <c r="C472" s="47">
        <f>SUMIFS('On The Board'!$M$5:$M$219,'On The Board'!F$5:F$219,"&lt;="&amp;$B472,'On The Board'!E$5:E$219,"="&amp;FutureWork)</f>
        <v>0</v>
      </c>
      <c r="D472" s="47" t="str">
        <f ca="1">IF(TodaysDate&gt;=B472,SUMIF('On The Board'!F$5:F$219,"&lt;="&amp;$B472,'On The Board'!$M$5:$M$219)-SUM(F472:J472),"")</f>
        <v/>
      </c>
      <c r="E472" s="12">
        <f ca="1">IF(TodaysDate&gt;=B472,SUMIF('On The Board'!F$5:F$219,"&lt;="&amp;$B472,'On The Board'!$M$5:$M$219)-SUM(F472:J472),E471)</f>
        <v>47</v>
      </c>
      <c r="F472" s="12">
        <f>SUMIF('On The Board'!G$5:G$219,"&lt;="&amp;$B472,'On The Board'!$M$5:$M$219)-SUM(G472:J472)</f>
        <v>0</v>
      </c>
      <c r="G472" s="12">
        <f>SUMIF('On The Board'!H$5:H$219,"&lt;="&amp;$B472,'On The Board'!$M$5:$M$219)-SUM(H472:J472)</f>
        <v>5</v>
      </c>
      <c r="H472" s="12">
        <f>SUMIF('On The Board'!I$5:I$219,"&lt;="&amp;$B472,'On The Board'!$M$5:$M$219)-SUM(I472,J472)</f>
        <v>2</v>
      </c>
      <c r="I472" s="12">
        <f>SUMIF('On The Board'!J$5:J$219,"&lt;="&amp;$B472,'On The Board'!$M$5:$M$219)-SUM(J472)</f>
        <v>0</v>
      </c>
      <c r="J472" s="12">
        <f>SUMIF('On The Board'!K$5:K$219,"&lt;="&amp;$B472,'On The Board'!$M$5:$M$219)</f>
        <v>70</v>
      </c>
      <c r="K472" s="10">
        <f t="shared" si="53"/>
        <v>77</v>
      </c>
      <c r="L472" s="10" t="e">
        <f ca="1">IF(TodaysDate&gt;=B472,SUM(F472:I472),NA())</f>
        <v>#N/A</v>
      </c>
      <c r="M472" s="44" t="e">
        <f t="shared" ca="1" si="56"/>
        <v>#N/A</v>
      </c>
      <c r="N472" s="44" t="e">
        <f ca="1">IF(ISNUMBER(M472),(J472-J462)/NETWORKDAYS(B462,B472,BankHolidays),NA())</f>
        <v>#N/A</v>
      </c>
      <c r="O472" s="44" t="e">
        <f t="shared" ca="1" si="55"/>
        <v>#N/A</v>
      </c>
      <c r="P472" s="53" t="e">
        <f t="shared" ca="1" si="57"/>
        <v>#N/A</v>
      </c>
      <c r="Q472" s="53" t="str">
        <f ca="1">IFERROR(DayByDayTable[[#This Row],[Lead Time]],"")</f>
        <v/>
      </c>
      <c r="R472" s="44" t="e">
        <f t="shared" ca="1" si="58"/>
        <v>#N/A</v>
      </c>
      <c r="S472" s="44">
        <f ca="1">ROUND(PERCENTILE(DayByDayTable[[#Data],[BlankLeadTime]],0.8),0)</f>
        <v>8</v>
      </c>
    </row>
    <row r="473" spans="1:19">
      <c r="A473" s="51">
        <f t="shared" si="52"/>
        <v>43084</v>
      </c>
      <c r="B473" s="11">
        <f t="shared" si="54"/>
        <v>43084</v>
      </c>
      <c r="C473" s="47">
        <f>SUMIFS('On The Board'!$M$5:$M$219,'On The Board'!F$5:F$219,"&lt;="&amp;$B473,'On The Board'!E$5:E$219,"="&amp;FutureWork)</f>
        <v>0</v>
      </c>
      <c r="D473" s="47" t="str">
        <f ca="1">IF(TodaysDate&gt;=B473,SUMIF('On The Board'!F$5:F$219,"&lt;="&amp;$B473,'On The Board'!$M$5:$M$219)-SUM(F473:J473),"")</f>
        <v/>
      </c>
      <c r="E473" s="12">
        <f ca="1">IF(TodaysDate&gt;=B473,SUMIF('On The Board'!F$5:F$219,"&lt;="&amp;$B473,'On The Board'!$M$5:$M$219)-SUM(F473:J473),E472)</f>
        <v>47</v>
      </c>
      <c r="F473" s="12">
        <f>SUMIF('On The Board'!G$5:G$219,"&lt;="&amp;$B473,'On The Board'!$M$5:$M$219)-SUM(G473:J473)</f>
        <v>0</v>
      </c>
      <c r="G473" s="12">
        <f>SUMIF('On The Board'!H$5:H$219,"&lt;="&amp;$B473,'On The Board'!$M$5:$M$219)-SUM(H473:J473)</f>
        <v>5</v>
      </c>
      <c r="H473" s="12">
        <f>SUMIF('On The Board'!I$5:I$219,"&lt;="&amp;$B473,'On The Board'!$M$5:$M$219)-SUM(I473,J473)</f>
        <v>2</v>
      </c>
      <c r="I473" s="12">
        <f>SUMIF('On The Board'!J$5:J$219,"&lt;="&amp;$B473,'On The Board'!$M$5:$M$219)-SUM(J473)</f>
        <v>0</v>
      </c>
      <c r="J473" s="12">
        <f>SUMIF('On The Board'!K$5:K$219,"&lt;="&amp;$B473,'On The Board'!$M$5:$M$219)</f>
        <v>70</v>
      </c>
      <c r="K473" s="10">
        <f t="shared" si="53"/>
        <v>77</v>
      </c>
      <c r="L473" s="10" t="e">
        <f ca="1">IF(TodaysDate&gt;=B473,SUM(F473:I473),NA())</f>
        <v>#N/A</v>
      </c>
      <c r="M473" s="44" t="e">
        <f t="shared" ca="1" si="56"/>
        <v>#N/A</v>
      </c>
      <c r="N473" s="44" t="e">
        <f ca="1">IF(ISNUMBER(M473),(J473-J463)/NETWORKDAYS(B463,B473,BankHolidays),NA())</f>
        <v>#N/A</v>
      </c>
      <c r="O473" s="44" t="e">
        <f t="shared" ca="1" si="55"/>
        <v>#N/A</v>
      </c>
      <c r="P473" s="53" t="e">
        <f t="shared" ca="1" si="57"/>
        <v>#N/A</v>
      </c>
      <c r="Q473" s="53" t="str">
        <f ca="1">IFERROR(DayByDayTable[[#This Row],[Lead Time]],"")</f>
        <v/>
      </c>
      <c r="R473" s="44" t="e">
        <f t="shared" ca="1" si="58"/>
        <v>#N/A</v>
      </c>
      <c r="S473" s="44">
        <f ca="1">ROUND(PERCENTILE(DayByDayTable[[#Data],[BlankLeadTime]],0.8),0)</f>
        <v>8</v>
      </c>
    </row>
    <row r="474" spans="1:19">
      <c r="A474" s="51">
        <f t="shared" si="52"/>
        <v>43087</v>
      </c>
      <c r="B474" s="11">
        <f t="shared" si="54"/>
        <v>43087</v>
      </c>
      <c r="C474" s="47">
        <f>SUMIFS('On The Board'!$M$5:$M$219,'On The Board'!F$5:F$219,"&lt;="&amp;$B474,'On The Board'!E$5:E$219,"="&amp;FutureWork)</f>
        <v>0</v>
      </c>
      <c r="D474" s="47" t="str">
        <f ca="1">IF(TodaysDate&gt;=B474,SUMIF('On The Board'!F$5:F$219,"&lt;="&amp;$B474,'On The Board'!$M$5:$M$219)-SUM(F474:J474),"")</f>
        <v/>
      </c>
      <c r="E474" s="12">
        <f ca="1">IF(TodaysDate&gt;=B474,SUMIF('On The Board'!F$5:F$219,"&lt;="&amp;$B474,'On The Board'!$M$5:$M$219)-SUM(F474:J474),E473)</f>
        <v>47</v>
      </c>
      <c r="F474" s="12">
        <f>SUMIF('On The Board'!G$5:G$219,"&lt;="&amp;$B474,'On The Board'!$M$5:$M$219)-SUM(G474:J474)</f>
        <v>0</v>
      </c>
      <c r="G474" s="12">
        <f>SUMIF('On The Board'!H$5:H$219,"&lt;="&amp;$B474,'On The Board'!$M$5:$M$219)-SUM(H474:J474)</f>
        <v>5</v>
      </c>
      <c r="H474" s="12">
        <f>SUMIF('On The Board'!I$5:I$219,"&lt;="&amp;$B474,'On The Board'!$M$5:$M$219)-SUM(I474,J474)</f>
        <v>2</v>
      </c>
      <c r="I474" s="12">
        <f>SUMIF('On The Board'!J$5:J$219,"&lt;="&amp;$B474,'On The Board'!$M$5:$M$219)-SUM(J474)</f>
        <v>0</v>
      </c>
      <c r="J474" s="12">
        <f>SUMIF('On The Board'!K$5:K$219,"&lt;="&amp;$B474,'On The Board'!$M$5:$M$219)</f>
        <v>70</v>
      </c>
      <c r="K474" s="10">
        <f t="shared" si="53"/>
        <v>77</v>
      </c>
      <c r="L474" s="10" t="e">
        <f ca="1">IF(TodaysDate&gt;=B474,SUM(F474:I474),NA())</f>
        <v>#N/A</v>
      </c>
      <c r="M474" s="44" t="e">
        <f t="shared" ca="1" si="56"/>
        <v>#N/A</v>
      </c>
      <c r="N474" s="44" t="e">
        <f ca="1">IF(ISNUMBER(M474),(J474-J464)/NETWORKDAYS(B464,B474,BankHolidays),NA())</f>
        <v>#N/A</v>
      </c>
      <c r="O474" s="44" t="e">
        <f t="shared" ca="1" si="55"/>
        <v>#N/A</v>
      </c>
      <c r="P474" s="53" t="e">
        <f t="shared" ca="1" si="57"/>
        <v>#N/A</v>
      </c>
      <c r="Q474" s="53" t="str">
        <f ca="1">IFERROR(DayByDayTable[[#This Row],[Lead Time]],"")</f>
        <v/>
      </c>
      <c r="R474" s="44" t="e">
        <f t="shared" ca="1" si="58"/>
        <v>#N/A</v>
      </c>
      <c r="S474" s="44">
        <f ca="1">ROUND(PERCENTILE(DayByDayTable[[#Data],[BlankLeadTime]],0.8),0)</f>
        <v>8</v>
      </c>
    </row>
    <row r="475" spans="1:19">
      <c r="A475" s="51">
        <f t="shared" si="52"/>
        <v>43088</v>
      </c>
      <c r="B475" s="11">
        <f t="shared" si="54"/>
        <v>43088</v>
      </c>
      <c r="C475" s="47">
        <f>SUMIFS('On The Board'!$M$5:$M$219,'On The Board'!F$5:F$219,"&lt;="&amp;$B475,'On The Board'!E$5:E$219,"="&amp;FutureWork)</f>
        <v>0</v>
      </c>
      <c r="D475" s="47" t="str">
        <f ca="1">IF(TodaysDate&gt;=B475,SUMIF('On The Board'!F$5:F$219,"&lt;="&amp;$B475,'On The Board'!$M$5:$M$219)-SUM(F475:J475),"")</f>
        <v/>
      </c>
      <c r="E475" s="12">
        <f ca="1">IF(TodaysDate&gt;=B475,SUMIF('On The Board'!F$5:F$219,"&lt;="&amp;$B475,'On The Board'!$M$5:$M$219)-SUM(F475:J475),E474)</f>
        <v>47</v>
      </c>
      <c r="F475" s="12">
        <f>SUMIF('On The Board'!G$5:G$219,"&lt;="&amp;$B475,'On The Board'!$M$5:$M$219)-SUM(G475:J475)</f>
        <v>0</v>
      </c>
      <c r="G475" s="12">
        <f>SUMIF('On The Board'!H$5:H$219,"&lt;="&amp;$B475,'On The Board'!$M$5:$M$219)-SUM(H475:J475)</f>
        <v>5</v>
      </c>
      <c r="H475" s="12">
        <f>SUMIF('On The Board'!I$5:I$219,"&lt;="&amp;$B475,'On The Board'!$M$5:$M$219)-SUM(I475,J475)</f>
        <v>2</v>
      </c>
      <c r="I475" s="12">
        <f>SUMIF('On The Board'!J$5:J$219,"&lt;="&amp;$B475,'On The Board'!$M$5:$M$219)-SUM(J475)</f>
        <v>0</v>
      </c>
      <c r="J475" s="12">
        <f>SUMIF('On The Board'!K$5:K$219,"&lt;="&amp;$B475,'On The Board'!$M$5:$M$219)</f>
        <v>70</v>
      </c>
      <c r="K475" s="10">
        <f t="shared" si="53"/>
        <v>77</v>
      </c>
      <c r="L475" s="10" t="e">
        <f ca="1">IF(TodaysDate&gt;=B475,SUM(F475:I475),NA())</f>
        <v>#N/A</v>
      </c>
      <c r="M475" s="44" t="e">
        <f t="shared" ca="1" si="56"/>
        <v>#N/A</v>
      </c>
      <c r="N475" s="44" t="e">
        <f ca="1">IF(ISNUMBER(M475),(J475-J465)/NETWORKDAYS(B465,B475,BankHolidays),NA())</f>
        <v>#N/A</v>
      </c>
      <c r="O475" s="44" t="e">
        <f t="shared" ca="1" si="55"/>
        <v>#N/A</v>
      </c>
      <c r="P475" s="53" t="e">
        <f t="shared" ca="1" si="57"/>
        <v>#N/A</v>
      </c>
      <c r="Q475" s="53" t="str">
        <f ca="1">IFERROR(DayByDayTable[[#This Row],[Lead Time]],"")</f>
        <v/>
      </c>
      <c r="R475" s="44" t="e">
        <f t="shared" ca="1" si="58"/>
        <v>#N/A</v>
      </c>
      <c r="S475" s="44">
        <f ca="1">ROUND(PERCENTILE(DayByDayTable[[#Data],[BlankLeadTime]],0.8),0)</f>
        <v>8</v>
      </c>
    </row>
    <row r="476" spans="1:19">
      <c r="A476" s="51">
        <f t="shared" si="52"/>
        <v>43089</v>
      </c>
      <c r="B476" s="11">
        <f t="shared" si="54"/>
        <v>43089</v>
      </c>
      <c r="C476" s="47">
        <f>SUMIFS('On The Board'!$M$5:$M$219,'On The Board'!F$5:F$219,"&lt;="&amp;$B476,'On The Board'!E$5:E$219,"="&amp;FutureWork)</f>
        <v>0</v>
      </c>
      <c r="D476" s="47" t="str">
        <f ca="1">IF(TodaysDate&gt;=B476,SUMIF('On The Board'!F$5:F$219,"&lt;="&amp;$B476,'On The Board'!$M$5:$M$219)-SUM(F476:J476),"")</f>
        <v/>
      </c>
      <c r="E476" s="12">
        <f ca="1">IF(TodaysDate&gt;=B476,SUMIF('On The Board'!F$5:F$219,"&lt;="&amp;$B476,'On The Board'!$M$5:$M$219)-SUM(F476:J476),E475)</f>
        <v>47</v>
      </c>
      <c r="F476" s="12">
        <f>SUMIF('On The Board'!G$5:G$219,"&lt;="&amp;$B476,'On The Board'!$M$5:$M$219)-SUM(G476:J476)</f>
        <v>0</v>
      </c>
      <c r="G476" s="12">
        <f>SUMIF('On The Board'!H$5:H$219,"&lt;="&amp;$B476,'On The Board'!$M$5:$M$219)-SUM(H476:J476)</f>
        <v>5</v>
      </c>
      <c r="H476" s="12">
        <f>SUMIF('On The Board'!I$5:I$219,"&lt;="&amp;$B476,'On The Board'!$M$5:$M$219)-SUM(I476,J476)</f>
        <v>2</v>
      </c>
      <c r="I476" s="12">
        <f>SUMIF('On The Board'!J$5:J$219,"&lt;="&amp;$B476,'On The Board'!$M$5:$M$219)-SUM(J476)</f>
        <v>0</v>
      </c>
      <c r="J476" s="12">
        <f>SUMIF('On The Board'!K$5:K$219,"&lt;="&amp;$B476,'On The Board'!$M$5:$M$219)</f>
        <v>70</v>
      </c>
      <c r="K476" s="10">
        <f t="shared" si="53"/>
        <v>77</v>
      </c>
      <c r="L476" s="10" t="e">
        <f ca="1">IF(TodaysDate&gt;=B476,SUM(F476:I476),NA())</f>
        <v>#N/A</v>
      </c>
      <c r="M476" s="44" t="e">
        <f t="shared" ca="1" si="56"/>
        <v>#N/A</v>
      </c>
      <c r="N476" s="44" t="e">
        <f ca="1">IF(ISNUMBER(M476),(J476-J466)/NETWORKDAYS(B466,B476,BankHolidays),NA())</f>
        <v>#N/A</v>
      </c>
      <c r="O476" s="44" t="e">
        <f t="shared" ca="1" si="55"/>
        <v>#N/A</v>
      </c>
      <c r="P476" s="53" t="e">
        <f t="shared" ca="1" si="57"/>
        <v>#N/A</v>
      </c>
      <c r="Q476" s="53" t="str">
        <f ca="1">IFERROR(DayByDayTable[[#This Row],[Lead Time]],"")</f>
        <v/>
      </c>
      <c r="R476" s="44" t="e">
        <f t="shared" ca="1" si="58"/>
        <v>#N/A</v>
      </c>
      <c r="S476" s="44">
        <f ca="1">ROUND(PERCENTILE(DayByDayTable[[#Data],[BlankLeadTime]],0.8),0)</f>
        <v>8</v>
      </c>
    </row>
    <row r="477" spans="1:19">
      <c r="A477" s="51">
        <f t="shared" si="52"/>
        <v>43090</v>
      </c>
      <c r="B477" s="11">
        <f t="shared" si="54"/>
        <v>43090</v>
      </c>
      <c r="C477" s="47">
        <f>SUMIFS('On The Board'!$M$5:$M$219,'On The Board'!F$5:F$219,"&lt;="&amp;$B477,'On The Board'!E$5:E$219,"="&amp;FutureWork)</f>
        <v>0</v>
      </c>
      <c r="D477" s="47" t="str">
        <f ca="1">IF(TodaysDate&gt;=B477,SUMIF('On The Board'!F$5:F$219,"&lt;="&amp;$B477,'On The Board'!$M$5:$M$219)-SUM(F477:J477),"")</f>
        <v/>
      </c>
      <c r="E477" s="12">
        <f ca="1">IF(TodaysDate&gt;=B477,SUMIF('On The Board'!F$5:F$219,"&lt;="&amp;$B477,'On The Board'!$M$5:$M$219)-SUM(F477:J477),E476)</f>
        <v>47</v>
      </c>
      <c r="F477" s="12">
        <f>SUMIF('On The Board'!G$5:G$219,"&lt;="&amp;$B477,'On The Board'!$M$5:$M$219)-SUM(G477:J477)</f>
        <v>0</v>
      </c>
      <c r="G477" s="12">
        <f>SUMIF('On The Board'!H$5:H$219,"&lt;="&amp;$B477,'On The Board'!$M$5:$M$219)-SUM(H477:J477)</f>
        <v>5</v>
      </c>
      <c r="H477" s="12">
        <f>SUMIF('On The Board'!I$5:I$219,"&lt;="&amp;$B477,'On The Board'!$M$5:$M$219)-SUM(I477,J477)</f>
        <v>2</v>
      </c>
      <c r="I477" s="12">
        <f>SUMIF('On The Board'!J$5:J$219,"&lt;="&amp;$B477,'On The Board'!$M$5:$M$219)-SUM(J477)</f>
        <v>0</v>
      </c>
      <c r="J477" s="12">
        <f>SUMIF('On The Board'!K$5:K$219,"&lt;="&amp;$B477,'On The Board'!$M$5:$M$219)</f>
        <v>70</v>
      </c>
      <c r="K477" s="10">
        <f t="shared" si="53"/>
        <v>77</v>
      </c>
      <c r="L477" s="10" t="e">
        <f ca="1">IF(TodaysDate&gt;=B477,SUM(F477:I477),NA())</f>
        <v>#N/A</v>
      </c>
      <c r="M477" s="44" t="e">
        <f t="shared" ca="1" si="56"/>
        <v>#N/A</v>
      </c>
      <c r="N477" s="44" t="e">
        <f ca="1">IF(ISNUMBER(M477),(J477-J467)/NETWORKDAYS(B467,B477,BankHolidays),NA())</f>
        <v>#N/A</v>
      </c>
      <c r="O477" s="44" t="e">
        <f t="shared" ca="1" si="55"/>
        <v>#N/A</v>
      </c>
      <c r="P477" s="53" t="e">
        <f t="shared" ca="1" si="57"/>
        <v>#N/A</v>
      </c>
      <c r="Q477" s="53" t="str">
        <f ca="1">IFERROR(DayByDayTable[[#This Row],[Lead Time]],"")</f>
        <v/>
      </c>
      <c r="R477" s="44" t="e">
        <f t="shared" ca="1" si="58"/>
        <v>#N/A</v>
      </c>
      <c r="S477" s="44">
        <f ca="1">ROUND(PERCENTILE(DayByDayTable[[#Data],[BlankLeadTime]],0.8),0)</f>
        <v>8</v>
      </c>
    </row>
    <row r="478" spans="1:19">
      <c r="A478" s="51">
        <f t="shared" si="52"/>
        <v>43091</v>
      </c>
      <c r="B478" s="11">
        <f t="shared" si="54"/>
        <v>43091</v>
      </c>
      <c r="C478" s="47">
        <f>SUMIFS('On The Board'!$M$5:$M$219,'On The Board'!F$5:F$219,"&lt;="&amp;$B478,'On The Board'!E$5:E$219,"="&amp;FutureWork)</f>
        <v>0</v>
      </c>
      <c r="D478" s="47" t="str">
        <f ca="1">IF(TodaysDate&gt;=B478,SUMIF('On The Board'!F$5:F$219,"&lt;="&amp;$B478,'On The Board'!$M$5:$M$219)-SUM(F478:J478),"")</f>
        <v/>
      </c>
      <c r="E478" s="12">
        <f ca="1">IF(TodaysDate&gt;=B478,SUMIF('On The Board'!F$5:F$219,"&lt;="&amp;$B478,'On The Board'!$M$5:$M$219)-SUM(F478:J478),E477)</f>
        <v>47</v>
      </c>
      <c r="F478" s="12">
        <f>SUMIF('On The Board'!G$5:G$219,"&lt;="&amp;$B478,'On The Board'!$M$5:$M$219)-SUM(G478:J478)</f>
        <v>0</v>
      </c>
      <c r="G478" s="12">
        <f>SUMIF('On The Board'!H$5:H$219,"&lt;="&amp;$B478,'On The Board'!$M$5:$M$219)-SUM(H478:J478)</f>
        <v>5</v>
      </c>
      <c r="H478" s="12">
        <f>SUMIF('On The Board'!I$5:I$219,"&lt;="&amp;$B478,'On The Board'!$M$5:$M$219)-SUM(I478,J478)</f>
        <v>2</v>
      </c>
      <c r="I478" s="12">
        <f>SUMIF('On The Board'!J$5:J$219,"&lt;="&amp;$B478,'On The Board'!$M$5:$M$219)-SUM(J478)</f>
        <v>0</v>
      </c>
      <c r="J478" s="12">
        <f>SUMIF('On The Board'!K$5:K$219,"&lt;="&amp;$B478,'On The Board'!$M$5:$M$219)</f>
        <v>70</v>
      </c>
      <c r="K478" s="10">
        <f t="shared" si="53"/>
        <v>77</v>
      </c>
      <c r="L478" s="10" t="e">
        <f ca="1">IF(TodaysDate&gt;=B478,SUM(F478:I478),NA())</f>
        <v>#N/A</v>
      </c>
      <c r="M478" s="44" t="e">
        <f t="shared" ca="1" si="56"/>
        <v>#N/A</v>
      </c>
      <c r="N478" s="44" t="e">
        <f ca="1">IF(ISNUMBER(M478),(J478-J468)/NETWORKDAYS(B468,B478,BankHolidays),NA())</f>
        <v>#N/A</v>
      </c>
      <c r="O478" s="44" t="e">
        <f t="shared" ca="1" si="55"/>
        <v>#N/A</v>
      </c>
      <c r="P478" s="53" t="e">
        <f t="shared" ca="1" si="57"/>
        <v>#N/A</v>
      </c>
      <c r="Q478" s="53" t="str">
        <f ca="1">IFERROR(DayByDayTable[[#This Row],[Lead Time]],"")</f>
        <v/>
      </c>
      <c r="R478" s="44" t="e">
        <f t="shared" ca="1" si="58"/>
        <v>#N/A</v>
      </c>
      <c r="S478" s="44">
        <f ca="1">ROUND(PERCENTILE(DayByDayTable[[#Data],[BlankLeadTime]],0.8),0)</f>
        <v>8</v>
      </c>
    </row>
    <row r="479" spans="1:19">
      <c r="A479" s="51">
        <f t="shared" si="52"/>
        <v>43096</v>
      </c>
      <c r="B479" s="11">
        <f t="shared" si="54"/>
        <v>43096</v>
      </c>
      <c r="C479" s="47">
        <f>SUMIFS('On The Board'!$M$5:$M$219,'On The Board'!F$5:F$219,"&lt;="&amp;$B479,'On The Board'!E$5:E$219,"="&amp;FutureWork)</f>
        <v>0</v>
      </c>
      <c r="D479" s="47" t="str">
        <f ca="1">IF(TodaysDate&gt;=B479,SUMIF('On The Board'!F$5:F$219,"&lt;="&amp;$B479,'On The Board'!$M$5:$M$219)-SUM(F479:J479),"")</f>
        <v/>
      </c>
      <c r="E479" s="12">
        <f ca="1">IF(TodaysDate&gt;=B479,SUMIF('On The Board'!F$5:F$219,"&lt;="&amp;$B479,'On The Board'!$M$5:$M$219)-SUM(F479:J479),E478)</f>
        <v>47</v>
      </c>
      <c r="F479" s="12">
        <f>SUMIF('On The Board'!G$5:G$219,"&lt;="&amp;$B479,'On The Board'!$M$5:$M$219)-SUM(G479:J479)</f>
        <v>0</v>
      </c>
      <c r="G479" s="12">
        <f>SUMIF('On The Board'!H$5:H$219,"&lt;="&amp;$B479,'On The Board'!$M$5:$M$219)-SUM(H479:J479)</f>
        <v>5</v>
      </c>
      <c r="H479" s="12">
        <f>SUMIF('On The Board'!I$5:I$219,"&lt;="&amp;$B479,'On The Board'!$M$5:$M$219)-SUM(I479,J479)</f>
        <v>2</v>
      </c>
      <c r="I479" s="12">
        <f>SUMIF('On The Board'!J$5:J$219,"&lt;="&amp;$B479,'On The Board'!$M$5:$M$219)-SUM(J479)</f>
        <v>0</v>
      </c>
      <c r="J479" s="12">
        <f>SUMIF('On The Board'!K$5:K$219,"&lt;="&amp;$B479,'On The Board'!$M$5:$M$219)</f>
        <v>70</v>
      </c>
      <c r="K479" s="10">
        <f t="shared" si="53"/>
        <v>77</v>
      </c>
      <c r="L479" s="10" t="e">
        <f ca="1">IF(TodaysDate&gt;=B479,SUM(F479:I479),NA())</f>
        <v>#N/A</v>
      </c>
      <c r="M479" s="44" t="e">
        <f t="shared" ca="1" si="56"/>
        <v>#N/A</v>
      </c>
      <c r="N479" s="44" t="e">
        <f ca="1">IF(ISNUMBER(M479),(J479-J469)/NETWORKDAYS(B469,B479,BankHolidays),NA())</f>
        <v>#N/A</v>
      </c>
      <c r="O479" s="44" t="e">
        <f t="shared" ca="1" si="55"/>
        <v>#N/A</v>
      </c>
      <c r="P479" s="53" t="e">
        <f t="shared" ca="1" si="57"/>
        <v>#N/A</v>
      </c>
      <c r="Q479" s="53" t="str">
        <f ca="1">IFERROR(DayByDayTable[[#This Row],[Lead Time]],"")</f>
        <v/>
      </c>
      <c r="R479" s="44" t="e">
        <f t="shared" ca="1" si="58"/>
        <v>#N/A</v>
      </c>
      <c r="S479" s="44">
        <f ca="1">ROUND(PERCENTILE(DayByDayTable[[#Data],[BlankLeadTime]],0.8),0)</f>
        <v>8</v>
      </c>
    </row>
    <row r="480" spans="1:19">
      <c r="A480" s="51">
        <f t="shared" si="52"/>
        <v>43097</v>
      </c>
      <c r="B480" s="11">
        <f t="shared" si="54"/>
        <v>43097</v>
      </c>
      <c r="C480" s="47">
        <f>SUMIFS('On The Board'!$M$5:$M$219,'On The Board'!F$5:F$219,"&lt;="&amp;$B480,'On The Board'!E$5:E$219,"="&amp;FutureWork)</f>
        <v>0</v>
      </c>
      <c r="D480" s="47" t="str">
        <f ca="1">IF(TodaysDate&gt;=B480,SUMIF('On The Board'!F$5:F$219,"&lt;="&amp;$B480,'On The Board'!$M$5:$M$219)-SUM(F480:J480),"")</f>
        <v/>
      </c>
      <c r="E480" s="12">
        <f ca="1">IF(TodaysDate&gt;=B480,SUMIF('On The Board'!F$5:F$219,"&lt;="&amp;$B480,'On The Board'!$M$5:$M$219)-SUM(F480:J480),E479)</f>
        <v>47</v>
      </c>
      <c r="F480" s="12">
        <f>SUMIF('On The Board'!G$5:G$219,"&lt;="&amp;$B480,'On The Board'!$M$5:$M$219)-SUM(G480:J480)</f>
        <v>0</v>
      </c>
      <c r="G480" s="12">
        <f>SUMIF('On The Board'!H$5:H$219,"&lt;="&amp;$B480,'On The Board'!$M$5:$M$219)-SUM(H480:J480)</f>
        <v>5</v>
      </c>
      <c r="H480" s="12">
        <f>SUMIF('On The Board'!I$5:I$219,"&lt;="&amp;$B480,'On The Board'!$M$5:$M$219)-SUM(I480,J480)</f>
        <v>2</v>
      </c>
      <c r="I480" s="12">
        <f>SUMIF('On The Board'!J$5:J$219,"&lt;="&amp;$B480,'On The Board'!$M$5:$M$219)-SUM(J480)</f>
        <v>0</v>
      </c>
      <c r="J480" s="12">
        <f>SUMIF('On The Board'!K$5:K$219,"&lt;="&amp;$B480,'On The Board'!$M$5:$M$219)</f>
        <v>70</v>
      </c>
      <c r="K480" s="10">
        <f t="shared" si="53"/>
        <v>77</v>
      </c>
      <c r="L480" s="10" t="e">
        <f ca="1">IF(TodaysDate&gt;=B480,SUM(F480:I480),NA())</f>
        <v>#N/A</v>
      </c>
      <c r="M480" s="44" t="e">
        <f t="shared" ca="1" si="56"/>
        <v>#N/A</v>
      </c>
      <c r="N480" s="44" t="e">
        <f ca="1">IF(ISNUMBER(M480),(J480-J470)/NETWORKDAYS(B470,B480,BankHolidays),NA())</f>
        <v>#N/A</v>
      </c>
      <c r="O480" s="44" t="e">
        <f t="shared" ca="1" si="55"/>
        <v>#N/A</v>
      </c>
      <c r="P480" s="53" t="e">
        <f t="shared" ca="1" si="57"/>
        <v>#N/A</v>
      </c>
      <c r="Q480" s="53" t="str">
        <f ca="1">IFERROR(DayByDayTable[[#This Row],[Lead Time]],"")</f>
        <v/>
      </c>
      <c r="R480" s="44" t="e">
        <f t="shared" ca="1" si="58"/>
        <v>#N/A</v>
      </c>
      <c r="S480" s="44">
        <f ca="1">ROUND(PERCENTILE(DayByDayTable[[#Data],[BlankLeadTime]],0.8),0)</f>
        <v>8</v>
      </c>
    </row>
    <row r="481" spans="1:19">
      <c r="A481" s="51">
        <f t="shared" si="52"/>
        <v>43098</v>
      </c>
      <c r="B481" s="11">
        <f t="shared" si="54"/>
        <v>43098</v>
      </c>
      <c r="C481" s="47">
        <f>SUMIFS('On The Board'!$M$5:$M$219,'On The Board'!F$5:F$219,"&lt;="&amp;$B481,'On The Board'!E$5:E$219,"="&amp;FutureWork)</f>
        <v>0</v>
      </c>
      <c r="D481" s="47" t="str">
        <f ca="1">IF(TodaysDate&gt;=B481,SUMIF('On The Board'!F$5:F$219,"&lt;="&amp;$B481,'On The Board'!$M$5:$M$219)-SUM(F481:J481),"")</f>
        <v/>
      </c>
      <c r="E481" s="12">
        <f ca="1">IF(TodaysDate&gt;=B481,SUMIF('On The Board'!F$5:F$219,"&lt;="&amp;$B481,'On The Board'!$M$5:$M$219)-SUM(F481:J481),E480)</f>
        <v>47</v>
      </c>
      <c r="F481" s="12">
        <f>SUMIF('On The Board'!G$5:G$219,"&lt;="&amp;$B481,'On The Board'!$M$5:$M$219)-SUM(G481:J481)</f>
        <v>0</v>
      </c>
      <c r="G481" s="12">
        <f>SUMIF('On The Board'!H$5:H$219,"&lt;="&amp;$B481,'On The Board'!$M$5:$M$219)-SUM(H481:J481)</f>
        <v>5</v>
      </c>
      <c r="H481" s="12">
        <f>SUMIF('On The Board'!I$5:I$219,"&lt;="&amp;$B481,'On The Board'!$M$5:$M$219)-SUM(I481,J481)</f>
        <v>2</v>
      </c>
      <c r="I481" s="12">
        <f>SUMIF('On The Board'!J$5:J$219,"&lt;="&amp;$B481,'On The Board'!$M$5:$M$219)-SUM(J481)</f>
        <v>0</v>
      </c>
      <c r="J481" s="12">
        <f>SUMIF('On The Board'!K$5:K$219,"&lt;="&amp;$B481,'On The Board'!$M$5:$M$219)</f>
        <v>70</v>
      </c>
      <c r="K481" s="10">
        <f t="shared" si="53"/>
        <v>77</v>
      </c>
      <c r="L481" s="10" t="e">
        <f ca="1">IF(TodaysDate&gt;=B481,SUM(F481:I481),NA())</f>
        <v>#N/A</v>
      </c>
      <c r="M481" s="44" t="e">
        <f t="shared" ca="1" si="56"/>
        <v>#N/A</v>
      </c>
      <c r="N481" s="44" t="e">
        <f ca="1">IF(ISNUMBER(M481),(J481-J471)/NETWORKDAYS(B471,B481,BankHolidays),NA())</f>
        <v>#N/A</v>
      </c>
      <c r="O481" s="44" t="e">
        <f t="shared" ca="1" si="55"/>
        <v>#N/A</v>
      </c>
      <c r="P481" s="53" t="e">
        <f t="shared" ca="1" si="57"/>
        <v>#N/A</v>
      </c>
      <c r="Q481" s="53" t="str">
        <f ca="1">IFERROR(DayByDayTable[[#This Row],[Lead Time]],"")</f>
        <v/>
      </c>
      <c r="R481" s="44" t="e">
        <f t="shared" ca="1" si="58"/>
        <v>#N/A</v>
      </c>
      <c r="S481" s="44">
        <f ca="1">ROUND(PERCENTILE(DayByDayTable[[#Data],[BlankLeadTime]],0.8),0)</f>
        <v>8</v>
      </c>
    </row>
    <row r="482" spans="1:19">
      <c r="A482" s="51">
        <f t="shared" si="52"/>
        <v>43102</v>
      </c>
      <c r="B482" s="11">
        <f t="shared" si="54"/>
        <v>43102</v>
      </c>
      <c r="C482" s="47">
        <f>SUMIFS('On The Board'!$M$5:$M$219,'On The Board'!F$5:F$219,"&lt;="&amp;$B482,'On The Board'!E$5:E$219,"="&amp;FutureWork)</f>
        <v>0</v>
      </c>
      <c r="D482" s="47" t="str">
        <f ca="1">IF(TodaysDate&gt;=B482,SUMIF('On The Board'!F$5:F$219,"&lt;="&amp;$B482,'On The Board'!$M$5:$M$219)-SUM(F482:J482),"")</f>
        <v/>
      </c>
      <c r="E482" s="12">
        <f ca="1">IF(TodaysDate&gt;=B482,SUMIF('On The Board'!F$5:F$219,"&lt;="&amp;$B482,'On The Board'!$M$5:$M$219)-SUM(F482:J482),E481)</f>
        <v>47</v>
      </c>
      <c r="F482" s="12">
        <f>SUMIF('On The Board'!G$5:G$219,"&lt;="&amp;$B482,'On The Board'!$M$5:$M$219)-SUM(G482:J482)</f>
        <v>0</v>
      </c>
      <c r="G482" s="12">
        <f>SUMIF('On The Board'!H$5:H$219,"&lt;="&amp;$B482,'On The Board'!$M$5:$M$219)-SUM(H482:J482)</f>
        <v>5</v>
      </c>
      <c r="H482" s="12">
        <f>SUMIF('On The Board'!I$5:I$219,"&lt;="&amp;$B482,'On The Board'!$M$5:$M$219)-SUM(I482,J482)</f>
        <v>2</v>
      </c>
      <c r="I482" s="12">
        <f>SUMIF('On The Board'!J$5:J$219,"&lt;="&amp;$B482,'On The Board'!$M$5:$M$219)-SUM(J482)</f>
        <v>0</v>
      </c>
      <c r="J482" s="12">
        <f>SUMIF('On The Board'!K$5:K$219,"&lt;="&amp;$B482,'On The Board'!$M$5:$M$219)</f>
        <v>70</v>
      </c>
      <c r="K482" s="10">
        <f t="shared" si="53"/>
        <v>77</v>
      </c>
      <c r="L482" s="10" t="e">
        <f ca="1">IF(TodaysDate&gt;=B482,SUM(F482:I482),NA())</f>
        <v>#N/A</v>
      </c>
      <c r="M482" s="44" t="e">
        <f t="shared" ca="1" si="56"/>
        <v>#N/A</v>
      </c>
      <c r="N482" s="44" t="e">
        <f ca="1">IF(ISNUMBER(M482),(J482-J472)/NETWORKDAYS(B472,B482,BankHolidays),NA())</f>
        <v>#N/A</v>
      </c>
      <c r="O482" s="44" t="e">
        <f t="shared" ca="1" si="55"/>
        <v>#N/A</v>
      </c>
      <c r="P482" s="53" t="e">
        <f t="shared" ca="1" si="57"/>
        <v>#N/A</v>
      </c>
      <c r="Q482" s="53" t="str">
        <f ca="1">IFERROR(DayByDayTable[[#This Row],[Lead Time]],"")</f>
        <v/>
      </c>
      <c r="R482" s="44" t="e">
        <f t="shared" ca="1" si="58"/>
        <v>#N/A</v>
      </c>
      <c r="S482" s="44">
        <f ca="1">ROUND(PERCENTILE(DayByDayTable[[#Data],[BlankLeadTime]],0.8),0)</f>
        <v>8</v>
      </c>
    </row>
    <row r="483" spans="1:19">
      <c r="A483" s="51">
        <f t="shared" si="52"/>
        <v>43103</v>
      </c>
      <c r="B483" s="11">
        <f t="shared" si="54"/>
        <v>43103</v>
      </c>
      <c r="C483" s="47">
        <f>SUMIFS('On The Board'!$M$5:$M$219,'On The Board'!F$5:F$219,"&lt;="&amp;$B483,'On The Board'!E$5:E$219,"="&amp;FutureWork)</f>
        <v>0</v>
      </c>
      <c r="D483" s="47" t="str">
        <f ca="1">IF(TodaysDate&gt;=B483,SUMIF('On The Board'!F$5:F$219,"&lt;="&amp;$B483,'On The Board'!$M$5:$M$219)-SUM(F483:J483),"")</f>
        <v/>
      </c>
      <c r="E483" s="12">
        <f ca="1">IF(TodaysDate&gt;=B483,SUMIF('On The Board'!F$5:F$219,"&lt;="&amp;$B483,'On The Board'!$M$5:$M$219)-SUM(F483:J483),E482)</f>
        <v>47</v>
      </c>
      <c r="F483" s="12">
        <f>SUMIF('On The Board'!G$5:G$219,"&lt;="&amp;$B483,'On The Board'!$M$5:$M$219)-SUM(G483:J483)</f>
        <v>0</v>
      </c>
      <c r="G483" s="12">
        <f>SUMIF('On The Board'!H$5:H$219,"&lt;="&amp;$B483,'On The Board'!$M$5:$M$219)-SUM(H483:J483)</f>
        <v>5</v>
      </c>
      <c r="H483" s="12">
        <f>SUMIF('On The Board'!I$5:I$219,"&lt;="&amp;$B483,'On The Board'!$M$5:$M$219)-SUM(I483,J483)</f>
        <v>2</v>
      </c>
      <c r="I483" s="12">
        <f>SUMIF('On The Board'!J$5:J$219,"&lt;="&amp;$B483,'On The Board'!$M$5:$M$219)-SUM(J483)</f>
        <v>0</v>
      </c>
      <c r="J483" s="12">
        <f>SUMIF('On The Board'!K$5:K$219,"&lt;="&amp;$B483,'On The Board'!$M$5:$M$219)</f>
        <v>70</v>
      </c>
      <c r="K483" s="10">
        <f t="shared" si="53"/>
        <v>77</v>
      </c>
      <c r="L483" s="10" t="e">
        <f ca="1">IF(TodaysDate&gt;=B483,SUM(F483:I483),NA())</f>
        <v>#N/A</v>
      </c>
      <c r="M483" s="44" t="e">
        <f t="shared" ca="1" si="56"/>
        <v>#N/A</v>
      </c>
      <c r="N483" s="44" t="e">
        <f ca="1">IF(ISNUMBER(M483),(J483-J473)/NETWORKDAYS(B473,B483,BankHolidays),NA())</f>
        <v>#N/A</v>
      </c>
      <c r="O483" s="44" t="e">
        <f t="shared" ca="1" si="55"/>
        <v>#N/A</v>
      </c>
      <c r="P483" s="53" t="e">
        <f t="shared" ca="1" si="57"/>
        <v>#N/A</v>
      </c>
      <c r="Q483" s="53" t="str">
        <f ca="1">IFERROR(DayByDayTable[[#This Row],[Lead Time]],"")</f>
        <v/>
      </c>
      <c r="R483" s="44" t="e">
        <f t="shared" ca="1" si="58"/>
        <v>#N/A</v>
      </c>
      <c r="S483" s="44">
        <f ca="1">ROUND(PERCENTILE(DayByDayTable[[#Data],[BlankLeadTime]],0.8),0)</f>
        <v>8</v>
      </c>
    </row>
    <row r="484" spans="1:19">
      <c r="A484" s="51">
        <f t="shared" si="52"/>
        <v>43104</v>
      </c>
      <c r="B484" s="11">
        <f t="shared" si="54"/>
        <v>43104</v>
      </c>
      <c r="C484" s="47">
        <f>SUMIFS('On The Board'!$M$5:$M$219,'On The Board'!F$5:F$219,"&lt;="&amp;$B484,'On The Board'!E$5:E$219,"="&amp;FutureWork)</f>
        <v>0</v>
      </c>
      <c r="D484" s="47" t="str">
        <f ca="1">IF(TodaysDate&gt;=B484,SUMIF('On The Board'!F$5:F$219,"&lt;="&amp;$B484,'On The Board'!$M$5:$M$219)-SUM(F484:J484),"")</f>
        <v/>
      </c>
      <c r="E484" s="12">
        <f ca="1">IF(TodaysDate&gt;=B484,SUMIF('On The Board'!F$5:F$219,"&lt;="&amp;$B484,'On The Board'!$M$5:$M$219)-SUM(F484:J484),E483)</f>
        <v>47</v>
      </c>
      <c r="F484" s="12">
        <f>SUMIF('On The Board'!G$5:G$219,"&lt;="&amp;$B484,'On The Board'!$M$5:$M$219)-SUM(G484:J484)</f>
        <v>0</v>
      </c>
      <c r="G484" s="12">
        <f>SUMIF('On The Board'!H$5:H$219,"&lt;="&amp;$B484,'On The Board'!$M$5:$M$219)-SUM(H484:J484)</f>
        <v>5</v>
      </c>
      <c r="H484" s="12">
        <f>SUMIF('On The Board'!I$5:I$219,"&lt;="&amp;$B484,'On The Board'!$M$5:$M$219)-SUM(I484,J484)</f>
        <v>2</v>
      </c>
      <c r="I484" s="12">
        <f>SUMIF('On The Board'!J$5:J$219,"&lt;="&amp;$B484,'On The Board'!$M$5:$M$219)-SUM(J484)</f>
        <v>0</v>
      </c>
      <c r="J484" s="12">
        <f>SUMIF('On The Board'!K$5:K$219,"&lt;="&amp;$B484,'On The Board'!$M$5:$M$219)</f>
        <v>70</v>
      </c>
      <c r="K484" s="10">
        <f t="shared" si="53"/>
        <v>77</v>
      </c>
      <c r="L484" s="10" t="e">
        <f ca="1">IF(TodaysDate&gt;=B484,SUM(F484:I484),NA())</f>
        <v>#N/A</v>
      </c>
      <c r="M484" s="44" t="e">
        <f t="shared" ca="1" si="56"/>
        <v>#N/A</v>
      </c>
      <c r="N484" s="44" t="e">
        <f ca="1">IF(ISNUMBER(M484),(J484-J474)/NETWORKDAYS(B474,B484,BankHolidays),NA())</f>
        <v>#N/A</v>
      </c>
      <c r="O484" s="44" t="e">
        <f t="shared" ca="1" si="55"/>
        <v>#N/A</v>
      </c>
      <c r="P484" s="53" t="e">
        <f t="shared" ca="1" si="57"/>
        <v>#N/A</v>
      </c>
      <c r="Q484" s="53" t="str">
        <f ca="1">IFERROR(DayByDayTable[[#This Row],[Lead Time]],"")</f>
        <v/>
      </c>
      <c r="R484" s="44" t="e">
        <f t="shared" ca="1" si="58"/>
        <v>#N/A</v>
      </c>
      <c r="S484" s="44">
        <f ca="1">ROUND(PERCENTILE(DayByDayTable[[#Data],[BlankLeadTime]],0.8),0)</f>
        <v>8</v>
      </c>
    </row>
    <row r="485" spans="1:19">
      <c r="A485" s="51">
        <f t="shared" si="52"/>
        <v>43105</v>
      </c>
      <c r="B485" s="11">
        <f t="shared" si="54"/>
        <v>43105</v>
      </c>
      <c r="C485" s="47">
        <f>SUMIFS('On The Board'!$M$5:$M$219,'On The Board'!F$5:F$219,"&lt;="&amp;$B485,'On The Board'!E$5:E$219,"="&amp;FutureWork)</f>
        <v>0</v>
      </c>
      <c r="D485" s="47" t="str">
        <f ca="1">IF(TodaysDate&gt;=B485,SUMIF('On The Board'!F$5:F$219,"&lt;="&amp;$B485,'On The Board'!$M$5:$M$219)-SUM(F485:J485),"")</f>
        <v/>
      </c>
      <c r="E485" s="12">
        <f ca="1">IF(TodaysDate&gt;=B485,SUMIF('On The Board'!F$5:F$219,"&lt;="&amp;$B485,'On The Board'!$M$5:$M$219)-SUM(F485:J485),E484)</f>
        <v>47</v>
      </c>
      <c r="F485" s="12">
        <f>SUMIF('On The Board'!G$5:G$219,"&lt;="&amp;$B485,'On The Board'!$M$5:$M$219)-SUM(G485:J485)</f>
        <v>0</v>
      </c>
      <c r="G485" s="12">
        <f>SUMIF('On The Board'!H$5:H$219,"&lt;="&amp;$B485,'On The Board'!$M$5:$M$219)-SUM(H485:J485)</f>
        <v>5</v>
      </c>
      <c r="H485" s="12">
        <f>SUMIF('On The Board'!I$5:I$219,"&lt;="&amp;$B485,'On The Board'!$M$5:$M$219)-SUM(I485,J485)</f>
        <v>2</v>
      </c>
      <c r="I485" s="12">
        <f>SUMIF('On The Board'!J$5:J$219,"&lt;="&amp;$B485,'On The Board'!$M$5:$M$219)-SUM(J485)</f>
        <v>0</v>
      </c>
      <c r="J485" s="12">
        <f>SUMIF('On The Board'!K$5:K$219,"&lt;="&amp;$B485,'On The Board'!$M$5:$M$219)</f>
        <v>70</v>
      </c>
      <c r="K485" s="10">
        <f t="shared" si="53"/>
        <v>77</v>
      </c>
      <c r="L485" s="10" t="e">
        <f ca="1">IF(TodaysDate&gt;=B485,SUM(F485:I485),NA())</f>
        <v>#N/A</v>
      </c>
      <c r="M485" s="44" t="e">
        <f t="shared" ca="1" si="56"/>
        <v>#N/A</v>
      </c>
      <c r="N485" s="44" t="e">
        <f ca="1">IF(ISNUMBER(M485),(J485-J475)/NETWORKDAYS(B475,B485,BankHolidays),NA())</f>
        <v>#N/A</v>
      </c>
      <c r="O485" s="44" t="e">
        <f t="shared" ca="1" si="55"/>
        <v>#N/A</v>
      </c>
      <c r="P485" s="53" t="e">
        <f t="shared" ca="1" si="57"/>
        <v>#N/A</v>
      </c>
      <c r="Q485" s="53" t="str">
        <f ca="1">IFERROR(DayByDayTable[[#This Row],[Lead Time]],"")</f>
        <v/>
      </c>
      <c r="R485" s="44" t="e">
        <f t="shared" ca="1" si="58"/>
        <v>#N/A</v>
      </c>
      <c r="S485" s="44">
        <f ca="1">ROUND(PERCENTILE(DayByDayTable[[#Data],[BlankLeadTime]],0.8),0)</f>
        <v>8</v>
      </c>
    </row>
    <row r="486" spans="1:19">
      <c r="A486" s="51">
        <f t="shared" si="52"/>
        <v>43108</v>
      </c>
      <c r="B486" s="11">
        <f t="shared" si="54"/>
        <v>43108</v>
      </c>
      <c r="C486" s="47">
        <f>SUMIFS('On The Board'!$M$5:$M$219,'On The Board'!F$5:F$219,"&lt;="&amp;$B486,'On The Board'!E$5:E$219,"="&amp;FutureWork)</f>
        <v>0</v>
      </c>
      <c r="D486" s="47" t="str">
        <f ca="1">IF(TodaysDate&gt;=B486,SUMIF('On The Board'!F$5:F$219,"&lt;="&amp;$B486,'On The Board'!$M$5:$M$219)-SUM(F486:J486),"")</f>
        <v/>
      </c>
      <c r="E486" s="12">
        <f ca="1">IF(TodaysDate&gt;=B486,SUMIF('On The Board'!F$5:F$219,"&lt;="&amp;$B486,'On The Board'!$M$5:$M$219)-SUM(F486:J486),E485)</f>
        <v>47</v>
      </c>
      <c r="F486" s="12">
        <f>SUMIF('On The Board'!G$5:G$219,"&lt;="&amp;$B486,'On The Board'!$M$5:$M$219)-SUM(G486:J486)</f>
        <v>0</v>
      </c>
      <c r="G486" s="12">
        <f>SUMIF('On The Board'!H$5:H$219,"&lt;="&amp;$B486,'On The Board'!$M$5:$M$219)-SUM(H486:J486)</f>
        <v>5</v>
      </c>
      <c r="H486" s="12">
        <f>SUMIF('On The Board'!I$5:I$219,"&lt;="&amp;$B486,'On The Board'!$M$5:$M$219)-SUM(I486,J486)</f>
        <v>2</v>
      </c>
      <c r="I486" s="12">
        <f>SUMIF('On The Board'!J$5:J$219,"&lt;="&amp;$B486,'On The Board'!$M$5:$M$219)-SUM(J486)</f>
        <v>0</v>
      </c>
      <c r="J486" s="12">
        <f>SUMIF('On The Board'!K$5:K$219,"&lt;="&amp;$B486,'On The Board'!$M$5:$M$219)</f>
        <v>70</v>
      </c>
      <c r="K486" s="10">
        <f t="shared" si="53"/>
        <v>77</v>
      </c>
      <c r="L486" s="10" t="e">
        <f ca="1">IF(TodaysDate&gt;=B486,SUM(F486:I486),NA())</f>
        <v>#N/A</v>
      </c>
      <c r="M486" s="44" t="e">
        <f t="shared" ca="1" si="56"/>
        <v>#N/A</v>
      </c>
      <c r="N486" s="44" t="e">
        <f ca="1">IF(ISNUMBER(M486),(J486-J476)/NETWORKDAYS(B476,B486,BankHolidays),NA())</f>
        <v>#N/A</v>
      </c>
      <c r="O486" s="44" t="e">
        <f t="shared" ca="1" si="55"/>
        <v>#N/A</v>
      </c>
      <c r="P486" s="53" t="e">
        <f t="shared" ca="1" si="57"/>
        <v>#N/A</v>
      </c>
      <c r="Q486" s="53" t="str">
        <f ca="1">IFERROR(DayByDayTable[[#This Row],[Lead Time]],"")</f>
        <v/>
      </c>
      <c r="R486" s="44" t="e">
        <f t="shared" ca="1" si="58"/>
        <v>#N/A</v>
      </c>
      <c r="S486" s="44">
        <f ca="1">ROUND(PERCENTILE(DayByDayTable[[#Data],[BlankLeadTime]],0.8),0)</f>
        <v>8</v>
      </c>
    </row>
    <row r="487" spans="1:19">
      <c r="A487" s="51">
        <f t="shared" si="52"/>
        <v>43109</v>
      </c>
      <c r="B487" s="11">
        <f t="shared" si="54"/>
        <v>43109</v>
      </c>
      <c r="C487" s="47">
        <f>SUMIFS('On The Board'!$M$5:$M$219,'On The Board'!F$5:F$219,"&lt;="&amp;$B487,'On The Board'!E$5:E$219,"="&amp;FutureWork)</f>
        <v>0</v>
      </c>
      <c r="D487" s="47" t="str">
        <f ca="1">IF(TodaysDate&gt;=B487,SUMIF('On The Board'!F$5:F$219,"&lt;="&amp;$B487,'On The Board'!$M$5:$M$219)-SUM(F487:J487),"")</f>
        <v/>
      </c>
      <c r="E487" s="12">
        <f ca="1">IF(TodaysDate&gt;=B487,SUMIF('On The Board'!F$5:F$219,"&lt;="&amp;$B487,'On The Board'!$M$5:$M$219)-SUM(F487:J487),E486)</f>
        <v>47</v>
      </c>
      <c r="F487" s="12">
        <f>SUMIF('On The Board'!G$5:G$219,"&lt;="&amp;$B487,'On The Board'!$M$5:$M$219)-SUM(G487:J487)</f>
        <v>0</v>
      </c>
      <c r="G487" s="12">
        <f>SUMIF('On The Board'!H$5:H$219,"&lt;="&amp;$B487,'On The Board'!$M$5:$M$219)-SUM(H487:J487)</f>
        <v>5</v>
      </c>
      <c r="H487" s="12">
        <f>SUMIF('On The Board'!I$5:I$219,"&lt;="&amp;$B487,'On The Board'!$M$5:$M$219)-SUM(I487,J487)</f>
        <v>2</v>
      </c>
      <c r="I487" s="12">
        <f>SUMIF('On The Board'!J$5:J$219,"&lt;="&amp;$B487,'On The Board'!$M$5:$M$219)-SUM(J487)</f>
        <v>0</v>
      </c>
      <c r="J487" s="12">
        <f>SUMIF('On The Board'!K$5:K$219,"&lt;="&amp;$B487,'On The Board'!$M$5:$M$219)</f>
        <v>70</v>
      </c>
      <c r="K487" s="10">
        <f t="shared" si="53"/>
        <v>77</v>
      </c>
      <c r="L487" s="10" t="e">
        <f ca="1">IF(TodaysDate&gt;=B487,SUM(F487:I487),NA())</f>
        <v>#N/A</v>
      </c>
      <c r="M487" s="44" t="e">
        <f t="shared" ca="1" si="56"/>
        <v>#N/A</v>
      </c>
      <c r="N487" s="44" t="e">
        <f ca="1">IF(ISNUMBER(M487),(J487-J477)/NETWORKDAYS(B477,B487,BankHolidays),NA())</f>
        <v>#N/A</v>
      </c>
      <c r="O487" s="44" t="e">
        <f t="shared" ca="1" si="55"/>
        <v>#N/A</v>
      </c>
      <c r="P487" s="53" t="e">
        <f t="shared" ca="1" si="57"/>
        <v>#N/A</v>
      </c>
      <c r="Q487" s="53" t="str">
        <f ca="1">IFERROR(DayByDayTable[[#This Row],[Lead Time]],"")</f>
        <v/>
      </c>
      <c r="R487" s="44" t="e">
        <f t="shared" ca="1" si="58"/>
        <v>#N/A</v>
      </c>
      <c r="S487" s="44">
        <f ca="1">ROUND(PERCENTILE(DayByDayTable[[#Data],[BlankLeadTime]],0.8),0)</f>
        <v>8</v>
      </c>
    </row>
    <row r="488" spans="1:19">
      <c r="A488" s="51">
        <f t="shared" si="52"/>
        <v>43110</v>
      </c>
      <c r="B488" s="11">
        <f t="shared" si="54"/>
        <v>43110</v>
      </c>
      <c r="C488" s="47">
        <f>SUMIFS('On The Board'!$M$5:$M$219,'On The Board'!F$5:F$219,"&lt;="&amp;$B488,'On The Board'!E$5:E$219,"="&amp;FutureWork)</f>
        <v>0</v>
      </c>
      <c r="D488" s="47" t="str">
        <f ca="1">IF(TodaysDate&gt;=B488,SUMIF('On The Board'!F$5:F$219,"&lt;="&amp;$B488,'On The Board'!$M$5:$M$219)-SUM(F488:J488),"")</f>
        <v/>
      </c>
      <c r="E488" s="12">
        <f ca="1">IF(TodaysDate&gt;=B488,SUMIF('On The Board'!F$5:F$219,"&lt;="&amp;$B488,'On The Board'!$M$5:$M$219)-SUM(F488:J488),E487)</f>
        <v>47</v>
      </c>
      <c r="F488" s="12">
        <f>SUMIF('On The Board'!G$5:G$219,"&lt;="&amp;$B488,'On The Board'!$M$5:$M$219)-SUM(G488:J488)</f>
        <v>0</v>
      </c>
      <c r="G488" s="12">
        <f>SUMIF('On The Board'!H$5:H$219,"&lt;="&amp;$B488,'On The Board'!$M$5:$M$219)-SUM(H488:J488)</f>
        <v>5</v>
      </c>
      <c r="H488" s="12">
        <f>SUMIF('On The Board'!I$5:I$219,"&lt;="&amp;$B488,'On The Board'!$M$5:$M$219)-SUM(I488,J488)</f>
        <v>2</v>
      </c>
      <c r="I488" s="12">
        <f>SUMIF('On The Board'!J$5:J$219,"&lt;="&amp;$B488,'On The Board'!$M$5:$M$219)-SUM(J488)</f>
        <v>0</v>
      </c>
      <c r="J488" s="12">
        <f>SUMIF('On The Board'!K$5:K$219,"&lt;="&amp;$B488,'On The Board'!$M$5:$M$219)</f>
        <v>70</v>
      </c>
      <c r="K488" s="10">
        <f t="shared" si="53"/>
        <v>77</v>
      </c>
      <c r="L488" s="10" t="e">
        <f ca="1">IF(TodaysDate&gt;=B488,SUM(F488:I488),NA())</f>
        <v>#N/A</v>
      </c>
      <c r="M488" s="44" t="e">
        <f t="shared" ca="1" si="56"/>
        <v>#N/A</v>
      </c>
      <c r="N488" s="44" t="e">
        <f ca="1">IF(ISNUMBER(M488),(J488-J478)/NETWORKDAYS(B478,B488,BankHolidays),NA())</f>
        <v>#N/A</v>
      </c>
      <c r="O488" s="44" t="e">
        <f t="shared" ca="1" si="55"/>
        <v>#N/A</v>
      </c>
      <c r="P488" s="53" t="e">
        <f t="shared" ca="1" si="57"/>
        <v>#N/A</v>
      </c>
      <c r="Q488" s="53" t="str">
        <f ca="1">IFERROR(DayByDayTable[[#This Row],[Lead Time]],"")</f>
        <v/>
      </c>
      <c r="R488" s="44" t="e">
        <f t="shared" ca="1" si="58"/>
        <v>#N/A</v>
      </c>
      <c r="S488" s="44">
        <f ca="1">ROUND(PERCENTILE(DayByDayTable[[#Data],[BlankLeadTime]],0.8),0)</f>
        <v>8</v>
      </c>
    </row>
    <row r="489" spans="1:19">
      <c r="A489" s="51">
        <f t="shared" si="52"/>
        <v>43111</v>
      </c>
      <c r="B489" s="11">
        <f t="shared" si="54"/>
        <v>43111</v>
      </c>
      <c r="C489" s="47">
        <f>SUMIFS('On The Board'!$M$5:$M$219,'On The Board'!F$5:F$219,"&lt;="&amp;$B489,'On The Board'!E$5:E$219,"="&amp;FutureWork)</f>
        <v>0</v>
      </c>
      <c r="D489" s="47" t="str">
        <f ca="1">IF(TodaysDate&gt;=B489,SUMIF('On The Board'!F$5:F$219,"&lt;="&amp;$B489,'On The Board'!$M$5:$M$219)-SUM(F489:J489),"")</f>
        <v/>
      </c>
      <c r="E489" s="12">
        <f ca="1">IF(TodaysDate&gt;=B489,SUMIF('On The Board'!F$5:F$219,"&lt;="&amp;$B489,'On The Board'!$M$5:$M$219)-SUM(F489:J489),E488)</f>
        <v>47</v>
      </c>
      <c r="F489" s="12">
        <f>SUMIF('On The Board'!G$5:G$219,"&lt;="&amp;$B489,'On The Board'!$M$5:$M$219)-SUM(G489:J489)</f>
        <v>0</v>
      </c>
      <c r="G489" s="12">
        <f>SUMIF('On The Board'!H$5:H$219,"&lt;="&amp;$B489,'On The Board'!$M$5:$M$219)-SUM(H489:J489)</f>
        <v>5</v>
      </c>
      <c r="H489" s="12">
        <f>SUMIF('On The Board'!I$5:I$219,"&lt;="&amp;$B489,'On The Board'!$M$5:$M$219)-SUM(I489,J489)</f>
        <v>2</v>
      </c>
      <c r="I489" s="12">
        <f>SUMIF('On The Board'!J$5:J$219,"&lt;="&amp;$B489,'On The Board'!$M$5:$M$219)-SUM(J489)</f>
        <v>0</v>
      </c>
      <c r="J489" s="12">
        <f>SUMIF('On The Board'!K$5:K$219,"&lt;="&amp;$B489,'On The Board'!$M$5:$M$219)</f>
        <v>70</v>
      </c>
      <c r="K489" s="10">
        <f t="shared" si="53"/>
        <v>77</v>
      </c>
      <c r="L489" s="10" t="e">
        <f ca="1">IF(TodaysDate&gt;=B489,SUM(F489:I489),NA())</f>
        <v>#N/A</v>
      </c>
      <c r="M489" s="44" t="e">
        <f t="shared" ca="1" si="56"/>
        <v>#N/A</v>
      </c>
      <c r="N489" s="44" t="e">
        <f ca="1">IF(ISNUMBER(M489),(J489-J479)/NETWORKDAYS(B479,B489,BankHolidays),NA())</f>
        <v>#N/A</v>
      </c>
      <c r="O489" s="44" t="e">
        <f t="shared" ca="1" si="55"/>
        <v>#N/A</v>
      </c>
      <c r="P489" s="53" t="e">
        <f t="shared" ca="1" si="57"/>
        <v>#N/A</v>
      </c>
      <c r="Q489" s="53" t="str">
        <f ca="1">IFERROR(DayByDayTable[[#This Row],[Lead Time]],"")</f>
        <v/>
      </c>
      <c r="R489" s="44" t="e">
        <f t="shared" ca="1" si="58"/>
        <v>#N/A</v>
      </c>
      <c r="S489" s="44">
        <f ca="1">ROUND(PERCENTILE(DayByDayTable[[#Data],[BlankLeadTime]],0.8),0)</f>
        <v>8</v>
      </c>
    </row>
    <row r="490" spans="1:19">
      <c r="A490" s="51">
        <f t="shared" si="52"/>
        <v>43112</v>
      </c>
      <c r="B490" s="11">
        <f t="shared" si="54"/>
        <v>43112</v>
      </c>
      <c r="C490" s="47">
        <f>SUMIFS('On The Board'!$M$5:$M$219,'On The Board'!F$5:F$219,"&lt;="&amp;$B490,'On The Board'!E$5:E$219,"="&amp;FutureWork)</f>
        <v>0</v>
      </c>
      <c r="D490" s="47" t="str">
        <f ca="1">IF(TodaysDate&gt;=B490,SUMIF('On The Board'!F$5:F$219,"&lt;="&amp;$B490,'On The Board'!$M$5:$M$219)-SUM(F490:J490),"")</f>
        <v/>
      </c>
      <c r="E490" s="12">
        <f ca="1">IF(TodaysDate&gt;=B490,SUMIF('On The Board'!F$5:F$219,"&lt;="&amp;$B490,'On The Board'!$M$5:$M$219)-SUM(F490:J490),E489)</f>
        <v>47</v>
      </c>
      <c r="F490" s="12">
        <f>SUMIF('On The Board'!G$5:G$219,"&lt;="&amp;$B490,'On The Board'!$M$5:$M$219)-SUM(G490:J490)</f>
        <v>0</v>
      </c>
      <c r="G490" s="12">
        <f>SUMIF('On The Board'!H$5:H$219,"&lt;="&amp;$B490,'On The Board'!$M$5:$M$219)-SUM(H490:J490)</f>
        <v>5</v>
      </c>
      <c r="H490" s="12">
        <f>SUMIF('On The Board'!I$5:I$219,"&lt;="&amp;$B490,'On The Board'!$M$5:$M$219)-SUM(I490,J490)</f>
        <v>2</v>
      </c>
      <c r="I490" s="12">
        <f>SUMIF('On The Board'!J$5:J$219,"&lt;="&amp;$B490,'On The Board'!$M$5:$M$219)-SUM(J490)</f>
        <v>0</v>
      </c>
      <c r="J490" s="12">
        <f>SUMIF('On The Board'!K$5:K$219,"&lt;="&amp;$B490,'On The Board'!$M$5:$M$219)</f>
        <v>70</v>
      </c>
      <c r="K490" s="10">
        <f t="shared" si="53"/>
        <v>77</v>
      </c>
      <c r="L490" s="10" t="e">
        <f ca="1">IF(TodaysDate&gt;=B490,SUM(F490:I490),NA())</f>
        <v>#N/A</v>
      </c>
      <c r="M490" s="44" t="e">
        <f t="shared" ca="1" si="56"/>
        <v>#N/A</v>
      </c>
      <c r="N490" s="44" t="e">
        <f ca="1">IF(ISNUMBER(M490),(J490-J480)/NETWORKDAYS(B480,B490,BankHolidays),NA())</f>
        <v>#N/A</v>
      </c>
      <c r="O490" s="44" t="e">
        <f t="shared" ca="1" si="55"/>
        <v>#N/A</v>
      </c>
      <c r="P490" s="53" t="e">
        <f t="shared" ca="1" si="57"/>
        <v>#N/A</v>
      </c>
      <c r="Q490" s="53" t="str">
        <f ca="1">IFERROR(DayByDayTable[[#This Row],[Lead Time]],"")</f>
        <v/>
      </c>
      <c r="R490" s="44" t="e">
        <f t="shared" ca="1" si="58"/>
        <v>#N/A</v>
      </c>
      <c r="S490" s="44">
        <f ca="1">ROUND(PERCENTILE(DayByDayTable[[#Data],[BlankLeadTime]],0.8),0)</f>
        <v>8</v>
      </c>
    </row>
    <row r="491" spans="1:19">
      <c r="A491" s="51">
        <f t="shared" si="52"/>
        <v>43115</v>
      </c>
      <c r="B491" s="11">
        <f t="shared" si="54"/>
        <v>43115</v>
      </c>
      <c r="C491" s="47">
        <f>SUMIFS('On The Board'!$M$5:$M$219,'On The Board'!F$5:F$219,"&lt;="&amp;$B491,'On The Board'!E$5:E$219,"="&amp;FutureWork)</f>
        <v>0</v>
      </c>
      <c r="D491" s="47" t="str">
        <f ca="1">IF(TodaysDate&gt;=B491,SUMIF('On The Board'!F$5:F$219,"&lt;="&amp;$B491,'On The Board'!$M$5:$M$219)-SUM(F491:J491),"")</f>
        <v/>
      </c>
      <c r="E491" s="12">
        <f ca="1">IF(TodaysDate&gt;=B491,SUMIF('On The Board'!F$5:F$219,"&lt;="&amp;$B491,'On The Board'!$M$5:$M$219)-SUM(F491:J491),E490)</f>
        <v>47</v>
      </c>
      <c r="F491" s="12">
        <f>SUMIF('On The Board'!G$5:G$219,"&lt;="&amp;$B491,'On The Board'!$M$5:$M$219)-SUM(G491:J491)</f>
        <v>0</v>
      </c>
      <c r="G491" s="12">
        <f>SUMIF('On The Board'!H$5:H$219,"&lt;="&amp;$B491,'On The Board'!$M$5:$M$219)-SUM(H491:J491)</f>
        <v>5</v>
      </c>
      <c r="H491" s="12">
        <f>SUMIF('On The Board'!I$5:I$219,"&lt;="&amp;$B491,'On The Board'!$M$5:$M$219)-SUM(I491,J491)</f>
        <v>2</v>
      </c>
      <c r="I491" s="12">
        <f>SUMIF('On The Board'!J$5:J$219,"&lt;="&amp;$B491,'On The Board'!$M$5:$M$219)-SUM(J491)</f>
        <v>0</v>
      </c>
      <c r="J491" s="12">
        <f>SUMIF('On The Board'!K$5:K$219,"&lt;="&amp;$B491,'On The Board'!$M$5:$M$219)</f>
        <v>70</v>
      </c>
      <c r="K491" s="10">
        <f t="shared" si="53"/>
        <v>77</v>
      </c>
      <c r="L491" s="10" t="e">
        <f ca="1">IF(TodaysDate&gt;=B491,SUM(F491:I491),NA())</f>
        <v>#N/A</v>
      </c>
      <c r="M491" s="44" t="e">
        <f t="shared" ca="1" si="56"/>
        <v>#N/A</v>
      </c>
      <c r="N491" s="44" t="e">
        <f ca="1">IF(ISNUMBER(M491),(J491-J481)/NETWORKDAYS(B481,B491,BankHolidays),NA())</f>
        <v>#N/A</v>
      </c>
      <c r="O491" s="44" t="e">
        <f t="shared" ca="1" si="55"/>
        <v>#N/A</v>
      </c>
      <c r="P491" s="53" t="e">
        <f t="shared" ca="1" si="57"/>
        <v>#N/A</v>
      </c>
      <c r="Q491" s="53" t="str">
        <f ca="1">IFERROR(DayByDayTable[[#This Row],[Lead Time]],"")</f>
        <v/>
      </c>
      <c r="R491" s="44" t="e">
        <f t="shared" ca="1" si="58"/>
        <v>#N/A</v>
      </c>
      <c r="S491" s="44">
        <f ca="1">ROUND(PERCENTILE(DayByDayTable[[#Data],[BlankLeadTime]],0.8),0)</f>
        <v>8</v>
      </c>
    </row>
    <row r="492" spans="1:19">
      <c r="A492" s="51">
        <f t="shared" si="52"/>
        <v>43116</v>
      </c>
      <c r="B492" s="11">
        <f t="shared" si="54"/>
        <v>43116</v>
      </c>
      <c r="C492" s="47">
        <f>SUMIFS('On The Board'!$M$5:$M$219,'On The Board'!F$5:F$219,"&lt;="&amp;$B492,'On The Board'!E$5:E$219,"="&amp;FutureWork)</f>
        <v>0</v>
      </c>
      <c r="D492" s="47" t="str">
        <f ca="1">IF(TodaysDate&gt;=B492,SUMIF('On The Board'!F$5:F$219,"&lt;="&amp;$B492,'On The Board'!$M$5:$M$219)-SUM(F492:J492),"")</f>
        <v/>
      </c>
      <c r="E492" s="12">
        <f ca="1">IF(TodaysDate&gt;=B492,SUMIF('On The Board'!F$5:F$219,"&lt;="&amp;$B492,'On The Board'!$M$5:$M$219)-SUM(F492:J492),E491)</f>
        <v>47</v>
      </c>
      <c r="F492" s="12">
        <f>SUMIF('On The Board'!G$5:G$219,"&lt;="&amp;$B492,'On The Board'!$M$5:$M$219)-SUM(G492:J492)</f>
        <v>0</v>
      </c>
      <c r="G492" s="12">
        <f>SUMIF('On The Board'!H$5:H$219,"&lt;="&amp;$B492,'On The Board'!$M$5:$M$219)-SUM(H492:J492)</f>
        <v>5</v>
      </c>
      <c r="H492" s="12">
        <f>SUMIF('On The Board'!I$5:I$219,"&lt;="&amp;$B492,'On The Board'!$M$5:$M$219)-SUM(I492,J492)</f>
        <v>2</v>
      </c>
      <c r="I492" s="12">
        <f>SUMIF('On The Board'!J$5:J$219,"&lt;="&amp;$B492,'On The Board'!$M$5:$M$219)-SUM(J492)</f>
        <v>0</v>
      </c>
      <c r="J492" s="12">
        <f>SUMIF('On The Board'!K$5:K$219,"&lt;="&amp;$B492,'On The Board'!$M$5:$M$219)</f>
        <v>70</v>
      </c>
      <c r="K492" s="10">
        <f t="shared" si="53"/>
        <v>77</v>
      </c>
      <c r="L492" s="10" t="e">
        <f ca="1">IF(TodaysDate&gt;=B492,SUM(F492:I492),NA())</f>
        <v>#N/A</v>
      </c>
      <c r="M492" s="44" t="e">
        <f t="shared" ca="1" si="56"/>
        <v>#N/A</v>
      </c>
      <c r="N492" s="44" t="e">
        <f ca="1">IF(ISNUMBER(M492),(J492-J482)/NETWORKDAYS(B482,B492,BankHolidays),NA())</f>
        <v>#N/A</v>
      </c>
      <c r="O492" s="44" t="e">
        <f t="shared" ca="1" si="55"/>
        <v>#N/A</v>
      </c>
      <c r="P492" s="53" t="e">
        <f t="shared" ca="1" si="57"/>
        <v>#N/A</v>
      </c>
      <c r="Q492" s="53" t="str">
        <f ca="1">IFERROR(DayByDayTable[[#This Row],[Lead Time]],"")</f>
        <v/>
      </c>
      <c r="R492" s="44" t="e">
        <f t="shared" ca="1" si="58"/>
        <v>#N/A</v>
      </c>
      <c r="S492" s="44">
        <f ca="1">ROUND(PERCENTILE(DayByDayTable[[#Data],[BlankLeadTime]],0.8),0)</f>
        <v>8</v>
      </c>
    </row>
    <row r="493" spans="1:19">
      <c r="A493" s="51">
        <f t="shared" si="52"/>
        <v>43117</v>
      </c>
      <c r="B493" s="11">
        <f t="shared" si="54"/>
        <v>43117</v>
      </c>
      <c r="C493" s="47">
        <f>SUMIFS('On The Board'!$M$5:$M$219,'On The Board'!F$5:F$219,"&lt;="&amp;$B493,'On The Board'!E$5:E$219,"="&amp;FutureWork)</f>
        <v>0</v>
      </c>
      <c r="D493" s="47" t="str">
        <f ca="1">IF(TodaysDate&gt;=B493,SUMIF('On The Board'!F$5:F$219,"&lt;="&amp;$B493,'On The Board'!$M$5:$M$219)-SUM(F493:J493),"")</f>
        <v/>
      </c>
      <c r="E493" s="12">
        <f ca="1">IF(TodaysDate&gt;=B493,SUMIF('On The Board'!F$5:F$219,"&lt;="&amp;$B493,'On The Board'!$M$5:$M$219)-SUM(F493:J493),E492)</f>
        <v>47</v>
      </c>
      <c r="F493" s="12">
        <f>SUMIF('On The Board'!G$5:G$219,"&lt;="&amp;$B493,'On The Board'!$M$5:$M$219)-SUM(G493:J493)</f>
        <v>0</v>
      </c>
      <c r="G493" s="12">
        <f>SUMIF('On The Board'!H$5:H$219,"&lt;="&amp;$B493,'On The Board'!$M$5:$M$219)-SUM(H493:J493)</f>
        <v>5</v>
      </c>
      <c r="H493" s="12">
        <f>SUMIF('On The Board'!I$5:I$219,"&lt;="&amp;$B493,'On The Board'!$M$5:$M$219)-SUM(I493,J493)</f>
        <v>2</v>
      </c>
      <c r="I493" s="12">
        <f>SUMIF('On The Board'!J$5:J$219,"&lt;="&amp;$B493,'On The Board'!$M$5:$M$219)-SUM(J493)</f>
        <v>0</v>
      </c>
      <c r="J493" s="12">
        <f>SUMIF('On The Board'!K$5:K$219,"&lt;="&amp;$B493,'On The Board'!$M$5:$M$219)</f>
        <v>70</v>
      </c>
      <c r="K493" s="10">
        <f t="shared" si="53"/>
        <v>77</v>
      </c>
      <c r="L493" s="10" t="e">
        <f ca="1">IF(TodaysDate&gt;=B493,SUM(F493:I493),NA())</f>
        <v>#N/A</v>
      </c>
      <c r="M493" s="44" t="e">
        <f t="shared" ca="1" si="56"/>
        <v>#N/A</v>
      </c>
      <c r="N493" s="44" t="e">
        <f ca="1">IF(ISNUMBER(M493),(J493-J483)/NETWORKDAYS(B483,B493,BankHolidays),NA())</f>
        <v>#N/A</v>
      </c>
      <c r="O493" s="44" t="e">
        <f t="shared" ca="1" si="55"/>
        <v>#N/A</v>
      </c>
      <c r="P493" s="53" t="e">
        <f t="shared" ca="1" si="57"/>
        <v>#N/A</v>
      </c>
      <c r="Q493" s="53" t="str">
        <f ca="1">IFERROR(DayByDayTable[[#This Row],[Lead Time]],"")</f>
        <v/>
      </c>
      <c r="R493" s="44" t="e">
        <f t="shared" ca="1" si="58"/>
        <v>#N/A</v>
      </c>
      <c r="S493" s="44">
        <f ca="1">ROUND(PERCENTILE(DayByDayTable[[#Data],[BlankLeadTime]],0.8),0)</f>
        <v>8</v>
      </c>
    </row>
    <row r="494" spans="1:19">
      <c r="A494" s="51">
        <f t="shared" si="52"/>
        <v>43118</v>
      </c>
      <c r="B494" s="11">
        <f t="shared" si="54"/>
        <v>43118</v>
      </c>
      <c r="C494" s="47">
        <f>SUMIFS('On The Board'!$M$5:$M$219,'On The Board'!F$5:F$219,"&lt;="&amp;$B494,'On The Board'!E$5:E$219,"="&amp;FutureWork)</f>
        <v>0</v>
      </c>
      <c r="D494" s="47" t="str">
        <f ca="1">IF(TodaysDate&gt;=B494,SUMIF('On The Board'!F$5:F$219,"&lt;="&amp;$B494,'On The Board'!$M$5:$M$219)-SUM(F494:J494),"")</f>
        <v/>
      </c>
      <c r="E494" s="12">
        <f ca="1">IF(TodaysDate&gt;=B494,SUMIF('On The Board'!F$5:F$219,"&lt;="&amp;$B494,'On The Board'!$M$5:$M$219)-SUM(F494:J494),E493)</f>
        <v>47</v>
      </c>
      <c r="F494" s="12">
        <f>SUMIF('On The Board'!G$5:G$219,"&lt;="&amp;$B494,'On The Board'!$M$5:$M$219)-SUM(G494:J494)</f>
        <v>0</v>
      </c>
      <c r="G494" s="12">
        <f>SUMIF('On The Board'!H$5:H$219,"&lt;="&amp;$B494,'On The Board'!$M$5:$M$219)-SUM(H494:J494)</f>
        <v>5</v>
      </c>
      <c r="H494" s="12">
        <f>SUMIF('On The Board'!I$5:I$219,"&lt;="&amp;$B494,'On The Board'!$M$5:$M$219)-SUM(I494,J494)</f>
        <v>2</v>
      </c>
      <c r="I494" s="12">
        <f>SUMIF('On The Board'!J$5:J$219,"&lt;="&amp;$B494,'On The Board'!$M$5:$M$219)-SUM(J494)</f>
        <v>0</v>
      </c>
      <c r="J494" s="12">
        <f>SUMIF('On The Board'!K$5:K$219,"&lt;="&amp;$B494,'On The Board'!$M$5:$M$219)</f>
        <v>70</v>
      </c>
      <c r="K494" s="10">
        <f t="shared" si="53"/>
        <v>77</v>
      </c>
      <c r="L494" s="10" t="e">
        <f ca="1">IF(TodaysDate&gt;=B494,SUM(F494:I494),NA())</f>
        <v>#N/A</v>
      </c>
      <c r="M494" s="44" t="e">
        <f t="shared" ca="1" si="56"/>
        <v>#N/A</v>
      </c>
      <c r="N494" s="44" t="e">
        <f ca="1">IF(ISNUMBER(M494),(J494-J484)/NETWORKDAYS(B484,B494,BankHolidays),NA())</f>
        <v>#N/A</v>
      </c>
      <c r="O494" s="44" t="e">
        <f t="shared" ca="1" si="55"/>
        <v>#N/A</v>
      </c>
      <c r="P494" s="53" t="e">
        <f t="shared" ca="1" si="57"/>
        <v>#N/A</v>
      </c>
      <c r="Q494" s="53" t="str">
        <f ca="1">IFERROR(DayByDayTable[[#This Row],[Lead Time]],"")</f>
        <v/>
      </c>
      <c r="R494" s="44" t="e">
        <f t="shared" ca="1" si="58"/>
        <v>#N/A</v>
      </c>
      <c r="S494" s="44">
        <f ca="1">ROUND(PERCENTILE(DayByDayTable[[#Data],[BlankLeadTime]],0.8),0)</f>
        <v>8</v>
      </c>
    </row>
    <row r="495" spans="1:19">
      <c r="A495" s="51">
        <f t="shared" si="52"/>
        <v>43119</v>
      </c>
      <c r="B495" s="11">
        <f t="shared" si="54"/>
        <v>43119</v>
      </c>
      <c r="C495" s="47">
        <f>SUMIFS('On The Board'!$M$5:$M$219,'On The Board'!F$5:F$219,"&lt;="&amp;$B495,'On The Board'!E$5:E$219,"="&amp;FutureWork)</f>
        <v>0</v>
      </c>
      <c r="D495" s="47" t="str">
        <f ca="1">IF(TodaysDate&gt;=B495,SUMIF('On The Board'!F$5:F$219,"&lt;="&amp;$B495,'On The Board'!$M$5:$M$219)-SUM(F495:J495),"")</f>
        <v/>
      </c>
      <c r="E495" s="12">
        <f ca="1">IF(TodaysDate&gt;=B495,SUMIF('On The Board'!F$5:F$219,"&lt;="&amp;$B495,'On The Board'!$M$5:$M$219)-SUM(F495:J495),E494)</f>
        <v>47</v>
      </c>
      <c r="F495" s="12">
        <f>SUMIF('On The Board'!G$5:G$219,"&lt;="&amp;$B495,'On The Board'!$M$5:$M$219)-SUM(G495:J495)</f>
        <v>0</v>
      </c>
      <c r="G495" s="12">
        <f>SUMIF('On The Board'!H$5:H$219,"&lt;="&amp;$B495,'On The Board'!$M$5:$M$219)-SUM(H495:J495)</f>
        <v>5</v>
      </c>
      <c r="H495" s="12">
        <f>SUMIF('On The Board'!I$5:I$219,"&lt;="&amp;$B495,'On The Board'!$M$5:$M$219)-SUM(I495,J495)</f>
        <v>2</v>
      </c>
      <c r="I495" s="12">
        <f>SUMIF('On The Board'!J$5:J$219,"&lt;="&amp;$B495,'On The Board'!$M$5:$M$219)-SUM(J495)</f>
        <v>0</v>
      </c>
      <c r="J495" s="12">
        <f>SUMIF('On The Board'!K$5:K$219,"&lt;="&amp;$B495,'On The Board'!$M$5:$M$219)</f>
        <v>70</v>
      </c>
      <c r="K495" s="10">
        <f t="shared" si="53"/>
        <v>77</v>
      </c>
      <c r="L495" s="10" t="e">
        <f ca="1">IF(TodaysDate&gt;=B495,SUM(F495:I495),NA())</f>
        <v>#N/A</v>
      </c>
      <c r="M495" s="44" t="e">
        <f t="shared" ca="1" si="56"/>
        <v>#N/A</v>
      </c>
      <c r="N495" s="44" t="e">
        <f ca="1">IF(ISNUMBER(M495),(J495-J485)/NETWORKDAYS(B485,B495,BankHolidays),NA())</f>
        <v>#N/A</v>
      </c>
      <c r="O495" s="44" t="e">
        <f t="shared" ca="1" si="55"/>
        <v>#N/A</v>
      </c>
      <c r="P495" s="53" t="e">
        <f t="shared" ca="1" si="57"/>
        <v>#N/A</v>
      </c>
      <c r="Q495" s="53" t="str">
        <f ca="1">IFERROR(DayByDayTable[[#This Row],[Lead Time]],"")</f>
        <v/>
      </c>
      <c r="R495" s="44" t="e">
        <f t="shared" ca="1" si="58"/>
        <v>#N/A</v>
      </c>
      <c r="S495" s="44">
        <f ca="1">ROUND(PERCENTILE(DayByDayTable[[#Data],[BlankLeadTime]],0.8),0)</f>
        <v>8</v>
      </c>
    </row>
    <row r="496" spans="1:19">
      <c r="A496" s="51">
        <f t="shared" si="52"/>
        <v>43122</v>
      </c>
      <c r="B496" s="11">
        <f t="shared" si="54"/>
        <v>43122</v>
      </c>
      <c r="C496" s="47">
        <f>SUMIFS('On The Board'!$M$5:$M$219,'On The Board'!F$5:F$219,"&lt;="&amp;$B496,'On The Board'!E$5:E$219,"="&amp;FutureWork)</f>
        <v>0</v>
      </c>
      <c r="D496" s="47" t="str">
        <f ca="1">IF(TodaysDate&gt;=B496,SUMIF('On The Board'!F$5:F$219,"&lt;="&amp;$B496,'On The Board'!$M$5:$M$219)-SUM(F496:J496),"")</f>
        <v/>
      </c>
      <c r="E496" s="12">
        <f ca="1">IF(TodaysDate&gt;=B496,SUMIF('On The Board'!F$5:F$219,"&lt;="&amp;$B496,'On The Board'!$M$5:$M$219)-SUM(F496:J496),E495)</f>
        <v>47</v>
      </c>
      <c r="F496" s="12">
        <f>SUMIF('On The Board'!G$5:G$219,"&lt;="&amp;$B496,'On The Board'!$M$5:$M$219)-SUM(G496:J496)</f>
        <v>0</v>
      </c>
      <c r="G496" s="12">
        <f>SUMIF('On The Board'!H$5:H$219,"&lt;="&amp;$B496,'On The Board'!$M$5:$M$219)-SUM(H496:J496)</f>
        <v>5</v>
      </c>
      <c r="H496" s="12">
        <f>SUMIF('On The Board'!I$5:I$219,"&lt;="&amp;$B496,'On The Board'!$M$5:$M$219)-SUM(I496,J496)</f>
        <v>2</v>
      </c>
      <c r="I496" s="12">
        <f>SUMIF('On The Board'!J$5:J$219,"&lt;="&amp;$B496,'On The Board'!$M$5:$M$219)-SUM(J496)</f>
        <v>0</v>
      </c>
      <c r="J496" s="12">
        <f>SUMIF('On The Board'!K$5:K$219,"&lt;="&amp;$B496,'On The Board'!$M$5:$M$219)</f>
        <v>70</v>
      </c>
      <c r="K496" s="10">
        <f t="shared" si="53"/>
        <v>77</v>
      </c>
      <c r="L496" s="10" t="e">
        <f ca="1">IF(TodaysDate&gt;=B496,SUM(F496:I496),NA())</f>
        <v>#N/A</v>
      </c>
      <c r="M496" s="44" t="e">
        <f t="shared" ca="1" si="56"/>
        <v>#N/A</v>
      </c>
      <c r="N496" s="44" t="e">
        <f ca="1">IF(ISNUMBER(M496),(J496-J486)/NETWORKDAYS(B486,B496,BankHolidays),NA())</f>
        <v>#N/A</v>
      </c>
      <c r="O496" s="44" t="e">
        <f t="shared" ca="1" si="55"/>
        <v>#N/A</v>
      </c>
      <c r="P496" s="53" t="e">
        <f t="shared" ca="1" si="57"/>
        <v>#N/A</v>
      </c>
      <c r="Q496" s="53" t="str">
        <f ca="1">IFERROR(DayByDayTable[[#This Row],[Lead Time]],"")</f>
        <v/>
      </c>
      <c r="R496" s="44" t="e">
        <f t="shared" ca="1" si="58"/>
        <v>#N/A</v>
      </c>
      <c r="S496" s="44">
        <f ca="1">ROUND(PERCENTILE(DayByDayTable[[#Data],[BlankLeadTime]],0.8),0)</f>
        <v>8</v>
      </c>
    </row>
    <row r="497" spans="1:19">
      <c r="A497" s="51">
        <f t="shared" si="52"/>
        <v>43123</v>
      </c>
      <c r="B497" s="11">
        <f t="shared" si="54"/>
        <v>43123</v>
      </c>
      <c r="C497" s="47">
        <f>SUMIFS('On The Board'!$M$5:$M$219,'On The Board'!F$5:F$219,"&lt;="&amp;$B497,'On The Board'!E$5:E$219,"="&amp;FutureWork)</f>
        <v>0</v>
      </c>
      <c r="D497" s="47" t="str">
        <f ca="1">IF(TodaysDate&gt;=B497,SUMIF('On The Board'!F$5:F$219,"&lt;="&amp;$B497,'On The Board'!$M$5:$M$219)-SUM(F497:J497),"")</f>
        <v/>
      </c>
      <c r="E497" s="12">
        <f ca="1">IF(TodaysDate&gt;=B497,SUMIF('On The Board'!F$5:F$219,"&lt;="&amp;$B497,'On The Board'!$M$5:$M$219)-SUM(F497:J497),E496)</f>
        <v>47</v>
      </c>
      <c r="F497" s="12">
        <f>SUMIF('On The Board'!G$5:G$219,"&lt;="&amp;$B497,'On The Board'!$M$5:$M$219)-SUM(G497:J497)</f>
        <v>0</v>
      </c>
      <c r="G497" s="12">
        <f>SUMIF('On The Board'!H$5:H$219,"&lt;="&amp;$B497,'On The Board'!$M$5:$M$219)-SUM(H497:J497)</f>
        <v>5</v>
      </c>
      <c r="H497" s="12">
        <f>SUMIF('On The Board'!I$5:I$219,"&lt;="&amp;$B497,'On The Board'!$M$5:$M$219)-SUM(I497,J497)</f>
        <v>2</v>
      </c>
      <c r="I497" s="12">
        <f>SUMIF('On The Board'!J$5:J$219,"&lt;="&amp;$B497,'On The Board'!$M$5:$M$219)-SUM(J497)</f>
        <v>0</v>
      </c>
      <c r="J497" s="12">
        <f>SUMIF('On The Board'!K$5:K$219,"&lt;="&amp;$B497,'On The Board'!$M$5:$M$219)</f>
        <v>70</v>
      </c>
      <c r="K497" s="10">
        <f t="shared" si="53"/>
        <v>77</v>
      </c>
      <c r="L497" s="10" t="e">
        <f ca="1">IF(TodaysDate&gt;=B497,SUM(F497:I497),NA())</f>
        <v>#N/A</v>
      </c>
      <c r="M497" s="44" t="e">
        <f t="shared" ca="1" si="56"/>
        <v>#N/A</v>
      </c>
      <c r="N497" s="44" t="e">
        <f ca="1">IF(ISNUMBER(M497),(J497-J487)/NETWORKDAYS(B487,B497,BankHolidays),NA())</f>
        <v>#N/A</v>
      </c>
      <c r="O497" s="44" t="e">
        <f t="shared" ca="1" si="55"/>
        <v>#N/A</v>
      </c>
      <c r="P497" s="53" t="e">
        <f t="shared" ca="1" si="57"/>
        <v>#N/A</v>
      </c>
      <c r="Q497" s="53" t="str">
        <f ca="1">IFERROR(DayByDayTable[[#This Row],[Lead Time]],"")</f>
        <v/>
      </c>
      <c r="R497" s="44" t="e">
        <f t="shared" ca="1" si="58"/>
        <v>#N/A</v>
      </c>
      <c r="S497" s="44">
        <f ca="1">ROUND(PERCENTILE(DayByDayTable[[#Data],[BlankLeadTime]],0.8),0)</f>
        <v>8</v>
      </c>
    </row>
    <row r="498" spans="1:19">
      <c r="A498" s="51">
        <f t="shared" si="52"/>
        <v>43124</v>
      </c>
      <c r="B498" s="11">
        <f t="shared" si="54"/>
        <v>43124</v>
      </c>
      <c r="C498" s="47">
        <f>SUMIFS('On The Board'!$M$5:$M$219,'On The Board'!F$5:F$219,"&lt;="&amp;$B498,'On The Board'!E$5:E$219,"="&amp;FutureWork)</f>
        <v>0</v>
      </c>
      <c r="D498" s="47" t="str">
        <f ca="1">IF(TodaysDate&gt;=B498,SUMIF('On The Board'!F$5:F$219,"&lt;="&amp;$B498,'On The Board'!$M$5:$M$219)-SUM(F498:J498),"")</f>
        <v/>
      </c>
      <c r="E498" s="12">
        <f ca="1">IF(TodaysDate&gt;=B498,SUMIF('On The Board'!F$5:F$219,"&lt;="&amp;$B498,'On The Board'!$M$5:$M$219)-SUM(F498:J498),E497)</f>
        <v>47</v>
      </c>
      <c r="F498" s="12">
        <f>SUMIF('On The Board'!G$5:G$219,"&lt;="&amp;$B498,'On The Board'!$M$5:$M$219)-SUM(G498:J498)</f>
        <v>0</v>
      </c>
      <c r="G498" s="12">
        <f>SUMIF('On The Board'!H$5:H$219,"&lt;="&amp;$B498,'On The Board'!$M$5:$M$219)-SUM(H498:J498)</f>
        <v>5</v>
      </c>
      <c r="H498" s="12">
        <f>SUMIF('On The Board'!I$5:I$219,"&lt;="&amp;$B498,'On The Board'!$M$5:$M$219)-SUM(I498,J498)</f>
        <v>2</v>
      </c>
      <c r="I498" s="12">
        <f>SUMIF('On The Board'!J$5:J$219,"&lt;="&amp;$B498,'On The Board'!$M$5:$M$219)-SUM(J498)</f>
        <v>0</v>
      </c>
      <c r="J498" s="12">
        <f>SUMIF('On The Board'!K$5:K$219,"&lt;="&amp;$B498,'On The Board'!$M$5:$M$219)</f>
        <v>70</v>
      </c>
      <c r="K498" s="10">
        <f t="shared" si="53"/>
        <v>77</v>
      </c>
      <c r="L498" s="10" t="e">
        <f ca="1">IF(TodaysDate&gt;=B498,SUM(F498:I498),NA())</f>
        <v>#N/A</v>
      </c>
      <c r="M498" s="44" t="e">
        <f t="shared" ca="1" si="56"/>
        <v>#N/A</v>
      </c>
      <c r="N498" s="44" t="e">
        <f ca="1">IF(ISNUMBER(M498),(J498-J488)/NETWORKDAYS(B488,B498,BankHolidays),NA())</f>
        <v>#N/A</v>
      </c>
      <c r="O498" s="44" t="e">
        <f t="shared" ca="1" si="55"/>
        <v>#N/A</v>
      </c>
      <c r="P498" s="53" t="e">
        <f t="shared" ca="1" si="57"/>
        <v>#N/A</v>
      </c>
      <c r="Q498" s="53" t="str">
        <f ca="1">IFERROR(DayByDayTable[[#This Row],[Lead Time]],"")</f>
        <v/>
      </c>
      <c r="R498" s="44" t="e">
        <f t="shared" ca="1" si="58"/>
        <v>#N/A</v>
      </c>
      <c r="S498" s="44">
        <f ca="1">ROUND(PERCENTILE(DayByDayTable[[#Data],[BlankLeadTime]],0.8),0)</f>
        <v>8</v>
      </c>
    </row>
    <row r="499" spans="1:19">
      <c r="A499" s="51">
        <f t="shared" si="52"/>
        <v>43125</v>
      </c>
      <c r="B499" s="11">
        <f t="shared" si="54"/>
        <v>43125</v>
      </c>
      <c r="C499" s="47">
        <f>SUMIFS('On The Board'!$M$5:$M$219,'On The Board'!F$5:F$219,"&lt;="&amp;$B499,'On The Board'!E$5:E$219,"="&amp;FutureWork)</f>
        <v>0</v>
      </c>
      <c r="D499" s="47" t="str">
        <f ca="1">IF(TodaysDate&gt;=B499,SUMIF('On The Board'!F$5:F$219,"&lt;="&amp;$B499,'On The Board'!$M$5:$M$219)-SUM(F499:J499),"")</f>
        <v/>
      </c>
      <c r="E499" s="12">
        <f ca="1">IF(TodaysDate&gt;=B499,SUMIF('On The Board'!F$5:F$219,"&lt;="&amp;$B499,'On The Board'!$M$5:$M$219)-SUM(F499:J499),E498)</f>
        <v>47</v>
      </c>
      <c r="F499" s="12">
        <f>SUMIF('On The Board'!G$5:G$219,"&lt;="&amp;$B499,'On The Board'!$M$5:$M$219)-SUM(G499:J499)</f>
        <v>0</v>
      </c>
      <c r="G499" s="12">
        <f>SUMIF('On The Board'!H$5:H$219,"&lt;="&amp;$B499,'On The Board'!$M$5:$M$219)-SUM(H499:J499)</f>
        <v>5</v>
      </c>
      <c r="H499" s="12">
        <f>SUMIF('On The Board'!I$5:I$219,"&lt;="&amp;$B499,'On The Board'!$M$5:$M$219)-SUM(I499,J499)</f>
        <v>2</v>
      </c>
      <c r="I499" s="12">
        <f>SUMIF('On The Board'!J$5:J$219,"&lt;="&amp;$B499,'On The Board'!$M$5:$M$219)-SUM(J499)</f>
        <v>0</v>
      </c>
      <c r="J499" s="12">
        <f>SUMIF('On The Board'!K$5:K$219,"&lt;="&amp;$B499,'On The Board'!$M$5:$M$219)</f>
        <v>70</v>
      </c>
      <c r="K499" s="10">
        <f t="shared" si="53"/>
        <v>77</v>
      </c>
      <c r="L499" s="10" t="e">
        <f ca="1">IF(TodaysDate&gt;=B499,SUM(F499:I499),NA())</f>
        <v>#N/A</v>
      </c>
      <c r="M499" s="44" t="e">
        <f t="shared" ca="1" si="56"/>
        <v>#N/A</v>
      </c>
      <c r="N499" s="44" t="e">
        <f ca="1">IF(ISNUMBER(M499),(J499-J489)/NETWORKDAYS(B489,B499,BankHolidays),NA())</f>
        <v>#N/A</v>
      </c>
      <c r="O499" s="44" t="e">
        <f t="shared" ca="1" si="55"/>
        <v>#N/A</v>
      </c>
      <c r="P499" s="53" t="e">
        <f t="shared" ca="1" si="57"/>
        <v>#N/A</v>
      </c>
      <c r="Q499" s="53" t="str">
        <f ca="1">IFERROR(DayByDayTable[[#This Row],[Lead Time]],"")</f>
        <v/>
      </c>
      <c r="R499" s="44" t="e">
        <f t="shared" ca="1" si="58"/>
        <v>#N/A</v>
      </c>
      <c r="S499" s="44">
        <f ca="1">ROUND(PERCENTILE(DayByDayTable[[#Data],[BlankLeadTime]],0.8),0)</f>
        <v>8</v>
      </c>
    </row>
    <row r="500" spans="1:19">
      <c r="A500" s="51">
        <f t="shared" si="52"/>
        <v>43126</v>
      </c>
      <c r="B500" s="11">
        <f t="shared" si="54"/>
        <v>43126</v>
      </c>
      <c r="C500" s="47">
        <f>SUMIFS('On The Board'!$M$5:$M$219,'On The Board'!F$5:F$219,"&lt;="&amp;$B500,'On The Board'!E$5:E$219,"="&amp;FutureWork)</f>
        <v>0</v>
      </c>
      <c r="D500" s="47" t="str">
        <f ca="1">IF(TodaysDate&gt;=B500,SUMIF('On The Board'!F$5:F$219,"&lt;="&amp;$B500,'On The Board'!$M$5:$M$219)-SUM(F500:J500),"")</f>
        <v/>
      </c>
      <c r="E500" s="12">
        <f ca="1">IF(TodaysDate&gt;=B500,SUMIF('On The Board'!F$5:F$219,"&lt;="&amp;$B500,'On The Board'!$M$5:$M$219)-SUM(F500:J500),E499)</f>
        <v>47</v>
      </c>
      <c r="F500" s="12">
        <f>SUMIF('On The Board'!G$5:G$219,"&lt;="&amp;$B500,'On The Board'!$M$5:$M$219)-SUM(G500:J500)</f>
        <v>0</v>
      </c>
      <c r="G500" s="12">
        <f>SUMIF('On The Board'!H$5:H$219,"&lt;="&amp;$B500,'On The Board'!$M$5:$M$219)-SUM(H500:J500)</f>
        <v>5</v>
      </c>
      <c r="H500" s="12">
        <f>SUMIF('On The Board'!I$5:I$219,"&lt;="&amp;$B500,'On The Board'!$M$5:$M$219)-SUM(I500,J500)</f>
        <v>2</v>
      </c>
      <c r="I500" s="12">
        <f>SUMIF('On The Board'!J$5:J$219,"&lt;="&amp;$B500,'On The Board'!$M$5:$M$219)-SUM(J500)</f>
        <v>0</v>
      </c>
      <c r="J500" s="12">
        <f>SUMIF('On The Board'!K$5:K$219,"&lt;="&amp;$B500,'On The Board'!$M$5:$M$219)</f>
        <v>70</v>
      </c>
      <c r="K500" s="10">
        <f t="shared" si="53"/>
        <v>77</v>
      </c>
      <c r="L500" s="10" t="e">
        <f ca="1">IF(TodaysDate&gt;=B500,SUM(F500:I500),NA())</f>
        <v>#N/A</v>
      </c>
      <c r="M500" s="44" t="e">
        <f t="shared" ca="1" si="56"/>
        <v>#N/A</v>
      </c>
      <c r="N500" s="44" t="e">
        <f ca="1">IF(ISNUMBER(M500),(J500-J490)/NETWORKDAYS(B490,B500,BankHolidays),NA())</f>
        <v>#N/A</v>
      </c>
      <c r="O500" s="44" t="e">
        <f t="shared" ca="1" si="55"/>
        <v>#N/A</v>
      </c>
      <c r="P500" s="53" t="e">
        <f t="shared" ca="1" si="57"/>
        <v>#N/A</v>
      </c>
      <c r="Q500" s="53" t="str">
        <f ca="1">IFERROR(DayByDayTable[[#This Row],[Lead Time]],"")</f>
        <v/>
      </c>
      <c r="R500" s="44" t="e">
        <f t="shared" ca="1" si="58"/>
        <v>#N/A</v>
      </c>
      <c r="S500" s="44">
        <f ca="1">ROUND(PERCENTILE(DayByDayTable[[#Data],[BlankLeadTime]],0.8),0)</f>
        <v>8</v>
      </c>
    </row>
    <row r="501" spans="1:19">
      <c r="A501" s="51">
        <f t="shared" si="52"/>
        <v>43129</v>
      </c>
      <c r="B501" s="11">
        <f t="shared" si="54"/>
        <v>43129</v>
      </c>
      <c r="C501" s="47">
        <f>SUMIFS('On The Board'!$M$5:$M$219,'On The Board'!F$5:F$219,"&lt;="&amp;$B501,'On The Board'!E$5:E$219,"="&amp;FutureWork)</f>
        <v>0</v>
      </c>
      <c r="D501" s="47" t="str">
        <f ca="1">IF(TodaysDate&gt;=B501,SUMIF('On The Board'!F$5:F$219,"&lt;="&amp;$B501,'On The Board'!$M$5:$M$219)-SUM(F501:J501),"")</f>
        <v/>
      </c>
      <c r="E501" s="12">
        <f ca="1">IF(TodaysDate&gt;=B501,SUMIF('On The Board'!F$5:F$219,"&lt;="&amp;$B501,'On The Board'!$M$5:$M$219)-SUM(F501:J501),E500)</f>
        <v>47</v>
      </c>
      <c r="F501" s="12">
        <f>SUMIF('On The Board'!G$5:G$219,"&lt;="&amp;$B501,'On The Board'!$M$5:$M$219)-SUM(G501:J501)</f>
        <v>0</v>
      </c>
      <c r="G501" s="12">
        <f>SUMIF('On The Board'!H$5:H$219,"&lt;="&amp;$B501,'On The Board'!$M$5:$M$219)-SUM(H501:J501)</f>
        <v>5</v>
      </c>
      <c r="H501" s="12">
        <f>SUMIF('On The Board'!I$5:I$219,"&lt;="&amp;$B501,'On The Board'!$M$5:$M$219)-SUM(I501,J501)</f>
        <v>2</v>
      </c>
      <c r="I501" s="12">
        <f>SUMIF('On The Board'!J$5:J$219,"&lt;="&amp;$B501,'On The Board'!$M$5:$M$219)-SUM(J501)</f>
        <v>0</v>
      </c>
      <c r="J501" s="12">
        <f>SUMIF('On The Board'!K$5:K$219,"&lt;="&amp;$B501,'On The Board'!$M$5:$M$219)</f>
        <v>70</v>
      </c>
      <c r="K501" s="10">
        <f t="shared" si="53"/>
        <v>77</v>
      </c>
      <c r="L501" s="10" t="e">
        <f ca="1">IF(TodaysDate&gt;=B501,SUM(F501:I501),NA())</f>
        <v>#N/A</v>
      </c>
      <c r="M501" s="44" t="e">
        <f t="shared" ca="1" si="56"/>
        <v>#N/A</v>
      </c>
      <c r="N501" s="44" t="e">
        <f ca="1">IF(ISNUMBER(M501),(J501-J491)/NETWORKDAYS(B491,B501,BankHolidays),NA())</f>
        <v>#N/A</v>
      </c>
      <c r="O501" s="44" t="e">
        <f t="shared" ca="1" si="55"/>
        <v>#N/A</v>
      </c>
      <c r="P501" s="53" t="e">
        <f t="shared" ca="1" si="57"/>
        <v>#N/A</v>
      </c>
      <c r="Q501" s="53" t="str">
        <f ca="1">IFERROR(DayByDayTable[[#This Row],[Lead Time]],"")</f>
        <v/>
      </c>
      <c r="R501" s="44" t="e">
        <f t="shared" ca="1" si="58"/>
        <v>#N/A</v>
      </c>
      <c r="S501" s="44">
        <f ca="1">ROUND(PERCENTILE(DayByDayTable[[#Data],[BlankLeadTime]],0.8),0)</f>
        <v>8</v>
      </c>
    </row>
    <row r="502" spans="1:19">
      <c r="A502" s="51">
        <f t="shared" si="52"/>
        <v>43130</v>
      </c>
      <c r="B502" s="11">
        <f t="shared" si="54"/>
        <v>43130</v>
      </c>
      <c r="C502" s="47">
        <f>SUMIFS('On The Board'!$M$5:$M$219,'On The Board'!F$5:F$219,"&lt;="&amp;$B502,'On The Board'!E$5:E$219,"="&amp;FutureWork)</f>
        <v>0</v>
      </c>
      <c r="D502" s="47" t="str">
        <f ca="1">IF(TodaysDate&gt;=B502,SUMIF('On The Board'!F$5:F$219,"&lt;="&amp;$B502,'On The Board'!$M$5:$M$219)-SUM(F502:J502),"")</f>
        <v/>
      </c>
      <c r="E502" s="12">
        <f ca="1">IF(TodaysDate&gt;=B502,SUMIF('On The Board'!F$5:F$219,"&lt;="&amp;$B502,'On The Board'!$M$5:$M$219)-SUM(F502:J502),E501)</f>
        <v>47</v>
      </c>
      <c r="F502" s="12">
        <f>SUMIF('On The Board'!G$5:G$219,"&lt;="&amp;$B502,'On The Board'!$M$5:$M$219)-SUM(G502:J502)</f>
        <v>0</v>
      </c>
      <c r="G502" s="12">
        <f>SUMIF('On The Board'!H$5:H$219,"&lt;="&amp;$B502,'On The Board'!$M$5:$M$219)-SUM(H502:J502)</f>
        <v>5</v>
      </c>
      <c r="H502" s="12">
        <f>SUMIF('On The Board'!I$5:I$219,"&lt;="&amp;$B502,'On The Board'!$M$5:$M$219)-SUM(I502,J502)</f>
        <v>2</v>
      </c>
      <c r="I502" s="12">
        <f>SUMIF('On The Board'!J$5:J$219,"&lt;="&amp;$B502,'On The Board'!$M$5:$M$219)-SUM(J502)</f>
        <v>0</v>
      </c>
      <c r="J502" s="12">
        <f>SUMIF('On The Board'!K$5:K$219,"&lt;="&amp;$B502,'On The Board'!$M$5:$M$219)</f>
        <v>70</v>
      </c>
      <c r="K502" s="10">
        <f t="shared" si="53"/>
        <v>77</v>
      </c>
      <c r="L502" s="10" t="e">
        <f ca="1">IF(TodaysDate&gt;=B502,SUM(F502:I502),NA())</f>
        <v>#N/A</v>
      </c>
      <c r="M502" s="44" t="e">
        <f t="shared" ca="1" si="56"/>
        <v>#N/A</v>
      </c>
      <c r="N502" s="44" t="e">
        <f ca="1">IF(ISNUMBER(M502),(J502-J492)/NETWORKDAYS(B492,B502,BankHolidays),NA())</f>
        <v>#N/A</v>
      </c>
      <c r="O502" s="44" t="e">
        <f t="shared" ca="1" si="55"/>
        <v>#N/A</v>
      </c>
      <c r="P502" s="53" t="e">
        <f t="shared" ca="1" si="57"/>
        <v>#N/A</v>
      </c>
      <c r="Q502" s="53" t="str">
        <f ca="1">IFERROR(DayByDayTable[[#This Row],[Lead Time]],"")</f>
        <v/>
      </c>
      <c r="R502" s="44" t="e">
        <f t="shared" ca="1" si="58"/>
        <v>#N/A</v>
      </c>
      <c r="S502" s="44">
        <f ca="1">ROUND(PERCENTILE(DayByDayTable[[#Data],[BlankLeadTime]],0.8),0)</f>
        <v>8</v>
      </c>
    </row>
    <row r="503" spans="1:19">
      <c r="A503" s="51">
        <f t="shared" si="52"/>
        <v>43131</v>
      </c>
      <c r="B503" s="11">
        <f t="shared" si="54"/>
        <v>43131</v>
      </c>
      <c r="C503" s="47">
        <f>SUMIFS('On The Board'!$M$5:$M$219,'On The Board'!F$5:F$219,"&lt;="&amp;$B503,'On The Board'!E$5:E$219,"="&amp;FutureWork)</f>
        <v>0</v>
      </c>
      <c r="D503" s="47" t="str">
        <f ca="1">IF(TodaysDate&gt;=B503,SUMIF('On The Board'!F$5:F$219,"&lt;="&amp;$B503,'On The Board'!$M$5:$M$219)-SUM(F503:J503),"")</f>
        <v/>
      </c>
      <c r="E503" s="12">
        <f ca="1">IF(TodaysDate&gt;=B503,SUMIF('On The Board'!F$5:F$219,"&lt;="&amp;$B503,'On The Board'!$M$5:$M$219)-SUM(F503:J503),E502)</f>
        <v>47</v>
      </c>
      <c r="F503" s="12">
        <f>SUMIF('On The Board'!G$5:G$219,"&lt;="&amp;$B503,'On The Board'!$M$5:$M$219)-SUM(G503:J503)</f>
        <v>0</v>
      </c>
      <c r="G503" s="12">
        <f>SUMIF('On The Board'!H$5:H$219,"&lt;="&amp;$B503,'On The Board'!$M$5:$M$219)-SUM(H503:J503)</f>
        <v>5</v>
      </c>
      <c r="H503" s="12">
        <f>SUMIF('On The Board'!I$5:I$219,"&lt;="&amp;$B503,'On The Board'!$M$5:$M$219)-SUM(I503,J503)</f>
        <v>2</v>
      </c>
      <c r="I503" s="12">
        <f>SUMIF('On The Board'!J$5:J$219,"&lt;="&amp;$B503,'On The Board'!$M$5:$M$219)-SUM(J503)</f>
        <v>0</v>
      </c>
      <c r="J503" s="12">
        <f>SUMIF('On The Board'!K$5:K$219,"&lt;="&amp;$B503,'On The Board'!$M$5:$M$219)</f>
        <v>70</v>
      </c>
      <c r="K503" s="10">
        <f t="shared" si="53"/>
        <v>77</v>
      </c>
      <c r="L503" s="10" t="e">
        <f ca="1">IF(TodaysDate&gt;=B503,SUM(F503:I503),NA())</f>
        <v>#N/A</v>
      </c>
      <c r="M503" s="44" t="e">
        <f t="shared" ca="1" si="56"/>
        <v>#N/A</v>
      </c>
      <c r="N503" s="44" t="e">
        <f ca="1">IF(ISNUMBER(M503),(J503-J493)/NETWORKDAYS(B493,B503,BankHolidays),NA())</f>
        <v>#N/A</v>
      </c>
      <c r="O503" s="44" t="e">
        <f t="shared" ca="1" si="55"/>
        <v>#N/A</v>
      </c>
      <c r="P503" s="53" t="e">
        <f t="shared" ca="1" si="57"/>
        <v>#N/A</v>
      </c>
      <c r="Q503" s="53" t="str">
        <f ca="1">IFERROR(DayByDayTable[[#This Row],[Lead Time]],"")</f>
        <v/>
      </c>
      <c r="R503" s="44" t="e">
        <f t="shared" ca="1" si="58"/>
        <v>#N/A</v>
      </c>
      <c r="S503" s="44">
        <f ca="1">ROUND(PERCENTILE(DayByDayTable[[#Data],[BlankLeadTime]],0.8),0)</f>
        <v>8</v>
      </c>
    </row>
    <row r="504" spans="1:19">
      <c r="A504" s="51">
        <f t="shared" si="52"/>
        <v>43132</v>
      </c>
      <c r="B504" s="11">
        <f t="shared" si="54"/>
        <v>43132</v>
      </c>
      <c r="C504" s="47">
        <f>SUMIFS('On The Board'!$M$5:$M$219,'On The Board'!F$5:F$219,"&lt;="&amp;$B504,'On The Board'!E$5:E$219,"="&amp;FutureWork)</f>
        <v>0</v>
      </c>
      <c r="D504" s="47" t="str">
        <f ca="1">IF(TodaysDate&gt;=B504,SUMIF('On The Board'!F$5:F$219,"&lt;="&amp;$B504,'On The Board'!$M$5:$M$219)-SUM(F504:J504),"")</f>
        <v/>
      </c>
      <c r="E504" s="12">
        <f ca="1">IF(TodaysDate&gt;=B504,SUMIF('On The Board'!F$5:F$219,"&lt;="&amp;$B504,'On The Board'!$M$5:$M$219)-SUM(F504:J504),E503)</f>
        <v>47</v>
      </c>
      <c r="F504" s="12">
        <f>SUMIF('On The Board'!G$5:G$219,"&lt;="&amp;$B504,'On The Board'!$M$5:$M$219)-SUM(G504:J504)</f>
        <v>0</v>
      </c>
      <c r="G504" s="12">
        <f>SUMIF('On The Board'!H$5:H$219,"&lt;="&amp;$B504,'On The Board'!$M$5:$M$219)-SUM(H504:J504)</f>
        <v>5</v>
      </c>
      <c r="H504" s="12">
        <f>SUMIF('On The Board'!I$5:I$219,"&lt;="&amp;$B504,'On The Board'!$M$5:$M$219)-SUM(I504,J504)</f>
        <v>2</v>
      </c>
      <c r="I504" s="12">
        <f>SUMIF('On The Board'!J$5:J$219,"&lt;="&amp;$B504,'On The Board'!$M$5:$M$219)-SUM(J504)</f>
        <v>0</v>
      </c>
      <c r="J504" s="12">
        <f>SUMIF('On The Board'!K$5:K$219,"&lt;="&amp;$B504,'On The Board'!$M$5:$M$219)</f>
        <v>70</v>
      </c>
      <c r="K504" s="10">
        <f t="shared" si="53"/>
        <v>77</v>
      </c>
      <c r="L504" s="10" t="e">
        <f ca="1">IF(TodaysDate&gt;=B504,SUM(F504:I504),NA())</f>
        <v>#N/A</v>
      </c>
      <c r="M504" s="44" t="e">
        <f t="shared" ca="1" si="56"/>
        <v>#N/A</v>
      </c>
      <c r="N504" s="44" t="e">
        <f ca="1">IF(ISNUMBER(M504),(J504-J494)/NETWORKDAYS(B494,B504,BankHolidays),NA())</f>
        <v>#N/A</v>
      </c>
      <c r="O504" s="44" t="e">
        <f t="shared" ca="1" si="55"/>
        <v>#N/A</v>
      </c>
      <c r="P504" s="53" t="e">
        <f t="shared" ca="1" si="57"/>
        <v>#N/A</v>
      </c>
      <c r="Q504" s="53" t="str">
        <f ca="1">IFERROR(DayByDayTable[[#This Row],[Lead Time]],"")</f>
        <v/>
      </c>
      <c r="R504" s="44" t="e">
        <f t="shared" ca="1" si="58"/>
        <v>#N/A</v>
      </c>
      <c r="S504" s="44">
        <f ca="1">ROUND(PERCENTILE(DayByDayTable[[#Data],[BlankLeadTime]],0.8),0)</f>
        <v>8</v>
      </c>
    </row>
    <row r="505" spans="1:19">
      <c r="A505" s="51">
        <f t="shared" si="52"/>
        <v>43133</v>
      </c>
      <c r="B505" s="11">
        <f t="shared" si="54"/>
        <v>43133</v>
      </c>
      <c r="C505" s="47">
        <f>SUMIFS('On The Board'!$M$5:$M$219,'On The Board'!F$5:F$219,"&lt;="&amp;$B505,'On The Board'!E$5:E$219,"="&amp;FutureWork)</f>
        <v>0</v>
      </c>
      <c r="D505" s="47" t="str">
        <f ca="1">IF(TodaysDate&gt;=B505,SUMIF('On The Board'!F$5:F$219,"&lt;="&amp;$B505,'On The Board'!$M$5:$M$219)-SUM(F505:J505),"")</f>
        <v/>
      </c>
      <c r="E505" s="12">
        <f ca="1">IF(TodaysDate&gt;=B505,SUMIF('On The Board'!F$5:F$219,"&lt;="&amp;$B505,'On The Board'!$M$5:$M$219)-SUM(F505:J505),E504)</f>
        <v>47</v>
      </c>
      <c r="F505" s="12">
        <f>SUMIF('On The Board'!G$5:G$219,"&lt;="&amp;$B505,'On The Board'!$M$5:$M$219)-SUM(G505:J505)</f>
        <v>0</v>
      </c>
      <c r="G505" s="12">
        <f>SUMIF('On The Board'!H$5:H$219,"&lt;="&amp;$B505,'On The Board'!$M$5:$M$219)-SUM(H505:J505)</f>
        <v>5</v>
      </c>
      <c r="H505" s="12">
        <f>SUMIF('On The Board'!I$5:I$219,"&lt;="&amp;$B505,'On The Board'!$M$5:$M$219)-SUM(I505,J505)</f>
        <v>2</v>
      </c>
      <c r="I505" s="12">
        <f>SUMIF('On The Board'!J$5:J$219,"&lt;="&amp;$B505,'On The Board'!$M$5:$M$219)-SUM(J505)</f>
        <v>0</v>
      </c>
      <c r="J505" s="12">
        <f>SUMIF('On The Board'!K$5:K$219,"&lt;="&amp;$B505,'On The Board'!$M$5:$M$219)</f>
        <v>70</v>
      </c>
      <c r="K505" s="10">
        <f t="shared" si="53"/>
        <v>77</v>
      </c>
      <c r="L505" s="10" t="e">
        <f ca="1">IF(TodaysDate&gt;=B505,SUM(F505:I505),NA())</f>
        <v>#N/A</v>
      </c>
      <c r="M505" s="44" t="e">
        <f t="shared" ca="1" si="56"/>
        <v>#N/A</v>
      </c>
      <c r="N505" s="44" t="e">
        <f ca="1">IF(ISNUMBER(M505),(J505-J495)/NETWORKDAYS(B495,B505,BankHolidays),NA())</f>
        <v>#N/A</v>
      </c>
      <c r="O505" s="44" t="e">
        <f t="shared" ca="1" si="55"/>
        <v>#N/A</v>
      </c>
      <c r="P505" s="53" t="e">
        <f t="shared" ca="1" si="57"/>
        <v>#N/A</v>
      </c>
      <c r="Q505" s="53" t="str">
        <f ca="1">IFERROR(DayByDayTable[[#This Row],[Lead Time]],"")</f>
        <v/>
      </c>
      <c r="R505" s="44" t="e">
        <f t="shared" ca="1" si="58"/>
        <v>#N/A</v>
      </c>
      <c r="S505" s="44">
        <f ca="1">ROUND(PERCENTILE(DayByDayTable[[#Data],[BlankLeadTime]],0.8),0)</f>
        <v>8</v>
      </c>
    </row>
    <row r="506" spans="1:19">
      <c r="A506" s="51">
        <f t="shared" si="52"/>
        <v>43136</v>
      </c>
      <c r="B506" s="11">
        <f t="shared" si="54"/>
        <v>43136</v>
      </c>
      <c r="C506" s="47">
        <f>SUMIFS('On The Board'!$M$5:$M$219,'On The Board'!F$5:F$219,"&lt;="&amp;$B506,'On The Board'!E$5:E$219,"="&amp;FutureWork)</f>
        <v>0</v>
      </c>
      <c r="D506" s="47" t="str">
        <f ca="1">IF(TodaysDate&gt;=B506,SUMIF('On The Board'!F$5:F$219,"&lt;="&amp;$B506,'On The Board'!$M$5:$M$219)-SUM(F506:J506),"")</f>
        <v/>
      </c>
      <c r="E506" s="12">
        <f ca="1">IF(TodaysDate&gt;=B506,SUMIF('On The Board'!F$5:F$219,"&lt;="&amp;$B506,'On The Board'!$M$5:$M$219)-SUM(F506:J506),E505)</f>
        <v>47</v>
      </c>
      <c r="F506" s="12">
        <f>SUMIF('On The Board'!G$5:G$219,"&lt;="&amp;$B506,'On The Board'!$M$5:$M$219)-SUM(G506:J506)</f>
        <v>0</v>
      </c>
      <c r="G506" s="12">
        <f>SUMIF('On The Board'!H$5:H$219,"&lt;="&amp;$B506,'On The Board'!$M$5:$M$219)-SUM(H506:J506)</f>
        <v>5</v>
      </c>
      <c r="H506" s="12">
        <f>SUMIF('On The Board'!I$5:I$219,"&lt;="&amp;$B506,'On The Board'!$M$5:$M$219)-SUM(I506,J506)</f>
        <v>2</v>
      </c>
      <c r="I506" s="12">
        <f>SUMIF('On The Board'!J$5:J$219,"&lt;="&amp;$B506,'On The Board'!$M$5:$M$219)-SUM(J506)</f>
        <v>0</v>
      </c>
      <c r="J506" s="12">
        <f>SUMIF('On The Board'!K$5:K$219,"&lt;="&amp;$B506,'On The Board'!$M$5:$M$219)</f>
        <v>70</v>
      </c>
      <c r="K506" s="10">
        <f t="shared" si="53"/>
        <v>77</v>
      </c>
      <c r="L506" s="10" t="e">
        <f ca="1">IF(TodaysDate&gt;=B506,SUM(F506:I506),NA())</f>
        <v>#N/A</v>
      </c>
      <c r="M506" s="44" t="e">
        <f t="shared" ca="1" si="56"/>
        <v>#N/A</v>
      </c>
      <c r="N506" s="44" t="e">
        <f ca="1">IF(ISNUMBER(M506),(J506-J496)/NETWORKDAYS(B496,B506,BankHolidays),NA())</f>
        <v>#N/A</v>
      </c>
      <c r="O506" s="44" t="e">
        <f t="shared" ca="1" si="55"/>
        <v>#N/A</v>
      </c>
      <c r="P506" s="53" t="e">
        <f t="shared" ca="1" si="57"/>
        <v>#N/A</v>
      </c>
      <c r="Q506" s="53" t="str">
        <f ca="1">IFERROR(DayByDayTable[[#This Row],[Lead Time]],"")</f>
        <v/>
      </c>
      <c r="R506" s="44" t="e">
        <f t="shared" ca="1" si="58"/>
        <v>#N/A</v>
      </c>
      <c r="S506" s="44">
        <f ca="1">ROUND(PERCENTILE(DayByDayTable[[#Data],[BlankLeadTime]],0.8),0)</f>
        <v>8</v>
      </c>
    </row>
    <row r="507" spans="1:19">
      <c r="A507" s="51">
        <f t="shared" si="52"/>
        <v>43137</v>
      </c>
      <c r="B507" s="11">
        <f t="shared" si="54"/>
        <v>43137</v>
      </c>
      <c r="C507" s="47">
        <f>SUMIFS('On The Board'!$M$5:$M$219,'On The Board'!F$5:F$219,"&lt;="&amp;$B507,'On The Board'!E$5:E$219,"="&amp;FutureWork)</f>
        <v>0</v>
      </c>
      <c r="D507" s="47" t="str">
        <f ca="1">IF(TodaysDate&gt;=B507,SUMIF('On The Board'!F$5:F$219,"&lt;="&amp;$B507,'On The Board'!$M$5:$M$219)-SUM(F507:J507),"")</f>
        <v/>
      </c>
      <c r="E507" s="12">
        <f ca="1">IF(TodaysDate&gt;=B507,SUMIF('On The Board'!F$5:F$219,"&lt;="&amp;$B507,'On The Board'!$M$5:$M$219)-SUM(F507:J507),E506)</f>
        <v>47</v>
      </c>
      <c r="F507" s="12">
        <f>SUMIF('On The Board'!G$5:G$219,"&lt;="&amp;$B507,'On The Board'!$M$5:$M$219)-SUM(G507:J507)</f>
        <v>0</v>
      </c>
      <c r="G507" s="12">
        <f>SUMIF('On The Board'!H$5:H$219,"&lt;="&amp;$B507,'On The Board'!$M$5:$M$219)-SUM(H507:J507)</f>
        <v>5</v>
      </c>
      <c r="H507" s="12">
        <f>SUMIF('On The Board'!I$5:I$219,"&lt;="&amp;$B507,'On The Board'!$M$5:$M$219)-SUM(I507,J507)</f>
        <v>2</v>
      </c>
      <c r="I507" s="12">
        <f>SUMIF('On The Board'!J$5:J$219,"&lt;="&amp;$B507,'On The Board'!$M$5:$M$219)-SUM(J507)</f>
        <v>0</v>
      </c>
      <c r="J507" s="12">
        <f>SUMIF('On The Board'!K$5:K$219,"&lt;="&amp;$B507,'On The Board'!$M$5:$M$219)</f>
        <v>70</v>
      </c>
      <c r="K507" s="10">
        <f t="shared" si="53"/>
        <v>77</v>
      </c>
      <c r="L507" s="10" t="e">
        <f ca="1">IF(TodaysDate&gt;=B507,SUM(F507:I507),NA())</f>
        <v>#N/A</v>
      </c>
      <c r="M507" s="44" t="e">
        <f t="shared" ca="1" si="56"/>
        <v>#N/A</v>
      </c>
      <c r="N507" s="44" t="e">
        <f ca="1">IF(ISNUMBER(M507),(J507-J497)/NETWORKDAYS(B497,B507,BankHolidays),NA())</f>
        <v>#N/A</v>
      </c>
      <c r="O507" s="44" t="e">
        <f t="shared" ca="1" si="55"/>
        <v>#N/A</v>
      </c>
      <c r="P507" s="53" t="e">
        <f t="shared" ca="1" si="57"/>
        <v>#N/A</v>
      </c>
      <c r="Q507" s="53" t="str">
        <f ca="1">IFERROR(DayByDayTable[[#This Row],[Lead Time]],"")</f>
        <v/>
      </c>
      <c r="R507" s="44" t="e">
        <f t="shared" ca="1" si="58"/>
        <v>#N/A</v>
      </c>
      <c r="S507" s="44">
        <f ca="1">ROUND(PERCENTILE(DayByDayTable[[#Data],[BlankLeadTime]],0.8),0)</f>
        <v>8</v>
      </c>
    </row>
    <row r="508" spans="1:19">
      <c r="A508" s="51">
        <f t="shared" si="52"/>
        <v>43138</v>
      </c>
      <c r="B508" s="11">
        <f t="shared" si="54"/>
        <v>43138</v>
      </c>
      <c r="C508" s="47">
        <f>SUMIFS('On The Board'!$M$5:$M$219,'On The Board'!F$5:F$219,"&lt;="&amp;$B508,'On The Board'!E$5:E$219,"="&amp;FutureWork)</f>
        <v>0</v>
      </c>
      <c r="D508" s="47" t="str">
        <f ca="1">IF(TodaysDate&gt;=B508,SUMIF('On The Board'!F$5:F$219,"&lt;="&amp;$B508,'On The Board'!$M$5:$M$219)-SUM(F508:J508),"")</f>
        <v/>
      </c>
      <c r="E508" s="12">
        <f ca="1">IF(TodaysDate&gt;=B508,SUMIF('On The Board'!F$5:F$219,"&lt;="&amp;$B508,'On The Board'!$M$5:$M$219)-SUM(F508:J508),E507)</f>
        <v>47</v>
      </c>
      <c r="F508" s="12">
        <f>SUMIF('On The Board'!G$5:G$219,"&lt;="&amp;$B508,'On The Board'!$M$5:$M$219)-SUM(G508:J508)</f>
        <v>0</v>
      </c>
      <c r="G508" s="12">
        <f>SUMIF('On The Board'!H$5:H$219,"&lt;="&amp;$B508,'On The Board'!$M$5:$M$219)-SUM(H508:J508)</f>
        <v>5</v>
      </c>
      <c r="H508" s="12">
        <f>SUMIF('On The Board'!I$5:I$219,"&lt;="&amp;$B508,'On The Board'!$M$5:$M$219)-SUM(I508,J508)</f>
        <v>2</v>
      </c>
      <c r="I508" s="12">
        <f>SUMIF('On The Board'!J$5:J$219,"&lt;="&amp;$B508,'On The Board'!$M$5:$M$219)-SUM(J508)</f>
        <v>0</v>
      </c>
      <c r="J508" s="12">
        <f>SUMIF('On The Board'!K$5:K$219,"&lt;="&amp;$B508,'On The Board'!$M$5:$M$219)</f>
        <v>70</v>
      </c>
      <c r="K508" s="10">
        <f t="shared" si="53"/>
        <v>77</v>
      </c>
      <c r="L508" s="10" t="e">
        <f ca="1">IF(TodaysDate&gt;=B508,SUM(F508:I508),NA())</f>
        <v>#N/A</v>
      </c>
      <c r="M508" s="44" t="e">
        <f t="shared" ca="1" si="56"/>
        <v>#N/A</v>
      </c>
      <c r="N508" s="44" t="e">
        <f ca="1">IF(ISNUMBER(M508),(J508-J498)/NETWORKDAYS(B498,B508,BankHolidays),NA())</f>
        <v>#N/A</v>
      </c>
      <c r="O508" s="44" t="e">
        <f t="shared" ca="1" si="55"/>
        <v>#N/A</v>
      </c>
      <c r="P508" s="53" t="e">
        <f t="shared" ca="1" si="57"/>
        <v>#N/A</v>
      </c>
      <c r="Q508" s="53" t="str">
        <f ca="1">IFERROR(DayByDayTable[[#This Row],[Lead Time]],"")</f>
        <v/>
      </c>
      <c r="R508" s="44" t="e">
        <f t="shared" ca="1" si="58"/>
        <v>#N/A</v>
      </c>
      <c r="S508" s="44">
        <f ca="1">ROUND(PERCENTILE(DayByDayTable[[#Data],[BlankLeadTime]],0.8),0)</f>
        <v>8</v>
      </c>
    </row>
    <row r="509" spans="1:19">
      <c r="A509" s="51">
        <f t="shared" si="52"/>
        <v>43139</v>
      </c>
      <c r="B509" s="11">
        <f t="shared" si="54"/>
        <v>43139</v>
      </c>
      <c r="C509" s="47">
        <f>SUMIFS('On The Board'!$M$5:$M$219,'On The Board'!F$5:F$219,"&lt;="&amp;$B509,'On The Board'!E$5:E$219,"="&amp;FutureWork)</f>
        <v>0</v>
      </c>
      <c r="D509" s="47" t="str">
        <f ca="1">IF(TodaysDate&gt;=B509,SUMIF('On The Board'!F$5:F$219,"&lt;="&amp;$B509,'On The Board'!$M$5:$M$219)-SUM(F509:J509),"")</f>
        <v/>
      </c>
      <c r="E509" s="12">
        <f ca="1">IF(TodaysDate&gt;=B509,SUMIF('On The Board'!F$5:F$219,"&lt;="&amp;$B509,'On The Board'!$M$5:$M$219)-SUM(F509:J509),E508)</f>
        <v>47</v>
      </c>
      <c r="F509" s="12">
        <f>SUMIF('On The Board'!G$5:G$219,"&lt;="&amp;$B509,'On The Board'!$M$5:$M$219)-SUM(G509:J509)</f>
        <v>0</v>
      </c>
      <c r="G509" s="12">
        <f>SUMIF('On The Board'!H$5:H$219,"&lt;="&amp;$B509,'On The Board'!$M$5:$M$219)-SUM(H509:J509)</f>
        <v>5</v>
      </c>
      <c r="H509" s="12">
        <f>SUMIF('On The Board'!I$5:I$219,"&lt;="&amp;$B509,'On The Board'!$M$5:$M$219)-SUM(I509,J509)</f>
        <v>2</v>
      </c>
      <c r="I509" s="12">
        <f>SUMIF('On The Board'!J$5:J$219,"&lt;="&amp;$B509,'On The Board'!$M$5:$M$219)-SUM(J509)</f>
        <v>0</v>
      </c>
      <c r="J509" s="12">
        <f>SUMIF('On The Board'!K$5:K$219,"&lt;="&amp;$B509,'On The Board'!$M$5:$M$219)</f>
        <v>70</v>
      </c>
      <c r="K509" s="10">
        <f t="shared" si="53"/>
        <v>77</v>
      </c>
      <c r="L509" s="10" t="e">
        <f ca="1">IF(TodaysDate&gt;=B509,SUM(F509:I509),NA())</f>
        <v>#N/A</v>
      </c>
      <c r="M509" s="44" t="e">
        <f t="shared" ca="1" si="56"/>
        <v>#N/A</v>
      </c>
      <c r="N509" s="44" t="e">
        <f ca="1">IF(ISNUMBER(M509),(J509-J499)/NETWORKDAYS(B499,B509,BankHolidays),NA())</f>
        <v>#N/A</v>
      </c>
      <c r="O509" s="44" t="e">
        <f t="shared" ca="1" si="55"/>
        <v>#N/A</v>
      </c>
      <c r="P509" s="53" t="e">
        <f t="shared" ca="1" si="57"/>
        <v>#N/A</v>
      </c>
      <c r="Q509" s="53" t="str">
        <f ca="1">IFERROR(DayByDayTable[[#This Row],[Lead Time]],"")</f>
        <v/>
      </c>
      <c r="R509" s="44" t="e">
        <f t="shared" ca="1" si="58"/>
        <v>#N/A</v>
      </c>
      <c r="S509" s="44">
        <f ca="1">ROUND(PERCENTILE(DayByDayTable[[#Data],[BlankLeadTime]],0.8),0)</f>
        <v>8</v>
      </c>
    </row>
    <row r="510" spans="1:19">
      <c r="A510" s="51">
        <f t="shared" si="52"/>
        <v>43140</v>
      </c>
      <c r="B510" s="11">
        <f t="shared" si="54"/>
        <v>43140</v>
      </c>
      <c r="C510" s="47">
        <f>SUMIFS('On The Board'!$M$5:$M$219,'On The Board'!F$5:F$219,"&lt;="&amp;$B510,'On The Board'!E$5:E$219,"="&amp;FutureWork)</f>
        <v>0</v>
      </c>
      <c r="D510" s="47" t="str">
        <f ca="1">IF(TodaysDate&gt;=B510,SUMIF('On The Board'!F$5:F$219,"&lt;="&amp;$B510,'On The Board'!$M$5:$M$219)-SUM(F510:J510),"")</f>
        <v/>
      </c>
      <c r="E510" s="12">
        <f ca="1">IF(TodaysDate&gt;=B510,SUMIF('On The Board'!F$5:F$219,"&lt;="&amp;$B510,'On The Board'!$M$5:$M$219)-SUM(F510:J510),E509)</f>
        <v>47</v>
      </c>
      <c r="F510" s="12">
        <f>SUMIF('On The Board'!G$5:G$219,"&lt;="&amp;$B510,'On The Board'!$M$5:$M$219)-SUM(G510:J510)</f>
        <v>0</v>
      </c>
      <c r="G510" s="12">
        <f>SUMIF('On The Board'!H$5:H$219,"&lt;="&amp;$B510,'On The Board'!$M$5:$M$219)-SUM(H510:J510)</f>
        <v>5</v>
      </c>
      <c r="H510" s="12">
        <f>SUMIF('On The Board'!I$5:I$219,"&lt;="&amp;$B510,'On The Board'!$M$5:$M$219)-SUM(I510,J510)</f>
        <v>2</v>
      </c>
      <c r="I510" s="12">
        <f>SUMIF('On The Board'!J$5:J$219,"&lt;="&amp;$B510,'On The Board'!$M$5:$M$219)-SUM(J510)</f>
        <v>0</v>
      </c>
      <c r="J510" s="12">
        <f>SUMIF('On The Board'!K$5:K$219,"&lt;="&amp;$B510,'On The Board'!$M$5:$M$219)</f>
        <v>70</v>
      </c>
      <c r="K510" s="10">
        <f t="shared" si="53"/>
        <v>77</v>
      </c>
      <c r="L510" s="10" t="e">
        <f ca="1">IF(TodaysDate&gt;=B510,SUM(F510:I510),NA())</f>
        <v>#N/A</v>
      </c>
      <c r="M510" s="44" t="e">
        <f t="shared" ca="1" si="56"/>
        <v>#N/A</v>
      </c>
      <c r="N510" s="44" t="e">
        <f ca="1">IF(ISNUMBER(M510),(J510-J500)/NETWORKDAYS(B500,B510,BankHolidays),NA())</f>
        <v>#N/A</v>
      </c>
      <c r="O510" s="44" t="e">
        <f t="shared" ca="1" si="55"/>
        <v>#N/A</v>
      </c>
      <c r="P510" s="53" t="e">
        <f t="shared" ca="1" si="57"/>
        <v>#N/A</v>
      </c>
      <c r="Q510" s="53" t="str">
        <f ca="1">IFERROR(DayByDayTable[[#This Row],[Lead Time]],"")</f>
        <v/>
      </c>
      <c r="R510" s="44" t="e">
        <f t="shared" ca="1" si="58"/>
        <v>#N/A</v>
      </c>
      <c r="S510" s="44">
        <f ca="1">ROUND(PERCENTILE(DayByDayTable[[#Data],[BlankLeadTime]],0.8),0)</f>
        <v>8</v>
      </c>
    </row>
    <row r="511" spans="1:19">
      <c r="A511" s="51">
        <f t="shared" ref="A511:A574" si="59">B511</f>
        <v>43143</v>
      </c>
      <c r="B511" s="11">
        <f t="shared" si="54"/>
        <v>43143</v>
      </c>
      <c r="C511" s="47">
        <f>SUMIFS('On The Board'!$M$5:$M$219,'On The Board'!F$5:F$219,"&lt;="&amp;$B511,'On The Board'!E$5:E$219,"="&amp;FutureWork)</f>
        <v>0</v>
      </c>
      <c r="D511" s="47" t="str">
        <f ca="1">IF(TodaysDate&gt;=B511,SUMIF('On The Board'!F$5:F$219,"&lt;="&amp;$B511,'On The Board'!$M$5:$M$219)-SUM(F511:J511),"")</f>
        <v/>
      </c>
      <c r="E511" s="12">
        <f ca="1">IF(TodaysDate&gt;=B511,SUMIF('On The Board'!F$5:F$219,"&lt;="&amp;$B511,'On The Board'!$M$5:$M$219)-SUM(F511:J511),E510)</f>
        <v>47</v>
      </c>
      <c r="F511" s="12">
        <f>SUMIF('On The Board'!G$5:G$219,"&lt;="&amp;$B511,'On The Board'!$M$5:$M$219)-SUM(G511:J511)</f>
        <v>0</v>
      </c>
      <c r="G511" s="12">
        <f>SUMIF('On The Board'!H$5:H$219,"&lt;="&amp;$B511,'On The Board'!$M$5:$M$219)-SUM(H511:J511)</f>
        <v>5</v>
      </c>
      <c r="H511" s="12">
        <f>SUMIF('On The Board'!I$5:I$219,"&lt;="&amp;$B511,'On The Board'!$M$5:$M$219)-SUM(I511,J511)</f>
        <v>2</v>
      </c>
      <c r="I511" s="12">
        <f>SUMIF('On The Board'!J$5:J$219,"&lt;="&amp;$B511,'On The Board'!$M$5:$M$219)-SUM(J511)</f>
        <v>0</v>
      </c>
      <c r="J511" s="12">
        <f>SUMIF('On The Board'!K$5:K$219,"&lt;="&amp;$B511,'On The Board'!$M$5:$M$219)</f>
        <v>70</v>
      </c>
      <c r="K511" s="10">
        <f t="shared" ref="K511:K574" si="60">SUM(F511:J511)</f>
        <v>77</v>
      </c>
      <c r="L511" s="10" t="e">
        <f ca="1">IF(TodaysDate&gt;=B511,SUM(F511:I511),NA())</f>
        <v>#N/A</v>
      </c>
      <c r="M511" s="44" t="e">
        <f t="shared" ca="1" si="56"/>
        <v>#N/A</v>
      </c>
      <c r="N511" s="44" t="e">
        <f ca="1">IF(ISNUMBER(M511),(J511-J501)/NETWORKDAYS(B501,B511,BankHolidays),NA())</f>
        <v>#N/A</v>
      </c>
      <c r="O511" s="44" t="e">
        <f t="shared" ca="1" si="55"/>
        <v>#N/A</v>
      </c>
      <c r="P511" s="53" t="e">
        <f t="shared" ca="1" si="57"/>
        <v>#N/A</v>
      </c>
      <c r="Q511" s="53" t="str">
        <f ca="1">IFERROR(DayByDayTable[[#This Row],[Lead Time]],"")</f>
        <v/>
      </c>
      <c r="R511" s="44" t="e">
        <f t="shared" ca="1" si="58"/>
        <v>#N/A</v>
      </c>
      <c r="S511" s="44">
        <f ca="1">ROUND(PERCENTILE(DayByDayTable[[#Data],[BlankLeadTime]],0.8),0)</f>
        <v>8</v>
      </c>
    </row>
    <row r="512" spans="1:19">
      <c r="A512" s="51">
        <f t="shared" si="59"/>
        <v>43144</v>
      </c>
      <c r="B512" s="11">
        <f t="shared" si="54"/>
        <v>43144</v>
      </c>
      <c r="C512" s="47">
        <f>SUMIFS('On The Board'!$M$5:$M$219,'On The Board'!F$5:F$219,"&lt;="&amp;$B512,'On The Board'!E$5:E$219,"="&amp;FutureWork)</f>
        <v>0</v>
      </c>
      <c r="D512" s="47" t="str">
        <f ca="1">IF(TodaysDate&gt;=B512,SUMIF('On The Board'!F$5:F$219,"&lt;="&amp;$B512,'On The Board'!$M$5:$M$219)-SUM(F512:J512),"")</f>
        <v/>
      </c>
      <c r="E512" s="12">
        <f ca="1">IF(TodaysDate&gt;=B512,SUMIF('On The Board'!F$5:F$219,"&lt;="&amp;$B512,'On The Board'!$M$5:$M$219)-SUM(F512:J512),E511)</f>
        <v>47</v>
      </c>
      <c r="F512" s="12">
        <f>SUMIF('On The Board'!G$5:G$219,"&lt;="&amp;$B512,'On The Board'!$M$5:$M$219)-SUM(G512:J512)</f>
        <v>0</v>
      </c>
      <c r="G512" s="12">
        <f>SUMIF('On The Board'!H$5:H$219,"&lt;="&amp;$B512,'On The Board'!$M$5:$M$219)-SUM(H512:J512)</f>
        <v>5</v>
      </c>
      <c r="H512" s="12">
        <f>SUMIF('On The Board'!I$5:I$219,"&lt;="&amp;$B512,'On The Board'!$M$5:$M$219)-SUM(I512,J512)</f>
        <v>2</v>
      </c>
      <c r="I512" s="12">
        <f>SUMIF('On The Board'!J$5:J$219,"&lt;="&amp;$B512,'On The Board'!$M$5:$M$219)-SUM(J512)</f>
        <v>0</v>
      </c>
      <c r="J512" s="12">
        <f>SUMIF('On The Board'!K$5:K$219,"&lt;="&amp;$B512,'On The Board'!$M$5:$M$219)</f>
        <v>70</v>
      </c>
      <c r="K512" s="10">
        <f t="shared" si="60"/>
        <v>77</v>
      </c>
      <c r="L512" s="10" t="e">
        <f ca="1">IF(TodaysDate&gt;=B512,SUM(F512:I512),NA())</f>
        <v>#N/A</v>
      </c>
      <c r="M512" s="44" t="e">
        <f t="shared" ca="1" si="56"/>
        <v>#N/A</v>
      </c>
      <c r="N512" s="44" t="e">
        <f ca="1">IF(ISNUMBER(M512),(J512-J502)/NETWORKDAYS(B502,B512,BankHolidays),NA())</f>
        <v>#N/A</v>
      </c>
      <c r="O512" s="44" t="e">
        <f t="shared" ca="1" si="55"/>
        <v>#N/A</v>
      </c>
      <c r="P512" s="53" t="e">
        <f t="shared" ca="1" si="57"/>
        <v>#N/A</v>
      </c>
      <c r="Q512" s="53" t="str">
        <f ca="1">IFERROR(DayByDayTable[[#This Row],[Lead Time]],"")</f>
        <v/>
      </c>
      <c r="R512" s="44" t="e">
        <f t="shared" ca="1" si="58"/>
        <v>#N/A</v>
      </c>
      <c r="S512" s="44">
        <f ca="1">ROUND(PERCENTILE(DayByDayTable[[#Data],[BlankLeadTime]],0.8),0)</f>
        <v>8</v>
      </c>
    </row>
    <row r="513" spans="1:19">
      <c r="A513" s="51">
        <f t="shared" si="59"/>
        <v>43145</v>
      </c>
      <c r="B513" s="11">
        <f t="shared" si="54"/>
        <v>43145</v>
      </c>
      <c r="C513" s="47">
        <f>SUMIFS('On The Board'!$M$5:$M$219,'On The Board'!F$5:F$219,"&lt;="&amp;$B513,'On The Board'!E$5:E$219,"="&amp;FutureWork)</f>
        <v>0</v>
      </c>
      <c r="D513" s="47" t="str">
        <f ca="1">IF(TodaysDate&gt;=B513,SUMIF('On The Board'!F$5:F$219,"&lt;="&amp;$B513,'On The Board'!$M$5:$M$219)-SUM(F513:J513),"")</f>
        <v/>
      </c>
      <c r="E513" s="12">
        <f ca="1">IF(TodaysDate&gt;=B513,SUMIF('On The Board'!F$5:F$219,"&lt;="&amp;$B513,'On The Board'!$M$5:$M$219)-SUM(F513:J513),E512)</f>
        <v>47</v>
      </c>
      <c r="F513" s="12">
        <f>SUMIF('On The Board'!G$5:G$219,"&lt;="&amp;$B513,'On The Board'!$M$5:$M$219)-SUM(G513:J513)</f>
        <v>0</v>
      </c>
      <c r="G513" s="12">
        <f>SUMIF('On The Board'!H$5:H$219,"&lt;="&amp;$B513,'On The Board'!$M$5:$M$219)-SUM(H513:J513)</f>
        <v>5</v>
      </c>
      <c r="H513" s="12">
        <f>SUMIF('On The Board'!I$5:I$219,"&lt;="&amp;$B513,'On The Board'!$M$5:$M$219)-SUM(I513,J513)</f>
        <v>2</v>
      </c>
      <c r="I513" s="12">
        <f>SUMIF('On The Board'!J$5:J$219,"&lt;="&amp;$B513,'On The Board'!$M$5:$M$219)-SUM(J513)</f>
        <v>0</v>
      </c>
      <c r="J513" s="12">
        <f>SUMIF('On The Board'!K$5:K$219,"&lt;="&amp;$B513,'On The Board'!$M$5:$M$219)</f>
        <v>70</v>
      </c>
      <c r="K513" s="10">
        <f t="shared" si="60"/>
        <v>77</v>
      </c>
      <c r="L513" s="10" t="e">
        <f ca="1">IF(TodaysDate&gt;=B513,SUM(F513:I513),NA())</f>
        <v>#N/A</v>
      </c>
      <c r="M513" s="44" t="e">
        <f t="shared" ca="1" si="56"/>
        <v>#N/A</v>
      </c>
      <c r="N513" s="44" t="e">
        <f ca="1">IF(ISNUMBER(M513),(J513-J503)/NETWORKDAYS(B503,B513,BankHolidays),NA())</f>
        <v>#N/A</v>
      </c>
      <c r="O513" s="44" t="e">
        <f t="shared" ca="1" si="55"/>
        <v>#N/A</v>
      </c>
      <c r="P513" s="53" t="e">
        <f t="shared" ca="1" si="57"/>
        <v>#N/A</v>
      </c>
      <c r="Q513" s="53" t="str">
        <f ca="1">IFERROR(DayByDayTable[[#This Row],[Lead Time]],"")</f>
        <v/>
      </c>
      <c r="R513" s="44" t="e">
        <f t="shared" ca="1" si="58"/>
        <v>#N/A</v>
      </c>
      <c r="S513" s="44">
        <f ca="1">ROUND(PERCENTILE(DayByDayTable[[#Data],[BlankLeadTime]],0.8),0)</f>
        <v>8</v>
      </c>
    </row>
    <row r="514" spans="1:19">
      <c r="A514" s="51">
        <f t="shared" si="59"/>
        <v>43146</v>
      </c>
      <c r="B514" s="11">
        <f t="shared" si="54"/>
        <v>43146</v>
      </c>
      <c r="C514" s="47">
        <f>SUMIFS('On The Board'!$M$5:$M$219,'On The Board'!F$5:F$219,"&lt;="&amp;$B514,'On The Board'!E$5:E$219,"="&amp;FutureWork)</f>
        <v>0</v>
      </c>
      <c r="D514" s="47" t="str">
        <f ca="1">IF(TodaysDate&gt;=B514,SUMIF('On The Board'!F$5:F$219,"&lt;="&amp;$B514,'On The Board'!$M$5:$M$219)-SUM(F514:J514),"")</f>
        <v/>
      </c>
      <c r="E514" s="12">
        <f ca="1">IF(TodaysDate&gt;=B514,SUMIF('On The Board'!F$5:F$219,"&lt;="&amp;$B514,'On The Board'!$M$5:$M$219)-SUM(F514:J514),E513)</f>
        <v>47</v>
      </c>
      <c r="F514" s="12">
        <f>SUMIF('On The Board'!G$5:G$219,"&lt;="&amp;$B514,'On The Board'!$M$5:$M$219)-SUM(G514:J514)</f>
        <v>0</v>
      </c>
      <c r="G514" s="12">
        <f>SUMIF('On The Board'!H$5:H$219,"&lt;="&amp;$B514,'On The Board'!$M$5:$M$219)-SUM(H514:J514)</f>
        <v>5</v>
      </c>
      <c r="H514" s="12">
        <f>SUMIF('On The Board'!I$5:I$219,"&lt;="&amp;$B514,'On The Board'!$M$5:$M$219)-SUM(I514,J514)</f>
        <v>2</v>
      </c>
      <c r="I514" s="12">
        <f>SUMIF('On The Board'!J$5:J$219,"&lt;="&amp;$B514,'On The Board'!$M$5:$M$219)-SUM(J514)</f>
        <v>0</v>
      </c>
      <c r="J514" s="12">
        <f>SUMIF('On The Board'!K$5:K$219,"&lt;="&amp;$B514,'On The Board'!$M$5:$M$219)</f>
        <v>70</v>
      </c>
      <c r="K514" s="10">
        <f t="shared" si="60"/>
        <v>77</v>
      </c>
      <c r="L514" s="10" t="e">
        <f ca="1">IF(TodaysDate&gt;=B514,SUM(F514:I514),NA())</f>
        <v>#N/A</v>
      </c>
      <c r="M514" s="44" t="e">
        <f t="shared" ca="1" si="56"/>
        <v>#N/A</v>
      </c>
      <c r="N514" s="44" t="e">
        <f ca="1">IF(ISNUMBER(M514),(J514-J504)/NETWORKDAYS(B504,B514,BankHolidays),NA())</f>
        <v>#N/A</v>
      </c>
      <c r="O514" s="44" t="e">
        <f t="shared" ca="1" si="55"/>
        <v>#N/A</v>
      </c>
      <c r="P514" s="53" t="e">
        <f t="shared" ca="1" si="57"/>
        <v>#N/A</v>
      </c>
      <c r="Q514" s="53" t="str">
        <f ca="1">IFERROR(DayByDayTable[[#This Row],[Lead Time]],"")</f>
        <v/>
      </c>
      <c r="R514" s="44" t="e">
        <f t="shared" ca="1" si="58"/>
        <v>#N/A</v>
      </c>
      <c r="S514" s="44">
        <f ca="1">ROUND(PERCENTILE(DayByDayTable[[#Data],[BlankLeadTime]],0.8),0)</f>
        <v>8</v>
      </c>
    </row>
    <row r="515" spans="1:19">
      <c r="A515" s="51">
        <f t="shared" si="59"/>
        <v>43147</v>
      </c>
      <c r="B515" s="11">
        <f t="shared" ref="B515:B578" si="61">IF(NETWORKDAYS(B514,B514+1,BankHolidays)=2,B514+1,IF(NETWORKDAYS(B514,B514+2,BankHolidays)=2,B514+2,IF(NETWORKDAYS(B514,B514+3,BankHolidays)=2,B514+3,IF(NETWORKDAYS(B514,B514+4,BankHolidays)=2,B514+4,IF(NETWORKDAYS(B514,B514+5,BankHolidays)=2,B514+5,NA())))))</f>
        <v>43147</v>
      </c>
      <c r="C515" s="47">
        <f>SUMIFS('On The Board'!$M$5:$M$219,'On The Board'!F$5:F$219,"&lt;="&amp;$B515,'On The Board'!E$5:E$219,"="&amp;FutureWork)</f>
        <v>0</v>
      </c>
      <c r="D515" s="47" t="str">
        <f ca="1">IF(TodaysDate&gt;=B515,SUMIF('On The Board'!F$5:F$219,"&lt;="&amp;$B515,'On The Board'!$M$5:$M$219)-SUM(F515:J515),"")</f>
        <v/>
      </c>
      <c r="E515" s="12">
        <f ca="1">IF(TodaysDate&gt;=B515,SUMIF('On The Board'!F$5:F$219,"&lt;="&amp;$B515,'On The Board'!$M$5:$M$219)-SUM(F515:J515),E514)</f>
        <v>47</v>
      </c>
      <c r="F515" s="12">
        <f>SUMIF('On The Board'!G$5:G$219,"&lt;="&amp;$B515,'On The Board'!$M$5:$M$219)-SUM(G515:J515)</f>
        <v>0</v>
      </c>
      <c r="G515" s="12">
        <f>SUMIF('On The Board'!H$5:H$219,"&lt;="&amp;$B515,'On The Board'!$M$5:$M$219)-SUM(H515:J515)</f>
        <v>5</v>
      </c>
      <c r="H515" s="12">
        <f>SUMIF('On The Board'!I$5:I$219,"&lt;="&amp;$B515,'On The Board'!$M$5:$M$219)-SUM(I515,J515)</f>
        <v>2</v>
      </c>
      <c r="I515" s="12">
        <f>SUMIF('On The Board'!J$5:J$219,"&lt;="&amp;$B515,'On The Board'!$M$5:$M$219)-SUM(J515)</f>
        <v>0</v>
      </c>
      <c r="J515" s="12">
        <f>SUMIF('On The Board'!K$5:K$219,"&lt;="&amp;$B515,'On The Board'!$M$5:$M$219)</f>
        <v>70</v>
      </c>
      <c r="K515" s="10">
        <f t="shared" si="60"/>
        <v>77</v>
      </c>
      <c r="L515" s="10" t="e">
        <f ca="1">IF(TodaysDate&gt;=B515,SUM(F515:I515),NA())</f>
        <v>#N/A</v>
      </c>
      <c r="M515" s="44" t="e">
        <f t="shared" ca="1" si="56"/>
        <v>#N/A</v>
      </c>
      <c r="N515" s="44" t="e">
        <f ca="1">IF(ISNUMBER(M515),(J515-J505)/NETWORKDAYS(B505,B515,BankHolidays),NA())</f>
        <v>#N/A</v>
      </c>
      <c r="O515" s="44" t="e">
        <f t="shared" ref="O515:O578" ca="1" si="62">IF(N515&gt;0,M515/N515,NA())</f>
        <v>#N/A</v>
      </c>
      <c r="P515" s="53" t="e">
        <f t="shared" ca="1" si="57"/>
        <v>#N/A</v>
      </c>
      <c r="Q515" s="53" t="str">
        <f ca="1">IFERROR(DayByDayTable[[#This Row],[Lead Time]],"")</f>
        <v/>
      </c>
      <c r="R515" s="44" t="e">
        <f t="shared" ca="1" si="58"/>
        <v>#N/A</v>
      </c>
      <c r="S515" s="44">
        <f ca="1">ROUND(PERCENTILE(DayByDayTable[[#Data],[BlankLeadTime]],0.8),0)</f>
        <v>8</v>
      </c>
    </row>
    <row r="516" spans="1:19">
      <c r="A516" s="51">
        <f t="shared" si="59"/>
        <v>43150</v>
      </c>
      <c r="B516" s="11">
        <f t="shared" si="61"/>
        <v>43150</v>
      </c>
      <c r="C516" s="47">
        <f>SUMIFS('On The Board'!$M$5:$M$219,'On The Board'!F$5:F$219,"&lt;="&amp;$B516,'On The Board'!E$5:E$219,"="&amp;FutureWork)</f>
        <v>0</v>
      </c>
      <c r="D516" s="47" t="str">
        <f ca="1">IF(TodaysDate&gt;=B516,SUMIF('On The Board'!F$5:F$219,"&lt;="&amp;$B516,'On The Board'!$M$5:$M$219)-SUM(F516:J516),"")</f>
        <v/>
      </c>
      <c r="E516" s="12">
        <f ca="1">IF(TodaysDate&gt;=B516,SUMIF('On The Board'!F$5:F$219,"&lt;="&amp;$B516,'On The Board'!$M$5:$M$219)-SUM(F516:J516),E515)</f>
        <v>47</v>
      </c>
      <c r="F516" s="12">
        <f>SUMIF('On The Board'!G$5:G$219,"&lt;="&amp;$B516,'On The Board'!$M$5:$M$219)-SUM(G516:J516)</f>
        <v>0</v>
      </c>
      <c r="G516" s="12">
        <f>SUMIF('On The Board'!H$5:H$219,"&lt;="&amp;$B516,'On The Board'!$M$5:$M$219)-SUM(H516:J516)</f>
        <v>5</v>
      </c>
      <c r="H516" s="12">
        <f>SUMIF('On The Board'!I$5:I$219,"&lt;="&amp;$B516,'On The Board'!$M$5:$M$219)-SUM(I516,J516)</f>
        <v>2</v>
      </c>
      <c r="I516" s="12">
        <f>SUMIF('On The Board'!J$5:J$219,"&lt;="&amp;$B516,'On The Board'!$M$5:$M$219)-SUM(J516)</f>
        <v>0</v>
      </c>
      <c r="J516" s="12">
        <f>SUMIF('On The Board'!K$5:K$219,"&lt;="&amp;$B516,'On The Board'!$M$5:$M$219)</f>
        <v>70</v>
      </c>
      <c r="K516" s="10">
        <f t="shared" si="60"/>
        <v>77</v>
      </c>
      <c r="L516" s="10" t="e">
        <f ca="1">IF(TodaysDate&gt;=B516,SUM(F516:I516),NA())</f>
        <v>#N/A</v>
      </c>
      <c r="M516" s="44" t="e">
        <f t="shared" ca="1" si="56"/>
        <v>#N/A</v>
      </c>
      <c r="N516" s="44" t="e">
        <f ca="1">IF(ISNUMBER(M516),(J516-J506)/NETWORKDAYS(B506,B516,BankHolidays),NA())</f>
        <v>#N/A</v>
      </c>
      <c r="O516" s="44" t="e">
        <f t="shared" ca="1" si="62"/>
        <v>#N/A</v>
      </c>
      <c r="P516" s="53" t="e">
        <f t="shared" ca="1" si="57"/>
        <v>#N/A</v>
      </c>
      <c r="Q516" s="53" t="str">
        <f ca="1">IFERROR(DayByDayTable[[#This Row],[Lead Time]],"")</f>
        <v/>
      </c>
      <c r="R516" s="44" t="e">
        <f t="shared" ca="1" si="58"/>
        <v>#N/A</v>
      </c>
      <c r="S516" s="44">
        <f ca="1">ROUND(PERCENTILE(DayByDayTable[[#Data],[BlankLeadTime]],0.8),0)</f>
        <v>8</v>
      </c>
    </row>
    <row r="517" spans="1:19">
      <c r="A517" s="51">
        <f t="shared" si="59"/>
        <v>43151</v>
      </c>
      <c r="B517" s="11">
        <f t="shared" si="61"/>
        <v>43151</v>
      </c>
      <c r="C517" s="47">
        <f>SUMIFS('On The Board'!$M$5:$M$219,'On The Board'!F$5:F$219,"&lt;="&amp;$B517,'On The Board'!E$5:E$219,"="&amp;FutureWork)</f>
        <v>0</v>
      </c>
      <c r="D517" s="47" t="str">
        <f ca="1">IF(TodaysDate&gt;=B517,SUMIF('On The Board'!F$5:F$219,"&lt;="&amp;$B517,'On The Board'!$M$5:$M$219)-SUM(F517:J517),"")</f>
        <v/>
      </c>
      <c r="E517" s="12">
        <f ca="1">IF(TodaysDate&gt;=B517,SUMIF('On The Board'!F$5:F$219,"&lt;="&amp;$B517,'On The Board'!$M$5:$M$219)-SUM(F517:J517),E516)</f>
        <v>47</v>
      </c>
      <c r="F517" s="12">
        <f>SUMIF('On The Board'!G$5:G$219,"&lt;="&amp;$B517,'On The Board'!$M$5:$M$219)-SUM(G517:J517)</f>
        <v>0</v>
      </c>
      <c r="G517" s="12">
        <f>SUMIF('On The Board'!H$5:H$219,"&lt;="&amp;$B517,'On The Board'!$M$5:$M$219)-SUM(H517:J517)</f>
        <v>5</v>
      </c>
      <c r="H517" s="12">
        <f>SUMIF('On The Board'!I$5:I$219,"&lt;="&amp;$B517,'On The Board'!$M$5:$M$219)-SUM(I517,J517)</f>
        <v>2</v>
      </c>
      <c r="I517" s="12">
        <f>SUMIF('On The Board'!J$5:J$219,"&lt;="&amp;$B517,'On The Board'!$M$5:$M$219)-SUM(J517)</f>
        <v>0</v>
      </c>
      <c r="J517" s="12">
        <f>SUMIF('On The Board'!K$5:K$219,"&lt;="&amp;$B517,'On The Board'!$M$5:$M$219)</f>
        <v>70</v>
      </c>
      <c r="K517" s="10">
        <f t="shared" si="60"/>
        <v>77</v>
      </c>
      <c r="L517" s="10" t="e">
        <f ca="1">IF(TodaysDate&gt;=B517,SUM(F517:I517),NA())</f>
        <v>#N/A</v>
      </c>
      <c r="M517" s="44" t="e">
        <f t="shared" ca="1" si="56"/>
        <v>#N/A</v>
      </c>
      <c r="N517" s="44" t="e">
        <f ca="1">IF(ISNUMBER(M517),(J517-J507)/NETWORKDAYS(B507,B517,BankHolidays),NA())</f>
        <v>#N/A</v>
      </c>
      <c r="O517" s="44" t="e">
        <f t="shared" ca="1" si="62"/>
        <v>#N/A</v>
      </c>
      <c r="P517" s="53" t="e">
        <f t="shared" ca="1" si="57"/>
        <v>#N/A</v>
      </c>
      <c r="Q517" s="53" t="str">
        <f ca="1">IFERROR(DayByDayTable[[#This Row],[Lead Time]],"")</f>
        <v/>
      </c>
      <c r="R517" s="44" t="e">
        <f t="shared" ca="1" si="58"/>
        <v>#N/A</v>
      </c>
      <c r="S517" s="44">
        <f ca="1">ROUND(PERCENTILE(DayByDayTable[[#Data],[BlankLeadTime]],0.8),0)</f>
        <v>8</v>
      </c>
    </row>
    <row r="518" spans="1:19">
      <c r="A518" s="51">
        <f t="shared" si="59"/>
        <v>43152</v>
      </c>
      <c r="B518" s="11">
        <f t="shared" si="61"/>
        <v>43152</v>
      </c>
      <c r="C518" s="47">
        <f>SUMIFS('On The Board'!$M$5:$M$219,'On The Board'!F$5:F$219,"&lt;="&amp;$B518,'On The Board'!E$5:E$219,"="&amp;FutureWork)</f>
        <v>0</v>
      </c>
      <c r="D518" s="47" t="str">
        <f ca="1">IF(TodaysDate&gt;=B518,SUMIF('On The Board'!F$5:F$219,"&lt;="&amp;$B518,'On The Board'!$M$5:$M$219)-SUM(F518:J518),"")</f>
        <v/>
      </c>
      <c r="E518" s="12">
        <f ca="1">IF(TodaysDate&gt;=B518,SUMIF('On The Board'!F$5:F$219,"&lt;="&amp;$B518,'On The Board'!$M$5:$M$219)-SUM(F518:J518),E517)</f>
        <v>47</v>
      </c>
      <c r="F518" s="12">
        <f>SUMIF('On The Board'!G$5:G$219,"&lt;="&amp;$B518,'On The Board'!$M$5:$M$219)-SUM(G518:J518)</f>
        <v>0</v>
      </c>
      <c r="G518" s="12">
        <f>SUMIF('On The Board'!H$5:H$219,"&lt;="&amp;$B518,'On The Board'!$M$5:$M$219)-SUM(H518:J518)</f>
        <v>5</v>
      </c>
      <c r="H518" s="12">
        <f>SUMIF('On The Board'!I$5:I$219,"&lt;="&amp;$B518,'On The Board'!$M$5:$M$219)-SUM(I518,J518)</f>
        <v>2</v>
      </c>
      <c r="I518" s="12">
        <f>SUMIF('On The Board'!J$5:J$219,"&lt;="&amp;$B518,'On The Board'!$M$5:$M$219)-SUM(J518)</f>
        <v>0</v>
      </c>
      <c r="J518" s="12">
        <f>SUMIF('On The Board'!K$5:K$219,"&lt;="&amp;$B518,'On The Board'!$M$5:$M$219)</f>
        <v>70</v>
      </c>
      <c r="K518" s="10">
        <f t="shared" si="60"/>
        <v>77</v>
      </c>
      <c r="L518" s="10" t="e">
        <f ca="1">IF(TodaysDate&gt;=B518,SUM(F518:I518),NA())</f>
        <v>#N/A</v>
      </c>
      <c r="M518" s="44" t="e">
        <f t="shared" ca="1" si="56"/>
        <v>#N/A</v>
      </c>
      <c r="N518" s="44" t="e">
        <f ca="1">IF(ISNUMBER(M518),(J518-J508)/NETWORKDAYS(B508,B518,BankHolidays),NA())</f>
        <v>#N/A</v>
      </c>
      <c r="O518" s="44" t="e">
        <f t="shared" ca="1" si="62"/>
        <v>#N/A</v>
      </c>
      <c r="P518" s="53" t="e">
        <f t="shared" ca="1" si="57"/>
        <v>#N/A</v>
      </c>
      <c r="Q518" s="53" t="str">
        <f ca="1">IFERROR(DayByDayTable[[#This Row],[Lead Time]],"")</f>
        <v/>
      </c>
      <c r="R518" s="44" t="e">
        <f t="shared" ca="1" si="58"/>
        <v>#N/A</v>
      </c>
      <c r="S518" s="44">
        <f ca="1">ROUND(PERCENTILE(DayByDayTable[[#Data],[BlankLeadTime]],0.8),0)</f>
        <v>8</v>
      </c>
    </row>
    <row r="519" spans="1:19">
      <c r="A519" s="51">
        <f t="shared" si="59"/>
        <v>43153</v>
      </c>
      <c r="B519" s="11">
        <f t="shared" si="61"/>
        <v>43153</v>
      </c>
      <c r="C519" s="47">
        <f>SUMIFS('On The Board'!$M$5:$M$219,'On The Board'!F$5:F$219,"&lt;="&amp;$B519,'On The Board'!E$5:E$219,"="&amp;FutureWork)</f>
        <v>0</v>
      </c>
      <c r="D519" s="47" t="str">
        <f ca="1">IF(TodaysDate&gt;=B519,SUMIF('On The Board'!F$5:F$219,"&lt;="&amp;$B519,'On The Board'!$M$5:$M$219)-SUM(F519:J519),"")</f>
        <v/>
      </c>
      <c r="E519" s="12">
        <f ca="1">IF(TodaysDate&gt;=B519,SUMIF('On The Board'!F$5:F$219,"&lt;="&amp;$B519,'On The Board'!$M$5:$M$219)-SUM(F519:J519),E518)</f>
        <v>47</v>
      </c>
      <c r="F519" s="12">
        <f>SUMIF('On The Board'!G$5:G$219,"&lt;="&amp;$B519,'On The Board'!$M$5:$M$219)-SUM(G519:J519)</f>
        <v>0</v>
      </c>
      <c r="G519" s="12">
        <f>SUMIF('On The Board'!H$5:H$219,"&lt;="&amp;$B519,'On The Board'!$M$5:$M$219)-SUM(H519:J519)</f>
        <v>5</v>
      </c>
      <c r="H519" s="12">
        <f>SUMIF('On The Board'!I$5:I$219,"&lt;="&amp;$B519,'On The Board'!$M$5:$M$219)-SUM(I519,J519)</f>
        <v>2</v>
      </c>
      <c r="I519" s="12">
        <f>SUMIF('On The Board'!J$5:J$219,"&lt;="&amp;$B519,'On The Board'!$M$5:$M$219)-SUM(J519)</f>
        <v>0</v>
      </c>
      <c r="J519" s="12">
        <f>SUMIF('On The Board'!K$5:K$219,"&lt;="&amp;$B519,'On The Board'!$M$5:$M$219)</f>
        <v>70</v>
      </c>
      <c r="K519" s="10">
        <f t="shared" si="60"/>
        <v>77</v>
      </c>
      <c r="L519" s="10" t="e">
        <f ca="1">IF(TodaysDate&gt;=B519,SUM(F519:I519),NA())</f>
        <v>#N/A</v>
      </c>
      <c r="M519" s="44" t="e">
        <f t="shared" ca="1" si="56"/>
        <v>#N/A</v>
      </c>
      <c r="N519" s="44" t="e">
        <f ca="1">IF(ISNUMBER(M519),(J519-J509)/NETWORKDAYS(B509,B519,BankHolidays),NA())</f>
        <v>#N/A</v>
      </c>
      <c r="O519" s="44" t="e">
        <f t="shared" ca="1" si="62"/>
        <v>#N/A</v>
      </c>
      <c r="P519" s="53" t="e">
        <f t="shared" ca="1" si="57"/>
        <v>#N/A</v>
      </c>
      <c r="Q519" s="53" t="str">
        <f ca="1">IFERROR(DayByDayTable[[#This Row],[Lead Time]],"")</f>
        <v/>
      </c>
      <c r="R519" s="44" t="e">
        <f t="shared" ca="1" si="58"/>
        <v>#N/A</v>
      </c>
      <c r="S519" s="44">
        <f ca="1">ROUND(PERCENTILE(DayByDayTable[[#Data],[BlankLeadTime]],0.8),0)</f>
        <v>8</v>
      </c>
    </row>
    <row r="520" spans="1:19">
      <c r="A520" s="51">
        <f t="shared" si="59"/>
        <v>43154</v>
      </c>
      <c r="B520" s="11">
        <f t="shared" si="61"/>
        <v>43154</v>
      </c>
      <c r="C520" s="47">
        <f>SUMIFS('On The Board'!$M$5:$M$219,'On The Board'!F$5:F$219,"&lt;="&amp;$B520,'On The Board'!E$5:E$219,"="&amp;FutureWork)</f>
        <v>0</v>
      </c>
      <c r="D520" s="47" t="str">
        <f ca="1">IF(TodaysDate&gt;=B520,SUMIF('On The Board'!F$5:F$219,"&lt;="&amp;$B520,'On The Board'!$M$5:$M$219)-SUM(F520:J520),"")</f>
        <v/>
      </c>
      <c r="E520" s="12">
        <f ca="1">IF(TodaysDate&gt;=B520,SUMIF('On The Board'!F$5:F$219,"&lt;="&amp;$B520,'On The Board'!$M$5:$M$219)-SUM(F520:J520),E519)</f>
        <v>47</v>
      </c>
      <c r="F520" s="12">
        <f>SUMIF('On The Board'!G$5:G$219,"&lt;="&amp;$B520,'On The Board'!$M$5:$M$219)-SUM(G520:J520)</f>
        <v>0</v>
      </c>
      <c r="G520" s="12">
        <f>SUMIF('On The Board'!H$5:H$219,"&lt;="&amp;$B520,'On The Board'!$M$5:$M$219)-SUM(H520:J520)</f>
        <v>5</v>
      </c>
      <c r="H520" s="12">
        <f>SUMIF('On The Board'!I$5:I$219,"&lt;="&amp;$B520,'On The Board'!$M$5:$M$219)-SUM(I520,J520)</f>
        <v>2</v>
      </c>
      <c r="I520" s="12">
        <f>SUMIF('On The Board'!J$5:J$219,"&lt;="&amp;$B520,'On The Board'!$M$5:$M$219)-SUM(J520)</f>
        <v>0</v>
      </c>
      <c r="J520" s="12">
        <f>SUMIF('On The Board'!K$5:K$219,"&lt;="&amp;$B520,'On The Board'!$M$5:$M$219)</f>
        <v>70</v>
      </c>
      <c r="K520" s="10">
        <f t="shared" si="60"/>
        <v>77</v>
      </c>
      <c r="L520" s="10" t="e">
        <f ca="1">IF(TodaysDate&gt;=B520,SUM(F520:I520),NA())</f>
        <v>#N/A</v>
      </c>
      <c r="M520" s="44" t="e">
        <f t="shared" ca="1" si="56"/>
        <v>#N/A</v>
      </c>
      <c r="N520" s="44" t="e">
        <f ca="1">IF(ISNUMBER(M520),(J520-J510)/NETWORKDAYS(B510,B520,BankHolidays),NA())</f>
        <v>#N/A</v>
      </c>
      <c r="O520" s="44" t="e">
        <f t="shared" ca="1" si="62"/>
        <v>#N/A</v>
      </c>
      <c r="P520" s="53" t="e">
        <f t="shared" ca="1" si="57"/>
        <v>#N/A</v>
      </c>
      <c r="Q520" s="53" t="str">
        <f ca="1">IFERROR(DayByDayTable[[#This Row],[Lead Time]],"")</f>
        <v/>
      </c>
      <c r="R520" s="44" t="e">
        <f t="shared" ca="1" si="58"/>
        <v>#N/A</v>
      </c>
      <c r="S520" s="44">
        <f ca="1">ROUND(PERCENTILE(DayByDayTable[[#Data],[BlankLeadTime]],0.8),0)</f>
        <v>8</v>
      </c>
    </row>
    <row r="521" spans="1:19">
      <c r="A521" s="51">
        <f t="shared" si="59"/>
        <v>43157</v>
      </c>
      <c r="B521" s="11">
        <f t="shared" si="61"/>
        <v>43157</v>
      </c>
      <c r="C521" s="47">
        <f>SUMIFS('On The Board'!$M$5:$M$219,'On The Board'!F$5:F$219,"&lt;="&amp;$B521,'On The Board'!E$5:E$219,"="&amp;FutureWork)</f>
        <v>0</v>
      </c>
      <c r="D521" s="47" t="str">
        <f ca="1">IF(TodaysDate&gt;=B521,SUMIF('On The Board'!F$5:F$219,"&lt;="&amp;$B521,'On The Board'!$M$5:$M$219)-SUM(F521:J521),"")</f>
        <v/>
      </c>
      <c r="E521" s="12">
        <f ca="1">IF(TodaysDate&gt;=B521,SUMIF('On The Board'!F$5:F$219,"&lt;="&amp;$B521,'On The Board'!$M$5:$M$219)-SUM(F521:J521),E520)</f>
        <v>47</v>
      </c>
      <c r="F521" s="12">
        <f>SUMIF('On The Board'!G$5:G$219,"&lt;="&amp;$B521,'On The Board'!$M$5:$M$219)-SUM(G521:J521)</f>
        <v>0</v>
      </c>
      <c r="G521" s="12">
        <f>SUMIF('On The Board'!H$5:H$219,"&lt;="&amp;$B521,'On The Board'!$M$5:$M$219)-SUM(H521:J521)</f>
        <v>5</v>
      </c>
      <c r="H521" s="12">
        <f>SUMIF('On The Board'!I$5:I$219,"&lt;="&amp;$B521,'On The Board'!$M$5:$M$219)-SUM(I521,J521)</f>
        <v>2</v>
      </c>
      <c r="I521" s="12">
        <f>SUMIF('On The Board'!J$5:J$219,"&lt;="&amp;$B521,'On The Board'!$M$5:$M$219)-SUM(J521)</f>
        <v>0</v>
      </c>
      <c r="J521" s="12">
        <f>SUMIF('On The Board'!K$5:K$219,"&lt;="&amp;$B521,'On The Board'!$M$5:$M$219)</f>
        <v>70</v>
      </c>
      <c r="K521" s="10">
        <f t="shared" si="60"/>
        <v>77</v>
      </c>
      <c r="L521" s="10" t="e">
        <f ca="1">IF(TodaysDate&gt;=B521,SUM(F521:I521),NA())</f>
        <v>#N/A</v>
      </c>
      <c r="M521" s="44" t="e">
        <f t="shared" ca="1" si="56"/>
        <v>#N/A</v>
      </c>
      <c r="N521" s="44" t="e">
        <f ca="1">IF(ISNUMBER(M521),(J521-J511)/NETWORKDAYS(B511,B521,BankHolidays),NA())</f>
        <v>#N/A</v>
      </c>
      <c r="O521" s="44" t="e">
        <f t="shared" ca="1" si="62"/>
        <v>#N/A</v>
      </c>
      <c r="P521" s="53" t="e">
        <f t="shared" ca="1" si="57"/>
        <v>#N/A</v>
      </c>
      <c r="Q521" s="53" t="str">
        <f ca="1">IFERROR(DayByDayTable[[#This Row],[Lead Time]],"")</f>
        <v/>
      </c>
      <c r="R521" s="44" t="e">
        <f t="shared" ca="1" si="58"/>
        <v>#N/A</v>
      </c>
      <c r="S521" s="44">
        <f ca="1">ROUND(PERCENTILE(DayByDayTable[[#Data],[BlankLeadTime]],0.8),0)</f>
        <v>8</v>
      </c>
    </row>
    <row r="522" spans="1:19">
      <c r="A522" s="51">
        <f t="shared" si="59"/>
        <v>43158</v>
      </c>
      <c r="B522" s="11">
        <f t="shared" si="61"/>
        <v>43158</v>
      </c>
      <c r="C522" s="47">
        <f>SUMIFS('On The Board'!$M$5:$M$219,'On The Board'!F$5:F$219,"&lt;="&amp;$B522,'On The Board'!E$5:E$219,"="&amp;FutureWork)</f>
        <v>0</v>
      </c>
      <c r="D522" s="47" t="str">
        <f ca="1">IF(TodaysDate&gt;=B522,SUMIF('On The Board'!F$5:F$219,"&lt;="&amp;$B522,'On The Board'!$M$5:$M$219)-SUM(F522:J522),"")</f>
        <v/>
      </c>
      <c r="E522" s="12">
        <f ca="1">IF(TodaysDate&gt;=B522,SUMIF('On The Board'!F$5:F$219,"&lt;="&amp;$B522,'On The Board'!$M$5:$M$219)-SUM(F522:J522),E521)</f>
        <v>47</v>
      </c>
      <c r="F522" s="12">
        <f>SUMIF('On The Board'!G$5:G$219,"&lt;="&amp;$B522,'On The Board'!$M$5:$M$219)-SUM(G522:J522)</f>
        <v>0</v>
      </c>
      <c r="G522" s="12">
        <f>SUMIF('On The Board'!H$5:H$219,"&lt;="&amp;$B522,'On The Board'!$M$5:$M$219)-SUM(H522:J522)</f>
        <v>5</v>
      </c>
      <c r="H522" s="12">
        <f>SUMIF('On The Board'!I$5:I$219,"&lt;="&amp;$B522,'On The Board'!$M$5:$M$219)-SUM(I522,J522)</f>
        <v>2</v>
      </c>
      <c r="I522" s="12">
        <f>SUMIF('On The Board'!J$5:J$219,"&lt;="&amp;$B522,'On The Board'!$M$5:$M$219)-SUM(J522)</f>
        <v>0</v>
      </c>
      <c r="J522" s="12">
        <f>SUMIF('On The Board'!K$5:K$219,"&lt;="&amp;$B522,'On The Board'!$M$5:$M$219)</f>
        <v>70</v>
      </c>
      <c r="K522" s="10">
        <f t="shared" si="60"/>
        <v>77</v>
      </c>
      <c r="L522" s="10" t="e">
        <f ca="1">IF(TodaysDate&gt;=B522,SUM(F522:I522),NA())</f>
        <v>#N/A</v>
      </c>
      <c r="M522" s="44" t="e">
        <f t="shared" ca="1" si="56"/>
        <v>#N/A</v>
      </c>
      <c r="N522" s="44" t="e">
        <f ca="1">IF(ISNUMBER(M522),(J522-J512)/NETWORKDAYS(B512,B522,BankHolidays),NA())</f>
        <v>#N/A</v>
      </c>
      <c r="O522" s="44" t="e">
        <f t="shared" ca="1" si="62"/>
        <v>#N/A</v>
      </c>
      <c r="P522" s="53" t="e">
        <f t="shared" ca="1" si="57"/>
        <v>#N/A</v>
      </c>
      <c r="Q522" s="53" t="str">
        <f ca="1">IFERROR(DayByDayTable[[#This Row],[Lead Time]],"")</f>
        <v/>
      </c>
      <c r="R522" s="44" t="e">
        <f t="shared" ca="1" si="58"/>
        <v>#N/A</v>
      </c>
      <c r="S522" s="44">
        <f ca="1">ROUND(PERCENTILE(DayByDayTable[[#Data],[BlankLeadTime]],0.8),0)</f>
        <v>8</v>
      </c>
    </row>
    <row r="523" spans="1:19">
      <c r="A523" s="51">
        <f t="shared" si="59"/>
        <v>43159</v>
      </c>
      <c r="B523" s="11">
        <f t="shared" si="61"/>
        <v>43159</v>
      </c>
      <c r="C523" s="47">
        <f>SUMIFS('On The Board'!$M$5:$M$219,'On The Board'!F$5:F$219,"&lt;="&amp;$B523,'On The Board'!E$5:E$219,"="&amp;FutureWork)</f>
        <v>0</v>
      </c>
      <c r="D523" s="47" t="str">
        <f ca="1">IF(TodaysDate&gt;=B523,SUMIF('On The Board'!F$5:F$219,"&lt;="&amp;$B523,'On The Board'!$M$5:$M$219)-SUM(F523:J523),"")</f>
        <v/>
      </c>
      <c r="E523" s="12">
        <f ca="1">IF(TodaysDate&gt;=B523,SUMIF('On The Board'!F$5:F$219,"&lt;="&amp;$B523,'On The Board'!$M$5:$M$219)-SUM(F523:J523),E522)</f>
        <v>47</v>
      </c>
      <c r="F523" s="12">
        <f>SUMIF('On The Board'!G$5:G$219,"&lt;="&amp;$B523,'On The Board'!$M$5:$M$219)-SUM(G523:J523)</f>
        <v>0</v>
      </c>
      <c r="G523" s="12">
        <f>SUMIF('On The Board'!H$5:H$219,"&lt;="&amp;$B523,'On The Board'!$M$5:$M$219)-SUM(H523:J523)</f>
        <v>5</v>
      </c>
      <c r="H523" s="12">
        <f>SUMIF('On The Board'!I$5:I$219,"&lt;="&amp;$B523,'On The Board'!$M$5:$M$219)-SUM(I523,J523)</f>
        <v>2</v>
      </c>
      <c r="I523" s="12">
        <f>SUMIF('On The Board'!J$5:J$219,"&lt;="&amp;$B523,'On The Board'!$M$5:$M$219)-SUM(J523)</f>
        <v>0</v>
      </c>
      <c r="J523" s="12">
        <f>SUMIF('On The Board'!K$5:K$219,"&lt;="&amp;$B523,'On The Board'!$M$5:$M$219)</f>
        <v>70</v>
      </c>
      <c r="K523" s="10">
        <f t="shared" si="60"/>
        <v>77</v>
      </c>
      <c r="L523" s="10" t="e">
        <f ca="1">IF(TodaysDate&gt;=B523,SUM(F523:I523),NA())</f>
        <v>#N/A</v>
      </c>
      <c r="M523" s="44" t="e">
        <f t="shared" ca="1" si="56"/>
        <v>#N/A</v>
      </c>
      <c r="N523" s="44" t="e">
        <f ca="1">IF(ISNUMBER(M523),(J523-J513)/NETWORKDAYS(B513,B523,BankHolidays),NA())</f>
        <v>#N/A</v>
      </c>
      <c r="O523" s="44" t="e">
        <f t="shared" ca="1" si="62"/>
        <v>#N/A</v>
      </c>
      <c r="P523" s="53" t="e">
        <f t="shared" ca="1" si="57"/>
        <v>#N/A</v>
      </c>
      <c r="Q523" s="53" t="str">
        <f ca="1">IFERROR(DayByDayTable[[#This Row],[Lead Time]],"")</f>
        <v/>
      </c>
      <c r="R523" s="44" t="e">
        <f t="shared" ca="1" si="58"/>
        <v>#N/A</v>
      </c>
      <c r="S523" s="44">
        <f ca="1">ROUND(PERCENTILE(DayByDayTable[[#Data],[BlankLeadTime]],0.8),0)</f>
        <v>8</v>
      </c>
    </row>
    <row r="524" spans="1:19">
      <c r="A524" s="51">
        <f t="shared" si="59"/>
        <v>43160</v>
      </c>
      <c r="B524" s="11">
        <f t="shared" si="61"/>
        <v>43160</v>
      </c>
      <c r="C524" s="47">
        <f>SUMIFS('On The Board'!$M$5:$M$219,'On The Board'!F$5:F$219,"&lt;="&amp;$B524,'On The Board'!E$5:E$219,"="&amp;FutureWork)</f>
        <v>0</v>
      </c>
      <c r="D524" s="47" t="str">
        <f ca="1">IF(TodaysDate&gt;=B524,SUMIF('On The Board'!F$5:F$219,"&lt;="&amp;$B524,'On The Board'!$M$5:$M$219)-SUM(F524:J524),"")</f>
        <v/>
      </c>
      <c r="E524" s="12">
        <f ca="1">IF(TodaysDate&gt;=B524,SUMIF('On The Board'!F$5:F$219,"&lt;="&amp;$B524,'On The Board'!$M$5:$M$219)-SUM(F524:J524),E523)</f>
        <v>47</v>
      </c>
      <c r="F524" s="12">
        <f>SUMIF('On The Board'!G$5:G$219,"&lt;="&amp;$B524,'On The Board'!$M$5:$M$219)-SUM(G524:J524)</f>
        <v>0</v>
      </c>
      <c r="G524" s="12">
        <f>SUMIF('On The Board'!H$5:H$219,"&lt;="&amp;$B524,'On The Board'!$M$5:$M$219)-SUM(H524:J524)</f>
        <v>5</v>
      </c>
      <c r="H524" s="12">
        <f>SUMIF('On The Board'!I$5:I$219,"&lt;="&amp;$B524,'On The Board'!$M$5:$M$219)-SUM(I524,J524)</f>
        <v>2</v>
      </c>
      <c r="I524" s="12">
        <f>SUMIF('On The Board'!J$5:J$219,"&lt;="&amp;$B524,'On The Board'!$M$5:$M$219)-SUM(J524)</f>
        <v>0</v>
      </c>
      <c r="J524" s="12">
        <f>SUMIF('On The Board'!K$5:K$219,"&lt;="&amp;$B524,'On The Board'!$M$5:$M$219)</f>
        <v>70</v>
      </c>
      <c r="K524" s="10">
        <f t="shared" si="60"/>
        <v>77</v>
      </c>
      <c r="L524" s="10" t="e">
        <f ca="1">IF(TodaysDate&gt;=B524,SUM(F524:I524),NA())</f>
        <v>#N/A</v>
      </c>
      <c r="M524" s="44" t="e">
        <f t="shared" ca="1" si="56"/>
        <v>#N/A</v>
      </c>
      <c r="N524" s="44" t="e">
        <f ca="1">IF(ISNUMBER(M524),(J524-J514)/NETWORKDAYS(B514,B524,BankHolidays),NA())</f>
        <v>#N/A</v>
      </c>
      <c r="O524" s="44" t="e">
        <f t="shared" ca="1" si="62"/>
        <v>#N/A</v>
      </c>
      <c r="P524" s="53" t="e">
        <f t="shared" ca="1" si="57"/>
        <v>#N/A</v>
      </c>
      <c r="Q524" s="53" t="str">
        <f ca="1">IFERROR(DayByDayTable[[#This Row],[Lead Time]],"")</f>
        <v/>
      </c>
      <c r="R524" s="44" t="e">
        <f t="shared" ca="1" si="58"/>
        <v>#N/A</v>
      </c>
      <c r="S524" s="44">
        <f ca="1">ROUND(PERCENTILE(DayByDayTable[[#Data],[BlankLeadTime]],0.8),0)</f>
        <v>8</v>
      </c>
    </row>
    <row r="525" spans="1:19">
      <c r="A525" s="51">
        <f t="shared" si="59"/>
        <v>43161</v>
      </c>
      <c r="B525" s="11">
        <f t="shared" si="61"/>
        <v>43161</v>
      </c>
      <c r="C525" s="47">
        <f>SUMIFS('On The Board'!$M$5:$M$219,'On The Board'!F$5:F$219,"&lt;="&amp;$B525,'On The Board'!E$5:E$219,"="&amp;FutureWork)</f>
        <v>0</v>
      </c>
      <c r="D525" s="47" t="str">
        <f ca="1">IF(TodaysDate&gt;=B525,SUMIF('On The Board'!F$5:F$219,"&lt;="&amp;$B525,'On The Board'!$M$5:$M$219)-SUM(F525:J525),"")</f>
        <v/>
      </c>
      <c r="E525" s="12">
        <f ca="1">IF(TodaysDate&gt;=B525,SUMIF('On The Board'!F$5:F$219,"&lt;="&amp;$B525,'On The Board'!$M$5:$M$219)-SUM(F525:J525),E524)</f>
        <v>47</v>
      </c>
      <c r="F525" s="12">
        <f>SUMIF('On The Board'!G$5:G$219,"&lt;="&amp;$B525,'On The Board'!$M$5:$M$219)-SUM(G525:J525)</f>
        <v>0</v>
      </c>
      <c r="G525" s="12">
        <f>SUMIF('On The Board'!H$5:H$219,"&lt;="&amp;$B525,'On The Board'!$M$5:$M$219)-SUM(H525:J525)</f>
        <v>5</v>
      </c>
      <c r="H525" s="12">
        <f>SUMIF('On The Board'!I$5:I$219,"&lt;="&amp;$B525,'On The Board'!$M$5:$M$219)-SUM(I525,J525)</f>
        <v>2</v>
      </c>
      <c r="I525" s="12">
        <f>SUMIF('On The Board'!J$5:J$219,"&lt;="&amp;$B525,'On The Board'!$M$5:$M$219)-SUM(J525)</f>
        <v>0</v>
      </c>
      <c r="J525" s="12">
        <f>SUMIF('On The Board'!K$5:K$219,"&lt;="&amp;$B525,'On The Board'!$M$5:$M$219)</f>
        <v>70</v>
      </c>
      <c r="K525" s="10">
        <f t="shared" si="60"/>
        <v>77</v>
      </c>
      <c r="L525" s="10" t="e">
        <f ca="1">IF(TodaysDate&gt;=B525,SUM(F525:I525),NA())</f>
        <v>#N/A</v>
      </c>
      <c r="M525" s="44" t="e">
        <f t="shared" ref="M525:M588" ca="1" si="63">AVERAGE(L515:L525)</f>
        <v>#N/A</v>
      </c>
      <c r="N525" s="44" t="e">
        <f ca="1">IF(ISNUMBER(M525),(J525-J515)/NETWORKDAYS(B515,B525,BankHolidays),NA())</f>
        <v>#N/A</v>
      </c>
      <c r="O525" s="44" t="e">
        <f t="shared" ca="1" si="62"/>
        <v>#N/A</v>
      </c>
      <c r="P525" s="53" t="e">
        <f t="shared" ref="P525:P588" ca="1" si="64">AVERAGE(O515:O525)</f>
        <v>#N/A</v>
      </c>
      <c r="Q525" s="53" t="str">
        <f ca="1">IFERROR(DayByDayTable[[#This Row],[Lead Time]],"")</f>
        <v/>
      </c>
      <c r="R525" s="44" t="e">
        <f t="shared" ca="1" si="58"/>
        <v>#N/A</v>
      </c>
      <c r="S525" s="44">
        <f ca="1">ROUND(PERCENTILE(DayByDayTable[[#Data],[BlankLeadTime]],0.8),0)</f>
        <v>8</v>
      </c>
    </row>
    <row r="526" spans="1:19">
      <c r="A526" s="51">
        <f t="shared" si="59"/>
        <v>43164</v>
      </c>
      <c r="B526" s="11">
        <f t="shared" si="61"/>
        <v>43164</v>
      </c>
      <c r="C526" s="47">
        <f>SUMIFS('On The Board'!$M$5:$M$219,'On The Board'!F$5:F$219,"&lt;="&amp;$B526,'On The Board'!E$5:E$219,"="&amp;FutureWork)</f>
        <v>0</v>
      </c>
      <c r="D526" s="47" t="str">
        <f ca="1">IF(TodaysDate&gt;=B526,SUMIF('On The Board'!F$5:F$219,"&lt;="&amp;$B526,'On The Board'!$M$5:$M$219)-SUM(F526:J526),"")</f>
        <v/>
      </c>
      <c r="E526" s="12">
        <f ca="1">IF(TodaysDate&gt;=B526,SUMIF('On The Board'!F$5:F$219,"&lt;="&amp;$B526,'On The Board'!$M$5:$M$219)-SUM(F526:J526),E525)</f>
        <v>47</v>
      </c>
      <c r="F526" s="12">
        <f>SUMIF('On The Board'!G$5:G$219,"&lt;="&amp;$B526,'On The Board'!$M$5:$M$219)-SUM(G526:J526)</f>
        <v>0</v>
      </c>
      <c r="G526" s="12">
        <f>SUMIF('On The Board'!H$5:H$219,"&lt;="&amp;$B526,'On The Board'!$M$5:$M$219)-SUM(H526:J526)</f>
        <v>5</v>
      </c>
      <c r="H526" s="12">
        <f>SUMIF('On The Board'!I$5:I$219,"&lt;="&amp;$B526,'On The Board'!$M$5:$M$219)-SUM(I526,J526)</f>
        <v>2</v>
      </c>
      <c r="I526" s="12">
        <f>SUMIF('On The Board'!J$5:J$219,"&lt;="&amp;$B526,'On The Board'!$M$5:$M$219)-SUM(J526)</f>
        <v>0</v>
      </c>
      <c r="J526" s="12">
        <f>SUMIF('On The Board'!K$5:K$219,"&lt;="&amp;$B526,'On The Board'!$M$5:$M$219)</f>
        <v>70</v>
      </c>
      <c r="K526" s="10">
        <f t="shared" si="60"/>
        <v>77</v>
      </c>
      <c r="L526" s="10" t="e">
        <f ca="1">IF(TodaysDate&gt;=B526,SUM(F526:I526),NA())</f>
        <v>#N/A</v>
      </c>
      <c r="M526" s="44" t="e">
        <f t="shared" ca="1" si="63"/>
        <v>#N/A</v>
      </c>
      <c r="N526" s="44" t="e">
        <f ca="1">IF(ISNUMBER(M526),(J526-J516)/NETWORKDAYS(B516,B526,BankHolidays),NA())</f>
        <v>#N/A</v>
      </c>
      <c r="O526" s="44" t="e">
        <f t="shared" ca="1" si="62"/>
        <v>#N/A</v>
      </c>
      <c r="P526" s="53" t="e">
        <f t="shared" ca="1" si="64"/>
        <v>#N/A</v>
      </c>
      <c r="Q526" s="53" t="str">
        <f ca="1">IFERROR(DayByDayTable[[#This Row],[Lead Time]],"")</f>
        <v/>
      </c>
      <c r="R526" s="44" t="e">
        <f t="shared" ca="1" si="58"/>
        <v>#N/A</v>
      </c>
      <c r="S526" s="44">
        <f ca="1">ROUND(PERCENTILE(DayByDayTable[[#Data],[BlankLeadTime]],0.8),0)</f>
        <v>8</v>
      </c>
    </row>
    <row r="527" spans="1:19">
      <c r="A527" s="51">
        <f t="shared" si="59"/>
        <v>43165</v>
      </c>
      <c r="B527" s="11">
        <f t="shared" si="61"/>
        <v>43165</v>
      </c>
      <c r="C527" s="47">
        <f>SUMIFS('On The Board'!$M$5:$M$219,'On The Board'!F$5:F$219,"&lt;="&amp;$B527,'On The Board'!E$5:E$219,"="&amp;FutureWork)</f>
        <v>0</v>
      </c>
      <c r="D527" s="47" t="str">
        <f ca="1">IF(TodaysDate&gt;=B527,SUMIF('On The Board'!F$5:F$219,"&lt;="&amp;$B527,'On The Board'!$M$5:$M$219)-SUM(F527:J527),"")</f>
        <v/>
      </c>
      <c r="E527" s="12">
        <f ca="1">IF(TodaysDate&gt;=B527,SUMIF('On The Board'!F$5:F$219,"&lt;="&amp;$B527,'On The Board'!$M$5:$M$219)-SUM(F527:J527),E526)</f>
        <v>47</v>
      </c>
      <c r="F527" s="12">
        <f>SUMIF('On The Board'!G$5:G$219,"&lt;="&amp;$B527,'On The Board'!$M$5:$M$219)-SUM(G527:J527)</f>
        <v>0</v>
      </c>
      <c r="G527" s="12">
        <f>SUMIF('On The Board'!H$5:H$219,"&lt;="&amp;$B527,'On The Board'!$M$5:$M$219)-SUM(H527:J527)</f>
        <v>5</v>
      </c>
      <c r="H527" s="12">
        <f>SUMIF('On The Board'!I$5:I$219,"&lt;="&amp;$B527,'On The Board'!$M$5:$M$219)-SUM(I527,J527)</f>
        <v>2</v>
      </c>
      <c r="I527" s="12">
        <f>SUMIF('On The Board'!J$5:J$219,"&lt;="&amp;$B527,'On The Board'!$M$5:$M$219)-SUM(J527)</f>
        <v>0</v>
      </c>
      <c r="J527" s="12">
        <f>SUMIF('On The Board'!K$5:K$219,"&lt;="&amp;$B527,'On The Board'!$M$5:$M$219)</f>
        <v>70</v>
      </c>
      <c r="K527" s="10">
        <f t="shared" si="60"/>
        <v>77</v>
      </c>
      <c r="L527" s="10" t="e">
        <f ca="1">IF(TodaysDate&gt;=B527,SUM(F527:I527),NA())</f>
        <v>#N/A</v>
      </c>
      <c r="M527" s="44" t="e">
        <f t="shared" ca="1" si="63"/>
        <v>#N/A</v>
      </c>
      <c r="N527" s="44" t="e">
        <f ca="1">IF(ISNUMBER(M527),(J527-J517)/NETWORKDAYS(B517,B527,BankHolidays),NA())</f>
        <v>#N/A</v>
      </c>
      <c r="O527" s="44" t="e">
        <f t="shared" ca="1" si="62"/>
        <v>#N/A</v>
      </c>
      <c r="P527" s="53" t="e">
        <f t="shared" ca="1" si="64"/>
        <v>#N/A</v>
      </c>
      <c r="Q527" s="53" t="str">
        <f ca="1">IFERROR(DayByDayTable[[#This Row],[Lead Time]],"")</f>
        <v/>
      </c>
      <c r="R527" s="44" t="e">
        <f t="shared" ca="1" si="58"/>
        <v>#N/A</v>
      </c>
      <c r="S527" s="44">
        <f ca="1">ROUND(PERCENTILE(DayByDayTable[[#Data],[BlankLeadTime]],0.8),0)</f>
        <v>8</v>
      </c>
    </row>
    <row r="528" spans="1:19">
      <c r="A528" s="51">
        <f t="shared" si="59"/>
        <v>43166</v>
      </c>
      <c r="B528" s="11">
        <f t="shared" si="61"/>
        <v>43166</v>
      </c>
      <c r="C528" s="47">
        <f>SUMIFS('On The Board'!$M$5:$M$219,'On The Board'!F$5:F$219,"&lt;="&amp;$B528,'On The Board'!E$5:E$219,"="&amp;FutureWork)</f>
        <v>0</v>
      </c>
      <c r="D528" s="47" t="str">
        <f ca="1">IF(TodaysDate&gt;=B528,SUMIF('On The Board'!F$5:F$219,"&lt;="&amp;$B528,'On The Board'!$M$5:$M$219)-SUM(F528:J528),"")</f>
        <v/>
      </c>
      <c r="E528" s="12">
        <f ca="1">IF(TodaysDate&gt;=B528,SUMIF('On The Board'!F$5:F$219,"&lt;="&amp;$B528,'On The Board'!$M$5:$M$219)-SUM(F528:J528),E527)</f>
        <v>47</v>
      </c>
      <c r="F528" s="12">
        <f>SUMIF('On The Board'!G$5:G$219,"&lt;="&amp;$B528,'On The Board'!$M$5:$M$219)-SUM(G528:J528)</f>
        <v>0</v>
      </c>
      <c r="G528" s="12">
        <f>SUMIF('On The Board'!H$5:H$219,"&lt;="&amp;$B528,'On The Board'!$M$5:$M$219)-SUM(H528:J528)</f>
        <v>5</v>
      </c>
      <c r="H528" s="12">
        <f>SUMIF('On The Board'!I$5:I$219,"&lt;="&amp;$B528,'On The Board'!$M$5:$M$219)-SUM(I528,J528)</f>
        <v>2</v>
      </c>
      <c r="I528" s="12">
        <f>SUMIF('On The Board'!J$5:J$219,"&lt;="&amp;$B528,'On The Board'!$M$5:$M$219)-SUM(J528)</f>
        <v>0</v>
      </c>
      <c r="J528" s="12">
        <f>SUMIF('On The Board'!K$5:K$219,"&lt;="&amp;$B528,'On The Board'!$M$5:$M$219)</f>
        <v>70</v>
      </c>
      <c r="K528" s="10">
        <f t="shared" si="60"/>
        <v>77</v>
      </c>
      <c r="L528" s="10" t="e">
        <f ca="1">IF(TodaysDate&gt;=B528,SUM(F528:I528),NA())</f>
        <v>#N/A</v>
      </c>
      <c r="M528" s="44" t="e">
        <f t="shared" ca="1" si="63"/>
        <v>#N/A</v>
      </c>
      <c r="N528" s="44" t="e">
        <f ca="1">IF(ISNUMBER(M528),(J528-J518)/NETWORKDAYS(B518,B528,BankHolidays),NA())</f>
        <v>#N/A</v>
      </c>
      <c r="O528" s="44" t="e">
        <f t="shared" ca="1" si="62"/>
        <v>#N/A</v>
      </c>
      <c r="P528" s="53" t="e">
        <f t="shared" ca="1" si="64"/>
        <v>#N/A</v>
      </c>
      <c r="Q528" s="53" t="str">
        <f ca="1">IFERROR(DayByDayTable[[#This Row],[Lead Time]],"")</f>
        <v/>
      </c>
      <c r="R528" s="44" t="e">
        <f t="shared" ref="R528:R591" ca="1" si="65">PERCENTILE(O517:O528,0.8)</f>
        <v>#N/A</v>
      </c>
      <c r="S528" s="44">
        <f ca="1">ROUND(PERCENTILE(DayByDayTable[[#Data],[BlankLeadTime]],0.8),0)</f>
        <v>8</v>
      </c>
    </row>
    <row r="529" spans="1:19">
      <c r="A529" s="51">
        <f t="shared" si="59"/>
        <v>43167</v>
      </c>
      <c r="B529" s="11">
        <f t="shared" si="61"/>
        <v>43167</v>
      </c>
      <c r="C529" s="47">
        <f>SUMIFS('On The Board'!$M$5:$M$219,'On The Board'!F$5:F$219,"&lt;="&amp;$B529,'On The Board'!E$5:E$219,"="&amp;FutureWork)</f>
        <v>0</v>
      </c>
      <c r="D529" s="47" t="str">
        <f ca="1">IF(TodaysDate&gt;=B529,SUMIF('On The Board'!F$5:F$219,"&lt;="&amp;$B529,'On The Board'!$M$5:$M$219)-SUM(F529:J529),"")</f>
        <v/>
      </c>
      <c r="E529" s="12">
        <f ca="1">IF(TodaysDate&gt;=B529,SUMIF('On The Board'!F$5:F$219,"&lt;="&amp;$B529,'On The Board'!$M$5:$M$219)-SUM(F529:J529),E528)</f>
        <v>47</v>
      </c>
      <c r="F529" s="12">
        <f>SUMIF('On The Board'!G$5:G$219,"&lt;="&amp;$B529,'On The Board'!$M$5:$M$219)-SUM(G529:J529)</f>
        <v>0</v>
      </c>
      <c r="G529" s="12">
        <f>SUMIF('On The Board'!H$5:H$219,"&lt;="&amp;$B529,'On The Board'!$M$5:$M$219)-SUM(H529:J529)</f>
        <v>5</v>
      </c>
      <c r="H529" s="12">
        <f>SUMIF('On The Board'!I$5:I$219,"&lt;="&amp;$B529,'On The Board'!$M$5:$M$219)-SUM(I529,J529)</f>
        <v>2</v>
      </c>
      <c r="I529" s="12">
        <f>SUMIF('On The Board'!J$5:J$219,"&lt;="&amp;$B529,'On The Board'!$M$5:$M$219)-SUM(J529)</f>
        <v>0</v>
      </c>
      <c r="J529" s="12">
        <f>SUMIF('On The Board'!K$5:K$219,"&lt;="&amp;$B529,'On The Board'!$M$5:$M$219)</f>
        <v>70</v>
      </c>
      <c r="K529" s="10">
        <f t="shared" si="60"/>
        <v>77</v>
      </c>
      <c r="L529" s="10" t="e">
        <f ca="1">IF(TodaysDate&gt;=B529,SUM(F529:I529),NA())</f>
        <v>#N/A</v>
      </c>
      <c r="M529" s="44" t="e">
        <f t="shared" ca="1" si="63"/>
        <v>#N/A</v>
      </c>
      <c r="N529" s="44" t="e">
        <f ca="1">IF(ISNUMBER(M529),(J529-J519)/NETWORKDAYS(B519,B529,BankHolidays),NA())</f>
        <v>#N/A</v>
      </c>
      <c r="O529" s="44" t="e">
        <f t="shared" ca="1" si="62"/>
        <v>#N/A</v>
      </c>
      <c r="P529" s="53" t="e">
        <f t="shared" ca="1" si="64"/>
        <v>#N/A</v>
      </c>
      <c r="Q529" s="53" t="str">
        <f ca="1">IFERROR(DayByDayTable[[#This Row],[Lead Time]],"")</f>
        <v/>
      </c>
      <c r="R529" s="44" t="e">
        <f t="shared" ca="1" si="65"/>
        <v>#N/A</v>
      </c>
      <c r="S529" s="44">
        <f ca="1">ROUND(PERCENTILE(DayByDayTable[[#Data],[BlankLeadTime]],0.8),0)</f>
        <v>8</v>
      </c>
    </row>
    <row r="530" spans="1:19">
      <c r="A530" s="51">
        <f t="shared" si="59"/>
        <v>43168</v>
      </c>
      <c r="B530" s="11">
        <f t="shared" si="61"/>
        <v>43168</v>
      </c>
      <c r="C530" s="47">
        <f>SUMIFS('On The Board'!$M$5:$M$219,'On The Board'!F$5:F$219,"&lt;="&amp;$B530,'On The Board'!E$5:E$219,"="&amp;FutureWork)</f>
        <v>0</v>
      </c>
      <c r="D530" s="47" t="str">
        <f ca="1">IF(TodaysDate&gt;=B530,SUMIF('On The Board'!F$5:F$219,"&lt;="&amp;$B530,'On The Board'!$M$5:$M$219)-SUM(F530:J530),"")</f>
        <v/>
      </c>
      <c r="E530" s="12">
        <f ca="1">IF(TodaysDate&gt;=B530,SUMIF('On The Board'!F$5:F$219,"&lt;="&amp;$B530,'On The Board'!$M$5:$M$219)-SUM(F530:J530),E529)</f>
        <v>47</v>
      </c>
      <c r="F530" s="12">
        <f>SUMIF('On The Board'!G$5:G$219,"&lt;="&amp;$B530,'On The Board'!$M$5:$M$219)-SUM(G530:J530)</f>
        <v>0</v>
      </c>
      <c r="G530" s="12">
        <f>SUMIF('On The Board'!H$5:H$219,"&lt;="&amp;$B530,'On The Board'!$M$5:$M$219)-SUM(H530:J530)</f>
        <v>5</v>
      </c>
      <c r="H530" s="12">
        <f>SUMIF('On The Board'!I$5:I$219,"&lt;="&amp;$B530,'On The Board'!$M$5:$M$219)-SUM(I530,J530)</f>
        <v>2</v>
      </c>
      <c r="I530" s="12">
        <f>SUMIF('On The Board'!J$5:J$219,"&lt;="&amp;$B530,'On The Board'!$M$5:$M$219)-SUM(J530)</f>
        <v>0</v>
      </c>
      <c r="J530" s="12">
        <f>SUMIF('On The Board'!K$5:K$219,"&lt;="&amp;$B530,'On The Board'!$M$5:$M$219)</f>
        <v>70</v>
      </c>
      <c r="K530" s="10">
        <f t="shared" si="60"/>
        <v>77</v>
      </c>
      <c r="L530" s="10" t="e">
        <f ca="1">IF(TodaysDate&gt;=B530,SUM(F530:I530),NA())</f>
        <v>#N/A</v>
      </c>
      <c r="M530" s="44" t="e">
        <f t="shared" ca="1" si="63"/>
        <v>#N/A</v>
      </c>
      <c r="N530" s="44" t="e">
        <f ca="1">IF(ISNUMBER(M530),(J530-J520)/NETWORKDAYS(B520,B530,BankHolidays),NA())</f>
        <v>#N/A</v>
      </c>
      <c r="O530" s="44" t="e">
        <f t="shared" ca="1" si="62"/>
        <v>#N/A</v>
      </c>
      <c r="P530" s="53" t="e">
        <f t="shared" ca="1" si="64"/>
        <v>#N/A</v>
      </c>
      <c r="Q530" s="53" t="str">
        <f ca="1">IFERROR(DayByDayTable[[#This Row],[Lead Time]],"")</f>
        <v/>
      </c>
      <c r="R530" s="44" t="e">
        <f t="shared" ca="1" si="65"/>
        <v>#N/A</v>
      </c>
      <c r="S530" s="44">
        <f ca="1">ROUND(PERCENTILE(DayByDayTable[[#Data],[BlankLeadTime]],0.8),0)</f>
        <v>8</v>
      </c>
    </row>
    <row r="531" spans="1:19">
      <c r="A531" s="51">
        <f t="shared" si="59"/>
        <v>43171</v>
      </c>
      <c r="B531" s="11">
        <f t="shared" si="61"/>
        <v>43171</v>
      </c>
      <c r="C531" s="47">
        <f>SUMIFS('On The Board'!$M$5:$M$219,'On The Board'!F$5:F$219,"&lt;="&amp;$B531,'On The Board'!E$5:E$219,"="&amp;FutureWork)</f>
        <v>0</v>
      </c>
      <c r="D531" s="47" t="str">
        <f ca="1">IF(TodaysDate&gt;=B531,SUMIF('On The Board'!F$5:F$219,"&lt;="&amp;$B531,'On The Board'!$M$5:$M$219)-SUM(F531:J531),"")</f>
        <v/>
      </c>
      <c r="E531" s="12">
        <f ca="1">IF(TodaysDate&gt;=B531,SUMIF('On The Board'!F$5:F$219,"&lt;="&amp;$B531,'On The Board'!$M$5:$M$219)-SUM(F531:J531),E530)</f>
        <v>47</v>
      </c>
      <c r="F531" s="12">
        <f>SUMIF('On The Board'!G$5:G$219,"&lt;="&amp;$B531,'On The Board'!$M$5:$M$219)-SUM(G531:J531)</f>
        <v>0</v>
      </c>
      <c r="G531" s="12">
        <f>SUMIF('On The Board'!H$5:H$219,"&lt;="&amp;$B531,'On The Board'!$M$5:$M$219)-SUM(H531:J531)</f>
        <v>5</v>
      </c>
      <c r="H531" s="12">
        <f>SUMIF('On The Board'!I$5:I$219,"&lt;="&amp;$B531,'On The Board'!$M$5:$M$219)-SUM(I531,J531)</f>
        <v>2</v>
      </c>
      <c r="I531" s="12">
        <f>SUMIF('On The Board'!J$5:J$219,"&lt;="&amp;$B531,'On The Board'!$M$5:$M$219)-SUM(J531)</f>
        <v>0</v>
      </c>
      <c r="J531" s="12">
        <f>SUMIF('On The Board'!K$5:K$219,"&lt;="&amp;$B531,'On The Board'!$M$5:$M$219)</f>
        <v>70</v>
      </c>
      <c r="K531" s="10">
        <f t="shared" si="60"/>
        <v>77</v>
      </c>
      <c r="L531" s="10" t="e">
        <f ca="1">IF(TodaysDate&gt;=B531,SUM(F531:I531),NA())</f>
        <v>#N/A</v>
      </c>
      <c r="M531" s="44" t="e">
        <f t="shared" ca="1" si="63"/>
        <v>#N/A</v>
      </c>
      <c r="N531" s="44" t="e">
        <f ca="1">IF(ISNUMBER(M531),(J531-J521)/NETWORKDAYS(B521,B531,BankHolidays),NA())</f>
        <v>#N/A</v>
      </c>
      <c r="O531" s="44" t="e">
        <f t="shared" ca="1" si="62"/>
        <v>#N/A</v>
      </c>
      <c r="P531" s="53" t="e">
        <f t="shared" ca="1" si="64"/>
        <v>#N/A</v>
      </c>
      <c r="Q531" s="53" t="str">
        <f ca="1">IFERROR(DayByDayTable[[#This Row],[Lead Time]],"")</f>
        <v/>
      </c>
      <c r="R531" s="44" t="e">
        <f t="shared" ca="1" si="65"/>
        <v>#N/A</v>
      </c>
      <c r="S531" s="44">
        <f ca="1">ROUND(PERCENTILE(DayByDayTable[[#Data],[BlankLeadTime]],0.8),0)</f>
        <v>8</v>
      </c>
    </row>
    <row r="532" spans="1:19">
      <c r="A532" s="51">
        <f t="shared" si="59"/>
        <v>43172</v>
      </c>
      <c r="B532" s="11">
        <f t="shared" si="61"/>
        <v>43172</v>
      </c>
      <c r="C532" s="47">
        <f>SUMIFS('On The Board'!$M$5:$M$219,'On The Board'!F$5:F$219,"&lt;="&amp;$B532,'On The Board'!E$5:E$219,"="&amp;FutureWork)</f>
        <v>0</v>
      </c>
      <c r="D532" s="47" t="str">
        <f ca="1">IF(TodaysDate&gt;=B532,SUMIF('On The Board'!F$5:F$219,"&lt;="&amp;$B532,'On The Board'!$M$5:$M$219)-SUM(F532:J532),"")</f>
        <v/>
      </c>
      <c r="E532" s="12">
        <f ca="1">IF(TodaysDate&gt;=B532,SUMIF('On The Board'!F$5:F$219,"&lt;="&amp;$B532,'On The Board'!$M$5:$M$219)-SUM(F532:J532),E531)</f>
        <v>47</v>
      </c>
      <c r="F532" s="12">
        <f>SUMIF('On The Board'!G$5:G$219,"&lt;="&amp;$B532,'On The Board'!$M$5:$M$219)-SUM(G532:J532)</f>
        <v>0</v>
      </c>
      <c r="G532" s="12">
        <f>SUMIF('On The Board'!H$5:H$219,"&lt;="&amp;$B532,'On The Board'!$M$5:$M$219)-SUM(H532:J532)</f>
        <v>5</v>
      </c>
      <c r="H532" s="12">
        <f>SUMIF('On The Board'!I$5:I$219,"&lt;="&amp;$B532,'On The Board'!$M$5:$M$219)-SUM(I532,J532)</f>
        <v>2</v>
      </c>
      <c r="I532" s="12">
        <f>SUMIF('On The Board'!J$5:J$219,"&lt;="&amp;$B532,'On The Board'!$M$5:$M$219)-SUM(J532)</f>
        <v>0</v>
      </c>
      <c r="J532" s="12">
        <f>SUMIF('On The Board'!K$5:K$219,"&lt;="&amp;$B532,'On The Board'!$M$5:$M$219)</f>
        <v>70</v>
      </c>
      <c r="K532" s="10">
        <f t="shared" si="60"/>
        <v>77</v>
      </c>
      <c r="L532" s="10" t="e">
        <f ca="1">IF(TodaysDate&gt;=B532,SUM(F532:I532),NA())</f>
        <v>#N/A</v>
      </c>
      <c r="M532" s="44" t="e">
        <f t="shared" ca="1" si="63"/>
        <v>#N/A</v>
      </c>
      <c r="N532" s="44" t="e">
        <f ca="1">IF(ISNUMBER(M532),(J532-J522)/NETWORKDAYS(B522,B532,BankHolidays),NA())</f>
        <v>#N/A</v>
      </c>
      <c r="O532" s="44" t="e">
        <f t="shared" ca="1" si="62"/>
        <v>#N/A</v>
      </c>
      <c r="P532" s="53" t="e">
        <f t="shared" ca="1" si="64"/>
        <v>#N/A</v>
      </c>
      <c r="Q532" s="53" t="str">
        <f ca="1">IFERROR(DayByDayTable[[#This Row],[Lead Time]],"")</f>
        <v/>
      </c>
      <c r="R532" s="44" t="e">
        <f t="shared" ca="1" si="65"/>
        <v>#N/A</v>
      </c>
      <c r="S532" s="44">
        <f ca="1">ROUND(PERCENTILE(DayByDayTable[[#Data],[BlankLeadTime]],0.8),0)</f>
        <v>8</v>
      </c>
    </row>
    <row r="533" spans="1:19">
      <c r="A533" s="51">
        <f t="shared" si="59"/>
        <v>43173</v>
      </c>
      <c r="B533" s="11">
        <f t="shared" si="61"/>
        <v>43173</v>
      </c>
      <c r="C533" s="47">
        <f>SUMIFS('On The Board'!$M$5:$M$219,'On The Board'!F$5:F$219,"&lt;="&amp;$B533,'On The Board'!E$5:E$219,"="&amp;FutureWork)</f>
        <v>0</v>
      </c>
      <c r="D533" s="47" t="str">
        <f ca="1">IF(TodaysDate&gt;=B533,SUMIF('On The Board'!F$5:F$219,"&lt;="&amp;$B533,'On The Board'!$M$5:$M$219)-SUM(F533:J533),"")</f>
        <v/>
      </c>
      <c r="E533" s="12">
        <f ca="1">IF(TodaysDate&gt;=B533,SUMIF('On The Board'!F$5:F$219,"&lt;="&amp;$B533,'On The Board'!$M$5:$M$219)-SUM(F533:J533),E532)</f>
        <v>47</v>
      </c>
      <c r="F533" s="12">
        <f>SUMIF('On The Board'!G$5:G$219,"&lt;="&amp;$B533,'On The Board'!$M$5:$M$219)-SUM(G533:J533)</f>
        <v>0</v>
      </c>
      <c r="G533" s="12">
        <f>SUMIF('On The Board'!H$5:H$219,"&lt;="&amp;$B533,'On The Board'!$M$5:$M$219)-SUM(H533:J533)</f>
        <v>5</v>
      </c>
      <c r="H533" s="12">
        <f>SUMIF('On The Board'!I$5:I$219,"&lt;="&amp;$B533,'On The Board'!$M$5:$M$219)-SUM(I533,J533)</f>
        <v>2</v>
      </c>
      <c r="I533" s="12">
        <f>SUMIF('On The Board'!J$5:J$219,"&lt;="&amp;$B533,'On The Board'!$M$5:$M$219)-SUM(J533)</f>
        <v>0</v>
      </c>
      <c r="J533" s="12">
        <f>SUMIF('On The Board'!K$5:K$219,"&lt;="&amp;$B533,'On The Board'!$M$5:$M$219)</f>
        <v>70</v>
      </c>
      <c r="K533" s="10">
        <f t="shared" si="60"/>
        <v>77</v>
      </c>
      <c r="L533" s="10" t="e">
        <f ca="1">IF(TodaysDate&gt;=B533,SUM(F533:I533),NA())</f>
        <v>#N/A</v>
      </c>
      <c r="M533" s="44" t="e">
        <f t="shared" ca="1" si="63"/>
        <v>#N/A</v>
      </c>
      <c r="N533" s="44" t="e">
        <f ca="1">IF(ISNUMBER(M533),(J533-J523)/NETWORKDAYS(B523,B533,BankHolidays),NA())</f>
        <v>#N/A</v>
      </c>
      <c r="O533" s="44" t="e">
        <f t="shared" ca="1" si="62"/>
        <v>#N/A</v>
      </c>
      <c r="P533" s="53" t="e">
        <f t="shared" ca="1" si="64"/>
        <v>#N/A</v>
      </c>
      <c r="Q533" s="53" t="str">
        <f ca="1">IFERROR(DayByDayTable[[#This Row],[Lead Time]],"")</f>
        <v/>
      </c>
      <c r="R533" s="44" t="e">
        <f t="shared" ca="1" si="65"/>
        <v>#N/A</v>
      </c>
      <c r="S533" s="44">
        <f ca="1">ROUND(PERCENTILE(DayByDayTable[[#Data],[BlankLeadTime]],0.8),0)</f>
        <v>8</v>
      </c>
    </row>
    <row r="534" spans="1:19">
      <c r="A534" s="51">
        <f t="shared" si="59"/>
        <v>43174</v>
      </c>
      <c r="B534" s="11">
        <f t="shared" si="61"/>
        <v>43174</v>
      </c>
      <c r="C534" s="47">
        <f>SUMIFS('On The Board'!$M$5:$M$219,'On The Board'!F$5:F$219,"&lt;="&amp;$B534,'On The Board'!E$5:E$219,"="&amp;FutureWork)</f>
        <v>0</v>
      </c>
      <c r="D534" s="47" t="str">
        <f ca="1">IF(TodaysDate&gt;=B534,SUMIF('On The Board'!F$5:F$219,"&lt;="&amp;$B534,'On The Board'!$M$5:$M$219)-SUM(F534:J534),"")</f>
        <v/>
      </c>
      <c r="E534" s="12">
        <f ca="1">IF(TodaysDate&gt;=B534,SUMIF('On The Board'!F$5:F$219,"&lt;="&amp;$B534,'On The Board'!$M$5:$M$219)-SUM(F534:J534),E533)</f>
        <v>47</v>
      </c>
      <c r="F534" s="12">
        <f>SUMIF('On The Board'!G$5:G$219,"&lt;="&amp;$B534,'On The Board'!$M$5:$M$219)-SUM(G534:J534)</f>
        <v>0</v>
      </c>
      <c r="G534" s="12">
        <f>SUMIF('On The Board'!H$5:H$219,"&lt;="&amp;$B534,'On The Board'!$M$5:$M$219)-SUM(H534:J534)</f>
        <v>5</v>
      </c>
      <c r="H534" s="12">
        <f>SUMIF('On The Board'!I$5:I$219,"&lt;="&amp;$B534,'On The Board'!$M$5:$M$219)-SUM(I534,J534)</f>
        <v>2</v>
      </c>
      <c r="I534" s="12">
        <f>SUMIF('On The Board'!J$5:J$219,"&lt;="&amp;$B534,'On The Board'!$M$5:$M$219)-SUM(J534)</f>
        <v>0</v>
      </c>
      <c r="J534" s="12">
        <f>SUMIF('On The Board'!K$5:K$219,"&lt;="&amp;$B534,'On The Board'!$M$5:$M$219)</f>
        <v>70</v>
      </c>
      <c r="K534" s="10">
        <f t="shared" si="60"/>
        <v>77</v>
      </c>
      <c r="L534" s="10" t="e">
        <f ca="1">IF(TodaysDate&gt;=B534,SUM(F534:I534),NA())</f>
        <v>#N/A</v>
      </c>
      <c r="M534" s="44" t="e">
        <f t="shared" ca="1" si="63"/>
        <v>#N/A</v>
      </c>
      <c r="N534" s="44" t="e">
        <f ca="1">IF(ISNUMBER(M534),(J534-J524)/NETWORKDAYS(B524,B534,BankHolidays),NA())</f>
        <v>#N/A</v>
      </c>
      <c r="O534" s="44" t="e">
        <f t="shared" ca="1" si="62"/>
        <v>#N/A</v>
      </c>
      <c r="P534" s="53" t="e">
        <f t="shared" ca="1" si="64"/>
        <v>#N/A</v>
      </c>
      <c r="Q534" s="53" t="str">
        <f ca="1">IFERROR(DayByDayTable[[#This Row],[Lead Time]],"")</f>
        <v/>
      </c>
      <c r="R534" s="44" t="e">
        <f t="shared" ca="1" si="65"/>
        <v>#N/A</v>
      </c>
      <c r="S534" s="44">
        <f ca="1">ROUND(PERCENTILE(DayByDayTable[[#Data],[BlankLeadTime]],0.8),0)</f>
        <v>8</v>
      </c>
    </row>
    <row r="535" spans="1:19">
      <c r="A535" s="51">
        <f t="shared" si="59"/>
        <v>43175</v>
      </c>
      <c r="B535" s="11">
        <f t="shared" si="61"/>
        <v>43175</v>
      </c>
      <c r="C535" s="47">
        <f>SUMIFS('On The Board'!$M$5:$M$219,'On The Board'!F$5:F$219,"&lt;="&amp;$B535,'On The Board'!E$5:E$219,"="&amp;FutureWork)</f>
        <v>0</v>
      </c>
      <c r="D535" s="47" t="str">
        <f ca="1">IF(TodaysDate&gt;=B535,SUMIF('On The Board'!F$5:F$219,"&lt;="&amp;$B535,'On The Board'!$M$5:$M$219)-SUM(F535:J535),"")</f>
        <v/>
      </c>
      <c r="E535" s="12">
        <f ca="1">IF(TodaysDate&gt;=B535,SUMIF('On The Board'!F$5:F$219,"&lt;="&amp;$B535,'On The Board'!$M$5:$M$219)-SUM(F535:J535),E534)</f>
        <v>47</v>
      </c>
      <c r="F535" s="12">
        <f>SUMIF('On The Board'!G$5:G$219,"&lt;="&amp;$B535,'On The Board'!$M$5:$M$219)-SUM(G535:J535)</f>
        <v>0</v>
      </c>
      <c r="G535" s="12">
        <f>SUMIF('On The Board'!H$5:H$219,"&lt;="&amp;$B535,'On The Board'!$M$5:$M$219)-SUM(H535:J535)</f>
        <v>5</v>
      </c>
      <c r="H535" s="12">
        <f>SUMIF('On The Board'!I$5:I$219,"&lt;="&amp;$B535,'On The Board'!$M$5:$M$219)-SUM(I535,J535)</f>
        <v>2</v>
      </c>
      <c r="I535" s="12">
        <f>SUMIF('On The Board'!J$5:J$219,"&lt;="&amp;$B535,'On The Board'!$M$5:$M$219)-SUM(J535)</f>
        <v>0</v>
      </c>
      <c r="J535" s="12">
        <f>SUMIF('On The Board'!K$5:K$219,"&lt;="&amp;$B535,'On The Board'!$M$5:$M$219)</f>
        <v>70</v>
      </c>
      <c r="K535" s="10">
        <f t="shared" si="60"/>
        <v>77</v>
      </c>
      <c r="L535" s="10" t="e">
        <f ca="1">IF(TodaysDate&gt;=B535,SUM(F535:I535),NA())</f>
        <v>#N/A</v>
      </c>
      <c r="M535" s="44" t="e">
        <f t="shared" ca="1" si="63"/>
        <v>#N/A</v>
      </c>
      <c r="N535" s="44" t="e">
        <f ca="1">IF(ISNUMBER(M535),(J535-J525)/NETWORKDAYS(B525,B535,BankHolidays),NA())</f>
        <v>#N/A</v>
      </c>
      <c r="O535" s="44" t="e">
        <f t="shared" ca="1" si="62"/>
        <v>#N/A</v>
      </c>
      <c r="P535" s="53" t="e">
        <f t="shared" ca="1" si="64"/>
        <v>#N/A</v>
      </c>
      <c r="Q535" s="53" t="str">
        <f ca="1">IFERROR(DayByDayTable[[#This Row],[Lead Time]],"")</f>
        <v/>
      </c>
      <c r="R535" s="44" t="e">
        <f t="shared" ca="1" si="65"/>
        <v>#N/A</v>
      </c>
      <c r="S535" s="44">
        <f ca="1">ROUND(PERCENTILE(DayByDayTable[[#Data],[BlankLeadTime]],0.8),0)</f>
        <v>8</v>
      </c>
    </row>
    <row r="536" spans="1:19">
      <c r="A536" s="51">
        <f t="shared" si="59"/>
        <v>43178</v>
      </c>
      <c r="B536" s="11">
        <f t="shared" si="61"/>
        <v>43178</v>
      </c>
      <c r="C536" s="47">
        <f>SUMIFS('On The Board'!$M$5:$M$219,'On The Board'!F$5:F$219,"&lt;="&amp;$B536,'On The Board'!E$5:E$219,"="&amp;FutureWork)</f>
        <v>0</v>
      </c>
      <c r="D536" s="47" t="str">
        <f ca="1">IF(TodaysDate&gt;=B536,SUMIF('On The Board'!F$5:F$219,"&lt;="&amp;$B536,'On The Board'!$M$5:$M$219)-SUM(F536:J536),"")</f>
        <v/>
      </c>
      <c r="E536" s="12">
        <f ca="1">IF(TodaysDate&gt;=B536,SUMIF('On The Board'!F$5:F$219,"&lt;="&amp;$B536,'On The Board'!$M$5:$M$219)-SUM(F536:J536),E535)</f>
        <v>47</v>
      </c>
      <c r="F536" s="12">
        <f>SUMIF('On The Board'!G$5:G$219,"&lt;="&amp;$B536,'On The Board'!$M$5:$M$219)-SUM(G536:J536)</f>
        <v>0</v>
      </c>
      <c r="G536" s="12">
        <f>SUMIF('On The Board'!H$5:H$219,"&lt;="&amp;$B536,'On The Board'!$M$5:$M$219)-SUM(H536:J536)</f>
        <v>5</v>
      </c>
      <c r="H536" s="12">
        <f>SUMIF('On The Board'!I$5:I$219,"&lt;="&amp;$B536,'On The Board'!$M$5:$M$219)-SUM(I536,J536)</f>
        <v>2</v>
      </c>
      <c r="I536" s="12">
        <f>SUMIF('On The Board'!J$5:J$219,"&lt;="&amp;$B536,'On The Board'!$M$5:$M$219)-SUM(J536)</f>
        <v>0</v>
      </c>
      <c r="J536" s="12">
        <f>SUMIF('On The Board'!K$5:K$219,"&lt;="&amp;$B536,'On The Board'!$M$5:$M$219)</f>
        <v>70</v>
      </c>
      <c r="K536" s="10">
        <f t="shared" si="60"/>
        <v>77</v>
      </c>
      <c r="L536" s="10" t="e">
        <f ca="1">IF(TodaysDate&gt;=B536,SUM(F536:I536),NA())</f>
        <v>#N/A</v>
      </c>
      <c r="M536" s="44" t="e">
        <f t="shared" ca="1" si="63"/>
        <v>#N/A</v>
      </c>
      <c r="N536" s="44" t="e">
        <f ca="1">IF(ISNUMBER(M536),(J536-J526)/NETWORKDAYS(B526,B536,BankHolidays),NA())</f>
        <v>#N/A</v>
      </c>
      <c r="O536" s="44" t="e">
        <f t="shared" ca="1" si="62"/>
        <v>#N/A</v>
      </c>
      <c r="P536" s="53" t="e">
        <f t="shared" ca="1" si="64"/>
        <v>#N/A</v>
      </c>
      <c r="Q536" s="53" t="str">
        <f ca="1">IFERROR(DayByDayTable[[#This Row],[Lead Time]],"")</f>
        <v/>
      </c>
      <c r="R536" s="44" t="e">
        <f t="shared" ca="1" si="65"/>
        <v>#N/A</v>
      </c>
      <c r="S536" s="44">
        <f ca="1">ROUND(PERCENTILE(DayByDayTable[[#Data],[BlankLeadTime]],0.8),0)</f>
        <v>8</v>
      </c>
    </row>
    <row r="537" spans="1:19">
      <c r="A537" s="51">
        <f t="shared" si="59"/>
        <v>43179</v>
      </c>
      <c r="B537" s="11">
        <f t="shared" si="61"/>
        <v>43179</v>
      </c>
      <c r="C537" s="47">
        <f>SUMIFS('On The Board'!$M$5:$M$219,'On The Board'!F$5:F$219,"&lt;="&amp;$B537,'On The Board'!E$5:E$219,"="&amp;FutureWork)</f>
        <v>0</v>
      </c>
      <c r="D537" s="47" t="str">
        <f ca="1">IF(TodaysDate&gt;=B537,SUMIF('On The Board'!F$5:F$219,"&lt;="&amp;$B537,'On The Board'!$M$5:$M$219)-SUM(F537:J537),"")</f>
        <v/>
      </c>
      <c r="E537" s="12">
        <f ca="1">IF(TodaysDate&gt;=B537,SUMIF('On The Board'!F$5:F$219,"&lt;="&amp;$B537,'On The Board'!$M$5:$M$219)-SUM(F537:J537),E536)</f>
        <v>47</v>
      </c>
      <c r="F537" s="12">
        <f>SUMIF('On The Board'!G$5:G$219,"&lt;="&amp;$B537,'On The Board'!$M$5:$M$219)-SUM(G537:J537)</f>
        <v>0</v>
      </c>
      <c r="G537" s="12">
        <f>SUMIF('On The Board'!H$5:H$219,"&lt;="&amp;$B537,'On The Board'!$M$5:$M$219)-SUM(H537:J537)</f>
        <v>5</v>
      </c>
      <c r="H537" s="12">
        <f>SUMIF('On The Board'!I$5:I$219,"&lt;="&amp;$B537,'On The Board'!$M$5:$M$219)-SUM(I537,J537)</f>
        <v>2</v>
      </c>
      <c r="I537" s="12">
        <f>SUMIF('On The Board'!J$5:J$219,"&lt;="&amp;$B537,'On The Board'!$M$5:$M$219)-SUM(J537)</f>
        <v>0</v>
      </c>
      <c r="J537" s="12">
        <f>SUMIF('On The Board'!K$5:K$219,"&lt;="&amp;$B537,'On The Board'!$M$5:$M$219)</f>
        <v>70</v>
      </c>
      <c r="K537" s="10">
        <f t="shared" si="60"/>
        <v>77</v>
      </c>
      <c r="L537" s="10" t="e">
        <f ca="1">IF(TodaysDate&gt;=B537,SUM(F537:I537),NA())</f>
        <v>#N/A</v>
      </c>
      <c r="M537" s="44" t="e">
        <f t="shared" ca="1" si="63"/>
        <v>#N/A</v>
      </c>
      <c r="N537" s="44" t="e">
        <f ca="1">IF(ISNUMBER(M537),(J537-J527)/NETWORKDAYS(B527,B537,BankHolidays),NA())</f>
        <v>#N/A</v>
      </c>
      <c r="O537" s="44" t="e">
        <f t="shared" ca="1" si="62"/>
        <v>#N/A</v>
      </c>
      <c r="P537" s="53" t="e">
        <f t="shared" ca="1" si="64"/>
        <v>#N/A</v>
      </c>
      <c r="Q537" s="53" t="str">
        <f ca="1">IFERROR(DayByDayTable[[#This Row],[Lead Time]],"")</f>
        <v/>
      </c>
      <c r="R537" s="44" t="e">
        <f t="shared" ca="1" si="65"/>
        <v>#N/A</v>
      </c>
      <c r="S537" s="44">
        <f ca="1">ROUND(PERCENTILE(DayByDayTable[[#Data],[BlankLeadTime]],0.8),0)</f>
        <v>8</v>
      </c>
    </row>
    <row r="538" spans="1:19">
      <c r="A538" s="51">
        <f t="shared" si="59"/>
        <v>43180</v>
      </c>
      <c r="B538" s="11">
        <f t="shared" si="61"/>
        <v>43180</v>
      </c>
      <c r="C538" s="47">
        <f>SUMIFS('On The Board'!$M$5:$M$219,'On The Board'!F$5:F$219,"&lt;="&amp;$B538,'On The Board'!E$5:E$219,"="&amp;FutureWork)</f>
        <v>0</v>
      </c>
      <c r="D538" s="47" t="str">
        <f ca="1">IF(TodaysDate&gt;=B538,SUMIF('On The Board'!F$5:F$219,"&lt;="&amp;$B538,'On The Board'!$M$5:$M$219)-SUM(F538:J538),"")</f>
        <v/>
      </c>
      <c r="E538" s="12">
        <f ca="1">IF(TodaysDate&gt;=B538,SUMIF('On The Board'!F$5:F$219,"&lt;="&amp;$B538,'On The Board'!$M$5:$M$219)-SUM(F538:J538),E537)</f>
        <v>47</v>
      </c>
      <c r="F538" s="12">
        <f>SUMIF('On The Board'!G$5:G$219,"&lt;="&amp;$B538,'On The Board'!$M$5:$M$219)-SUM(G538:J538)</f>
        <v>0</v>
      </c>
      <c r="G538" s="12">
        <f>SUMIF('On The Board'!H$5:H$219,"&lt;="&amp;$B538,'On The Board'!$M$5:$M$219)-SUM(H538:J538)</f>
        <v>5</v>
      </c>
      <c r="H538" s="12">
        <f>SUMIF('On The Board'!I$5:I$219,"&lt;="&amp;$B538,'On The Board'!$M$5:$M$219)-SUM(I538,J538)</f>
        <v>2</v>
      </c>
      <c r="I538" s="12">
        <f>SUMIF('On The Board'!J$5:J$219,"&lt;="&amp;$B538,'On The Board'!$M$5:$M$219)-SUM(J538)</f>
        <v>0</v>
      </c>
      <c r="J538" s="12">
        <f>SUMIF('On The Board'!K$5:K$219,"&lt;="&amp;$B538,'On The Board'!$M$5:$M$219)</f>
        <v>70</v>
      </c>
      <c r="K538" s="10">
        <f t="shared" si="60"/>
        <v>77</v>
      </c>
      <c r="L538" s="10" t="e">
        <f ca="1">IF(TodaysDate&gt;=B538,SUM(F538:I538),NA())</f>
        <v>#N/A</v>
      </c>
      <c r="M538" s="44" t="e">
        <f t="shared" ca="1" si="63"/>
        <v>#N/A</v>
      </c>
      <c r="N538" s="44" t="e">
        <f ca="1">IF(ISNUMBER(M538),(J538-J528)/NETWORKDAYS(B528,B538,BankHolidays),NA())</f>
        <v>#N/A</v>
      </c>
      <c r="O538" s="44" t="e">
        <f t="shared" ca="1" si="62"/>
        <v>#N/A</v>
      </c>
      <c r="P538" s="53" t="e">
        <f t="shared" ca="1" si="64"/>
        <v>#N/A</v>
      </c>
      <c r="Q538" s="53" t="str">
        <f ca="1">IFERROR(DayByDayTable[[#This Row],[Lead Time]],"")</f>
        <v/>
      </c>
      <c r="R538" s="44" t="e">
        <f t="shared" ca="1" si="65"/>
        <v>#N/A</v>
      </c>
      <c r="S538" s="44">
        <f ca="1">ROUND(PERCENTILE(DayByDayTable[[#Data],[BlankLeadTime]],0.8),0)</f>
        <v>8</v>
      </c>
    </row>
    <row r="539" spans="1:19">
      <c r="A539" s="51">
        <f t="shared" si="59"/>
        <v>43181</v>
      </c>
      <c r="B539" s="11">
        <f t="shared" si="61"/>
        <v>43181</v>
      </c>
      <c r="C539" s="47">
        <f>SUMIFS('On The Board'!$M$5:$M$219,'On The Board'!F$5:F$219,"&lt;="&amp;$B539,'On The Board'!E$5:E$219,"="&amp;FutureWork)</f>
        <v>0</v>
      </c>
      <c r="D539" s="47" t="str">
        <f ca="1">IF(TodaysDate&gt;=B539,SUMIF('On The Board'!F$5:F$219,"&lt;="&amp;$B539,'On The Board'!$M$5:$M$219)-SUM(F539:J539),"")</f>
        <v/>
      </c>
      <c r="E539" s="12">
        <f ca="1">IF(TodaysDate&gt;=B539,SUMIF('On The Board'!F$5:F$219,"&lt;="&amp;$B539,'On The Board'!$M$5:$M$219)-SUM(F539:J539),E538)</f>
        <v>47</v>
      </c>
      <c r="F539" s="12">
        <f>SUMIF('On The Board'!G$5:G$219,"&lt;="&amp;$B539,'On The Board'!$M$5:$M$219)-SUM(G539:J539)</f>
        <v>0</v>
      </c>
      <c r="G539" s="12">
        <f>SUMIF('On The Board'!H$5:H$219,"&lt;="&amp;$B539,'On The Board'!$M$5:$M$219)-SUM(H539:J539)</f>
        <v>5</v>
      </c>
      <c r="H539" s="12">
        <f>SUMIF('On The Board'!I$5:I$219,"&lt;="&amp;$B539,'On The Board'!$M$5:$M$219)-SUM(I539,J539)</f>
        <v>2</v>
      </c>
      <c r="I539" s="12">
        <f>SUMIF('On The Board'!J$5:J$219,"&lt;="&amp;$B539,'On The Board'!$M$5:$M$219)-SUM(J539)</f>
        <v>0</v>
      </c>
      <c r="J539" s="12">
        <f>SUMIF('On The Board'!K$5:K$219,"&lt;="&amp;$B539,'On The Board'!$M$5:$M$219)</f>
        <v>70</v>
      </c>
      <c r="K539" s="10">
        <f t="shared" si="60"/>
        <v>77</v>
      </c>
      <c r="L539" s="10" t="e">
        <f ca="1">IF(TodaysDate&gt;=B539,SUM(F539:I539),NA())</f>
        <v>#N/A</v>
      </c>
      <c r="M539" s="44" t="e">
        <f t="shared" ca="1" si="63"/>
        <v>#N/A</v>
      </c>
      <c r="N539" s="44" t="e">
        <f ca="1">IF(ISNUMBER(M539),(J539-J529)/NETWORKDAYS(B529,B539,BankHolidays),NA())</f>
        <v>#N/A</v>
      </c>
      <c r="O539" s="44" t="e">
        <f t="shared" ca="1" si="62"/>
        <v>#N/A</v>
      </c>
      <c r="P539" s="53" t="e">
        <f t="shared" ca="1" si="64"/>
        <v>#N/A</v>
      </c>
      <c r="Q539" s="53" t="str">
        <f ca="1">IFERROR(DayByDayTable[[#This Row],[Lead Time]],"")</f>
        <v/>
      </c>
      <c r="R539" s="44" t="e">
        <f t="shared" ca="1" si="65"/>
        <v>#N/A</v>
      </c>
      <c r="S539" s="44">
        <f ca="1">ROUND(PERCENTILE(DayByDayTable[[#Data],[BlankLeadTime]],0.8),0)</f>
        <v>8</v>
      </c>
    </row>
    <row r="540" spans="1:19">
      <c r="A540" s="51">
        <f t="shared" si="59"/>
        <v>43182</v>
      </c>
      <c r="B540" s="11">
        <f t="shared" si="61"/>
        <v>43182</v>
      </c>
      <c r="C540" s="47">
        <f>SUMIFS('On The Board'!$M$5:$M$219,'On The Board'!F$5:F$219,"&lt;="&amp;$B540,'On The Board'!E$5:E$219,"="&amp;FutureWork)</f>
        <v>0</v>
      </c>
      <c r="D540" s="47" t="str">
        <f ca="1">IF(TodaysDate&gt;=B540,SUMIF('On The Board'!F$5:F$219,"&lt;="&amp;$B540,'On The Board'!$M$5:$M$219)-SUM(F540:J540),"")</f>
        <v/>
      </c>
      <c r="E540" s="12">
        <f ca="1">IF(TodaysDate&gt;=B540,SUMIF('On The Board'!F$5:F$219,"&lt;="&amp;$B540,'On The Board'!$M$5:$M$219)-SUM(F540:J540),E539)</f>
        <v>47</v>
      </c>
      <c r="F540" s="12">
        <f>SUMIF('On The Board'!G$5:G$219,"&lt;="&amp;$B540,'On The Board'!$M$5:$M$219)-SUM(G540:J540)</f>
        <v>0</v>
      </c>
      <c r="G540" s="12">
        <f>SUMIF('On The Board'!H$5:H$219,"&lt;="&amp;$B540,'On The Board'!$M$5:$M$219)-SUM(H540:J540)</f>
        <v>5</v>
      </c>
      <c r="H540" s="12">
        <f>SUMIF('On The Board'!I$5:I$219,"&lt;="&amp;$B540,'On The Board'!$M$5:$M$219)-SUM(I540,J540)</f>
        <v>2</v>
      </c>
      <c r="I540" s="12">
        <f>SUMIF('On The Board'!J$5:J$219,"&lt;="&amp;$B540,'On The Board'!$M$5:$M$219)-SUM(J540)</f>
        <v>0</v>
      </c>
      <c r="J540" s="12">
        <f>SUMIF('On The Board'!K$5:K$219,"&lt;="&amp;$B540,'On The Board'!$M$5:$M$219)</f>
        <v>70</v>
      </c>
      <c r="K540" s="10">
        <f t="shared" si="60"/>
        <v>77</v>
      </c>
      <c r="L540" s="10" t="e">
        <f ca="1">IF(TodaysDate&gt;=B540,SUM(F540:I540),NA())</f>
        <v>#N/A</v>
      </c>
      <c r="M540" s="44" t="e">
        <f t="shared" ca="1" si="63"/>
        <v>#N/A</v>
      </c>
      <c r="N540" s="44" t="e">
        <f ca="1">IF(ISNUMBER(M540),(J540-J530)/NETWORKDAYS(B530,B540,BankHolidays),NA())</f>
        <v>#N/A</v>
      </c>
      <c r="O540" s="44" t="e">
        <f t="shared" ca="1" si="62"/>
        <v>#N/A</v>
      </c>
      <c r="P540" s="53" t="e">
        <f t="shared" ca="1" si="64"/>
        <v>#N/A</v>
      </c>
      <c r="Q540" s="53" t="str">
        <f ca="1">IFERROR(DayByDayTable[[#This Row],[Lead Time]],"")</f>
        <v/>
      </c>
      <c r="R540" s="44" t="e">
        <f t="shared" ca="1" si="65"/>
        <v>#N/A</v>
      </c>
      <c r="S540" s="44">
        <f ca="1">ROUND(PERCENTILE(DayByDayTable[[#Data],[BlankLeadTime]],0.8),0)</f>
        <v>8</v>
      </c>
    </row>
    <row r="541" spans="1:19">
      <c r="A541" s="51">
        <f t="shared" si="59"/>
        <v>43185</v>
      </c>
      <c r="B541" s="11">
        <f t="shared" si="61"/>
        <v>43185</v>
      </c>
      <c r="C541" s="47">
        <f>SUMIFS('On The Board'!$M$5:$M$219,'On The Board'!F$5:F$219,"&lt;="&amp;$B541,'On The Board'!E$5:E$219,"="&amp;FutureWork)</f>
        <v>0</v>
      </c>
      <c r="D541" s="47" t="str">
        <f ca="1">IF(TodaysDate&gt;=B541,SUMIF('On The Board'!F$5:F$219,"&lt;="&amp;$B541,'On The Board'!$M$5:$M$219)-SUM(F541:J541),"")</f>
        <v/>
      </c>
      <c r="E541" s="12">
        <f ca="1">IF(TodaysDate&gt;=B541,SUMIF('On The Board'!F$5:F$219,"&lt;="&amp;$B541,'On The Board'!$M$5:$M$219)-SUM(F541:J541),E540)</f>
        <v>47</v>
      </c>
      <c r="F541" s="12">
        <f>SUMIF('On The Board'!G$5:G$219,"&lt;="&amp;$B541,'On The Board'!$M$5:$M$219)-SUM(G541:J541)</f>
        <v>0</v>
      </c>
      <c r="G541" s="12">
        <f>SUMIF('On The Board'!H$5:H$219,"&lt;="&amp;$B541,'On The Board'!$M$5:$M$219)-SUM(H541:J541)</f>
        <v>5</v>
      </c>
      <c r="H541" s="12">
        <f>SUMIF('On The Board'!I$5:I$219,"&lt;="&amp;$B541,'On The Board'!$M$5:$M$219)-SUM(I541,J541)</f>
        <v>2</v>
      </c>
      <c r="I541" s="12">
        <f>SUMIF('On The Board'!J$5:J$219,"&lt;="&amp;$B541,'On The Board'!$M$5:$M$219)-SUM(J541)</f>
        <v>0</v>
      </c>
      <c r="J541" s="12">
        <f>SUMIF('On The Board'!K$5:K$219,"&lt;="&amp;$B541,'On The Board'!$M$5:$M$219)</f>
        <v>70</v>
      </c>
      <c r="K541" s="10">
        <f t="shared" si="60"/>
        <v>77</v>
      </c>
      <c r="L541" s="10" t="e">
        <f ca="1">IF(TodaysDate&gt;=B541,SUM(F541:I541),NA())</f>
        <v>#N/A</v>
      </c>
      <c r="M541" s="44" t="e">
        <f t="shared" ca="1" si="63"/>
        <v>#N/A</v>
      </c>
      <c r="N541" s="44" t="e">
        <f ca="1">IF(ISNUMBER(M541),(J541-J531)/NETWORKDAYS(B531,B541,BankHolidays),NA())</f>
        <v>#N/A</v>
      </c>
      <c r="O541" s="44" t="e">
        <f t="shared" ca="1" si="62"/>
        <v>#N/A</v>
      </c>
      <c r="P541" s="53" t="e">
        <f t="shared" ca="1" si="64"/>
        <v>#N/A</v>
      </c>
      <c r="Q541" s="53" t="str">
        <f ca="1">IFERROR(DayByDayTable[[#This Row],[Lead Time]],"")</f>
        <v/>
      </c>
      <c r="R541" s="44" t="e">
        <f t="shared" ca="1" si="65"/>
        <v>#N/A</v>
      </c>
      <c r="S541" s="44">
        <f ca="1">ROUND(PERCENTILE(DayByDayTable[[#Data],[BlankLeadTime]],0.8),0)</f>
        <v>8</v>
      </c>
    </row>
    <row r="542" spans="1:19">
      <c r="A542" s="51">
        <f t="shared" si="59"/>
        <v>43186</v>
      </c>
      <c r="B542" s="11">
        <f t="shared" si="61"/>
        <v>43186</v>
      </c>
      <c r="C542" s="47">
        <f>SUMIFS('On The Board'!$M$5:$M$219,'On The Board'!F$5:F$219,"&lt;="&amp;$B542,'On The Board'!E$5:E$219,"="&amp;FutureWork)</f>
        <v>0</v>
      </c>
      <c r="D542" s="47" t="str">
        <f ca="1">IF(TodaysDate&gt;=B542,SUMIF('On The Board'!F$5:F$219,"&lt;="&amp;$B542,'On The Board'!$M$5:$M$219)-SUM(F542:J542),"")</f>
        <v/>
      </c>
      <c r="E542" s="12">
        <f ca="1">IF(TodaysDate&gt;=B542,SUMIF('On The Board'!F$5:F$219,"&lt;="&amp;$B542,'On The Board'!$M$5:$M$219)-SUM(F542:J542),E541)</f>
        <v>47</v>
      </c>
      <c r="F542" s="12">
        <f>SUMIF('On The Board'!G$5:G$219,"&lt;="&amp;$B542,'On The Board'!$M$5:$M$219)-SUM(G542:J542)</f>
        <v>0</v>
      </c>
      <c r="G542" s="12">
        <f>SUMIF('On The Board'!H$5:H$219,"&lt;="&amp;$B542,'On The Board'!$M$5:$M$219)-SUM(H542:J542)</f>
        <v>5</v>
      </c>
      <c r="H542" s="12">
        <f>SUMIF('On The Board'!I$5:I$219,"&lt;="&amp;$B542,'On The Board'!$M$5:$M$219)-SUM(I542,J542)</f>
        <v>2</v>
      </c>
      <c r="I542" s="12">
        <f>SUMIF('On The Board'!J$5:J$219,"&lt;="&amp;$B542,'On The Board'!$M$5:$M$219)-SUM(J542)</f>
        <v>0</v>
      </c>
      <c r="J542" s="12">
        <f>SUMIF('On The Board'!K$5:K$219,"&lt;="&amp;$B542,'On The Board'!$M$5:$M$219)</f>
        <v>70</v>
      </c>
      <c r="K542" s="10">
        <f t="shared" si="60"/>
        <v>77</v>
      </c>
      <c r="L542" s="10" t="e">
        <f ca="1">IF(TodaysDate&gt;=B542,SUM(F542:I542),NA())</f>
        <v>#N/A</v>
      </c>
      <c r="M542" s="44" t="e">
        <f t="shared" ca="1" si="63"/>
        <v>#N/A</v>
      </c>
      <c r="N542" s="44" t="e">
        <f ca="1">IF(ISNUMBER(M542),(J542-J532)/NETWORKDAYS(B532,B542,BankHolidays),NA())</f>
        <v>#N/A</v>
      </c>
      <c r="O542" s="44" t="e">
        <f t="shared" ca="1" si="62"/>
        <v>#N/A</v>
      </c>
      <c r="P542" s="53" t="e">
        <f t="shared" ca="1" si="64"/>
        <v>#N/A</v>
      </c>
      <c r="Q542" s="53" t="str">
        <f ca="1">IFERROR(DayByDayTable[[#This Row],[Lead Time]],"")</f>
        <v/>
      </c>
      <c r="R542" s="44" t="e">
        <f t="shared" ca="1" si="65"/>
        <v>#N/A</v>
      </c>
      <c r="S542" s="44">
        <f ca="1">ROUND(PERCENTILE(DayByDayTable[[#Data],[BlankLeadTime]],0.8),0)</f>
        <v>8</v>
      </c>
    </row>
    <row r="543" spans="1:19">
      <c r="A543" s="51">
        <f t="shared" si="59"/>
        <v>43187</v>
      </c>
      <c r="B543" s="11">
        <f t="shared" si="61"/>
        <v>43187</v>
      </c>
      <c r="C543" s="47">
        <f>SUMIFS('On The Board'!$M$5:$M$219,'On The Board'!F$5:F$219,"&lt;="&amp;$B543,'On The Board'!E$5:E$219,"="&amp;FutureWork)</f>
        <v>0</v>
      </c>
      <c r="D543" s="47" t="str">
        <f ca="1">IF(TodaysDate&gt;=B543,SUMIF('On The Board'!F$5:F$219,"&lt;="&amp;$B543,'On The Board'!$M$5:$M$219)-SUM(F543:J543),"")</f>
        <v/>
      </c>
      <c r="E543" s="12">
        <f ca="1">IF(TodaysDate&gt;=B543,SUMIF('On The Board'!F$5:F$219,"&lt;="&amp;$B543,'On The Board'!$M$5:$M$219)-SUM(F543:J543),E542)</f>
        <v>47</v>
      </c>
      <c r="F543" s="12">
        <f>SUMIF('On The Board'!G$5:G$219,"&lt;="&amp;$B543,'On The Board'!$M$5:$M$219)-SUM(G543:J543)</f>
        <v>0</v>
      </c>
      <c r="G543" s="12">
        <f>SUMIF('On The Board'!H$5:H$219,"&lt;="&amp;$B543,'On The Board'!$M$5:$M$219)-SUM(H543:J543)</f>
        <v>5</v>
      </c>
      <c r="H543" s="12">
        <f>SUMIF('On The Board'!I$5:I$219,"&lt;="&amp;$B543,'On The Board'!$M$5:$M$219)-SUM(I543,J543)</f>
        <v>2</v>
      </c>
      <c r="I543" s="12">
        <f>SUMIF('On The Board'!J$5:J$219,"&lt;="&amp;$B543,'On The Board'!$M$5:$M$219)-SUM(J543)</f>
        <v>0</v>
      </c>
      <c r="J543" s="12">
        <f>SUMIF('On The Board'!K$5:K$219,"&lt;="&amp;$B543,'On The Board'!$M$5:$M$219)</f>
        <v>70</v>
      </c>
      <c r="K543" s="10">
        <f t="shared" si="60"/>
        <v>77</v>
      </c>
      <c r="L543" s="10" t="e">
        <f ca="1">IF(TodaysDate&gt;=B543,SUM(F543:I543),NA())</f>
        <v>#N/A</v>
      </c>
      <c r="M543" s="44" t="e">
        <f t="shared" ca="1" si="63"/>
        <v>#N/A</v>
      </c>
      <c r="N543" s="44" t="e">
        <f ca="1">IF(ISNUMBER(M543),(J543-J533)/NETWORKDAYS(B533,B543,BankHolidays),NA())</f>
        <v>#N/A</v>
      </c>
      <c r="O543" s="44" t="e">
        <f t="shared" ca="1" si="62"/>
        <v>#N/A</v>
      </c>
      <c r="P543" s="53" t="e">
        <f t="shared" ca="1" si="64"/>
        <v>#N/A</v>
      </c>
      <c r="Q543" s="53" t="str">
        <f ca="1">IFERROR(DayByDayTable[[#This Row],[Lead Time]],"")</f>
        <v/>
      </c>
      <c r="R543" s="44" t="e">
        <f t="shared" ca="1" si="65"/>
        <v>#N/A</v>
      </c>
      <c r="S543" s="44">
        <f ca="1">ROUND(PERCENTILE(DayByDayTable[[#Data],[BlankLeadTime]],0.8),0)</f>
        <v>8</v>
      </c>
    </row>
    <row r="544" spans="1:19">
      <c r="A544" s="51">
        <f t="shared" si="59"/>
        <v>43188</v>
      </c>
      <c r="B544" s="11">
        <f t="shared" si="61"/>
        <v>43188</v>
      </c>
      <c r="C544" s="47">
        <f>SUMIFS('On The Board'!$M$5:$M$219,'On The Board'!F$5:F$219,"&lt;="&amp;$B544,'On The Board'!E$5:E$219,"="&amp;FutureWork)</f>
        <v>0</v>
      </c>
      <c r="D544" s="47" t="str">
        <f ca="1">IF(TodaysDate&gt;=B544,SUMIF('On The Board'!F$5:F$219,"&lt;="&amp;$B544,'On The Board'!$M$5:$M$219)-SUM(F544:J544),"")</f>
        <v/>
      </c>
      <c r="E544" s="12">
        <f ca="1">IF(TodaysDate&gt;=B544,SUMIF('On The Board'!F$5:F$219,"&lt;="&amp;$B544,'On The Board'!$M$5:$M$219)-SUM(F544:J544),E543)</f>
        <v>47</v>
      </c>
      <c r="F544" s="12">
        <f>SUMIF('On The Board'!G$5:G$219,"&lt;="&amp;$B544,'On The Board'!$M$5:$M$219)-SUM(G544:J544)</f>
        <v>0</v>
      </c>
      <c r="G544" s="12">
        <f>SUMIF('On The Board'!H$5:H$219,"&lt;="&amp;$B544,'On The Board'!$M$5:$M$219)-SUM(H544:J544)</f>
        <v>5</v>
      </c>
      <c r="H544" s="12">
        <f>SUMIF('On The Board'!I$5:I$219,"&lt;="&amp;$B544,'On The Board'!$M$5:$M$219)-SUM(I544,J544)</f>
        <v>2</v>
      </c>
      <c r="I544" s="12">
        <f>SUMIF('On The Board'!J$5:J$219,"&lt;="&amp;$B544,'On The Board'!$M$5:$M$219)-SUM(J544)</f>
        <v>0</v>
      </c>
      <c r="J544" s="12">
        <f>SUMIF('On The Board'!K$5:K$219,"&lt;="&amp;$B544,'On The Board'!$M$5:$M$219)</f>
        <v>70</v>
      </c>
      <c r="K544" s="10">
        <f t="shared" si="60"/>
        <v>77</v>
      </c>
      <c r="L544" s="10" t="e">
        <f ca="1">IF(TodaysDate&gt;=B544,SUM(F544:I544),NA())</f>
        <v>#N/A</v>
      </c>
      <c r="M544" s="44" t="e">
        <f t="shared" ca="1" si="63"/>
        <v>#N/A</v>
      </c>
      <c r="N544" s="44" t="e">
        <f ca="1">IF(ISNUMBER(M544),(J544-J534)/NETWORKDAYS(B534,B544,BankHolidays),NA())</f>
        <v>#N/A</v>
      </c>
      <c r="O544" s="44" t="e">
        <f t="shared" ca="1" si="62"/>
        <v>#N/A</v>
      </c>
      <c r="P544" s="53" t="e">
        <f t="shared" ca="1" si="64"/>
        <v>#N/A</v>
      </c>
      <c r="Q544" s="53" t="str">
        <f ca="1">IFERROR(DayByDayTable[[#This Row],[Lead Time]],"")</f>
        <v/>
      </c>
      <c r="R544" s="44" t="e">
        <f t="shared" ca="1" si="65"/>
        <v>#N/A</v>
      </c>
      <c r="S544" s="44">
        <f ca="1">ROUND(PERCENTILE(DayByDayTable[[#Data],[BlankLeadTime]],0.8),0)</f>
        <v>8</v>
      </c>
    </row>
    <row r="545" spans="1:19">
      <c r="A545" s="51">
        <f t="shared" si="59"/>
        <v>43193</v>
      </c>
      <c r="B545" s="11">
        <f t="shared" si="61"/>
        <v>43193</v>
      </c>
      <c r="C545" s="47">
        <f>SUMIFS('On The Board'!$M$5:$M$219,'On The Board'!F$5:F$219,"&lt;="&amp;$B545,'On The Board'!E$5:E$219,"="&amp;FutureWork)</f>
        <v>0</v>
      </c>
      <c r="D545" s="47" t="str">
        <f ca="1">IF(TodaysDate&gt;=B545,SUMIF('On The Board'!F$5:F$219,"&lt;="&amp;$B545,'On The Board'!$M$5:$M$219)-SUM(F545:J545),"")</f>
        <v/>
      </c>
      <c r="E545" s="12">
        <f ca="1">IF(TodaysDate&gt;=B545,SUMIF('On The Board'!F$5:F$219,"&lt;="&amp;$B545,'On The Board'!$M$5:$M$219)-SUM(F545:J545),E544)</f>
        <v>47</v>
      </c>
      <c r="F545" s="12">
        <f>SUMIF('On The Board'!G$5:G$219,"&lt;="&amp;$B545,'On The Board'!$M$5:$M$219)-SUM(G545:J545)</f>
        <v>0</v>
      </c>
      <c r="G545" s="12">
        <f>SUMIF('On The Board'!H$5:H$219,"&lt;="&amp;$B545,'On The Board'!$M$5:$M$219)-SUM(H545:J545)</f>
        <v>5</v>
      </c>
      <c r="H545" s="12">
        <f>SUMIF('On The Board'!I$5:I$219,"&lt;="&amp;$B545,'On The Board'!$M$5:$M$219)-SUM(I545,J545)</f>
        <v>2</v>
      </c>
      <c r="I545" s="12">
        <f>SUMIF('On The Board'!J$5:J$219,"&lt;="&amp;$B545,'On The Board'!$M$5:$M$219)-SUM(J545)</f>
        <v>0</v>
      </c>
      <c r="J545" s="12">
        <f>SUMIF('On The Board'!K$5:K$219,"&lt;="&amp;$B545,'On The Board'!$M$5:$M$219)</f>
        <v>70</v>
      </c>
      <c r="K545" s="10">
        <f t="shared" si="60"/>
        <v>77</v>
      </c>
      <c r="L545" s="10" t="e">
        <f ca="1">IF(TodaysDate&gt;=B545,SUM(F545:I545),NA())</f>
        <v>#N/A</v>
      </c>
      <c r="M545" s="44" t="e">
        <f t="shared" ca="1" si="63"/>
        <v>#N/A</v>
      </c>
      <c r="N545" s="44" t="e">
        <f ca="1">IF(ISNUMBER(M545),(J545-J535)/NETWORKDAYS(B535,B545,BankHolidays),NA())</f>
        <v>#N/A</v>
      </c>
      <c r="O545" s="44" t="e">
        <f t="shared" ca="1" si="62"/>
        <v>#N/A</v>
      </c>
      <c r="P545" s="53" t="e">
        <f t="shared" ca="1" si="64"/>
        <v>#N/A</v>
      </c>
      <c r="Q545" s="53" t="str">
        <f ca="1">IFERROR(DayByDayTable[[#This Row],[Lead Time]],"")</f>
        <v/>
      </c>
      <c r="R545" s="44" t="e">
        <f t="shared" ca="1" si="65"/>
        <v>#N/A</v>
      </c>
      <c r="S545" s="44">
        <f ca="1">ROUND(PERCENTILE(DayByDayTable[[#Data],[BlankLeadTime]],0.8),0)</f>
        <v>8</v>
      </c>
    </row>
    <row r="546" spans="1:19">
      <c r="A546" s="51">
        <f t="shared" si="59"/>
        <v>43194</v>
      </c>
      <c r="B546" s="11">
        <f t="shared" si="61"/>
        <v>43194</v>
      </c>
      <c r="C546" s="47">
        <f>SUMIFS('On The Board'!$M$5:$M$219,'On The Board'!F$5:F$219,"&lt;="&amp;$B546,'On The Board'!E$5:E$219,"="&amp;FutureWork)</f>
        <v>0</v>
      </c>
      <c r="D546" s="47" t="str">
        <f ca="1">IF(TodaysDate&gt;=B546,SUMIF('On The Board'!F$5:F$219,"&lt;="&amp;$B546,'On The Board'!$M$5:$M$219)-SUM(F546:J546),"")</f>
        <v/>
      </c>
      <c r="E546" s="12">
        <f ca="1">IF(TodaysDate&gt;=B546,SUMIF('On The Board'!F$5:F$219,"&lt;="&amp;$B546,'On The Board'!$M$5:$M$219)-SUM(F546:J546),E545)</f>
        <v>47</v>
      </c>
      <c r="F546" s="12">
        <f>SUMIF('On The Board'!G$5:G$219,"&lt;="&amp;$B546,'On The Board'!$M$5:$M$219)-SUM(G546:J546)</f>
        <v>0</v>
      </c>
      <c r="G546" s="12">
        <f>SUMIF('On The Board'!H$5:H$219,"&lt;="&amp;$B546,'On The Board'!$M$5:$M$219)-SUM(H546:J546)</f>
        <v>5</v>
      </c>
      <c r="H546" s="12">
        <f>SUMIF('On The Board'!I$5:I$219,"&lt;="&amp;$B546,'On The Board'!$M$5:$M$219)-SUM(I546,J546)</f>
        <v>2</v>
      </c>
      <c r="I546" s="12">
        <f>SUMIF('On The Board'!J$5:J$219,"&lt;="&amp;$B546,'On The Board'!$M$5:$M$219)-SUM(J546)</f>
        <v>0</v>
      </c>
      <c r="J546" s="12">
        <f>SUMIF('On The Board'!K$5:K$219,"&lt;="&amp;$B546,'On The Board'!$M$5:$M$219)</f>
        <v>70</v>
      </c>
      <c r="K546" s="10">
        <f t="shared" si="60"/>
        <v>77</v>
      </c>
      <c r="L546" s="10" t="e">
        <f ca="1">IF(TodaysDate&gt;=B546,SUM(F546:I546),NA())</f>
        <v>#N/A</v>
      </c>
      <c r="M546" s="44" t="e">
        <f t="shared" ca="1" si="63"/>
        <v>#N/A</v>
      </c>
      <c r="N546" s="44" t="e">
        <f ca="1">IF(ISNUMBER(M546),(J546-J536)/NETWORKDAYS(B536,B546,BankHolidays),NA())</f>
        <v>#N/A</v>
      </c>
      <c r="O546" s="44" t="e">
        <f t="shared" ca="1" si="62"/>
        <v>#N/A</v>
      </c>
      <c r="P546" s="53" t="e">
        <f t="shared" ca="1" si="64"/>
        <v>#N/A</v>
      </c>
      <c r="Q546" s="53" t="str">
        <f ca="1">IFERROR(DayByDayTable[[#This Row],[Lead Time]],"")</f>
        <v/>
      </c>
      <c r="R546" s="44" t="e">
        <f t="shared" ca="1" si="65"/>
        <v>#N/A</v>
      </c>
      <c r="S546" s="44">
        <f ca="1">ROUND(PERCENTILE(DayByDayTable[[#Data],[BlankLeadTime]],0.8),0)</f>
        <v>8</v>
      </c>
    </row>
    <row r="547" spans="1:19">
      <c r="A547" s="51">
        <f t="shared" si="59"/>
        <v>43195</v>
      </c>
      <c r="B547" s="11">
        <f t="shared" si="61"/>
        <v>43195</v>
      </c>
      <c r="C547" s="47">
        <f>SUMIFS('On The Board'!$M$5:$M$219,'On The Board'!F$5:F$219,"&lt;="&amp;$B547,'On The Board'!E$5:E$219,"="&amp;FutureWork)</f>
        <v>0</v>
      </c>
      <c r="D547" s="47" t="str">
        <f ca="1">IF(TodaysDate&gt;=B547,SUMIF('On The Board'!F$5:F$219,"&lt;="&amp;$B547,'On The Board'!$M$5:$M$219)-SUM(F547:J547),"")</f>
        <v/>
      </c>
      <c r="E547" s="12">
        <f ca="1">IF(TodaysDate&gt;=B547,SUMIF('On The Board'!F$5:F$219,"&lt;="&amp;$B547,'On The Board'!$M$5:$M$219)-SUM(F547:J547),E546)</f>
        <v>47</v>
      </c>
      <c r="F547" s="12">
        <f>SUMIF('On The Board'!G$5:G$219,"&lt;="&amp;$B547,'On The Board'!$M$5:$M$219)-SUM(G547:J547)</f>
        <v>0</v>
      </c>
      <c r="G547" s="12">
        <f>SUMIF('On The Board'!H$5:H$219,"&lt;="&amp;$B547,'On The Board'!$M$5:$M$219)-SUM(H547:J547)</f>
        <v>5</v>
      </c>
      <c r="H547" s="12">
        <f>SUMIF('On The Board'!I$5:I$219,"&lt;="&amp;$B547,'On The Board'!$M$5:$M$219)-SUM(I547,J547)</f>
        <v>2</v>
      </c>
      <c r="I547" s="12">
        <f>SUMIF('On The Board'!J$5:J$219,"&lt;="&amp;$B547,'On The Board'!$M$5:$M$219)-SUM(J547)</f>
        <v>0</v>
      </c>
      <c r="J547" s="12">
        <f>SUMIF('On The Board'!K$5:K$219,"&lt;="&amp;$B547,'On The Board'!$M$5:$M$219)</f>
        <v>70</v>
      </c>
      <c r="K547" s="10">
        <f t="shared" si="60"/>
        <v>77</v>
      </c>
      <c r="L547" s="10" t="e">
        <f ca="1">IF(TodaysDate&gt;=B547,SUM(F547:I547),NA())</f>
        <v>#N/A</v>
      </c>
      <c r="M547" s="44" t="e">
        <f t="shared" ca="1" si="63"/>
        <v>#N/A</v>
      </c>
      <c r="N547" s="44" t="e">
        <f ca="1">IF(ISNUMBER(M547),(J547-J537)/NETWORKDAYS(B537,B547,BankHolidays),NA())</f>
        <v>#N/A</v>
      </c>
      <c r="O547" s="44" t="e">
        <f t="shared" ca="1" si="62"/>
        <v>#N/A</v>
      </c>
      <c r="P547" s="53" t="e">
        <f t="shared" ca="1" si="64"/>
        <v>#N/A</v>
      </c>
      <c r="Q547" s="53" t="str">
        <f ca="1">IFERROR(DayByDayTable[[#This Row],[Lead Time]],"")</f>
        <v/>
      </c>
      <c r="R547" s="44" t="e">
        <f t="shared" ca="1" si="65"/>
        <v>#N/A</v>
      </c>
      <c r="S547" s="44">
        <f ca="1">ROUND(PERCENTILE(DayByDayTable[[#Data],[BlankLeadTime]],0.8),0)</f>
        <v>8</v>
      </c>
    </row>
    <row r="548" spans="1:19">
      <c r="A548" s="51">
        <f t="shared" si="59"/>
        <v>43196</v>
      </c>
      <c r="B548" s="11">
        <f t="shared" si="61"/>
        <v>43196</v>
      </c>
      <c r="C548" s="47">
        <f>SUMIFS('On The Board'!$M$5:$M$219,'On The Board'!F$5:F$219,"&lt;="&amp;$B548,'On The Board'!E$5:E$219,"="&amp;FutureWork)</f>
        <v>0</v>
      </c>
      <c r="D548" s="47" t="str">
        <f ca="1">IF(TodaysDate&gt;=B548,SUMIF('On The Board'!F$5:F$219,"&lt;="&amp;$B548,'On The Board'!$M$5:$M$219)-SUM(F548:J548),"")</f>
        <v/>
      </c>
      <c r="E548" s="12">
        <f ca="1">IF(TodaysDate&gt;=B548,SUMIF('On The Board'!F$5:F$219,"&lt;="&amp;$B548,'On The Board'!$M$5:$M$219)-SUM(F548:J548),E547)</f>
        <v>47</v>
      </c>
      <c r="F548" s="12">
        <f>SUMIF('On The Board'!G$5:G$219,"&lt;="&amp;$B548,'On The Board'!$M$5:$M$219)-SUM(G548:J548)</f>
        <v>0</v>
      </c>
      <c r="G548" s="12">
        <f>SUMIF('On The Board'!H$5:H$219,"&lt;="&amp;$B548,'On The Board'!$M$5:$M$219)-SUM(H548:J548)</f>
        <v>5</v>
      </c>
      <c r="H548" s="12">
        <f>SUMIF('On The Board'!I$5:I$219,"&lt;="&amp;$B548,'On The Board'!$M$5:$M$219)-SUM(I548,J548)</f>
        <v>2</v>
      </c>
      <c r="I548" s="12">
        <f>SUMIF('On The Board'!J$5:J$219,"&lt;="&amp;$B548,'On The Board'!$M$5:$M$219)-SUM(J548)</f>
        <v>0</v>
      </c>
      <c r="J548" s="12">
        <f>SUMIF('On The Board'!K$5:K$219,"&lt;="&amp;$B548,'On The Board'!$M$5:$M$219)</f>
        <v>70</v>
      </c>
      <c r="K548" s="10">
        <f t="shared" si="60"/>
        <v>77</v>
      </c>
      <c r="L548" s="10" t="e">
        <f ca="1">IF(TodaysDate&gt;=B548,SUM(F548:I548),NA())</f>
        <v>#N/A</v>
      </c>
      <c r="M548" s="44" t="e">
        <f t="shared" ca="1" si="63"/>
        <v>#N/A</v>
      </c>
      <c r="N548" s="44" t="e">
        <f ca="1">IF(ISNUMBER(M548),(J548-J538)/NETWORKDAYS(B538,B548,BankHolidays),NA())</f>
        <v>#N/A</v>
      </c>
      <c r="O548" s="44" t="e">
        <f t="shared" ca="1" si="62"/>
        <v>#N/A</v>
      </c>
      <c r="P548" s="53" t="e">
        <f t="shared" ca="1" si="64"/>
        <v>#N/A</v>
      </c>
      <c r="Q548" s="53" t="str">
        <f ca="1">IFERROR(DayByDayTable[[#This Row],[Lead Time]],"")</f>
        <v/>
      </c>
      <c r="R548" s="44" t="e">
        <f t="shared" ca="1" si="65"/>
        <v>#N/A</v>
      </c>
      <c r="S548" s="44">
        <f ca="1">ROUND(PERCENTILE(DayByDayTable[[#Data],[BlankLeadTime]],0.8),0)</f>
        <v>8</v>
      </c>
    </row>
    <row r="549" spans="1:19">
      <c r="A549" s="51">
        <f t="shared" si="59"/>
        <v>43199</v>
      </c>
      <c r="B549" s="11">
        <f t="shared" si="61"/>
        <v>43199</v>
      </c>
      <c r="C549" s="47">
        <f>SUMIFS('On The Board'!$M$5:$M$219,'On The Board'!F$5:F$219,"&lt;="&amp;$B549,'On The Board'!E$5:E$219,"="&amp;FutureWork)</f>
        <v>0</v>
      </c>
      <c r="D549" s="47" t="str">
        <f ca="1">IF(TodaysDate&gt;=B549,SUMIF('On The Board'!F$5:F$219,"&lt;="&amp;$B549,'On The Board'!$M$5:$M$219)-SUM(F549:J549),"")</f>
        <v/>
      </c>
      <c r="E549" s="12">
        <f ca="1">IF(TodaysDate&gt;=B549,SUMIF('On The Board'!F$5:F$219,"&lt;="&amp;$B549,'On The Board'!$M$5:$M$219)-SUM(F549:J549),E548)</f>
        <v>47</v>
      </c>
      <c r="F549" s="12">
        <f>SUMIF('On The Board'!G$5:G$219,"&lt;="&amp;$B549,'On The Board'!$M$5:$M$219)-SUM(G549:J549)</f>
        <v>0</v>
      </c>
      <c r="G549" s="12">
        <f>SUMIF('On The Board'!H$5:H$219,"&lt;="&amp;$B549,'On The Board'!$M$5:$M$219)-SUM(H549:J549)</f>
        <v>5</v>
      </c>
      <c r="H549" s="12">
        <f>SUMIF('On The Board'!I$5:I$219,"&lt;="&amp;$B549,'On The Board'!$M$5:$M$219)-SUM(I549,J549)</f>
        <v>2</v>
      </c>
      <c r="I549" s="12">
        <f>SUMIF('On The Board'!J$5:J$219,"&lt;="&amp;$B549,'On The Board'!$M$5:$M$219)-SUM(J549)</f>
        <v>0</v>
      </c>
      <c r="J549" s="12">
        <f>SUMIF('On The Board'!K$5:K$219,"&lt;="&amp;$B549,'On The Board'!$M$5:$M$219)</f>
        <v>70</v>
      </c>
      <c r="K549" s="10">
        <f t="shared" si="60"/>
        <v>77</v>
      </c>
      <c r="L549" s="10" t="e">
        <f ca="1">IF(TodaysDate&gt;=B549,SUM(F549:I549),NA())</f>
        <v>#N/A</v>
      </c>
      <c r="M549" s="44" t="e">
        <f t="shared" ca="1" si="63"/>
        <v>#N/A</v>
      </c>
      <c r="N549" s="44" t="e">
        <f ca="1">IF(ISNUMBER(M549),(J549-J539)/NETWORKDAYS(B539,B549,BankHolidays),NA())</f>
        <v>#N/A</v>
      </c>
      <c r="O549" s="44" t="e">
        <f t="shared" ca="1" si="62"/>
        <v>#N/A</v>
      </c>
      <c r="P549" s="53" t="e">
        <f t="shared" ca="1" si="64"/>
        <v>#N/A</v>
      </c>
      <c r="Q549" s="53" t="str">
        <f ca="1">IFERROR(DayByDayTable[[#This Row],[Lead Time]],"")</f>
        <v/>
      </c>
      <c r="R549" s="44" t="e">
        <f t="shared" ca="1" si="65"/>
        <v>#N/A</v>
      </c>
      <c r="S549" s="44">
        <f ca="1">ROUND(PERCENTILE(DayByDayTable[[#Data],[BlankLeadTime]],0.8),0)</f>
        <v>8</v>
      </c>
    </row>
    <row r="550" spans="1:19">
      <c r="A550" s="51">
        <f t="shared" si="59"/>
        <v>43200</v>
      </c>
      <c r="B550" s="11">
        <f t="shared" si="61"/>
        <v>43200</v>
      </c>
      <c r="C550" s="47">
        <f>SUMIFS('On The Board'!$M$5:$M$219,'On The Board'!F$5:F$219,"&lt;="&amp;$B550,'On The Board'!E$5:E$219,"="&amp;FutureWork)</f>
        <v>0</v>
      </c>
      <c r="D550" s="47" t="str">
        <f ca="1">IF(TodaysDate&gt;=B550,SUMIF('On The Board'!F$5:F$219,"&lt;="&amp;$B550,'On The Board'!$M$5:$M$219)-SUM(F550:J550),"")</f>
        <v/>
      </c>
      <c r="E550" s="12">
        <f ca="1">IF(TodaysDate&gt;=B550,SUMIF('On The Board'!F$5:F$219,"&lt;="&amp;$B550,'On The Board'!$M$5:$M$219)-SUM(F550:J550),E549)</f>
        <v>47</v>
      </c>
      <c r="F550" s="12">
        <f>SUMIF('On The Board'!G$5:G$219,"&lt;="&amp;$B550,'On The Board'!$M$5:$M$219)-SUM(G550:J550)</f>
        <v>0</v>
      </c>
      <c r="G550" s="12">
        <f>SUMIF('On The Board'!H$5:H$219,"&lt;="&amp;$B550,'On The Board'!$M$5:$M$219)-SUM(H550:J550)</f>
        <v>5</v>
      </c>
      <c r="H550" s="12">
        <f>SUMIF('On The Board'!I$5:I$219,"&lt;="&amp;$B550,'On The Board'!$M$5:$M$219)-SUM(I550,J550)</f>
        <v>2</v>
      </c>
      <c r="I550" s="12">
        <f>SUMIF('On The Board'!J$5:J$219,"&lt;="&amp;$B550,'On The Board'!$M$5:$M$219)-SUM(J550)</f>
        <v>0</v>
      </c>
      <c r="J550" s="12">
        <f>SUMIF('On The Board'!K$5:K$219,"&lt;="&amp;$B550,'On The Board'!$M$5:$M$219)</f>
        <v>70</v>
      </c>
      <c r="K550" s="10">
        <f t="shared" si="60"/>
        <v>77</v>
      </c>
      <c r="L550" s="10" t="e">
        <f ca="1">IF(TodaysDate&gt;=B550,SUM(F550:I550),NA())</f>
        <v>#N/A</v>
      </c>
      <c r="M550" s="44" t="e">
        <f t="shared" ca="1" si="63"/>
        <v>#N/A</v>
      </c>
      <c r="N550" s="44" t="e">
        <f ca="1">IF(ISNUMBER(M550),(J550-J540)/NETWORKDAYS(B540,B550,BankHolidays),NA())</f>
        <v>#N/A</v>
      </c>
      <c r="O550" s="44" t="e">
        <f t="shared" ca="1" si="62"/>
        <v>#N/A</v>
      </c>
      <c r="P550" s="53" t="e">
        <f t="shared" ca="1" si="64"/>
        <v>#N/A</v>
      </c>
      <c r="Q550" s="53" t="str">
        <f ca="1">IFERROR(DayByDayTable[[#This Row],[Lead Time]],"")</f>
        <v/>
      </c>
      <c r="R550" s="44" t="e">
        <f t="shared" ca="1" si="65"/>
        <v>#N/A</v>
      </c>
      <c r="S550" s="44">
        <f ca="1">ROUND(PERCENTILE(DayByDayTable[[#Data],[BlankLeadTime]],0.8),0)</f>
        <v>8</v>
      </c>
    </row>
    <row r="551" spans="1:19">
      <c r="A551" s="51">
        <f t="shared" si="59"/>
        <v>43201</v>
      </c>
      <c r="B551" s="11">
        <f t="shared" si="61"/>
        <v>43201</v>
      </c>
      <c r="C551" s="47">
        <f>SUMIFS('On The Board'!$M$5:$M$219,'On The Board'!F$5:F$219,"&lt;="&amp;$B551,'On The Board'!E$5:E$219,"="&amp;FutureWork)</f>
        <v>0</v>
      </c>
      <c r="D551" s="47" t="str">
        <f ca="1">IF(TodaysDate&gt;=B551,SUMIF('On The Board'!F$5:F$219,"&lt;="&amp;$B551,'On The Board'!$M$5:$M$219)-SUM(F551:J551),"")</f>
        <v/>
      </c>
      <c r="E551" s="12">
        <f ca="1">IF(TodaysDate&gt;=B551,SUMIF('On The Board'!F$5:F$219,"&lt;="&amp;$B551,'On The Board'!$M$5:$M$219)-SUM(F551:J551),E550)</f>
        <v>47</v>
      </c>
      <c r="F551" s="12">
        <f>SUMIF('On The Board'!G$5:G$219,"&lt;="&amp;$B551,'On The Board'!$M$5:$M$219)-SUM(G551:J551)</f>
        <v>0</v>
      </c>
      <c r="G551" s="12">
        <f>SUMIF('On The Board'!H$5:H$219,"&lt;="&amp;$B551,'On The Board'!$M$5:$M$219)-SUM(H551:J551)</f>
        <v>5</v>
      </c>
      <c r="H551" s="12">
        <f>SUMIF('On The Board'!I$5:I$219,"&lt;="&amp;$B551,'On The Board'!$M$5:$M$219)-SUM(I551,J551)</f>
        <v>2</v>
      </c>
      <c r="I551" s="12">
        <f>SUMIF('On The Board'!J$5:J$219,"&lt;="&amp;$B551,'On The Board'!$M$5:$M$219)-SUM(J551)</f>
        <v>0</v>
      </c>
      <c r="J551" s="12">
        <f>SUMIF('On The Board'!K$5:K$219,"&lt;="&amp;$B551,'On The Board'!$M$5:$M$219)</f>
        <v>70</v>
      </c>
      <c r="K551" s="10">
        <f t="shared" si="60"/>
        <v>77</v>
      </c>
      <c r="L551" s="10" t="e">
        <f ca="1">IF(TodaysDate&gt;=B551,SUM(F551:I551),NA())</f>
        <v>#N/A</v>
      </c>
      <c r="M551" s="44" t="e">
        <f t="shared" ca="1" si="63"/>
        <v>#N/A</v>
      </c>
      <c r="N551" s="44" t="e">
        <f ca="1">IF(ISNUMBER(M551),(J551-J541)/NETWORKDAYS(B541,B551,BankHolidays),NA())</f>
        <v>#N/A</v>
      </c>
      <c r="O551" s="44" t="e">
        <f t="shared" ca="1" si="62"/>
        <v>#N/A</v>
      </c>
      <c r="P551" s="53" t="e">
        <f t="shared" ca="1" si="64"/>
        <v>#N/A</v>
      </c>
      <c r="Q551" s="53" t="str">
        <f ca="1">IFERROR(DayByDayTable[[#This Row],[Lead Time]],"")</f>
        <v/>
      </c>
      <c r="R551" s="44" t="e">
        <f t="shared" ca="1" si="65"/>
        <v>#N/A</v>
      </c>
      <c r="S551" s="44">
        <f ca="1">ROUND(PERCENTILE(DayByDayTable[[#Data],[BlankLeadTime]],0.8),0)</f>
        <v>8</v>
      </c>
    </row>
    <row r="552" spans="1:19">
      <c r="A552" s="51">
        <f t="shared" si="59"/>
        <v>43202</v>
      </c>
      <c r="B552" s="11">
        <f t="shared" si="61"/>
        <v>43202</v>
      </c>
      <c r="C552" s="47">
        <f>SUMIFS('On The Board'!$M$5:$M$219,'On The Board'!F$5:F$219,"&lt;="&amp;$B552,'On The Board'!E$5:E$219,"="&amp;FutureWork)</f>
        <v>0</v>
      </c>
      <c r="D552" s="47" t="str">
        <f ca="1">IF(TodaysDate&gt;=B552,SUMIF('On The Board'!F$5:F$219,"&lt;="&amp;$B552,'On The Board'!$M$5:$M$219)-SUM(F552:J552),"")</f>
        <v/>
      </c>
      <c r="E552" s="12">
        <f ca="1">IF(TodaysDate&gt;=B552,SUMIF('On The Board'!F$5:F$219,"&lt;="&amp;$B552,'On The Board'!$M$5:$M$219)-SUM(F552:J552),E551)</f>
        <v>47</v>
      </c>
      <c r="F552" s="12">
        <f>SUMIF('On The Board'!G$5:G$219,"&lt;="&amp;$B552,'On The Board'!$M$5:$M$219)-SUM(G552:J552)</f>
        <v>0</v>
      </c>
      <c r="G552" s="12">
        <f>SUMIF('On The Board'!H$5:H$219,"&lt;="&amp;$B552,'On The Board'!$M$5:$M$219)-SUM(H552:J552)</f>
        <v>5</v>
      </c>
      <c r="H552" s="12">
        <f>SUMIF('On The Board'!I$5:I$219,"&lt;="&amp;$B552,'On The Board'!$M$5:$M$219)-SUM(I552,J552)</f>
        <v>2</v>
      </c>
      <c r="I552" s="12">
        <f>SUMIF('On The Board'!J$5:J$219,"&lt;="&amp;$B552,'On The Board'!$M$5:$M$219)-SUM(J552)</f>
        <v>0</v>
      </c>
      <c r="J552" s="12">
        <f>SUMIF('On The Board'!K$5:K$219,"&lt;="&amp;$B552,'On The Board'!$M$5:$M$219)</f>
        <v>70</v>
      </c>
      <c r="K552" s="10">
        <f t="shared" si="60"/>
        <v>77</v>
      </c>
      <c r="L552" s="10" t="e">
        <f ca="1">IF(TodaysDate&gt;=B552,SUM(F552:I552),NA())</f>
        <v>#N/A</v>
      </c>
      <c r="M552" s="44" t="e">
        <f t="shared" ca="1" si="63"/>
        <v>#N/A</v>
      </c>
      <c r="N552" s="44" t="e">
        <f ca="1">IF(ISNUMBER(M552),(J552-J542)/NETWORKDAYS(B542,B552,BankHolidays),NA())</f>
        <v>#N/A</v>
      </c>
      <c r="O552" s="44" t="e">
        <f t="shared" ca="1" si="62"/>
        <v>#N/A</v>
      </c>
      <c r="P552" s="53" t="e">
        <f t="shared" ca="1" si="64"/>
        <v>#N/A</v>
      </c>
      <c r="Q552" s="53" t="str">
        <f ca="1">IFERROR(DayByDayTable[[#This Row],[Lead Time]],"")</f>
        <v/>
      </c>
      <c r="R552" s="44" t="e">
        <f t="shared" ca="1" si="65"/>
        <v>#N/A</v>
      </c>
      <c r="S552" s="44">
        <f ca="1">ROUND(PERCENTILE(DayByDayTable[[#Data],[BlankLeadTime]],0.8),0)</f>
        <v>8</v>
      </c>
    </row>
    <row r="553" spans="1:19">
      <c r="A553" s="51">
        <f t="shared" si="59"/>
        <v>43203</v>
      </c>
      <c r="B553" s="11">
        <f t="shared" si="61"/>
        <v>43203</v>
      </c>
      <c r="C553" s="47">
        <f>SUMIFS('On The Board'!$M$5:$M$219,'On The Board'!F$5:F$219,"&lt;="&amp;$B553,'On The Board'!E$5:E$219,"="&amp;FutureWork)</f>
        <v>0</v>
      </c>
      <c r="D553" s="47" t="str">
        <f ca="1">IF(TodaysDate&gt;=B553,SUMIF('On The Board'!F$5:F$219,"&lt;="&amp;$B553,'On The Board'!$M$5:$M$219)-SUM(F553:J553),"")</f>
        <v/>
      </c>
      <c r="E553" s="12">
        <f ca="1">IF(TodaysDate&gt;=B553,SUMIF('On The Board'!F$5:F$219,"&lt;="&amp;$B553,'On The Board'!$M$5:$M$219)-SUM(F553:J553),E552)</f>
        <v>47</v>
      </c>
      <c r="F553" s="12">
        <f>SUMIF('On The Board'!G$5:G$219,"&lt;="&amp;$B553,'On The Board'!$M$5:$M$219)-SUM(G553:J553)</f>
        <v>0</v>
      </c>
      <c r="G553" s="12">
        <f>SUMIF('On The Board'!H$5:H$219,"&lt;="&amp;$B553,'On The Board'!$M$5:$M$219)-SUM(H553:J553)</f>
        <v>5</v>
      </c>
      <c r="H553" s="12">
        <f>SUMIF('On The Board'!I$5:I$219,"&lt;="&amp;$B553,'On The Board'!$M$5:$M$219)-SUM(I553,J553)</f>
        <v>2</v>
      </c>
      <c r="I553" s="12">
        <f>SUMIF('On The Board'!J$5:J$219,"&lt;="&amp;$B553,'On The Board'!$M$5:$M$219)-SUM(J553)</f>
        <v>0</v>
      </c>
      <c r="J553" s="12">
        <f>SUMIF('On The Board'!K$5:K$219,"&lt;="&amp;$B553,'On The Board'!$M$5:$M$219)</f>
        <v>70</v>
      </c>
      <c r="K553" s="10">
        <f t="shared" si="60"/>
        <v>77</v>
      </c>
      <c r="L553" s="10" t="e">
        <f ca="1">IF(TodaysDate&gt;=B553,SUM(F553:I553),NA())</f>
        <v>#N/A</v>
      </c>
      <c r="M553" s="44" t="e">
        <f t="shared" ca="1" si="63"/>
        <v>#N/A</v>
      </c>
      <c r="N553" s="44" t="e">
        <f ca="1">IF(ISNUMBER(M553),(J553-J543)/NETWORKDAYS(B543,B553,BankHolidays),NA())</f>
        <v>#N/A</v>
      </c>
      <c r="O553" s="44" t="e">
        <f t="shared" ca="1" si="62"/>
        <v>#N/A</v>
      </c>
      <c r="P553" s="53" t="e">
        <f t="shared" ca="1" si="64"/>
        <v>#N/A</v>
      </c>
      <c r="Q553" s="53" t="str">
        <f ca="1">IFERROR(DayByDayTable[[#This Row],[Lead Time]],"")</f>
        <v/>
      </c>
      <c r="R553" s="44" t="e">
        <f t="shared" ca="1" si="65"/>
        <v>#N/A</v>
      </c>
      <c r="S553" s="44">
        <f ca="1">ROUND(PERCENTILE(DayByDayTable[[#Data],[BlankLeadTime]],0.8),0)</f>
        <v>8</v>
      </c>
    </row>
    <row r="554" spans="1:19">
      <c r="A554" s="51">
        <f t="shared" si="59"/>
        <v>43206</v>
      </c>
      <c r="B554" s="11">
        <f t="shared" si="61"/>
        <v>43206</v>
      </c>
      <c r="C554" s="47">
        <f>SUMIFS('On The Board'!$M$5:$M$219,'On The Board'!F$5:F$219,"&lt;="&amp;$B554,'On The Board'!E$5:E$219,"="&amp;FutureWork)</f>
        <v>0</v>
      </c>
      <c r="D554" s="47" t="str">
        <f ca="1">IF(TodaysDate&gt;=B554,SUMIF('On The Board'!F$5:F$219,"&lt;="&amp;$B554,'On The Board'!$M$5:$M$219)-SUM(F554:J554),"")</f>
        <v/>
      </c>
      <c r="E554" s="12">
        <f ca="1">IF(TodaysDate&gt;=B554,SUMIF('On The Board'!F$5:F$219,"&lt;="&amp;$B554,'On The Board'!$M$5:$M$219)-SUM(F554:J554),E553)</f>
        <v>47</v>
      </c>
      <c r="F554" s="12">
        <f>SUMIF('On The Board'!G$5:G$219,"&lt;="&amp;$B554,'On The Board'!$M$5:$M$219)-SUM(G554:J554)</f>
        <v>0</v>
      </c>
      <c r="G554" s="12">
        <f>SUMIF('On The Board'!H$5:H$219,"&lt;="&amp;$B554,'On The Board'!$M$5:$M$219)-SUM(H554:J554)</f>
        <v>5</v>
      </c>
      <c r="H554" s="12">
        <f>SUMIF('On The Board'!I$5:I$219,"&lt;="&amp;$B554,'On The Board'!$M$5:$M$219)-SUM(I554,J554)</f>
        <v>2</v>
      </c>
      <c r="I554" s="12">
        <f>SUMIF('On The Board'!J$5:J$219,"&lt;="&amp;$B554,'On The Board'!$M$5:$M$219)-SUM(J554)</f>
        <v>0</v>
      </c>
      <c r="J554" s="12">
        <f>SUMIF('On The Board'!K$5:K$219,"&lt;="&amp;$B554,'On The Board'!$M$5:$M$219)</f>
        <v>70</v>
      </c>
      <c r="K554" s="10">
        <f t="shared" si="60"/>
        <v>77</v>
      </c>
      <c r="L554" s="10" t="e">
        <f ca="1">IF(TodaysDate&gt;=B554,SUM(F554:I554),NA())</f>
        <v>#N/A</v>
      </c>
      <c r="M554" s="44" t="e">
        <f t="shared" ca="1" si="63"/>
        <v>#N/A</v>
      </c>
      <c r="N554" s="44" t="e">
        <f ca="1">IF(ISNUMBER(M554),(J554-J544)/NETWORKDAYS(B544,B554,BankHolidays),NA())</f>
        <v>#N/A</v>
      </c>
      <c r="O554" s="44" t="e">
        <f t="shared" ca="1" si="62"/>
        <v>#N/A</v>
      </c>
      <c r="P554" s="53" t="e">
        <f t="shared" ca="1" si="64"/>
        <v>#N/A</v>
      </c>
      <c r="Q554" s="53" t="str">
        <f ca="1">IFERROR(DayByDayTable[[#This Row],[Lead Time]],"")</f>
        <v/>
      </c>
      <c r="R554" s="44" t="e">
        <f t="shared" ca="1" si="65"/>
        <v>#N/A</v>
      </c>
      <c r="S554" s="44">
        <f ca="1">ROUND(PERCENTILE(DayByDayTable[[#Data],[BlankLeadTime]],0.8),0)</f>
        <v>8</v>
      </c>
    </row>
    <row r="555" spans="1:19">
      <c r="A555" s="51">
        <f t="shared" si="59"/>
        <v>43207</v>
      </c>
      <c r="B555" s="11">
        <f t="shared" si="61"/>
        <v>43207</v>
      </c>
      <c r="C555" s="47">
        <f>SUMIFS('On The Board'!$M$5:$M$219,'On The Board'!F$5:F$219,"&lt;="&amp;$B555,'On The Board'!E$5:E$219,"="&amp;FutureWork)</f>
        <v>0</v>
      </c>
      <c r="D555" s="47" t="str">
        <f ca="1">IF(TodaysDate&gt;=B555,SUMIF('On The Board'!F$5:F$219,"&lt;="&amp;$B555,'On The Board'!$M$5:$M$219)-SUM(F555:J555),"")</f>
        <v/>
      </c>
      <c r="E555" s="12">
        <f ca="1">IF(TodaysDate&gt;=B555,SUMIF('On The Board'!F$5:F$219,"&lt;="&amp;$B555,'On The Board'!$M$5:$M$219)-SUM(F555:J555),E554)</f>
        <v>47</v>
      </c>
      <c r="F555" s="12">
        <f>SUMIF('On The Board'!G$5:G$219,"&lt;="&amp;$B555,'On The Board'!$M$5:$M$219)-SUM(G555:J555)</f>
        <v>0</v>
      </c>
      <c r="G555" s="12">
        <f>SUMIF('On The Board'!H$5:H$219,"&lt;="&amp;$B555,'On The Board'!$M$5:$M$219)-SUM(H555:J555)</f>
        <v>5</v>
      </c>
      <c r="H555" s="12">
        <f>SUMIF('On The Board'!I$5:I$219,"&lt;="&amp;$B555,'On The Board'!$M$5:$M$219)-SUM(I555,J555)</f>
        <v>2</v>
      </c>
      <c r="I555" s="12">
        <f>SUMIF('On The Board'!J$5:J$219,"&lt;="&amp;$B555,'On The Board'!$M$5:$M$219)-SUM(J555)</f>
        <v>0</v>
      </c>
      <c r="J555" s="12">
        <f>SUMIF('On The Board'!K$5:K$219,"&lt;="&amp;$B555,'On The Board'!$M$5:$M$219)</f>
        <v>70</v>
      </c>
      <c r="K555" s="10">
        <f t="shared" si="60"/>
        <v>77</v>
      </c>
      <c r="L555" s="10" t="e">
        <f ca="1">IF(TodaysDate&gt;=B555,SUM(F555:I555),NA())</f>
        <v>#N/A</v>
      </c>
      <c r="M555" s="44" t="e">
        <f t="shared" ca="1" si="63"/>
        <v>#N/A</v>
      </c>
      <c r="N555" s="44" t="e">
        <f ca="1">IF(ISNUMBER(M555),(J555-J545)/NETWORKDAYS(B545,B555,BankHolidays),NA())</f>
        <v>#N/A</v>
      </c>
      <c r="O555" s="44" t="e">
        <f t="shared" ca="1" si="62"/>
        <v>#N/A</v>
      </c>
      <c r="P555" s="53" t="e">
        <f t="shared" ca="1" si="64"/>
        <v>#N/A</v>
      </c>
      <c r="Q555" s="53" t="str">
        <f ca="1">IFERROR(DayByDayTable[[#This Row],[Lead Time]],"")</f>
        <v/>
      </c>
      <c r="R555" s="44" t="e">
        <f t="shared" ca="1" si="65"/>
        <v>#N/A</v>
      </c>
      <c r="S555" s="44">
        <f ca="1">ROUND(PERCENTILE(DayByDayTable[[#Data],[BlankLeadTime]],0.8),0)</f>
        <v>8</v>
      </c>
    </row>
    <row r="556" spans="1:19">
      <c r="A556" s="51">
        <f t="shared" si="59"/>
        <v>43208</v>
      </c>
      <c r="B556" s="11">
        <f t="shared" si="61"/>
        <v>43208</v>
      </c>
      <c r="C556" s="47">
        <f>SUMIFS('On The Board'!$M$5:$M$219,'On The Board'!F$5:F$219,"&lt;="&amp;$B556,'On The Board'!E$5:E$219,"="&amp;FutureWork)</f>
        <v>0</v>
      </c>
      <c r="D556" s="47" t="str">
        <f ca="1">IF(TodaysDate&gt;=B556,SUMIF('On The Board'!F$5:F$219,"&lt;="&amp;$B556,'On The Board'!$M$5:$M$219)-SUM(F556:J556),"")</f>
        <v/>
      </c>
      <c r="E556" s="12">
        <f ca="1">IF(TodaysDate&gt;=B556,SUMIF('On The Board'!F$5:F$219,"&lt;="&amp;$B556,'On The Board'!$M$5:$M$219)-SUM(F556:J556),E555)</f>
        <v>47</v>
      </c>
      <c r="F556" s="12">
        <f>SUMIF('On The Board'!G$5:G$219,"&lt;="&amp;$B556,'On The Board'!$M$5:$M$219)-SUM(G556:J556)</f>
        <v>0</v>
      </c>
      <c r="G556" s="12">
        <f>SUMIF('On The Board'!H$5:H$219,"&lt;="&amp;$B556,'On The Board'!$M$5:$M$219)-SUM(H556:J556)</f>
        <v>5</v>
      </c>
      <c r="H556" s="12">
        <f>SUMIF('On The Board'!I$5:I$219,"&lt;="&amp;$B556,'On The Board'!$M$5:$M$219)-SUM(I556,J556)</f>
        <v>2</v>
      </c>
      <c r="I556" s="12">
        <f>SUMIF('On The Board'!J$5:J$219,"&lt;="&amp;$B556,'On The Board'!$M$5:$M$219)-SUM(J556)</f>
        <v>0</v>
      </c>
      <c r="J556" s="12">
        <f>SUMIF('On The Board'!K$5:K$219,"&lt;="&amp;$B556,'On The Board'!$M$5:$M$219)</f>
        <v>70</v>
      </c>
      <c r="K556" s="10">
        <f t="shared" si="60"/>
        <v>77</v>
      </c>
      <c r="L556" s="10" t="e">
        <f ca="1">IF(TodaysDate&gt;=B556,SUM(F556:I556),NA())</f>
        <v>#N/A</v>
      </c>
      <c r="M556" s="44" t="e">
        <f t="shared" ca="1" si="63"/>
        <v>#N/A</v>
      </c>
      <c r="N556" s="44" t="e">
        <f ca="1">IF(ISNUMBER(M556),(J556-J546)/NETWORKDAYS(B546,B556,BankHolidays),NA())</f>
        <v>#N/A</v>
      </c>
      <c r="O556" s="44" t="e">
        <f t="shared" ca="1" si="62"/>
        <v>#N/A</v>
      </c>
      <c r="P556" s="53" t="e">
        <f t="shared" ca="1" si="64"/>
        <v>#N/A</v>
      </c>
      <c r="Q556" s="53" t="str">
        <f ca="1">IFERROR(DayByDayTable[[#This Row],[Lead Time]],"")</f>
        <v/>
      </c>
      <c r="R556" s="44" t="e">
        <f t="shared" ca="1" si="65"/>
        <v>#N/A</v>
      </c>
      <c r="S556" s="44">
        <f ca="1">ROUND(PERCENTILE(DayByDayTable[[#Data],[BlankLeadTime]],0.8),0)</f>
        <v>8</v>
      </c>
    </row>
    <row r="557" spans="1:19">
      <c r="A557" s="51">
        <f t="shared" si="59"/>
        <v>43209</v>
      </c>
      <c r="B557" s="11">
        <f t="shared" si="61"/>
        <v>43209</v>
      </c>
      <c r="C557" s="47">
        <f>SUMIFS('On The Board'!$M$5:$M$219,'On The Board'!F$5:F$219,"&lt;="&amp;$B557,'On The Board'!E$5:E$219,"="&amp;FutureWork)</f>
        <v>0</v>
      </c>
      <c r="D557" s="47" t="str">
        <f ca="1">IF(TodaysDate&gt;=B557,SUMIF('On The Board'!F$5:F$219,"&lt;="&amp;$B557,'On The Board'!$M$5:$M$219)-SUM(F557:J557),"")</f>
        <v/>
      </c>
      <c r="E557" s="12">
        <f ca="1">IF(TodaysDate&gt;=B557,SUMIF('On The Board'!F$5:F$219,"&lt;="&amp;$B557,'On The Board'!$M$5:$M$219)-SUM(F557:J557),E556)</f>
        <v>47</v>
      </c>
      <c r="F557" s="12">
        <f>SUMIF('On The Board'!G$5:G$219,"&lt;="&amp;$B557,'On The Board'!$M$5:$M$219)-SUM(G557:J557)</f>
        <v>0</v>
      </c>
      <c r="G557" s="12">
        <f>SUMIF('On The Board'!H$5:H$219,"&lt;="&amp;$B557,'On The Board'!$M$5:$M$219)-SUM(H557:J557)</f>
        <v>5</v>
      </c>
      <c r="H557" s="12">
        <f>SUMIF('On The Board'!I$5:I$219,"&lt;="&amp;$B557,'On The Board'!$M$5:$M$219)-SUM(I557,J557)</f>
        <v>2</v>
      </c>
      <c r="I557" s="12">
        <f>SUMIF('On The Board'!J$5:J$219,"&lt;="&amp;$B557,'On The Board'!$M$5:$M$219)-SUM(J557)</f>
        <v>0</v>
      </c>
      <c r="J557" s="12">
        <f>SUMIF('On The Board'!K$5:K$219,"&lt;="&amp;$B557,'On The Board'!$M$5:$M$219)</f>
        <v>70</v>
      </c>
      <c r="K557" s="10">
        <f t="shared" si="60"/>
        <v>77</v>
      </c>
      <c r="L557" s="10" t="e">
        <f ca="1">IF(TodaysDate&gt;=B557,SUM(F557:I557),NA())</f>
        <v>#N/A</v>
      </c>
      <c r="M557" s="44" t="e">
        <f t="shared" ca="1" si="63"/>
        <v>#N/A</v>
      </c>
      <c r="N557" s="44" t="e">
        <f ca="1">IF(ISNUMBER(M557),(J557-J547)/NETWORKDAYS(B547,B557,BankHolidays),NA())</f>
        <v>#N/A</v>
      </c>
      <c r="O557" s="44" t="e">
        <f t="shared" ca="1" si="62"/>
        <v>#N/A</v>
      </c>
      <c r="P557" s="53" t="e">
        <f t="shared" ca="1" si="64"/>
        <v>#N/A</v>
      </c>
      <c r="Q557" s="53" t="str">
        <f ca="1">IFERROR(DayByDayTable[[#This Row],[Lead Time]],"")</f>
        <v/>
      </c>
      <c r="R557" s="44" t="e">
        <f t="shared" ca="1" si="65"/>
        <v>#N/A</v>
      </c>
      <c r="S557" s="44">
        <f ca="1">ROUND(PERCENTILE(DayByDayTable[[#Data],[BlankLeadTime]],0.8),0)</f>
        <v>8</v>
      </c>
    </row>
    <row r="558" spans="1:19">
      <c r="A558" s="51">
        <f t="shared" si="59"/>
        <v>43210</v>
      </c>
      <c r="B558" s="11">
        <f t="shared" si="61"/>
        <v>43210</v>
      </c>
      <c r="C558" s="47">
        <f>SUMIFS('On The Board'!$M$5:$M$219,'On The Board'!F$5:F$219,"&lt;="&amp;$B558,'On The Board'!E$5:E$219,"="&amp;FutureWork)</f>
        <v>0</v>
      </c>
      <c r="D558" s="47" t="str">
        <f ca="1">IF(TodaysDate&gt;=B558,SUMIF('On The Board'!F$5:F$219,"&lt;="&amp;$B558,'On The Board'!$M$5:$M$219)-SUM(F558:J558),"")</f>
        <v/>
      </c>
      <c r="E558" s="12">
        <f ca="1">IF(TodaysDate&gt;=B558,SUMIF('On The Board'!F$5:F$219,"&lt;="&amp;$B558,'On The Board'!$M$5:$M$219)-SUM(F558:J558),E557)</f>
        <v>47</v>
      </c>
      <c r="F558" s="12">
        <f>SUMIF('On The Board'!G$5:G$219,"&lt;="&amp;$B558,'On The Board'!$M$5:$M$219)-SUM(G558:J558)</f>
        <v>0</v>
      </c>
      <c r="G558" s="12">
        <f>SUMIF('On The Board'!H$5:H$219,"&lt;="&amp;$B558,'On The Board'!$M$5:$M$219)-SUM(H558:J558)</f>
        <v>5</v>
      </c>
      <c r="H558" s="12">
        <f>SUMIF('On The Board'!I$5:I$219,"&lt;="&amp;$B558,'On The Board'!$M$5:$M$219)-SUM(I558,J558)</f>
        <v>2</v>
      </c>
      <c r="I558" s="12">
        <f>SUMIF('On The Board'!J$5:J$219,"&lt;="&amp;$B558,'On The Board'!$M$5:$M$219)-SUM(J558)</f>
        <v>0</v>
      </c>
      <c r="J558" s="12">
        <f>SUMIF('On The Board'!K$5:K$219,"&lt;="&amp;$B558,'On The Board'!$M$5:$M$219)</f>
        <v>70</v>
      </c>
      <c r="K558" s="10">
        <f t="shared" si="60"/>
        <v>77</v>
      </c>
      <c r="L558" s="10" t="e">
        <f ca="1">IF(TodaysDate&gt;=B558,SUM(F558:I558),NA())</f>
        <v>#N/A</v>
      </c>
      <c r="M558" s="44" t="e">
        <f t="shared" ca="1" si="63"/>
        <v>#N/A</v>
      </c>
      <c r="N558" s="44" t="e">
        <f ca="1">IF(ISNUMBER(M558),(J558-J548)/NETWORKDAYS(B548,B558,BankHolidays),NA())</f>
        <v>#N/A</v>
      </c>
      <c r="O558" s="44" t="e">
        <f t="shared" ca="1" si="62"/>
        <v>#N/A</v>
      </c>
      <c r="P558" s="53" t="e">
        <f t="shared" ca="1" si="64"/>
        <v>#N/A</v>
      </c>
      <c r="Q558" s="53" t="str">
        <f ca="1">IFERROR(DayByDayTable[[#This Row],[Lead Time]],"")</f>
        <v/>
      </c>
      <c r="R558" s="44" t="e">
        <f t="shared" ca="1" si="65"/>
        <v>#N/A</v>
      </c>
      <c r="S558" s="44">
        <f ca="1">ROUND(PERCENTILE(DayByDayTable[[#Data],[BlankLeadTime]],0.8),0)</f>
        <v>8</v>
      </c>
    </row>
    <row r="559" spans="1:19">
      <c r="A559" s="51">
        <f t="shared" si="59"/>
        <v>43213</v>
      </c>
      <c r="B559" s="11">
        <f t="shared" si="61"/>
        <v>43213</v>
      </c>
      <c r="C559" s="47">
        <f>SUMIFS('On The Board'!$M$5:$M$219,'On The Board'!F$5:F$219,"&lt;="&amp;$B559,'On The Board'!E$5:E$219,"="&amp;FutureWork)</f>
        <v>0</v>
      </c>
      <c r="D559" s="47" t="str">
        <f ca="1">IF(TodaysDate&gt;=B559,SUMIF('On The Board'!F$5:F$219,"&lt;="&amp;$B559,'On The Board'!$M$5:$M$219)-SUM(F559:J559),"")</f>
        <v/>
      </c>
      <c r="E559" s="12">
        <f ca="1">IF(TodaysDate&gt;=B559,SUMIF('On The Board'!F$5:F$219,"&lt;="&amp;$B559,'On The Board'!$M$5:$M$219)-SUM(F559:J559),E558)</f>
        <v>47</v>
      </c>
      <c r="F559" s="12">
        <f>SUMIF('On The Board'!G$5:G$219,"&lt;="&amp;$B559,'On The Board'!$M$5:$M$219)-SUM(G559:J559)</f>
        <v>0</v>
      </c>
      <c r="G559" s="12">
        <f>SUMIF('On The Board'!H$5:H$219,"&lt;="&amp;$B559,'On The Board'!$M$5:$M$219)-SUM(H559:J559)</f>
        <v>5</v>
      </c>
      <c r="H559" s="12">
        <f>SUMIF('On The Board'!I$5:I$219,"&lt;="&amp;$B559,'On The Board'!$M$5:$M$219)-SUM(I559,J559)</f>
        <v>2</v>
      </c>
      <c r="I559" s="12">
        <f>SUMIF('On The Board'!J$5:J$219,"&lt;="&amp;$B559,'On The Board'!$M$5:$M$219)-SUM(J559)</f>
        <v>0</v>
      </c>
      <c r="J559" s="12">
        <f>SUMIF('On The Board'!K$5:K$219,"&lt;="&amp;$B559,'On The Board'!$M$5:$M$219)</f>
        <v>70</v>
      </c>
      <c r="K559" s="10">
        <f t="shared" si="60"/>
        <v>77</v>
      </c>
      <c r="L559" s="10" t="e">
        <f ca="1">IF(TodaysDate&gt;=B559,SUM(F559:I559),NA())</f>
        <v>#N/A</v>
      </c>
      <c r="M559" s="44" t="e">
        <f t="shared" ca="1" si="63"/>
        <v>#N/A</v>
      </c>
      <c r="N559" s="44" t="e">
        <f ca="1">IF(ISNUMBER(M559),(J559-J549)/NETWORKDAYS(B549,B559,BankHolidays),NA())</f>
        <v>#N/A</v>
      </c>
      <c r="O559" s="44" t="e">
        <f t="shared" ca="1" si="62"/>
        <v>#N/A</v>
      </c>
      <c r="P559" s="53" t="e">
        <f t="shared" ca="1" si="64"/>
        <v>#N/A</v>
      </c>
      <c r="Q559" s="53" t="str">
        <f ca="1">IFERROR(DayByDayTable[[#This Row],[Lead Time]],"")</f>
        <v/>
      </c>
      <c r="R559" s="44" t="e">
        <f t="shared" ca="1" si="65"/>
        <v>#N/A</v>
      </c>
      <c r="S559" s="44">
        <f ca="1">ROUND(PERCENTILE(DayByDayTable[[#Data],[BlankLeadTime]],0.8),0)</f>
        <v>8</v>
      </c>
    </row>
    <row r="560" spans="1:19">
      <c r="A560" s="51">
        <f t="shared" si="59"/>
        <v>43214</v>
      </c>
      <c r="B560" s="11">
        <f t="shared" si="61"/>
        <v>43214</v>
      </c>
      <c r="C560" s="47">
        <f>SUMIFS('On The Board'!$M$5:$M$219,'On The Board'!F$5:F$219,"&lt;="&amp;$B560,'On The Board'!E$5:E$219,"="&amp;FutureWork)</f>
        <v>0</v>
      </c>
      <c r="D560" s="47" t="str">
        <f ca="1">IF(TodaysDate&gt;=B560,SUMIF('On The Board'!F$5:F$219,"&lt;="&amp;$B560,'On The Board'!$M$5:$M$219)-SUM(F560:J560),"")</f>
        <v/>
      </c>
      <c r="E560" s="12">
        <f ca="1">IF(TodaysDate&gt;=B560,SUMIF('On The Board'!F$5:F$219,"&lt;="&amp;$B560,'On The Board'!$M$5:$M$219)-SUM(F560:J560),E559)</f>
        <v>47</v>
      </c>
      <c r="F560" s="12">
        <f>SUMIF('On The Board'!G$5:G$219,"&lt;="&amp;$B560,'On The Board'!$M$5:$M$219)-SUM(G560:J560)</f>
        <v>0</v>
      </c>
      <c r="G560" s="12">
        <f>SUMIF('On The Board'!H$5:H$219,"&lt;="&amp;$B560,'On The Board'!$M$5:$M$219)-SUM(H560:J560)</f>
        <v>5</v>
      </c>
      <c r="H560" s="12">
        <f>SUMIF('On The Board'!I$5:I$219,"&lt;="&amp;$B560,'On The Board'!$M$5:$M$219)-SUM(I560,J560)</f>
        <v>2</v>
      </c>
      <c r="I560" s="12">
        <f>SUMIF('On The Board'!J$5:J$219,"&lt;="&amp;$B560,'On The Board'!$M$5:$M$219)-SUM(J560)</f>
        <v>0</v>
      </c>
      <c r="J560" s="12">
        <f>SUMIF('On The Board'!K$5:K$219,"&lt;="&amp;$B560,'On The Board'!$M$5:$M$219)</f>
        <v>70</v>
      </c>
      <c r="K560" s="10">
        <f t="shared" si="60"/>
        <v>77</v>
      </c>
      <c r="L560" s="10" t="e">
        <f ca="1">IF(TodaysDate&gt;=B560,SUM(F560:I560),NA())</f>
        <v>#N/A</v>
      </c>
      <c r="M560" s="44" t="e">
        <f t="shared" ca="1" si="63"/>
        <v>#N/A</v>
      </c>
      <c r="N560" s="44" t="e">
        <f ca="1">IF(ISNUMBER(M560),(J560-J550)/NETWORKDAYS(B550,B560,BankHolidays),NA())</f>
        <v>#N/A</v>
      </c>
      <c r="O560" s="44" t="e">
        <f t="shared" ca="1" si="62"/>
        <v>#N/A</v>
      </c>
      <c r="P560" s="53" t="e">
        <f t="shared" ca="1" si="64"/>
        <v>#N/A</v>
      </c>
      <c r="Q560" s="53" t="str">
        <f ca="1">IFERROR(DayByDayTable[[#This Row],[Lead Time]],"")</f>
        <v/>
      </c>
      <c r="R560" s="44" t="e">
        <f t="shared" ca="1" si="65"/>
        <v>#N/A</v>
      </c>
      <c r="S560" s="44">
        <f ca="1">ROUND(PERCENTILE(DayByDayTable[[#Data],[BlankLeadTime]],0.8),0)</f>
        <v>8</v>
      </c>
    </row>
    <row r="561" spans="1:19">
      <c r="A561" s="51">
        <f t="shared" si="59"/>
        <v>43215</v>
      </c>
      <c r="B561" s="11">
        <f t="shared" si="61"/>
        <v>43215</v>
      </c>
      <c r="C561" s="47">
        <f>SUMIFS('On The Board'!$M$5:$M$219,'On The Board'!F$5:F$219,"&lt;="&amp;$B561,'On The Board'!E$5:E$219,"="&amp;FutureWork)</f>
        <v>0</v>
      </c>
      <c r="D561" s="47" t="str">
        <f ca="1">IF(TodaysDate&gt;=B561,SUMIF('On The Board'!F$5:F$219,"&lt;="&amp;$B561,'On The Board'!$M$5:$M$219)-SUM(F561:J561),"")</f>
        <v/>
      </c>
      <c r="E561" s="12">
        <f ca="1">IF(TodaysDate&gt;=B561,SUMIF('On The Board'!F$5:F$219,"&lt;="&amp;$B561,'On The Board'!$M$5:$M$219)-SUM(F561:J561),E560)</f>
        <v>47</v>
      </c>
      <c r="F561" s="12">
        <f>SUMIF('On The Board'!G$5:G$219,"&lt;="&amp;$B561,'On The Board'!$M$5:$M$219)-SUM(G561:J561)</f>
        <v>0</v>
      </c>
      <c r="G561" s="12">
        <f>SUMIF('On The Board'!H$5:H$219,"&lt;="&amp;$B561,'On The Board'!$M$5:$M$219)-SUM(H561:J561)</f>
        <v>5</v>
      </c>
      <c r="H561" s="12">
        <f>SUMIF('On The Board'!I$5:I$219,"&lt;="&amp;$B561,'On The Board'!$M$5:$M$219)-SUM(I561,J561)</f>
        <v>2</v>
      </c>
      <c r="I561" s="12">
        <f>SUMIF('On The Board'!J$5:J$219,"&lt;="&amp;$B561,'On The Board'!$M$5:$M$219)-SUM(J561)</f>
        <v>0</v>
      </c>
      <c r="J561" s="12">
        <f>SUMIF('On The Board'!K$5:K$219,"&lt;="&amp;$B561,'On The Board'!$M$5:$M$219)</f>
        <v>70</v>
      </c>
      <c r="K561" s="10">
        <f t="shared" si="60"/>
        <v>77</v>
      </c>
      <c r="L561" s="10" t="e">
        <f ca="1">IF(TodaysDate&gt;=B561,SUM(F561:I561),NA())</f>
        <v>#N/A</v>
      </c>
      <c r="M561" s="44" t="e">
        <f t="shared" ca="1" si="63"/>
        <v>#N/A</v>
      </c>
      <c r="N561" s="44" t="e">
        <f ca="1">IF(ISNUMBER(M561),(J561-J551)/NETWORKDAYS(B551,B561,BankHolidays),NA())</f>
        <v>#N/A</v>
      </c>
      <c r="O561" s="44" t="e">
        <f t="shared" ca="1" si="62"/>
        <v>#N/A</v>
      </c>
      <c r="P561" s="53" t="e">
        <f t="shared" ca="1" si="64"/>
        <v>#N/A</v>
      </c>
      <c r="Q561" s="53" t="str">
        <f ca="1">IFERROR(DayByDayTable[[#This Row],[Lead Time]],"")</f>
        <v/>
      </c>
      <c r="R561" s="44" t="e">
        <f t="shared" ca="1" si="65"/>
        <v>#N/A</v>
      </c>
      <c r="S561" s="44">
        <f ca="1">ROUND(PERCENTILE(DayByDayTable[[#Data],[BlankLeadTime]],0.8),0)</f>
        <v>8</v>
      </c>
    </row>
    <row r="562" spans="1:19">
      <c r="A562" s="51">
        <f t="shared" si="59"/>
        <v>43216</v>
      </c>
      <c r="B562" s="11">
        <f t="shared" si="61"/>
        <v>43216</v>
      </c>
      <c r="C562" s="47">
        <f>SUMIFS('On The Board'!$M$5:$M$219,'On The Board'!F$5:F$219,"&lt;="&amp;$B562,'On The Board'!E$5:E$219,"="&amp;FutureWork)</f>
        <v>0</v>
      </c>
      <c r="D562" s="47" t="str">
        <f ca="1">IF(TodaysDate&gt;=B562,SUMIF('On The Board'!F$5:F$219,"&lt;="&amp;$B562,'On The Board'!$M$5:$M$219)-SUM(F562:J562),"")</f>
        <v/>
      </c>
      <c r="E562" s="12">
        <f ca="1">IF(TodaysDate&gt;=B562,SUMIF('On The Board'!F$5:F$219,"&lt;="&amp;$B562,'On The Board'!$M$5:$M$219)-SUM(F562:J562),E561)</f>
        <v>47</v>
      </c>
      <c r="F562" s="12">
        <f>SUMIF('On The Board'!G$5:G$219,"&lt;="&amp;$B562,'On The Board'!$M$5:$M$219)-SUM(G562:J562)</f>
        <v>0</v>
      </c>
      <c r="G562" s="12">
        <f>SUMIF('On The Board'!H$5:H$219,"&lt;="&amp;$B562,'On The Board'!$M$5:$M$219)-SUM(H562:J562)</f>
        <v>5</v>
      </c>
      <c r="H562" s="12">
        <f>SUMIF('On The Board'!I$5:I$219,"&lt;="&amp;$B562,'On The Board'!$M$5:$M$219)-SUM(I562,J562)</f>
        <v>2</v>
      </c>
      <c r="I562" s="12">
        <f>SUMIF('On The Board'!J$5:J$219,"&lt;="&amp;$B562,'On The Board'!$M$5:$M$219)-SUM(J562)</f>
        <v>0</v>
      </c>
      <c r="J562" s="12">
        <f>SUMIF('On The Board'!K$5:K$219,"&lt;="&amp;$B562,'On The Board'!$M$5:$M$219)</f>
        <v>70</v>
      </c>
      <c r="K562" s="10">
        <f t="shared" si="60"/>
        <v>77</v>
      </c>
      <c r="L562" s="10" t="e">
        <f ca="1">IF(TodaysDate&gt;=B562,SUM(F562:I562),NA())</f>
        <v>#N/A</v>
      </c>
      <c r="M562" s="44" t="e">
        <f t="shared" ca="1" si="63"/>
        <v>#N/A</v>
      </c>
      <c r="N562" s="44" t="e">
        <f ca="1">IF(ISNUMBER(M562),(J562-J552)/NETWORKDAYS(B552,B562,BankHolidays),NA())</f>
        <v>#N/A</v>
      </c>
      <c r="O562" s="44" t="e">
        <f t="shared" ca="1" si="62"/>
        <v>#N/A</v>
      </c>
      <c r="P562" s="53" t="e">
        <f t="shared" ca="1" si="64"/>
        <v>#N/A</v>
      </c>
      <c r="Q562" s="53" t="str">
        <f ca="1">IFERROR(DayByDayTable[[#This Row],[Lead Time]],"")</f>
        <v/>
      </c>
      <c r="R562" s="44" t="e">
        <f t="shared" ca="1" si="65"/>
        <v>#N/A</v>
      </c>
      <c r="S562" s="44">
        <f ca="1">ROUND(PERCENTILE(DayByDayTable[[#Data],[BlankLeadTime]],0.8),0)</f>
        <v>8</v>
      </c>
    </row>
    <row r="563" spans="1:19">
      <c r="A563" s="51">
        <f t="shared" si="59"/>
        <v>43217</v>
      </c>
      <c r="B563" s="11">
        <f t="shared" si="61"/>
        <v>43217</v>
      </c>
      <c r="C563" s="47">
        <f>SUMIFS('On The Board'!$M$5:$M$219,'On The Board'!F$5:F$219,"&lt;="&amp;$B563,'On The Board'!E$5:E$219,"="&amp;FutureWork)</f>
        <v>0</v>
      </c>
      <c r="D563" s="47" t="str">
        <f ca="1">IF(TodaysDate&gt;=B563,SUMIF('On The Board'!F$5:F$219,"&lt;="&amp;$B563,'On The Board'!$M$5:$M$219)-SUM(F563:J563),"")</f>
        <v/>
      </c>
      <c r="E563" s="12">
        <f ca="1">IF(TodaysDate&gt;=B563,SUMIF('On The Board'!F$5:F$219,"&lt;="&amp;$B563,'On The Board'!$M$5:$M$219)-SUM(F563:J563),E562)</f>
        <v>47</v>
      </c>
      <c r="F563" s="12">
        <f>SUMIF('On The Board'!G$5:G$219,"&lt;="&amp;$B563,'On The Board'!$M$5:$M$219)-SUM(G563:J563)</f>
        <v>0</v>
      </c>
      <c r="G563" s="12">
        <f>SUMIF('On The Board'!H$5:H$219,"&lt;="&amp;$B563,'On The Board'!$M$5:$M$219)-SUM(H563:J563)</f>
        <v>5</v>
      </c>
      <c r="H563" s="12">
        <f>SUMIF('On The Board'!I$5:I$219,"&lt;="&amp;$B563,'On The Board'!$M$5:$M$219)-SUM(I563,J563)</f>
        <v>2</v>
      </c>
      <c r="I563" s="12">
        <f>SUMIF('On The Board'!J$5:J$219,"&lt;="&amp;$B563,'On The Board'!$M$5:$M$219)-SUM(J563)</f>
        <v>0</v>
      </c>
      <c r="J563" s="12">
        <f>SUMIF('On The Board'!K$5:K$219,"&lt;="&amp;$B563,'On The Board'!$M$5:$M$219)</f>
        <v>70</v>
      </c>
      <c r="K563" s="10">
        <f t="shared" si="60"/>
        <v>77</v>
      </c>
      <c r="L563" s="10" t="e">
        <f ca="1">IF(TodaysDate&gt;=B563,SUM(F563:I563),NA())</f>
        <v>#N/A</v>
      </c>
      <c r="M563" s="44" t="e">
        <f t="shared" ca="1" si="63"/>
        <v>#N/A</v>
      </c>
      <c r="N563" s="44" t="e">
        <f ca="1">IF(ISNUMBER(M563),(J563-J553)/NETWORKDAYS(B553,B563,BankHolidays),NA())</f>
        <v>#N/A</v>
      </c>
      <c r="O563" s="44" t="e">
        <f t="shared" ca="1" si="62"/>
        <v>#N/A</v>
      </c>
      <c r="P563" s="53" t="e">
        <f t="shared" ca="1" si="64"/>
        <v>#N/A</v>
      </c>
      <c r="Q563" s="53" t="str">
        <f ca="1">IFERROR(DayByDayTable[[#This Row],[Lead Time]],"")</f>
        <v/>
      </c>
      <c r="R563" s="44" t="e">
        <f t="shared" ca="1" si="65"/>
        <v>#N/A</v>
      </c>
      <c r="S563" s="44">
        <f ca="1">ROUND(PERCENTILE(DayByDayTable[[#Data],[BlankLeadTime]],0.8),0)</f>
        <v>8</v>
      </c>
    </row>
    <row r="564" spans="1:19">
      <c r="A564" s="51">
        <f t="shared" si="59"/>
        <v>43220</v>
      </c>
      <c r="B564" s="11">
        <f t="shared" si="61"/>
        <v>43220</v>
      </c>
      <c r="C564" s="47">
        <f>SUMIFS('On The Board'!$M$5:$M$219,'On The Board'!F$5:F$219,"&lt;="&amp;$B564,'On The Board'!E$5:E$219,"="&amp;FutureWork)</f>
        <v>0</v>
      </c>
      <c r="D564" s="47" t="str">
        <f ca="1">IF(TodaysDate&gt;=B564,SUMIF('On The Board'!F$5:F$219,"&lt;="&amp;$B564,'On The Board'!$M$5:$M$219)-SUM(F564:J564),"")</f>
        <v/>
      </c>
      <c r="E564" s="12">
        <f ca="1">IF(TodaysDate&gt;=B564,SUMIF('On The Board'!F$5:F$219,"&lt;="&amp;$B564,'On The Board'!$M$5:$M$219)-SUM(F564:J564),E563)</f>
        <v>47</v>
      </c>
      <c r="F564" s="12">
        <f>SUMIF('On The Board'!G$5:G$219,"&lt;="&amp;$B564,'On The Board'!$M$5:$M$219)-SUM(G564:J564)</f>
        <v>0</v>
      </c>
      <c r="G564" s="12">
        <f>SUMIF('On The Board'!H$5:H$219,"&lt;="&amp;$B564,'On The Board'!$M$5:$M$219)-SUM(H564:J564)</f>
        <v>5</v>
      </c>
      <c r="H564" s="12">
        <f>SUMIF('On The Board'!I$5:I$219,"&lt;="&amp;$B564,'On The Board'!$M$5:$M$219)-SUM(I564,J564)</f>
        <v>2</v>
      </c>
      <c r="I564" s="12">
        <f>SUMIF('On The Board'!J$5:J$219,"&lt;="&amp;$B564,'On The Board'!$M$5:$M$219)-SUM(J564)</f>
        <v>0</v>
      </c>
      <c r="J564" s="12">
        <f>SUMIF('On The Board'!K$5:K$219,"&lt;="&amp;$B564,'On The Board'!$M$5:$M$219)</f>
        <v>70</v>
      </c>
      <c r="K564" s="10">
        <f t="shared" si="60"/>
        <v>77</v>
      </c>
      <c r="L564" s="10" t="e">
        <f ca="1">IF(TodaysDate&gt;=B564,SUM(F564:I564),NA())</f>
        <v>#N/A</v>
      </c>
      <c r="M564" s="44" t="e">
        <f t="shared" ca="1" si="63"/>
        <v>#N/A</v>
      </c>
      <c r="N564" s="44" t="e">
        <f ca="1">IF(ISNUMBER(M564),(J564-J554)/NETWORKDAYS(B554,B564,BankHolidays),NA())</f>
        <v>#N/A</v>
      </c>
      <c r="O564" s="44" t="e">
        <f t="shared" ca="1" si="62"/>
        <v>#N/A</v>
      </c>
      <c r="P564" s="53" t="e">
        <f t="shared" ca="1" si="64"/>
        <v>#N/A</v>
      </c>
      <c r="Q564" s="53" t="str">
        <f ca="1">IFERROR(DayByDayTable[[#This Row],[Lead Time]],"")</f>
        <v/>
      </c>
      <c r="R564" s="44" t="e">
        <f t="shared" ca="1" si="65"/>
        <v>#N/A</v>
      </c>
      <c r="S564" s="44">
        <f ca="1">ROUND(PERCENTILE(DayByDayTable[[#Data],[BlankLeadTime]],0.8),0)</f>
        <v>8</v>
      </c>
    </row>
    <row r="565" spans="1:19">
      <c r="A565" s="51">
        <f t="shared" si="59"/>
        <v>43221</v>
      </c>
      <c r="B565" s="11">
        <f t="shared" si="61"/>
        <v>43221</v>
      </c>
      <c r="C565" s="47">
        <f>SUMIFS('On The Board'!$M$5:$M$219,'On The Board'!F$5:F$219,"&lt;="&amp;$B565,'On The Board'!E$5:E$219,"="&amp;FutureWork)</f>
        <v>0</v>
      </c>
      <c r="D565" s="47" t="str">
        <f ca="1">IF(TodaysDate&gt;=B565,SUMIF('On The Board'!F$5:F$219,"&lt;="&amp;$B565,'On The Board'!$M$5:$M$219)-SUM(F565:J565),"")</f>
        <v/>
      </c>
      <c r="E565" s="12">
        <f ca="1">IF(TodaysDate&gt;=B565,SUMIF('On The Board'!F$5:F$219,"&lt;="&amp;$B565,'On The Board'!$M$5:$M$219)-SUM(F565:J565),E564)</f>
        <v>47</v>
      </c>
      <c r="F565" s="12">
        <f>SUMIF('On The Board'!G$5:G$219,"&lt;="&amp;$B565,'On The Board'!$M$5:$M$219)-SUM(G565:J565)</f>
        <v>0</v>
      </c>
      <c r="G565" s="12">
        <f>SUMIF('On The Board'!H$5:H$219,"&lt;="&amp;$B565,'On The Board'!$M$5:$M$219)-SUM(H565:J565)</f>
        <v>5</v>
      </c>
      <c r="H565" s="12">
        <f>SUMIF('On The Board'!I$5:I$219,"&lt;="&amp;$B565,'On The Board'!$M$5:$M$219)-SUM(I565,J565)</f>
        <v>2</v>
      </c>
      <c r="I565" s="12">
        <f>SUMIF('On The Board'!J$5:J$219,"&lt;="&amp;$B565,'On The Board'!$M$5:$M$219)-SUM(J565)</f>
        <v>0</v>
      </c>
      <c r="J565" s="12">
        <f>SUMIF('On The Board'!K$5:K$219,"&lt;="&amp;$B565,'On The Board'!$M$5:$M$219)</f>
        <v>70</v>
      </c>
      <c r="K565" s="10">
        <f t="shared" si="60"/>
        <v>77</v>
      </c>
      <c r="L565" s="10" t="e">
        <f ca="1">IF(TodaysDate&gt;=B565,SUM(F565:I565),NA())</f>
        <v>#N/A</v>
      </c>
      <c r="M565" s="44" t="e">
        <f t="shared" ca="1" si="63"/>
        <v>#N/A</v>
      </c>
      <c r="N565" s="44" t="e">
        <f ca="1">IF(ISNUMBER(M565),(J565-J555)/NETWORKDAYS(B555,B565,BankHolidays),NA())</f>
        <v>#N/A</v>
      </c>
      <c r="O565" s="44" t="e">
        <f t="shared" ca="1" si="62"/>
        <v>#N/A</v>
      </c>
      <c r="P565" s="53" t="e">
        <f t="shared" ca="1" si="64"/>
        <v>#N/A</v>
      </c>
      <c r="Q565" s="53" t="str">
        <f ca="1">IFERROR(DayByDayTable[[#This Row],[Lead Time]],"")</f>
        <v/>
      </c>
      <c r="R565" s="44" t="e">
        <f t="shared" ca="1" si="65"/>
        <v>#N/A</v>
      </c>
      <c r="S565" s="44">
        <f ca="1">ROUND(PERCENTILE(DayByDayTable[[#Data],[BlankLeadTime]],0.8),0)</f>
        <v>8</v>
      </c>
    </row>
    <row r="566" spans="1:19">
      <c r="A566" s="51">
        <f t="shared" si="59"/>
        <v>43222</v>
      </c>
      <c r="B566" s="11">
        <f t="shared" si="61"/>
        <v>43222</v>
      </c>
      <c r="C566" s="47">
        <f>SUMIFS('On The Board'!$M$5:$M$219,'On The Board'!F$5:F$219,"&lt;="&amp;$B566,'On The Board'!E$5:E$219,"="&amp;FutureWork)</f>
        <v>0</v>
      </c>
      <c r="D566" s="47" t="str">
        <f ca="1">IF(TodaysDate&gt;=B566,SUMIF('On The Board'!F$5:F$219,"&lt;="&amp;$B566,'On The Board'!$M$5:$M$219)-SUM(F566:J566),"")</f>
        <v/>
      </c>
      <c r="E566" s="12">
        <f ca="1">IF(TodaysDate&gt;=B566,SUMIF('On The Board'!F$5:F$219,"&lt;="&amp;$B566,'On The Board'!$M$5:$M$219)-SUM(F566:J566),E565)</f>
        <v>47</v>
      </c>
      <c r="F566" s="12">
        <f>SUMIF('On The Board'!G$5:G$219,"&lt;="&amp;$B566,'On The Board'!$M$5:$M$219)-SUM(G566:J566)</f>
        <v>0</v>
      </c>
      <c r="G566" s="12">
        <f>SUMIF('On The Board'!H$5:H$219,"&lt;="&amp;$B566,'On The Board'!$M$5:$M$219)-SUM(H566:J566)</f>
        <v>5</v>
      </c>
      <c r="H566" s="12">
        <f>SUMIF('On The Board'!I$5:I$219,"&lt;="&amp;$B566,'On The Board'!$M$5:$M$219)-SUM(I566,J566)</f>
        <v>2</v>
      </c>
      <c r="I566" s="12">
        <f>SUMIF('On The Board'!J$5:J$219,"&lt;="&amp;$B566,'On The Board'!$M$5:$M$219)-SUM(J566)</f>
        <v>0</v>
      </c>
      <c r="J566" s="12">
        <f>SUMIF('On The Board'!K$5:K$219,"&lt;="&amp;$B566,'On The Board'!$M$5:$M$219)</f>
        <v>70</v>
      </c>
      <c r="K566" s="10">
        <f t="shared" si="60"/>
        <v>77</v>
      </c>
      <c r="L566" s="10" t="e">
        <f ca="1">IF(TodaysDate&gt;=B566,SUM(F566:I566),NA())</f>
        <v>#N/A</v>
      </c>
      <c r="M566" s="44" t="e">
        <f t="shared" ca="1" si="63"/>
        <v>#N/A</v>
      </c>
      <c r="N566" s="44" t="e">
        <f ca="1">IF(ISNUMBER(M566),(J566-J556)/NETWORKDAYS(B556,B566,BankHolidays),NA())</f>
        <v>#N/A</v>
      </c>
      <c r="O566" s="44" t="e">
        <f t="shared" ca="1" si="62"/>
        <v>#N/A</v>
      </c>
      <c r="P566" s="53" t="e">
        <f t="shared" ca="1" si="64"/>
        <v>#N/A</v>
      </c>
      <c r="Q566" s="53" t="str">
        <f ca="1">IFERROR(DayByDayTable[[#This Row],[Lead Time]],"")</f>
        <v/>
      </c>
      <c r="R566" s="44" t="e">
        <f t="shared" ca="1" si="65"/>
        <v>#N/A</v>
      </c>
      <c r="S566" s="44">
        <f ca="1">ROUND(PERCENTILE(DayByDayTable[[#Data],[BlankLeadTime]],0.8),0)</f>
        <v>8</v>
      </c>
    </row>
    <row r="567" spans="1:19">
      <c r="A567" s="51">
        <f t="shared" si="59"/>
        <v>43223</v>
      </c>
      <c r="B567" s="11">
        <f t="shared" si="61"/>
        <v>43223</v>
      </c>
      <c r="C567" s="47">
        <f>SUMIFS('On The Board'!$M$5:$M$219,'On The Board'!F$5:F$219,"&lt;="&amp;$B567,'On The Board'!E$5:E$219,"="&amp;FutureWork)</f>
        <v>0</v>
      </c>
      <c r="D567" s="47" t="str">
        <f ca="1">IF(TodaysDate&gt;=B567,SUMIF('On The Board'!F$5:F$219,"&lt;="&amp;$B567,'On The Board'!$M$5:$M$219)-SUM(F567:J567),"")</f>
        <v/>
      </c>
      <c r="E567" s="12">
        <f ca="1">IF(TodaysDate&gt;=B567,SUMIF('On The Board'!F$5:F$219,"&lt;="&amp;$B567,'On The Board'!$M$5:$M$219)-SUM(F567:J567),E566)</f>
        <v>47</v>
      </c>
      <c r="F567" s="12">
        <f>SUMIF('On The Board'!G$5:G$219,"&lt;="&amp;$B567,'On The Board'!$M$5:$M$219)-SUM(G567:J567)</f>
        <v>0</v>
      </c>
      <c r="G567" s="12">
        <f>SUMIF('On The Board'!H$5:H$219,"&lt;="&amp;$B567,'On The Board'!$M$5:$M$219)-SUM(H567:J567)</f>
        <v>5</v>
      </c>
      <c r="H567" s="12">
        <f>SUMIF('On The Board'!I$5:I$219,"&lt;="&amp;$B567,'On The Board'!$M$5:$M$219)-SUM(I567,J567)</f>
        <v>2</v>
      </c>
      <c r="I567" s="12">
        <f>SUMIF('On The Board'!J$5:J$219,"&lt;="&amp;$B567,'On The Board'!$M$5:$M$219)-SUM(J567)</f>
        <v>0</v>
      </c>
      <c r="J567" s="12">
        <f>SUMIF('On The Board'!K$5:K$219,"&lt;="&amp;$B567,'On The Board'!$M$5:$M$219)</f>
        <v>70</v>
      </c>
      <c r="K567" s="10">
        <f t="shared" si="60"/>
        <v>77</v>
      </c>
      <c r="L567" s="10" t="e">
        <f ca="1">IF(TodaysDate&gt;=B567,SUM(F567:I567),NA())</f>
        <v>#N/A</v>
      </c>
      <c r="M567" s="44" t="e">
        <f t="shared" ca="1" si="63"/>
        <v>#N/A</v>
      </c>
      <c r="N567" s="44" t="e">
        <f ca="1">IF(ISNUMBER(M567),(J567-J557)/NETWORKDAYS(B557,B567,BankHolidays),NA())</f>
        <v>#N/A</v>
      </c>
      <c r="O567" s="44" t="e">
        <f t="shared" ca="1" si="62"/>
        <v>#N/A</v>
      </c>
      <c r="P567" s="53" t="e">
        <f t="shared" ca="1" si="64"/>
        <v>#N/A</v>
      </c>
      <c r="Q567" s="53" t="str">
        <f ca="1">IFERROR(DayByDayTable[[#This Row],[Lead Time]],"")</f>
        <v/>
      </c>
      <c r="R567" s="44" t="e">
        <f t="shared" ca="1" si="65"/>
        <v>#N/A</v>
      </c>
      <c r="S567" s="44">
        <f ca="1">ROUND(PERCENTILE(DayByDayTable[[#Data],[BlankLeadTime]],0.8),0)</f>
        <v>8</v>
      </c>
    </row>
    <row r="568" spans="1:19">
      <c r="A568" s="51">
        <f t="shared" si="59"/>
        <v>43224</v>
      </c>
      <c r="B568" s="11">
        <f t="shared" si="61"/>
        <v>43224</v>
      </c>
      <c r="C568" s="47">
        <f>SUMIFS('On The Board'!$M$5:$M$219,'On The Board'!F$5:F$219,"&lt;="&amp;$B568,'On The Board'!E$5:E$219,"="&amp;FutureWork)</f>
        <v>0</v>
      </c>
      <c r="D568" s="47" t="str">
        <f ca="1">IF(TodaysDate&gt;=B568,SUMIF('On The Board'!F$5:F$219,"&lt;="&amp;$B568,'On The Board'!$M$5:$M$219)-SUM(F568:J568),"")</f>
        <v/>
      </c>
      <c r="E568" s="12">
        <f ca="1">IF(TodaysDate&gt;=B568,SUMIF('On The Board'!F$5:F$219,"&lt;="&amp;$B568,'On The Board'!$M$5:$M$219)-SUM(F568:J568),E567)</f>
        <v>47</v>
      </c>
      <c r="F568" s="12">
        <f>SUMIF('On The Board'!G$5:G$219,"&lt;="&amp;$B568,'On The Board'!$M$5:$M$219)-SUM(G568:J568)</f>
        <v>0</v>
      </c>
      <c r="G568" s="12">
        <f>SUMIF('On The Board'!H$5:H$219,"&lt;="&amp;$B568,'On The Board'!$M$5:$M$219)-SUM(H568:J568)</f>
        <v>5</v>
      </c>
      <c r="H568" s="12">
        <f>SUMIF('On The Board'!I$5:I$219,"&lt;="&amp;$B568,'On The Board'!$M$5:$M$219)-SUM(I568,J568)</f>
        <v>2</v>
      </c>
      <c r="I568" s="12">
        <f>SUMIF('On The Board'!J$5:J$219,"&lt;="&amp;$B568,'On The Board'!$M$5:$M$219)-SUM(J568)</f>
        <v>0</v>
      </c>
      <c r="J568" s="12">
        <f>SUMIF('On The Board'!K$5:K$219,"&lt;="&amp;$B568,'On The Board'!$M$5:$M$219)</f>
        <v>70</v>
      </c>
      <c r="K568" s="10">
        <f t="shared" si="60"/>
        <v>77</v>
      </c>
      <c r="L568" s="10" t="e">
        <f ca="1">IF(TodaysDate&gt;=B568,SUM(F568:I568),NA())</f>
        <v>#N/A</v>
      </c>
      <c r="M568" s="44" t="e">
        <f t="shared" ca="1" si="63"/>
        <v>#N/A</v>
      </c>
      <c r="N568" s="44" t="e">
        <f ca="1">IF(ISNUMBER(M568),(J568-J558)/NETWORKDAYS(B558,B568,BankHolidays),NA())</f>
        <v>#N/A</v>
      </c>
      <c r="O568" s="44" t="e">
        <f t="shared" ca="1" si="62"/>
        <v>#N/A</v>
      </c>
      <c r="P568" s="53" t="e">
        <f t="shared" ca="1" si="64"/>
        <v>#N/A</v>
      </c>
      <c r="Q568" s="53" t="str">
        <f ca="1">IFERROR(DayByDayTable[[#This Row],[Lead Time]],"")</f>
        <v/>
      </c>
      <c r="R568" s="44" t="e">
        <f t="shared" ca="1" si="65"/>
        <v>#N/A</v>
      </c>
      <c r="S568" s="44">
        <f ca="1">ROUND(PERCENTILE(DayByDayTable[[#Data],[BlankLeadTime]],0.8),0)</f>
        <v>8</v>
      </c>
    </row>
    <row r="569" spans="1:19">
      <c r="A569" s="51">
        <f t="shared" si="59"/>
        <v>43228</v>
      </c>
      <c r="B569" s="11">
        <f t="shared" si="61"/>
        <v>43228</v>
      </c>
      <c r="C569" s="47">
        <f>SUMIFS('On The Board'!$M$5:$M$219,'On The Board'!F$5:F$219,"&lt;="&amp;$B569,'On The Board'!E$5:E$219,"="&amp;FutureWork)</f>
        <v>0</v>
      </c>
      <c r="D569" s="47" t="str">
        <f ca="1">IF(TodaysDate&gt;=B569,SUMIF('On The Board'!F$5:F$219,"&lt;="&amp;$B569,'On The Board'!$M$5:$M$219)-SUM(F569:J569),"")</f>
        <v/>
      </c>
      <c r="E569" s="12">
        <f ca="1">IF(TodaysDate&gt;=B569,SUMIF('On The Board'!F$5:F$219,"&lt;="&amp;$B569,'On The Board'!$M$5:$M$219)-SUM(F569:J569),E568)</f>
        <v>47</v>
      </c>
      <c r="F569" s="12">
        <f>SUMIF('On The Board'!G$5:G$219,"&lt;="&amp;$B569,'On The Board'!$M$5:$M$219)-SUM(G569:J569)</f>
        <v>0</v>
      </c>
      <c r="G569" s="12">
        <f>SUMIF('On The Board'!H$5:H$219,"&lt;="&amp;$B569,'On The Board'!$M$5:$M$219)-SUM(H569:J569)</f>
        <v>5</v>
      </c>
      <c r="H569" s="12">
        <f>SUMIF('On The Board'!I$5:I$219,"&lt;="&amp;$B569,'On The Board'!$M$5:$M$219)-SUM(I569,J569)</f>
        <v>2</v>
      </c>
      <c r="I569" s="12">
        <f>SUMIF('On The Board'!J$5:J$219,"&lt;="&amp;$B569,'On The Board'!$M$5:$M$219)-SUM(J569)</f>
        <v>0</v>
      </c>
      <c r="J569" s="12">
        <f>SUMIF('On The Board'!K$5:K$219,"&lt;="&amp;$B569,'On The Board'!$M$5:$M$219)</f>
        <v>70</v>
      </c>
      <c r="K569" s="10">
        <f t="shared" si="60"/>
        <v>77</v>
      </c>
      <c r="L569" s="10" t="e">
        <f ca="1">IF(TodaysDate&gt;=B569,SUM(F569:I569),NA())</f>
        <v>#N/A</v>
      </c>
      <c r="M569" s="44" t="e">
        <f t="shared" ca="1" si="63"/>
        <v>#N/A</v>
      </c>
      <c r="N569" s="44" t="e">
        <f ca="1">IF(ISNUMBER(M569),(J569-J559)/NETWORKDAYS(B559,B569,BankHolidays),NA())</f>
        <v>#N/A</v>
      </c>
      <c r="O569" s="44" t="e">
        <f t="shared" ca="1" si="62"/>
        <v>#N/A</v>
      </c>
      <c r="P569" s="53" t="e">
        <f t="shared" ca="1" si="64"/>
        <v>#N/A</v>
      </c>
      <c r="Q569" s="53" t="str">
        <f ca="1">IFERROR(DayByDayTable[[#This Row],[Lead Time]],"")</f>
        <v/>
      </c>
      <c r="R569" s="44" t="e">
        <f t="shared" ca="1" si="65"/>
        <v>#N/A</v>
      </c>
      <c r="S569" s="44">
        <f ca="1">ROUND(PERCENTILE(DayByDayTable[[#Data],[BlankLeadTime]],0.8),0)</f>
        <v>8</v>
      </c>
    </row>
    <row r="570" spans="1:19">
      <c r="A570" s="51">
        <f t="shared" si="59"/>
        <v>43229</v>
      </c>
      <c r="B570" s="11">
        <f t="shared" si="61"/>
        <v>43229</v>
      </c>
      <c r="C570" s="47">
        <f>SUMIFS('On The Board'!$M$5:$M$219,'On The Board'!F$5:F$219,"&lt;="&amp;$B570,'On The Board'!E$5:E$219,"="&amp;FutureWork)</f>
        <v>0</v>
      </c>
      <c r="D570" s="47" t="str">
        <f ca="1">IF(TodaysDate&gt;=B570,SUMIF('On The Board'!F$5:F$219,"&lt;="&amp;$B570,'On The Board'!$M$5:$M$219)-SUM(F570:J570),"")</f>
        <v/>
      </c>
      <c r="E570" s="12">
        <f ca="1">IF(TodaysDate&gt;=B570,SUMIF('On The Board'!F$5:F$219,"&lt;="&amp;$B570,'On The Board'!$M$5:$M$219)-SUM(F570:J570),E569)</f>
        <v>47</v>
      </c>
      <c r="F570" s="12">
        <f>SUMIF('On The Board'!G$5:G$219,"&lt;="&amp;$B570,'On The Board'!$M$5:$M$219)-SUM(G570:J570)</f>
        <v>0</v>
      </c>
      <c r="G570" s="12">
        <f>SUMIF('On The Board'!H$5:H$219,"&lt;="&amp;$B570,'On The Board'!$M$5:$M$219)-SUM(H570:J570)</f>
        <v>5</v>
      </c>
      <c r="H570" s="12">
        <f>SUMIF('On The Board'!I$5:I$219,"&lt;="&amp;$B570,'On The Board'!$M$5:$M$219)-SUM(I570,J570)</f>
        <v>2</v>
      </c>
      <c r="I570" s="12">
        <f>SUMIF('On The Board'!J$5:J$219,"&lt;="&amp;$B570,'On The Board'!$M$5:$M$219)-SUM(J570)</f>
        <v>0</v>
      </c>
      <c r="J570" s="12">
        <f>SUMIF('On The Board'!K$5:K$219,"&lt;="&amp;$B570,'On The Board'!$M$5:$M$219)</f>
        <v>70</v>
      </c>
      <c r="K570" s="10">
        <f t="shared" si="60"/>
        <v>77</v>
      </c>
      <c r="L570" s="10" t="e">
        <f ca="1">IF(TodaysDate&gt;=B570,SUM(F570:I570),NA())</f>
        <v>#N/A</v>
      </c>
      <c r="M570" s="44" t="e">
        <f t="shared" ca="1" si="63"/>
        <v>#N/A</v>
      </c>
      <c r="N570" s="44" t="e">
        <f ca="1">IF(ISNUMBER(M570),(J570-J560)/NETWORKDAYS(B560,B570,BankHolidays),NA())</f>
        <v>#N/A</v>
      </c>
      <c r="O570" s="44" t="e">
        <f t="shared" ca="1" si="62"/>
        <v>#N/A</v>
      </c>
      <c r="P570" s="53" t="e">
        <f t="shared" ca="1" si="64"/>
        <v>#N/A</v>
      </c>
      <c r="Q570" s="53" t="str">
        <f ca="1">IFERROR(DayByDayTable[[#This Row],[Lead Time]],"")</f>
        <v/>
      </c>
      <c r="R570" s="44" t="e">
        <f t="shared" ca="1" si="65"/>
        <v>#N/A</v>
      </c>
      <c r="S570" s="44">
        <f ca="1">ROUND(PERCENTILE(DayByDayTable[[#Data],[BlankLeadTime]],0.8),0)</f>
        <v>8</v>
      </c>
    </row>
    <row r="571" spans="1:19">
      <c r="A571" s="51">
        <f t="shared" si="59"/>
        <v>43230</v>
      </c>
      <c r="B571" s="11">
        <f t="shared" si="61"/>
        <v>43230</v>
      </c>
      <c r="C571" s="47">
        <f>SUMIFS('On The Board'!$M$5:$M$219,'On The Board'!F$5:F$219,"&lt;="&amp;$B571,'On The Board'!E$5:E$219,"="&amp;FutureWork)</f>
        <v>0</v>
      </c>
      <c r="D571" s="47" t="str">
        <f ca="1">IF(TodaysDate&gt;=B571,SUMIF('On The Board'!F$5:F$219,"&lt;="&amp;$B571,'On The Board'!$M$5:$M$219)-SUM(F571:J571),"")</f>
        <v/>
      </c>
      <c r="E571" s="12">
        <f ca="1">IF(TodaysDate&gt;=B571,SUMIF('On The Board'!F$5:F$219,"&lt;="&amp;$B571,'On The Board'!$M$5:$M$219)-SUM(F571:J571),E570)</f>
        <v>47</v>
      </c>
      <c r="F571" s="12">
        <f>SUMIF('On The Board'!G$5:G$219,"&lt;="&amp;$B571,'On The Board'!$M$5:$M$219)-SUM(G571:J571)</f>
        <v>0</v>
      </c>
      <c r="G571" s="12">
        <f>SUMIF('On The Board'!H$5:H$219,"&lt;="&amp;$B571,'On The Board'!$M$5:$M$219)-SUM(H571:J571)</f>
        <v>5</v>
      </c>
      <c r="H571" s="12">
        <f>SUMIF('On The Board'!I$5:I$219,"&lt;="&amp;$B571,'On The Board'!$M$5:$M$219)-SUM(I571,J571)</f>
        <v>2</v>
      </c>
      <c r="I571" s="12">
        <f>SUMIF('On The Board'!J$5:J$219,"&lt;="&amp;$B571,'On The Board'!$M$5:$M$219)-SUM(J571)</f>
        <v>0</v>
      </c>
      <c r="J571" s="12">
        <f>SUMIF('On The Board'!K$5:K$219,"&lt;="&amp;$B571,'On The Board'!$M$5:$M$219)</f>
        <v>70</v>
      </c>
      <c r="K571" s="10">
        <f t="shared" si="60"/>
        <v>77</v>
      </c>
      <c r="L571" s="10" t="e">
        <f ca="1">IF(TodaysDate&gt;=B571,SUM(F571:I571),NA())</f>
        <v>#N/A</v>
      </c>
      <c r="M571" s="44" t="e">
        <f t="shared" ca="1" si="63"/>
        <v>#N/A</v>
      </c>
      <c r="N571" s="44" t="e">
        <f ca="1">IF(ISNUMBER(M571),(J571-J561)/NETWORKDAYS(B561,B571,BankHolidays),NA())</f>
        <v>#N/A</v>
      </c>
      <c r="O571" s="44" t="e">
        <f t="shared" ca="1" si="62"/>
        <v>#N/A</v>
      </c>
      <c r="P571" s="53" t="e">
        <f t="shared" ca="1" si="64"/>
        <v>#N/A</v>
      </c>
      <c r="Q571" s="53" t="str">
        <f ca="1">IFERROR(DayByDayTable[[#This Row],[Lead Time]],"")</f>
        <v/>
      </c>
      <c r="R571" s="44" t="e">
        <f t="shared" ca="1" si="65"/>
        <v>#N/A</v>
      </c>
      <c r="S571" s="44">
        <f ca="1">ROUND(PERCENTILE(DayByDayTable[[#Data],[BlankLeadTime]],0.8),0)</f>
        <v>8</v>
      </c>
    </row>
    <row r="572" spans="1:19">
      <c r="A572" s="51">
        <f t="shared" si="59"/>
        <v>43231</v>
      </c>
      <c r="B572" s="11">
        <f t="shared" si="61"/>
        <v>43231</v>
      </c>
      <c r="C572" s="47">
        <f>SUMIFS('On The Board'!$M$5:$M$219,'On The Board'!F$5:F$219,"&lt;="&amp;$B572,'On The Board'!E$5:E$219,"="&amp;FutureWork)</f>
        <v>0</v>
      </c>
      <c r="D572" s="47" t="str">
        <f ca="1">IF(TodaysDate&gt;=B572,SUMIF('On The Board'!F$5:F$219,"&lt;="&amp;$B572,'On The Board'!$M$5:$M$219)-SUM(F572:J572),"")</f>
        <v/>
      </c>
      <c r="E572" s="12">
        <f ca="1">IF(TodaysDate&gt;=B572,SUMIF('On The Board'!F$5:F$219,"&lt;="&amp;$B572,'On The Board'!$M$5:$M$219)-SUM(F572:J572),E571)</f>
        <v>47</v>
      </c>
      <c r="F572" s="12">
        <f>SUMIF('On The Board'!G$5:G$219,"&lt;="&amp;$B572,'On The Board'!$M$5:$M$219)-SUM(G572:J572)</f>
        <v>0</v>
      </c>
      <c r="G572" s="12">
        <f>SUMIF('On The Board'!H$5:H$219,"&lt;="&amp;$B572,'On The Board'!$M$5:$M$219)-SUM(H572:J572)</f>
        <v>5</v>
      </c>
      <c r="H572" s="12">
        <f>SUMIF('On The Board'!I$5:I$219,"&lt;="&amp;$B572,'On The Board'!$M$5:$M$219)-SUM(I572,J572)</f>
        <v>2</v>
      </c>
      <c r="I572" s="12">
        <f>SUMIF('On The Board'!J$5:J$219,"&lt;="&amp;$B572,'On The Board'!$M$5:$M$219)-SUM(J572)</f>
        <v>0</v>
      </c>
      <c r="J572" s="12">
        <f>SUMIF('On The Board'!K$5:K$219,"&lt;="&amp;$B572,'On The Board'!$M$5:$M$219)</f>
        <v>70</v>
      </c>
      <c r="K572" s="10">
        <f t="shared" si="60"/>
        <v>77</v>
      </c>
      <c r="L572" s="10" t="e">
        <f ca="1">IF(TodaysDate&gt;=B572,SUM(F572:I572),NA())</f>
        <v>#N/A</v>
      </c>
      <c r="M572" s="44" t="e">
        <f t="shared" ca="1" si="63"/>
        <v>#N/A</v>
      </c>
      <c r="N572" s="44" t="e">
        <f ca="1">IF(ISNUMBER(M572),(J572-J562)/NETWORKDAYS(B562,B572,BankHolidays),NA())</f>
        <v>#N/A</v>
      </c>
      <c r="O572" s="44" t="e">
        <f t="shared" ca="1" si="62"/>
        <v>#N/A</v>
      </c>
      <c r="P572" s="53" t="e">
        <f t="shared" ca="1" si="64"/>
        <v>#N/A</v>
      </c>
      <c r="Q572" s="53" t="str">
        <f ca="1">IFERROR(DayByDayTable[[#This Row],[Lead Time]],"")</f>
        <v/>
      </c>
      <c r="R572" s="44" t="e">
        <f t="shared" ca="1" si="65"/>
        <v>#N/A</v>
      </c>
      <c r="S572" s="44">
        <f ca="1">ROUND(PERCENTILE(DayByDayTable[[#Data],[BlankLeadTime]],0.8),0)</f>
        <v>8</v>
      </c>
    </row>
    <row r="573" spans="1:19">
      <c r="A573" s="51">
        <f t="shared" si="59"/>
        <v>43234</v>
      </c>
      <c r="B573" s="11">
        <f t="shared" si="61"/>
        <v>43234</v>
      </c>
      <c r="C573" s="47">
        <f>SUMIFS('On The Board'!$M$5:$M$219,'On The Board'!F$5:F$219,"&lt;="&amp;$B573,'On The Board'!E$5:E$219,"="&amp;FutureWork)</f>
        <v>0</v>
      </c>
      <c r="D573" s="47" t="str">
        <f ca="1">IF(TodaysDate&gt;=B573,SUMIF('On The Board'!F$5:F$219,"&lt;="&amp;$B573,'On The Board'!$M$5:$M$219)-SUM(F573:J573),"")</f>
        <v/>
      </c>
      <c r="E573" s="12">
        <f ca="1">IF(TodaysDate&gt;=B573,SUMIF('On The Board'!F$5:F$219,"&lt;="&amp;$B573,'On The Board'!$M$5:$M$219)-SUM(F573:J573),E572)</f>
        <v>47</v>
      </c>
      <c r="F573" s="12">
        <f>SUMIF('On The Board'!G$5:G$219,"&lt;="&amp;$B573,'On The Board'!$M$5:$M$219)-SUM(G573:J573)</f>
        <v>0</v>
      </c>
      <c r="G573" s="12">
        <f>SUMIF('On The Board'!H$5:H$219,"&lt;="&amp;$B573,'On The Board'!$M$5:$M$219)-SUM(H573:J573)</f>
        <v>5</v>
      </c>
      <c r="H573" s="12">
        <f>SUMIF('On The Board'!I$5:I$219,"&lt;="&amp;$B573,'On The Board'!$M$5:$M$219)-SUM(I573,J573)</f>
        <v>2</v>
      </c>
      <c r="I573" s="12">
        <f>SUMIF('On The Board'!J$5:J$219,"&lt;="&amp;$B573,'On The Board'!$M$5:$M$219)-SUM(J573)</f>
        <v>0</v>
      </c>
      <c r="J573" s="12">
        <f>SUMIF('On The Board'!K$5:K$219,"&lt;="&amp;$B573,'On The Board'!$M$5:$M$219)</f>
        <v>70</v>
      </c>
      <c r="K573" s="10">
        <f t="shared" si="60"/>
        <v>77</v>
      </c>
      <c r="L573" s="10" t="e">
        <f ca="1">IF(TodaysDate&gt;=B573,SUM(F573:I573),NA())</f>
        <v>#N/A</v>
      </c>
      <c r="M573" s="44" t="e">
        <f t="shared" ca="1" si="63"/>
        <v>#N/A</v>
      </c>
      <c r="N573" s="44" t="e">
        <f ca="1">IF(ISNUMBER(M573),(J573-J563)/NETWORKDAYS(B563,B573,BankHolidays),NA())</f>
        <v>#N/A</v>
      </c>
      <c r="O573" s="44" t="e">
        <f t="shared" ca="1" si="62"/>
        <v>#N/A</v>
      </c>
      <c r="P573" s="53" t="e">
        <f t="shared" ca="1" si="64"/>
        <v>#N/A</v>
      </c>
      <c r="Q573" s="53" t="str">
        <f ca="1">IFERROR(DayByDayTable[[#This Row],[Lead Time]],"")</f>
        <v/>
      </c>
      <c r="R573" s="44" t="e">
        <f t="shared" ca="1" si="65"/>
        <v>#N/A</v>
      </c>
      <c r="S573" s="44">
        <f ca="1">ROUND(PERCENTILE(DayByDayTable[[#Data],[BlankLeadTime]],0.8),0)</f>
        <v>8</v>
      </c>
    </row>
    <row r="574" spans="1:19">
      <c r="A574" s="51">
        <f t="shared" si="59"/>
        <v>43235</v>
      </c>
      <c r="B574" s="11">
        <f t="shared" si="61"/>
        <v>43235</v>
      </c>
      <c r="C574" s="47">
        <f>SUMIFS('On The Board'!$M$5:$M$219,'On The Board'!F$5:F$219,"&lt;="&amp;$B574,'On The Board'!E$5:E$219,"="&amp;FutureWork)</f>
        <v>0</v>
      </c>
      <c r="D574" s="47" t="str">
        <f ca="1">IF(TodaysDate&gt;=B574,SUMIF('On The Board'!F$5:F$219,"&lt;="&amp;$B574,'On The Board'!$M$5:$M$219)-SUM(F574:J574),"")</f>
        <v/>
      </c>
      <c r="E574" s="12">
        <f ca="1">IF(TodaysDate&gt;=B574,SUMIF('On The Board'!F$5:F$219,"&lt;="&amp;$B574,'On The Board'!$M$5:$M$219)-SUM(F574:J574),E573)</f>
        <v>47</v>
      </c>
      <c r="F574" s="12">
        <f>SUMIF('On The Board'!G$5:G$219,"&lt;="&amp;$B574,'On The Board'!$M$5:$M$219)-SUM(G574:J574)</f>
        <v>0</v>
      </c>
      <c r="G574" s="12">
        <f>SUMIF('On The Board'!H$5:H$219,"&lt;="&amp;$B574,'On The Board'!$M$5:$M$219)-SUM(H574:J574)</f>
        <v>5</v>
      </c>
      <c r="H574" s="12">
        <f>SUMIF('On The Board'!I$5:I$219,"&lt;="&amp;$B574,'On The Board'!$M$5:$M$219)-SUM(I574,J574)</f>
        <v>2</v>
      </c>
      <c r="I574" s="12">
        <f>SUMIF('On The Board'!J$5:J$219,"&lt;="&amp;$B574,'On The Board'!$M$5:$M$219)-SUM(J574)</f>
        <v>0</v>
      </c>
      <c r="J574" s="12">
        <f>SUMIF('On The Board'!K$5:K$219,"&lt;="&amp;$B574,'On The Board'!$M$5:$M$219)</f>
        <v>70</v>
      </c>
      <c r="K574" s="10">
        <f t="shared" si="60"/>
        <v>77</v>
      </c>
      <c r="L574" s="10" t="e">
        <f ca="1">IF(TodaysDate&gt;=B574,SUM(F574:I574),NA())</f>
        <v>#N/A</v>
      </c>
      <c r="M574" s="44" t="e">
        <f t="shared" ca="1" si="63"/>
        <v>#N/A</v>
      </c>
      <c r="N574" s="44" t="e">
        <f ca="1">IF(ISNUMBER(M574),(J574-J564)/NETWORKDAYS(B564,B574,BankHolidays),NA())</f>
        <v>#N/A</v>
      </c>
      <c r="O574" s="44" t="e">
        <f t="shared" ca="1" si="62"/>
        <v>#N/A</v>
      </c>
      <c r="P574" s="53" t="e">
        <f t="shared" ca="1" si="64"/>
        <v>#N/A</v>
      </c>
      <c r="Q574" s="53" t="str">
        <f ca="1">IFERROR(DayByDayTable[[#This Row],[Lead Time]],"")</f>
        <v/>
      </c>
      <c r="R574" s="44" t="e">
        <f t="shared" ca="1" si="65"/>
        <v>#N/A</v>
      </c>
      <c r="S574" s="44">
        <f ca="1">ROUND(PERCENTILE(DayByDayTable[[#Data],[BlankLeadTime]],0.8),0)</f>
        <v>8</v>
      </c>
    </row>
    <row r="575" spans="1:19">
      <c r="A575" s="51">
        <f t="shared" ref="A575:A589" si="66">B575</f>
        <v>43236</v>
      </c>
      <c r="B575" s="11">
        <f t="shared" si="61"/>
        <v>43236</v>
      </c>
      <c r="C575" s="47">
        <f>SUMIFS('On The Board'!$M$5:$M$219,'On The Board'!F$5:F$219,"&lt;="&amp;$B575,'On The Board'!E$5:E$219,"="&amp;FutureWork)</f>
        <v>0</v>
      </c>
      <c r="D575" s="47" t="str">
        <f ca="1">IF(TodaysDate&gt;=B575,SUMIF('On The Board'!F$5:F$219,"&lt;="&amp;$B575,'On The Board'!$M$5:$M$219)-SUM(F575:J575),"")</f>
        <v/>
      </c>
      <c r="E575" s="12">
        <f ca="1">IF(TodaysDate&gt;=B575,SUMIF('On The Board'!F$5:F$219,"&lt;="&amp;$B575,'On The Board'!$M$5:$M$219)-SUM(F575:J575),E574)</f>
        <v>47</v>
      </c>
      <c r="F575" s="12">
        <f>SUMIF('On The Board'!G$5:G$219,"&lt;="&amp;$B575,'On The Board'!$M$5:$M$219)-SUM(G575:J575)</f>
        <v>0</v>
      </c>
      <c r="G575" s="12">
        <f>SUMIF('On The Board'!H$5:H$219,"&lt;="&amp;$B575,'On The Board'!$M$5:$M$219)-SUM(H575:J575)</f>
        <v>5</v>
      </c>
      <c r="H575" s="12">
        <f>SUMIF('On The Board'!I$5:I$219,"&lt;="&amp;$B575,'On The Board'!$M$5:$M$219)-SUM(I575,J575)</f>
        <v>2</v>
      </c>
      <c r="I575" s="12">
        <f>SUMIF('On The Board'!J$5:J$219,"&lt;="&amp;$B575,'On The Board'!$M$5:$M$219)-SUM(J575)</f>
        <v>0</v>
      </c>
      <c r="J575" s="12">
        <f>SUMIF('On The Board'!K$5:K$219,"&lt;="&amp;$B575,'On The Board'!$M$5:$M$219)</f>
        <v>70</v>
      </c>
      <c r="K575" s="10">
        <f t="shared" ref="K575:K589" si="67">SUM(F575:J575)</f>
        <v>77</v>
      </c>
      <c r="L575" s="10" t="e">
        <f ca="1">IF(TodaysDate&gt;=B575,SUM(F575:I575),NA())</f>
        <v>#N/A</v>
      </c>
      <c r="M575" s="44" t="e">
        <f t="shared" ca="1" si="63"/>
        <v>#N/A</v>
      </c>
      <c r="N575" s="44" t="e">
        <f ca="1">IF(ISNUMBER(M575),(J575-J565)/NETWORKDAYS(B565,B575,BankHolidays),NA())</f>
        <v>#N/A</v>
      </c>
      <c r="O575" s="44" t="e">
        <f t="shared" ca="1" si="62"/>
        <v>#N/A</v>
      </c>
      <c r="P575" s="53" t="e">
        <f t="shared" ca="1" si="64"/>
        <v>#N/A</v>
      </c>
      <c r="Q575" s="53" t="str">
        <f ca="1">IFERROR(DayByDayTable[[#This Row],[Lead Time]],"")</f>
        <v/>
      </c>
      <c r="R575" s="44" t="e">
        <f t="shared" ca="1" si="65"/>
        <v>#N/A</v>
      </c>
      <c r="S575" s="44">
        <f ca="1">ROUND(PERCENTILE(DayByDayTable[[#Data],[BlankLeadTime]],0.8),0)</f>
        <v>8</v>
      </c>
    </row>
    <row r="576" spans="1:19">
      <c r="A576" s="51">
        <f t="shared" si="66"/>
        <v>43237</v>
      </c>
      <c r="B576" s="11">
        <f t="shared" si="61"/>
        <v>43237</v>
      </c>
      <c r="C576" s="47">
        <f>SUMIFS('On The Board'!$M$5:$M$219,'On The Board'!F$5:F$219,"&lt;="&amp;$B576,'On The Board'!E$5:E$219,"="&amp;FutureWork)</f>
        <v>0</v>
      </c>
      <c r="D576" s="47" t="str">
        <f ca="1">IF(TodaysDate&gt;=B576,SUMIF('On The Board'!F$5:F$219,"&lt;="&amp;$B576,'On The Board'!$M$5:$M$219)-SUM(F576:J576),"")</f>
        <v/>
      </c>
      <c r="E576" s="12">
        <f ca="1">IF(TodaysDate&gt;=B576,SUMIF('On The Board'!F$5:F$219,"&lt;="&amp;$B576,'On The Board'!$M$5:$M$219)-SUM(F576:J576),E575)</f>
        <v>47</v>
      </c>
      <c r="F576" s="12">
        <f>SUMIF('On The Board'!G$5:G$219,"&lt;="&amp;$B576,'On The Board'!$M$5:$M$219)-SUM(G576:J576)</f>
        <v>0</v>
      </c>
      <c r="G576" s="12">
        <f>SUMIF('On The Board'!H$5:H$219,"&lt;="&amp;$B576,'On The Board'!$M$5:$M$219)-SUM(H576:J576)</f>
        <v>5</v>
      </c>
      <c r="H576" s="12">
        <f>SUMIF('On The Board'!I$5:I$219,"&lt;="&amp;$B576,'On The Board'!$M$5:$M$219)-SUM(I576,J576)</f>
        <v>2</v>
      </c>
      <c r="I576" s="12">
        <f>SUMIF('On The Board'!J$5:J$219,"&lt;="&amp;$B576,'On The Board'!$M$5:$M$219)-SUM(J576)</f>
        <v>0</v>
      </c>
      <c r="J576" s="12">
        <f>SUMIF('On The Board'!K$5:K$219,"&lt;="&amp;$B576,'On The Board'!$M$5:$M$219)</f>
        <v>70</v>
      </c>
      <c r="K576" s="10">
        <f t="shared" si="67"/>
        <v>77</v>
      </c>
      <c r="L576" s="10" t="e">
        <f ca="1">IF(TodaysDate&gt;=B576,SUM(F576:I576),NA())</f>
        <v>#N/A</v>
      </c>
      <c r="M576" s="44" t="e">
        <f t="shared" ca="1" si="63"/>
        <v>#N/A</v>
      </c>
      <c r="N576" s="44" t="e">
        <f ca="1">IF(ISNUMBER(M576),(J576-J566)/NETWORKDAYS(B566,B576,BankHolidays),NA())</f>
        <v>#N/A</v>
      </c>
      <c r="O576" s="44" t="e">
        <f t="shared" ca="1" si="62"/>
        <v>#N/A</v>
      </c>
      <c r="P576" s="53" t="e">
        <f t="shared" ca="1" si="64"/>
        <v>#N/A</v>
      </c>
      <c r="Q576" s="53" t="str">
        <f ca="1">IFERROR(DayByDayTable[[#This Row],[Lead Time]],"")</f>
        <v/>
      </c>
      <c r="R576" s="44" t="e">
        <f t="shared" ca="1" si="65"/>
        <v>#N/A</v>
      </c>
      <c r="S576" s="44">
        <f ca="1">ROUND(PERCENTILE(DayByDayTable[[#Data],[BlankLeadTime]],0.8),0)</f>
        <v>8</v>
      </c>
    </row>
    <row r="577" spans="1:19">
      <c r="A577" s="51">
        <f t="shared" si="66"/>
        <v>43238</v>
      </c>
      <c r="B577" s="11">
        <f t="shared" si="61"/>
        <v>43238</v>
      </c>
      <c r="C577" s="47">
        <f>SUMIFS('On The Board'!$M$5:$M$219,'On The Board'!F$5:F$219,"&lt;="&amp;$B577,'On The Board'!E$5:E$219,"="&amp;FutureWork)</f>
        <v>0</v>
      </c>
      <c r="D577" s="47" t="str">
        <f ca="1">IF(TodaysDate&gt;=B577,SUMIF('On The Board'!F$5:F$219,"&lt;="&amp;$B577,'On The Board'!$M$5:$M$219)-SUM(F577:J577),"")</f>
        <v/>
      </c>
      <c r="E577" s="12">
        <f ca="1">IF(TodaysDate&gt;=B577,SUMIF('On The Board'!F$5:F$219,"&lt;="&amp;$B577,'On The Board'!$M$5:$M$219)-SUM(F577:J577),E576)</f>
        <v>47</v>
      </c>
      <c r="F577" s="12">
        <f>SUMIF('On The Board'!G$5:G$219,"&lt;="&amp;$B577,'On The Board'!$M$5:$M$219)-SUM(G577:J577)</f>
        <v>0</v>
      </c>
      <c r="G577" s="12">
        <f>SUMIF('On The Board'!H$5:H$219,"&lt;="&amp;$B577,'On The Board'!$M$5:$M$219)-SUM(H577:J577)</f>
        <v>5</v>
      </c>
      <c r="H577" s="12">
        <f>SUMIF('On The Board'!I$5:I$219,"&lt;="&amp;$B577,'On The Board'!$M$5:$M$219)-SUM(I577,J577)</f>
        <v>2</v>
      </c>
      <c r="I577" s="12">
        <f>SUMIF('On The Board'!J$5:J$219,"&lt;="&amp;$B577,'On The Board'!$M$5:$M$219)-SUM(J577)</f>
        <v>0</v>
      </c>
      <c r="J577" s="12">
        <f>SUMIF('On The Board'!K$5:K$219,"&lt;="&amp;$B577,'On The Board'!$M$5:$M$219)</f>
        <v>70</v>
      </c>
      <c r="K577" s="10">
        <f t="shared" si="67"/>
        <v>77</v>
      </c>
      <c r="L577" s="10" t="e">
        <f ca="1">IF(TodaysDate&gt;=B577,SUM(F577:I577),NA())</f>
        <v>#N/A</v>
      </c>
      <c r="M577" s="44" t="e">
        <f t="shared" ca="1" si="63"/>
        <v>#N/A</v>
      </c>
      <c r="N577" s="44" t="e">
        <f ca="1">IF(ISNUMBER(M577),(J577-J567)/NETWORKDAYS(B567,B577,BankHolidays),NA())</f>
        <v>#N/A</v>
      </c>
      <c r="O577" s="44" t="e">
        <f t="shared" ca="1" si="62"/>
        <v>#N/A</v>
      </c>
      <c r="P577" s="53" t="e">
        <f t="shared" ca="1" si="64"/>
        <v>#N/A</v>
      </c>
      <c r="Q577" s="53" t="str">
        <f ca="1">IFERROR(DayByDayTable[[#This Row],[Lead Time]],"")</f>
        <v/>
      </c>
      <c r="R577" s="44" t="e">
        <f t="shared" ca="1" si="65"/>
        <v>#N/A</v>
      </c>
      <c r="S577" s="44">
        <f ca="1">ROUND(PERCENTILE(DayByDayTable[[#Data],[BlankLeadTime]],0.8),0)</f>
        <v>8</v>
      </c>
    </row>
    <row r="578" spans="1:19">
      <c r="A578" s="51">
        <f t="shared" si="66"/>
        <v>43241</v>
      </c>
      <c r="B578" s="11">
        <f t="shared" si="61"/>
        <v>43241</v>
      </c>
      <c r="C578" s="47">
        <f>SUMIFS('On The Board'!$M$5:$M$219,'On The Board'!F$5:F$219,"&lt;="&amp;$B578,'On The Board'!E$5:E$219,"="&amp;FutureWork)</f>
        <v>0</v>
      </c>
      <c r="D578" s="47" t="str">
        <f ca="1">IF(TodaysDate&gt;=B578,SUMIF('On The Board'!F$5:F$219,"&lt;="&amp;$B578,'On The Board'!$M$5:$M$219)-SUM(F578:J578),"")</f>
        <v/>
      </c>
      <c r="E578" s="12">
        <f ca="1">IF(TodaysDate&gt;=B578,SUMIF('On The Board'!F$5:F$219,"&lt;="&amp;$B578,'On The Board'!$M$5:$M$219)-SUM(F578:J578),E577)</f>
        <v>47</v>
      </c>
      <c r="F578" s="12">
        <f>SUMIF('On The Board'!G$5:G$219,"&lt;="&amp;$B578,'On The Board'!$M$5:$M$219)-SUM(G578:J578)</f>
        <v>0</v>
      </c>
      <c r="G578" s="12">
        <f>SUMIF('On The Board'!H$5:H$219,"&lt;="&amp;$B578,'On The Board'!$M$5:$M$219)-SUM(H578:J578)</f>
        <v>5</v>
      </c>
      <c r="H578" s="12">
        <f>SUMIF('On The Board'!I$5:I$219,"&lt;="&amp;$B578,'On The Board'!$M$5:$M$219)-SUM(I578,J578)</f>
        <v>2</v>
      </c>
      <c r="I578" s="12">
        <f>SUMIF('On The Board'!J$5:J$219,"&lt;="&amp;$B578,'On The Board'!$M$5:$M$219)-SUM(J578)</f>
        <v>0</v>
      </c>
      <c r="J578" s="12">
        <f>SUMIF('On The Board'!K$5:K$219,"&lt;="&amp;$B578,'On The Board'!$M$5:$M$219)</f>
        <v>70</v>
      </c>
      <c r="K578" s="10">
        <f t="shared" si="67"/>
        <v>77</v>
      </c>
      <c r="L578" s="10" t="e">
        <f ca="1">IF(TodaysDate&gt;=B578,SUM(F578:I578),NA())</f>
        <v>#N/A</v>
      </c>
      <c r="M578" s="44" t="e">
        <f t="shared" ca="1" si="63"/>
        <v>#N/A</v>
      </c>
      <c r="N578" s="44" t="e">
        <f ca="1">IF(ISNUMBER(M578),(J578-J568)/NETWORKDAYS(B568,B578,BankHolidays),NA())</f>
        <v>#N/A</v>
      </c>
      <c r="O578" s="44" t="e">
        <f t="shared" ca="1" si="62"/>
        <v>#N/A</v>
      </c>
      <c r="P578" s="53" t="e">
        <f t="shared" ca="1" si="64"/>
        <v>#N/A</v>
      </c>
      <c r="Q578" s="53" t="str">
        <f ca="1">IFERROR(DayByDayTable[[#This Row],[Lead Time]],"")</f>
        <v/>
      </c>
      <c r="R578" s="44" t="e">
        <f t="shared" ca="1" si="65"/>
        <v>#N/A</v>
      </c>
      <c r="S578" s="44">
        <f ca="1">ROUND(PERCENTILE(DayByDayTable[[#Data],[BlankLeadTime]],0.8),0)</f>
        <v>8</v>
      </c>
    </row>
    <row r="579" spans="1:19">
      <c r="A579" s="51">
        <f t="shared" si="66"/>
        <v>43242</v>
      </c>
      <c r="B579" s="11">
        <f t="shared" ref="B579:B600" si="68">IF(NETWORKDAYS(B578,B578+1,BankHolidays)=2,B578+1,IF(NETWORKDAYS(B578,B578+2,BankHolidays)=2,B578+2,IF(NETWORKDAYS(B578,B578+3,BankHolidays)=2,B578+3,IF(NETWORKDAYS(B578,B578+4,BankHolidays)=2,B578+4,IF(NETWORKDAYS(B578,B578+5,BankHolidays)=2,B578+5,NA())))))</f>
        <v>43242</v>
      </c>
      <c r="C579" s="47">
        <f>SUMIFS('On The Board'!$M$5:$M$219,'On The Board'!F$5:F$219,"&lt;="&amp;$B579,'On The Board'!E$5:E$219,"="&amp;FutureWork)</f>
        <v>0</v>
      </c>
      <c r="D579" s="47" t="str">
        <f ca="1">IF(TodaysDate&gt;=B579,SUMIF('On The Board'!F$5:F$219,"&lt;="&amp;$B579,'On The Board'!$M$5:$M$219)-SUM(F579:J579),"")</f>
        <v/>
      </c>
      <c r="E579" s="12">
        <f ca="1">IF(TodaysDate&gt;=B579,SUMIF('On The Board'!F$5:F$219,"&lt;="&amp;$B579,'On The Board'!$M$5:$M$219)-SUM(F579:J579),E578)</f>
        <v>47</v>
      </c>
      <c r="F579" s="12">
        <f>SUMIF('On The Board'!G$5:G$219,"&lt;="&amp;$B579,'On The Board'!$M$5:$M$219)-SUM(G579:J579)</f>
        <v>0</v>
      </c>
      <c r="G579" s="12">
        <f>SUMIF('On The Board'!H$5:H$219,"&lt;="&amp;$B579,'On The Board'!$M$5:$M$219)-SUM(H579:J579)</f>
        <v>5</v>
      </c>
      <c r="H579" s="12">
        <f>SUMIF('On The Board'!I$5:I$219,"&lt;="&amp;$B579,'On The Board'!$M$5:$M$219)-SUM(I579,J579)</f>
        <v>2</v>
      </c>
      <c r="I579" s="12">
        <f>SUMIF('On The Board'!J$5:J$219,"&lt;="&amp;$B579,'On The Board'!$M$5:$M$219)-SUM(J579)</f>
        <v>0</v>
      </c>
      <c r="J579" s="12">
        <f>SUMIF('On The Board'!K$5:K$219,"&lt;="&amp;$B579,'On The Board'!$M$5:$M$219)</f>
        <v>70</v>
      </c>
      <c r="K579" s="10">
        <f t="shared" si="67"/>
        <v>77</v>
      </c>
      <c r="L579" s="10" t="e">
        <f ca="1">IF(TodaysDate&gt;=B579,SUM(F579:I579),NA())</f>
        <v>#N/A</v>
      </c>
      <c r="M579" s="44" t="e">
        <f t="shared" ca="1" si="63"/>
        <v>#N/A</v>
      </c>
      <c r="N579" s="44" t="e">
        <f ca="1">IF(ISNUMBER(M579),(J579-J569)/NETWORKDAYS(B569,B579,BankHolidays),NA())</f>
        <v>#N/A</v>
      </c>
      <c r="O579" s="44" t="e">
        <f t="shared" ref="O579:O589" ca="1" si="69">IF(N579&gt;0,M579/N579,NA())</f>
        <v>#N/A</v>
      </c>
      <c r="P579" s="53" t="e">
        <f t="shared" ca="1" si="64"/>
        <v>#N/A</v>
      </c>
      <c r="Q579" s="53" t="str">
        <f ca="1">IFERROR(DayByDayTable[[#This Row],[Lead Time]],"")</f>
        <v/>
      </c>
      <c r="R579" s="44" t="e">
        <f t="shared" ca="1" si="65"/>
        <v>#N/A</v>
      </c>
      <c r="S579" s="44">
        <f ca="1">ROUND(PERCENTILE(DayByDayTable[[#Data],[BlankLeadTime]],0.8),0)</f>
        <v>8</v>
      </c>
    </row>
    <row r="580" spans="1:19">
      <c r="A580" s="51">
        <f t="shared" si="66"/>
        <v>43243</v>
      </c>
      <c r="B580" s="11">
        <f t="shared" si="68"/>
        <v>43243</v>
      </c>
      <c r="C580" s="47">
        <f>SUMIFS('On The Board'!$M$5:$M$219,'On The Board'!F$5:F$219,"&lt;="&amp;$B580,'On The Board'!E$5:E$219,"="&amp;FutureWork)</f>
        <v>0</v>
      </c>
      <c r="D580" s="47" t="str">
        <f ca="1">IF(TodaysDate&gt;=B580,SUMIF('On The Board'!F$5:F$219,"&lt;="&amp;$B580,'On The Board'!$M$5:$M$219)-SUM(F580:J580),"")</f>
        <v/>
      </c>
      <c r="E580" s="12">
        <f ca="1">IF(TodaysDate&gt;=B580,SUMIF('On The Board'!F$5:F$219,"&lt;="&amp;$B580,'On The Board'!$M$5:$M$219)-SUM(F580:J580),E579)</f>
        <v>47</v>
      </c>
      <c r="F580" s="12">
        <f>SUMIF('On The Board'!G$5:G$219,"&lt;="&amp;$B580,'On The Board'!$M$5:$M$219)-SUM(G580:J580)</f>
        <v>0</v>
      </c>
      <c r="G580" s="12">
        <f>SUMIF('On The Board'!H$5:H$219,"&lt;="&amp;$B580,'On The Board'!$M$5:$M$219)-SUM(H580:J580)</f>
        <v>5</v>
      </c>
      <c r="H580" s="12">
        <f>SUMIF('On The Board'!I$5:I$219,"&lt;="&amp;$B580,'On The Board'!$M$5:$M$219)-SUM(I580,J580)</f>
        <v>2</v>
      </c>
      <c r="I580" s="12">
        <f>SUMIF('On The Board'!J$5:J$219,"&lt;="&amp;$B580,'On The Board'!$M$5:$M$219)-SUM(J580)</f>
        <v>0</v>
      </c>
      <c r="J580" s="12">
        <f>SUMIF('On The Board'!K$5:K$219,"&lt;="&amp;$B580,'On The Board'!$M$5:$M$219)</f>
        <v>70</v>
      </c>
      <c r="K580" s="10">
        <f t="shared" si="67"/>
        <v>77</v>
      </c>
      <c r="L580" s="10" t="e">
        <f ca="1">IF(TodaysDate&gt;=B580,SUM(F580:I580),NA())</f>
        <v>#N/A</v>
      </c>
      <c r="M580" s="44" t="e">
        <f t="shared" ca="1" si="63"/>
        <v>#N/A</v>
      </c>
      <c r="N580" s="44" t="e">
        <f ca="1">IF(ISNUMBER(M580),(J580-J570)/NETWORKDAYS(B570,B580,BankHolidays),NA())</f>
        <v>#N/A</v>
      </c>
      <c r="O580" s="44" t="e">
        <f t="shared" ca="1" si="69"/>
        <v>#N/A</v>
      </c>
      <c r="P580" s="53" t="e">
        <f t="shared" ca="1" si="64"/>
        <v>#N/A</v>
      </c>
      <c r="Q580" s="53" t="str">
        <f ca="1">IFERROR(DayByDayTable[[#This Row],[Lead Time]],"")</f>
        <v/>
      </c>
      <c r="R580" s="44" t="e">
        <f t="shared" ca="1" si="65"/>
        <v>#N/A</v>
      </c>
      <c r="S580" s="44">
        <f ca="1">ROUND(PERCENTILE(DayByDayTable[[#Data],[BlankLeadTime]],0.8),0)</f>
        <v>8</v>
      </c>
    </row>
    <row r="581" spans="1:19">
      <c r="A581" s="51">
        <f t="shared" si="66"/>
        <v>43244</v>
      </c>
      <c r="B581" s="11">
        <f t="shared" si="68"/>
        <v>43244</v>
      </c>
      <c r="C581" s="47">
        <f>SUMIFS('On The Board'!$M$5:$M$219,'On The Board'!F$5:F$219,"&lt;="&amp;$B581,'On The Board'!E$5:E$219,"="&amp;FutureWork)</f>
        <v>0</v>
      </c>
      <c r="D581" s="47" t="str">
        <f ca="1">IF(TodaysDate&gt;=B581,SUMIF('On The Board'!F$5:F$219,"&lt;="&amp;$B581,'On The Board'!$M$5:$M$219)-SUM(F581:J581),"")</f>
        <v/>
      </c>
      <c r="E581" s="12">
        <f ca="1">IF(TodaysDate&gt;=B581,SUMIF('On The Board'!F$5:F$219,"&lt;="&amp;$B581,'On The Board'!$M$5:$M$219)-SUM(F581:J581),E580)</f>
        <v>47</v>
      </c>
      <c r="F581" s="12">
        <f>SUMIF('On The Board'!G$5:G$219,"&lt;="&amp;$B581,'On The Board'!$M$5:$M$219)-SUM(G581:J581)</f>
        <v>0</v>
      </c>
      <c r="G581" s="12">
        <f>SUMIF('On The Board'!H$5:H$219,"&lt;="&amp;$B581,'On The Board'!$M$5:$M$219)-SUM(H581:J581)</f>
        <v>5</v>
      </c>
      <c r="H581" s="12">
        <f>SUMIF('On The Board'!I$5:I$219,"&lt;="&amp;$B581,'On The Board'!$M$5:$M$219)-SUM(I581,J581)</f>
        <v>2</v>
      </c>
      <c r="I581" s="12">
        <f>SUMIF('On The Board'!J$5:J$219,"&lt;="&amp;$B581,'On The Board'!$M$5:$M$219)-SUM(J581)</f>
        <v>0</v>
      </c>
      <c r="J581" s="12">
        <f>SUMIF('On The Board'!K$5:K$219,"&lt;="&amp;$B581,'On The Board'!$M$5:$M$219)</f>
        <v>70</v>
      </c>
      <c r="K581" s="10">
        <f t="shared" si="67"/>
        <v>77</v>
      </c>
      <c r="L581" s="10" t="e">
        <f ca="1">IF(TodaysDate&gt;=B581,SUM(F581:I581),NA())</f>
        <v>#N/A</v>
      </c>
      <c r="M581" s="44" t="e">
        <f t="shared" ca="1" si="63"/>
        <v>#N/A</v>
      </c>
      <c r="N581" s="44" t="e">
        <f ca="1">IF(ISNUMBER(M581),(J581-J571)/NETWORKDAYS(B571,B581,BankHolidays),NA())</f>
        <v>#N/A</v>
      </c>
      <c r="O581" s="44" t="e">
        <f t="shared" ca="1" si="69"/>
        <v>#N/A</v>
      </c>
      <c r="P581" s="53" t="e">
        <f t="shared" ca="1" si="64"/>
        <v>#N/A</v>
      </c>
      <c r="Q581" s="53" t="str">
        <f ca="1">IFERROR(DayByDayTable[[#This Row],[Lead Time]],"")</f>
        <v/>
      </c>
      <c r="R581" s="44" t="e">
        <f t="shared" ca="1" si="65"/>
        <v>#N/A</v>
      </c>
      <c r="S581" s="44">
        <f ca="1">ROUND(PERCENTILE(DayByDayTable[[#Data],[BlankLeadTime]],0.8),0)</f>
        <v>8</v>
      </c>
    </row>
    <row r="582" spans="1:19">
      <c r="A582" s="51">
        <f t="shared" si="66"/>
        <v>43245</v>
      </c>
      <c r="B582" s="11">
        <f t="shared" si="68"/>
        <v>43245</v>
      </c>
      <c r="C582" s="47">
        <f>SUMIFS('On The Board'!$M$5:$M$219,'On The Board'!F$5:F$219,"&lt;="&amp;$B582,'On The Board'!E$5:E$219,"="&amp;FutureWork)</f>
        <v>0</v>
      </c>
      <c r="D582" s="47" t="str">
        <f ca="1">IF(TodaysDate&gt;=B582,SUMIF('On The Board'!F$5:F$219,"&lt;="&amp;$B582,'On The Board'!$M$5:$M$219)-SUM(F582:J582),"")</f>
        <v/>
      </c>
      <c r="E582" s="12">
        <f ca="1">IF(TodaysDate&gt;=B582,SUMIF('On The Board'!F$5:F$219,"&lt;="&amp;$B582,'On The Board'!$M$5:$M$219)-SUM(F582:J582),E581)</f>
        <v>47</v>
      </c>
      <c r="F582" s="12">
        <f>SUMIF('On The Board'!G$5:G$219,"&lt;="&amp;$B582,'On The Board'!$M$5:$M$219)-SUM(G582:J582)</f>
        <v>0</v>
      </c>
      <c r="G582" s="12">
        <f>SUMIF('On The Board'!H$5:H$219,"&lt;="&amp;$B582,'On The Board'!$M$5:$M$219)-SUM(H582:J582)</f>
        <v>5</v>
      </c>
      <c r="H582" s="12">
        <f>SUMIF('On The Board'!I$5:I$219,"&lt;="&amp;$B582,'On The Board'!$M$5:$M$219)-SUM(I582,J582)</f>
        <v>2</v>
      </c>
      <c r="I582" s="12">
        <f>SUMIF('On The Board'!J$5:J$219,"&lt;="&amp;$B582,'On The Board'!$M$5:$M$219)-SUM(J582)</f>
        <v>0</v>
      </c>
      <c r="J582" s="12">
        <f>SUMIF('On The Board'!K$5:K$219,"&lt;="&amp;$B582,'On The Board'!$M$5:$M$219)</f>
        <v>70</v>
      </c>
      <c r="K582" s="10">
        <f t="shared" si="67"/>
        <v>77</v>
      </c>
      <c r="L582" s="10" t="e">
        <f ca="1">IF(TodaysDate&gt;=B582,SUM(F582:I582),NA())</f>
        <v>#N/A</v>
      </c>
      <c r="M582" s="44" t="e">
        <f t="shared" ca="1" si="63"/>
        <v>#N/A</v>
      </c>
      <c r="N582" s="44" t="e">
        <f ca="1">IF(ISNUMBER(M582),(J582-J572)/NETWORKDAYS(B572,B582,BankHolidays),NA())</f>
        <v>#N/A</v>
      </c>
      <c r="O582" s="44" t="e">
        <f t="shared" ca="1" si="69"/>
        <v>#N/A</v>
      </c>
      <c r="P582" s="53" t="e">
        <f t="shared" ca="1" si="64"/>
        <v>#N/A</v>
      </c>
      <c r="Q582" s="53" t="str">
        <f ca="1">IFERROR(DayByDayTable[[#This Row],[Lead Time]],"")</f>
        <v/>
      </c>
      <c r="R582" s="44" t="e">
        <f t="shared" ca="1" si="65"/>
        <v>#N/A</v>
      </c>
      <c r="S582" s="44">
        <f ca="1">ROUND(PERCENTILE(DayByDayTable[[#Data],[BlankLeadTime]],0.8),0)</f>
        <v>8</v>
      </c>
    </row>
    <row r="583" spans="1:19">
      <c r="A583" s="51">
        <f t="shared" si="66"/>
        <v>43249</v>
      </c>
      <c r="B583" s="11">
        <f t="shared" si="68"/>
        <v>43249</v>
      </c>
      <c r="C583" s="47">
        <f>SUMIFS('On The Board'!$M$5:$M$219,'On The Board'!F$5:F$219,"&lt;="&amp;$B583,'On The Board'!E$5:E$219,"="&amp;FutureWork)</f>
        <v>0</v>
      </c>
      <c r="D583" s="47" t="str">
        <f ca="1">IF(TodaysDate&gt;=B583,SUMIF('On The Board'!F$5:F$219,"&lt;="&amp;$B583,'On The Board'!$M$5:$M$219)-SUM(F583:J583),"")</f>
        <v/>
      </c>
      <c r="E583" s="12">
        <f ca="1">IF(TodaysDate&gt;=B583,SUMIF('On The Board'!F$5:F$219,"&lt;="&amp;$B583,'On The Board'!$M$5:$M$219)-SUM(F583:J583),E582)</f>
        <v>47</v>
      </c>
      <c r="F583" s="12">
        <f>SUMIF('On The Board'!G$5:G$219,"&lt;="&amp;$B583,'On The Board'!$M$5:$M$219)-SUM(G583:J583)</f>
        <v>0</v>
      </c>
      <c r="G583" s="12">
        <f>SUMIF('On The Board'!H$5:H$219,"&lt;="&amp;$B583,'On The Board'!$M$5:$M$219)-SUM(H583:J583)</f>
        <v>5</v>
      </c>
      <c r="H583" s="12">
        <f>SUMIF('On The Board'!I$5:I$219,"&lt;="&amp;$B583,'On The Board'!$M$5:$M$219)-SUM(I583,J583)</f>
        <v>2</v>
      </c>
      <c r="I583" s="12">
        <f>SUMIF('On The Board'!J$5:J$219,"&lt;="&amp;$B583,'On The Board'!$M$5:$M$219)-SUM(J583)</f>
        <v>0</v>
      </c>
      <c r="J583" s="12">
        <f>SUMIF('On The Board'!K$5:K$219,"&lt;="&amp;$B583,'On The Board'!$M$5:$M$219)</f>
        <v>70</v>
      </c>
      <c r="K583" s="10">
        <f t="shared" si="67"/>
        <v>77</v>
      </c>
      <c r="L583" s="10" t="e">
        <f ca="1">IF(TodaysDate&gt;=B583,SUM(F583:I583),NA())</f>
        <v>#N/A</v>
      </c>
      <c r="M583" s="44" t="e">
        <f t="shared" ca="1" si="63"/>
        <v>#N/A</v>
      </c>
      <c r="N583" s="44" t="e">
        <f ca="1">IF(ISNUMBER(M583),(J583-J573)/NETWORKDAYS(B573,B583,BankHolidays),NA())</f>
        <v>#N/A</v>
      </c>
      <c r="O583" s="44" t="e">
        <f t="shared" ca="1" si="69"/>
        <v>#N/A</v>
      </c>
      <c r="P583" s="53" t="e">
        <f t="shared" ca="1" si="64"/>
        <v>#N/A</v>
      </c>
      <c r="Q583" s="53" t="str">
        <f ca="1">IFERROR(DayByDayTable[[#This Row],[Lead Time]],"")</f>
        <v/>
      </c>
      <c r="R583" s="44" t="e">
        <f t="shared" ca="1" si="65"/>
        <v>#N/A</v>
      </c>
      <c r="S583" s="44">
        <f ca="1">ROUND(PERCENTILE(DayByDayTable[[#Data],[BlankLeadTime]],0.8),0)</f>
        <v>8</v>
      </c>
    </row>
    <row r="584" spans="1:19">
      <c r="A584" s="51">
        <f t="shared" si="66"/>
        <v>43250</v>
      </c>
      <c r="B584" s="11">
        <f t="shared" si="68"/>
        <v>43250</v>
      </c>
      <c r="C584" s="47">
        <f>SUMIFS('On The Board'!$M$5:$M$219,'On The Board'!F$5:F$219,"&lt;="&amp;$B584,'On The Board'!E$5:E$219,"="&amp;FutureWork)</f>
        <v>0</v>
      </c>
      <c r="D584" s="47" t="str">
        <f ca="1">IF(TodaysDate&gt;=B584,SUMIF('On The Board'!F$5:F$219,"&lt;="&amp;$B584,'On The Board'!$M$5:$M$219)-SUM(F584:J584),"")</f>
        <v/>
      </c>
      <c r="E584" s="12">
        <f ca="1">IF(TodaysDate&gt;=B584,SUMIF('On The Board'!F$5:F$219,"&lt;="&amp;$B584,'On The Board'!$M$5:$M$219)-SUM(F584:J584),E583)</f>
        <v>47</v>
      </c>
      <c r="F584" s="12">
        <f>SUMIF('On The Board'!G$5:G$219,"&lt;="&amp;$B584,'On The Board'!$M$5:$M$219)-SUM(G584:J584)</f>
        <v>0</v>
      </c>
      <c r="G584" s="12">
        <f>SUMIF('On The Board'!H$5:H$219,"&lt;="&amp;$B584,'On The Board'!$M$5:$M$219)-SUM(H584:J584)</f>
        <v>5</v>
      </c>
      <c r="H584" s="12">
        <f>SUMIF('On The Board'!I$5:I$219,"&lt;="&amp;$B584,'On The Board'!$M$5:$M$219)-SUM(I584,J584)</f>
        <v>2</v>
      </c>
      <c r="I584" s="12">
        <f>SUMIF('On The Board'!J$5:J$219,"&lt;="&amp;$B584,'On The Board'!$M$5:$M$219)-SUM(J584)</f>
        <v>0</v>
      </c>
      <c r="J584" s="12">
        <f>SUMIF('On The Board'!K$5:K$219,"&lt;="&amp;$B584,'On The Board'!$M$5:$M$219)</f>
        <v>70</v>
      </c>
      <c r="K584" s="10">
        <f t="shared" si="67"/>
        <v>77</v>
      </c>
      <c r="L584" s="10" t="e">
        <f ca="1">IF(TodaysDate&gt;=B584,SUM(F584:I584),NA())</f>
        <v>#N/A</v>
      </c>
      <c r="M584" s="44" t="e">
        <f t="shared" ca="1" si="63"/>
        <v>#N/A</v>
      </c>
      <c r="N584" s="44" t="e">
        <f ca="1">IF(ISNUMBER(M584),(J584-J574)/NETWORKDAYS(B574,B584,BankHolidays),NA())</f>
        <v>#N/A</v>
      </c>
      <c r="O584" s="44" t="e">
        <f t="shared" ca="1" si="69"/>
        <v>#N/A</v>
      </c>
      <c r="P584" s="53" t="e">
        <f t="shared" ca="1" si="64"/>
        <v>#N/A</v>
      </c>
      <c r="Q584" s="53" t="str">
        <f ca="1">IFERROR(DayByDayTable[[#This Row],[Lead Time]],"")</f>
        <v/>
      </c>
      <c r="R584" s="44" t="e">
        <f t="shared" ca="1" si="65"/>
        <v>#N/A</v>
      </c>
      <c r="S584" s="44">
        <f ca="1">ROUND(PERCENTILE(DayByDayTable[[#Data],[BlankLeadTime]],0.8),0)</f>
        <v>8</v>
      </c>
    </row>
    <row r="585" spans="1:19">
      <c r="A585" s="51">
        <f t="shared" si="66"/>
        <v>43251</v>
      </c>
      <c r="B585" s="11">
        <f t="shared" si="68"/>
        <v>43251</v>
      </c>
      <c r="C585" s="47">
        <f>SUMIFS('On The Board'!$M$5:$M$219,'On The Board'!F$5:F$219,"&lt;="&amp;$B585,'On The Board'!E$5:E$219,"="&amp;FutureWork)</f>
        <v>0</v>
      </c>
      <c r="D585" s="47" t="str">
        <f ca="1">IF(TodaysDate&gt;=B585,SUMIF('On The Board'!F$5:F$219,"&lt;="&amp;$B585,'On The Board'!$M$5:$M$219)-SUM(F585:J585),"")</f>
        <v/>
      </c>
      <c r="E585" s="12">
        <f ca="1">IF(TodaysDate&gt;=B585,SUMIF('On The Board'!F$5:F$219,"&lt;="&amp;$B585,'On The Board'!$M$5:$M$219)-SUM(F585:J585),E584)</f>
        <v>47</v>
      </c>
      <c r="F585" s="12">
        <f>SUMIF('On The Board'!G$5:G$219,"&lt;="&amp;$B585,'On The Board'!$M$5:$M$219)-SUM(G585:J585)</f>
        <v>0</v>
      </c>
      <c r="G585" s="12">
        <f>SUMIF('On The Board'!H$5:H$219,"&lt;="&amp;$B585,'On The Board'!$M$5:$M$219)-SUM(H585:J585)</f>
        <v>5</v>
      </c>
      <c r="H585" s="12">
        <f>SUMIF('On The Board'!I$5:I$219,"&lt;="&amp;$B585,'On The Board'!$M$5:$M$219)-SUM(I585,J585)</f>
        <v>2</v>
      </c>
      <c r="I585" s="12">
        <f>SUMIF('On The Board'!J$5:J$219,"&lt;="&amp;$B585,'On The Board'!$M$5:$M$219)-SUM(J585)</f>
        <v>0</v>
      </c>
      <c r="J585" s="12">
        <f>SUMIF('On The Board'!K$5:K$219,"&lt;="&amp;$B585,'On The Board'!$M$5:$M$219)</f>
        <v>70</v>
      </c>
      <c r="K585" s="10">
        <f t="shared" si="67"/>
        <v>77</v>
      </c>
      <c r="L585" s="10" t="e">
        <f ca="1">IF(TodaysDate&gt;=B585,SUM(F585:I585),NA())</f>
        <v>#N/A</v>
      </c>
      <c r="M585" s="44" t="e">
        <f t="shared" ca="1" si="63"/>
        <v>#N/A</v>
      </c>
      <c r="N585" s="44" t="e">
        <f ca="1">IF(ISNUMBER(M585),(J585-J575)/NETWORKDAYS(B575,B585,BankHolidays),NA())</f>
        <v>#N/A</v>
      </c>
      <c r="O585" s="44" t="e">
        <f t="shared" ca="1" si="69"/>
        <v>#N/A</v>
      </c>
      <c r="P585" s="53" t="e">
        <f t="shared" ca="1" si="64"/>
        <v>#N/A</v>
      </c>
      <c r="Q585" s="53" t="str">
        <f ca="1">IFERROR(DayByDayTable[[#This Row],[Lead Time]],"")</f>
        <v/>
      </c>
      <c r="R585" s="44" t="e">
        <f t="shared" ca="1" si="65"/>
        <v>#N/A</v>
      </c>
      <c r="S585" s="44">
        <f ca="1">ROUND(PERCENTILE(DayByDayTable[[#Data],[BlankLeadTime]],0.8),0)</f>
        <v>8</v>
      </c>
    </row>
    <row r="586" spans="1:19">
      <c r="A586" s="51">
        <f t="shared" si="66"/>
        <v>43252</v>
      </c>
      <c r="B586" s="11">
        <f t="shared" si="68"/>
        <v>43252</v>
      </c>
      <c r="C586" s="47">
        <f>SUMIFS('On The Board'!$M$5:$M$219,'On The Board'!F$5:F$219,"&lt;="&amp;$B586,'On The Board'!E$5:E$219,"="&amp;FutureWork)</f>
        <v>0</v>
      </c>
      <c r="D586" s="47" t="str">
        <f ca="1">IF(TodaysDate&gt;=B586,SUMIF('On The Board'!F$5:F$219,"&lt;="&amp;$B586,'On The Board'!$M$5:$M$219)-SUM(F586:J586),"")</f>
        <v/>
      </c>
      <c r="E586" s="12">
        <f ca="1">IF(TodaysDate&gt;=B586,SUMIF('On The Board'!F$5:F$219,"&lt;="&amp;$B586,'On The Board'!$M$5:$M$219)-SUM(F586:J586),E585)</f>
        <v>47</v>
      </c>
      <c r="F586" s="12">
        <f>SUMIF('On The Board'!G$5:G$219,"&lt;="&amp;$B586,'On The Board'!$M$5:$M$219)-SUM(G586:J586)</f>
        <v>0</v>
      </c>
      <c r="G586" s="12">
        <f>SUMIF('On The Board'!H$5:H$219,"&lt;="&amp;$B586,'On The Board'!$M$5:$M$219)-SUM(H586:J586)</f>
        <v>5</v>
      </c>
      <c r="H586" s="12">
        <f>SUMIF('On The Board'!I$5:I$219,"&lt;="&amp;$B586,'On The Board'!$M$5:$M$219)-SUM(I586,J586)</f>
        <v>2</v>
      </c>
      <c r="I586" s="12">
        <f>SUMIF('On The Board'!J$5:J$219,"&lt;="&amp;$B586,'On The Board'!$M$5:$M$219)-SUM(J586)</f>
        <v>0</v>
      </c>
      <c r="J586" s="12">
        <f>SUMIF('On The Board'!K$5:K$219,"&lt;="&amp;$B586,'On The Board'!$M$5:$M$219)</f>
        <v>70</v>
      </c>
      <c r="K586" s="10">
        <f t="shared" si="67"/>
        <v>77</v>
      </c>
      <c r="L586" s="10" t="e">
        <f ca="1">IF(TodaysDate&gt;=B586,SUM(F586:I586),NA())</f>
        <v>#N/A</v>
      </c>
      <c r="M586" s="44" t="e">
        <f t="shared" ca="1" si="63"/>
        <v>#N/A</v>
      </c>
      <c r="N586" s="44" t="e">
        <f ca="1">IF(ISNUMBER(M586),(J586-J576)/NETWORKDAYS(B576,B586,BankHolidays),NA())</f>
        <v>#N/A</v>
      </c>
      <c r="O586" s="44" t="e">
        <f t="shared" ca="1" si="69"/>
        <v>#N/A</v>
      </c>
      <c r="P586" s="53" t="e">
        <f t="shared" ca="1" si="64"/>
        <v>#N/A</v>
      </c>
      <c r="Q586" s="53" t="str">
        <f ca="1">IFERROR(DayByDayTable[[#This Row],[Lead Time]],"")</f>
        <v/>
      </c>
      <c r="R586" s="44" t="e">
        <f t="shared" ca="1" si="65"/>
        <v>#N/A</v>
      </c>
      <c r="S586" s="44">
        <f ca="1">ROUND(PERCENTILE(DayByDayTable[[#Data],[BlankLeadTime]],0.8),0)</f>
        <v>8</v>
      </c>
    </row>
    <row r="587" spans="1:19">
      <c r="A587" s="51">
        <f t="shared" si="66"/>
        <v>43255</v>
      </c>
      <c r="B587" s="11">
        <f t="shared" si="68"/>
        <v>43255</v>
      </c>
      <c r="C587" s="47">
        <f>SUMIFS('On The Board'!$M$5:$M$219,'On The Board'!F$5:F$219,"&lt;="&amp;$B587,'On The Board'!E$5:E$219,"="&amp;FutureWork)</f>
        <v>0</v>
      </c>
      <c r="D587" s="47" t="str">
        <f ca="1">IF(TodaysDate&gt;=B587,SUMIF('On The Board'!F$5:F$219,"&lt;="&amp;$B587,'On The Board'!$M$5:$M$219)-SUM(F587:J587),"")</f>
        <v/>
      </c>
      <c r="E587" s="12">
        <f ca="1">IF(TodaysDate&gt;=B587,SUMIF('On The Board'!F$5:F$219,"&lt;="&amp;$B587,'On The Board'!$M$5:$M$219)-SUM(F587:J587),E586)</f>
        <v>47</v>
      </c>
      <c r="F587" s="12">
        <f>SUMIF('On The Board'!G$5:G$219,"&lt;="&amp;$B587,'On The Board'!$M$5:$M$219)-SUM(G587:J587)</f>
        <v>0</v>
      </c>
      <c r="G587" s="12">
        <f>SUMIF('On The Board'!H$5:H$219,"&lt;="&amp;$B587,'On The Board'!$M$5:$M$219)-SUM(H587:J587)</f>
        <v>5</v>
      </c>
      <c r="H587" s="12">
        <f>SUMIF('On The Board'!I$5:I$219,"&lt;="&amp;$B587,'On The Board'!$M$5:$M$219)-SUM(I587,J587)</f>
        <v>2</v>
      </c>
      <c r="I587" s="12">
        <f>SUMIF('On The Board'!J$5:J$219,"&lt;="&amp;$B587,'On The Board'!$M$5:$M$219)-SUM(J587)</f>
        <v>0</v>
      </c>
      <c r="J587" s="12">
        <f>SUMIF('On The Board'!K$5:K$219,"&lt;="&amp;$B587,'On The Board'!$M$5:$M$219)</f>
        <v>70</v>
      </c>
      <c r="K587" s="10">
        <f t="shared" si="67"/>
        <v>77</v>
      </c>
      <c r="L587" s="10" t="e">
        <f ca="1">IF(TodaysDate&gt;=B587,SUM(F587:I587),NA())</f>
        <v>#N/A</v>
      </c>
      <c r="M587" s="44" t="e">
        <f t="shared" ca="1" si="63"/>
        <v>#N/A</v>
      </c>
      <c r="N587" s="44" t="e">
        <f ca="1">IF(ISNUMBER(M587),(J587-J577)/NETWORKDAYS(B577,B587,BankHolidays),NA())</f>
        <v>#N/A</v>
      </c>
      <c r="O587" s="44" t="e">
        <f t="shared" ca="1" si="69"/>
        <v>#N/A</v>
      </c>
      <c r="P587" s="53" t="e">
        <f t="shared" ca="1" si="64"/>
        <v>#N/A</v>
      </c>
      <c r="Q587" s="53" t="str">
        <f ca="1">IFERROR(DayByDayTable[[#This Row],[Lead Time]],"")</f>
        <v/>
      </c>
      <c r="R587" s="44" t="e">
        <f t="shared" ca="1" si="65"/>
        <v>#N/A</v>
      </c>
      <c r="S587" s="44">
        <f ca="1">ROUND(PERCENTILE(DayByDayTable[[#Data],[BlankLeadTime]],0.8),0)</f>
        <v>8</v>
      </c>
    </row>
    <row r="588" spans="1:19">
      <c r="A588" s="51">
        <f t="shared" si="66"/>
        <v>43256</v>
      </c>
      <c r="B588" s="11">
        <f t="shared" si="68"/>
        <v>43256</v>
      </c>
      <c r="C588" s="47">
        <f>SUMIFS('On The Board'!$M$5:$M$219,'On The Board'!F$5:F$219,"&lt;="&amp;$B588,'On The Board'!E$5:E$219,"="&amp;FutureWork)</f>
        <v>0</v>
      </c>
      <c r="D588" s="47" t="str">
        <f ca="1">IF(TodaysDate&gt;=B588,SUMIF('On The Board'!F$5:F$219,"&lt;="&amp;$B588,'On The Board'!$M$5:$M$219)-SUM(F588:J588),"")</f>
        <v/>
      </c>
      <c r="E588" s="12">
        <f ca="1">IF(TodaysDate&gt;=B588,SUMIF('On The Board'!F$5:F$219,"&lt;="&amp;$B588,'On The Board'!$M$5:$M$219)-SUM(F588:J588),E587)</f>
        <v>47</v>
      </c>
      <c r="F588" s="12">
        <f>SUMIF('On The Board'!G$5:G$219,"&lt;="&amp;$B588,'On The Board'!$M$5:$M$219)-SUM(G588:J588)</f>
        <v>0</v>
      </c>
      <c r="G588" s="12">
        <f>SUMIF('On The Board'!H$5:H$219,"&lt;="&amp;$B588,'On The Board'!$M$5:$M$219)-SUM(H588:J588)</f>
        <v>5</v>
      </c>
      <c r="H588" s="12">
        <f>SUMIF('On The Board'!I$5:I$219,"&lt;="&amp;$B588,'On The Board'!$M$5:$M$219)-SUM(I588,J588)</f>
        <v>2</v>
      </c>
      <c r="I588" s="12">
        <f>SUMIF('On The Board'!J$5:J$219,"&lt;="&amp;$B588,'On The Board'!$M$5:$M$219)-SUM(J588)</f>
        <v>0</v>
      </c>
      <c r="J588" s="12">
        <f>SUMIF('On The Board'!K$5:K$219,"&lt;="&amp;$B588,'On The Board'!$M$5:$M$219)</f>
        <v>70</v>
      </c>
      <c r="K588" s="10">
        <f t="shared" si="67"/>
        <v>77</v>
      </c>
      <c r="L588" s="10" t="e">
        <f ca="1">IF(TodaysDate&gt;=B588,SUM(F588:I588),NA())</f>
        <v>#N/A</v>
      </c>
      <c r="M588" s="44" t="e">
        <f t="shared" ca="1" si="63"/>
        <v>#N/A</v>
      </c>
      <c r="N588" s="44" t="e">
        <f ca="1">IF(ISNUMBER(M588),(J588-J578)/NETWORKDAYS(B578,B588,BankHolidays),NA())</f>
        <v>#N/A</v>
      </c>
      <c r="O588" s="44" t="e">
        <f t="shared" ca="1" si="69"/>
        <v>#N/A</v>
      </c>
      <c r="P588" s="53" t="e">
        <f t="shared" ca="1" si="64"/>
        <v>#N/A</v>
      </c>
      <c r="Q588" s="53" t="str">
        <f ca="1">IFERROR(DayByDayTable[[#This Row],[Lead Time]],"")</f>
        <v/>
      </c>
      <c r="R588" s="44" t="e">
        <f t="shared" ca="1" si="65"/>
        <v>#N/A</v>
      </c>
      <c r="S588" s="44">
        <f ca="1">ROUND(PERCENTILE(DayByDayTable[[#Data],[BlankLeadTime]],0.8),0)</f>
        <v>8</v>
      </c>
    </row>
    <row r="589" spans="1:19">
      <c r="A589" s="51">
        <f t="shared" si="66"/>
        <v>43257</v>
      </c>
      <c r="B589" s="11">
        <f t="shared" si="68"/>
        <v>43257</v>
      </c>
      <c r="C589" s="47">
        <f>SUMIFS('On The Board'!$M$5:$M$219,'On The Board'!F$5:F$219,"&lt;="&amp;$B589,'On The Board'!E$5:E$219,"="&amp;FutureWork)</f>
        <v>0</v>
      </c>
      <c r="D589" s="47" t="str">
        <f ca="1">IF(TodaysDate&gt;=B589,SUMIF('On The Board'!F$5:F$219,"&lt;="&amp;$B589,'On The Board'!$M$5:$M$219)-SUM(F589:J589),"")</f>
        <v/>
      </c>
      <c r="E589" s="12">
        <f ca="1">IF(TodaysDate&gt;=B589,SUMIF('On The Board'!F$5:F$219,"&lt;="&amp;$B589,'On The Board'!$M$5:$M$219)-SUM(F589:J589),E588)</f>
        <v>47</v>
      </c>
      <c r="F589" s="12">
        <f>SUMIF('On The Board'!G$5:G$219,"&lt;="&amp;$B589,'On The Board'!$M$5:$M$219)-SUM(G589:J589)</f>
        <v>0</v>
      </c>
      <c r="G589" s="12">
        <f>SUMIF('On The Board'!H$5:H$219,"&lt;="&amp;$B589,'On The Board'!$M$5:$M$219)-SUM(H589:J589)</f>
        <v>5</v>
      </c>
      <c r="H589" s="12">
        <f>SUMIF('On The Board'!I$5:I$219,"&lt;="&amp;$B589,'On The Board'!$M$5:$M$219)-SUM(I589,J589)</f>
        <v>2</v>
      </c>
      <c r="I589" s="12">
        <f>SUMIF('On The Board'!J$5:J$219,"&lt;="&amp;$B589,'On The Board'!$M$5:$M$219)-SUM(J589)</f>
        <v>0</v>
      </c>
      <c r="J589" s="12">
        <f>SUMIF('On The Board'!K$5:K$219,"&lt;="&amp;$B589,'On The Board'!$M$5:$M$219)</f>
        <v>70</v>
      </c>
      <c r="K589" s="10">
        <f t="shared" si="67"/>
        <v>77</v>
      </c>
      <c r="L589" s="10" t="e">
        <f ca="1">IF(TodaysDate&gt;=B589,SUM(F589:I589),NA())</f>
        <v>#N/A</v>
      </c>
      <c r="M589" s="44" t="e">
        <f t="shared" ref="M589" ca="1" si="70">AVERAGE(L579:L589)</f>
        <v>#N/A</v>
      </c>
      <c r="N589" s="44" t="e">
        <f ca="1">IF(ISNUMBER(M589),(J589-J579)/NETWORKDAYS(B579,B589,BankHolidays),NA())</f>
        <v>#N/A</v>
      </c>
      <c r="O589" s="44" t="e">
        <f t="shared" ca="1" si="69"/>
        <v>#N/A</v>
      </c>
      <c r="P589" s="53" t="e">
        <f t="shared" ref="P589" ca="1" si="71">AVERAGE(O579:O589)</f>
        <v>#N/A</v>
      </c>
      <c r="Q589" s="53" t="str">
        <f ca="1">IFERROR(DayByDayTable[[#This Row],[Lead Time]],"")</f>
        <v/>
      </c>
      <c r="R589" s="44" t="e">
        <f t="shared" ca="1" si="65"/>
        <v>#N/A</v>
      </c>
      <c r="S589" s="44">
        <f ca="1">ROUND(PERCENTILE(DayByDayTable[[#Data],[BlankLeadTime]],0.8),0)</f>
        <v>8</v>
      </c>
    </row>
    <row r="590" spans="1:19">
      <c r="A590" s="51">
        <f t="shared" ref="A590:A600" si="72">B590</f>
        <v>43258</v>
      </c>
      <c r="B590" s="11">
        <f t="shared" si="68"/>
        <v>43258</v>
      </c>
      <c r="C590" s="47">
        <f>SUMIFS('On The Board'!$M$5:$M$219,'On The Board'!F$5:F$219,"&lt;="&amp;$B590,'On The Board'!E$5:E$219,"="&amp;FutureWork)</f>
        <v>0</v>
      </c>
      <c r="D590" s="47" t="str">
        <f ca="1">IF(TodaysDate&gt;=B590,SUMIF('On The Board'!F$5:F$219,"&lt;="&amp;$B590,'On The Board'!$M$5:$M$219)-SUM(F590:J590),"")</f>
        <v/>
      </c>
      <c r="E590" s="12">
        <f ca="1">IF(TodaysDate&gt;=B590,SUMIF('On The Board'!F$5:F$219,"&lt;="&amp;$B590,'On The Board'!$M$5:$M$219)-SUM(F590:J590),E589)</f>
        <v>47</v>
      </c>
      <c r="F590" s="12">
        <f>SUMIF('On The Board'!G$5:G$219,"&lt;="&amp;$B590,'On The Board'!$M$5:$M$219)-SUM(G590:J590)</f>
        <v>0</v>
      </c>
      <c r="G590" s="12">
        <f>SUMIF('On The Board'!H$5:H$219,"&lt;="&amp;$B590,'On The Board'!$M$5:$M$219)-SUM(H590:J590)</f>
        <v>5</v>
      </c>
      <c r="H590" s="12">
        <f>SUMIF('On The Board'!I$5:I$219,"&lt;="&amp;$B590,'On The Board'!$M$5:$M$219)-SUM(I590,J590)</f>
        <v>2</v>
      </c>
      <c r="I590" s="12">
        <f>SUMIF('On The Board'!J$5:J$219,"&lt;="&amp;$B590,'On The Board'!$M$5:$M$219)-SUM(J590)</f>
        <v>0</v>
      </c>
      <c r="J590" s="12">
        <f>SUMIF('On The Board'!K$5:K$219,"&lt;="&amp;$B590,'On The Board'!$M$5:$M$219)</f>
        <v>70</v>
      </c>
      <c r="K590" s="10">
        <f t="shared" ref="K590:K600" si="73">SUM(F590:J590)</f>
        <v>77</v>
      </c>
      <c r="L590" s="10" t="e">
        <f ca="1">IF(TodaysDate&gt;=B590,SUM(F590:I590),NA())</f>
        <v>#N/A</v>
      </c>
      <c r="M590" s="44" t="e">
        <f t="shared" ref="M590:M600" ca="1" si="74">AVERAGE(L580:L590)</f>
        <v>#N/A</v>
      </c>
      <c r="N590" s="44" t="e">
        <f ca="1">IF(ISNUMBER(M590),(J590-J580)/NETWORKDAYS(B580,B590,BankHolidays),NA())</f>
        <v>#N/A</v>
      </c>
      <c r="O590" s="44" t="e">
        <f t="shared" ref="O590:O600" ca="1" si="75">IF(N590&gt;0,M590/N590,NA())</f>
        <v>#N/A</v>
      </c>
      <c r="P590" s="53" t="e">
        <f t="shared" ref="P590:P600" ca="1" si="76">AVERAGE(O580:O590)</f>
        <v>#N/A</v>
      </c>
      <c r="Q590" s="53" t="str">
        <f ca="1">IFERROR(DayByDayTable[[#This Row],[Lead Time]],"")</f>
        <v/>
      </c>
      <c r="R590" s="44" t="e">
        <f t="shared" ca="1" si="65"/>
        <v>#N/A</v>
      </c>
      <c r="S590" s="44">
        <f ca="1">ROUND(PERCENTILE(DayByDayTable[[#Data],[BlankLeadTime]],0.8),0)</f>
        <v>8</v>
      </c>
    </row>
    <row r="591" spans="1:19">
      <c r="A591" s="51">
        <f t="shared" si="72"/>
        <v>43259</v>
      </c>
      <c r="B591" s="11">
        <f t="shared" si="68"/>
        <v>43259</v>
      </c>
      <c r="C591" s="47">
        <f>SUMIFS('On The Board'!$M$5:$M$219,'On The Board'!F$5:F$219,"&lt;="&amp;$B591,'On The Board'!E$5:E$219,"="&amp;FutureWork)</f>
        <v>0</v>
      </c>
      <c r="D591" s="47" t="str">
        <f ca="1">IF(TodaysDate&gt;=B591,SUMIF('On The Board'!F$5:F$219,"&lt;="&amp;$B591,'On The Board'!$M$5:$M$219)-SUM(F591:J591),"")</f>
        <v/>
      </c>
      <c r="E591" s="12">
        <f ca="1">IF(TodaysDate&gt;=B591,SUMIF('On The Board'!F$5:F$219,"&lt;="&amp;$B591,'On The Board'!$M$5:$M$219)-SUM(F591:J591),E590)</f>
        <v>47</v>
      </c>
      <c r="F591" s="12">
        <f>SUMIF('On The Board'!G$5:G$219,"&lt;="&amp;$B591,'On The Board'!$M$5:$M$219)-SUM(G591:J591)</f>
        <v>0</v>
      </c>
      <c r="G591" s="12">
        <f>SUMIF('On The Board'!H$5:H$219,"&lt;="&amp;$B591,'On The Board'!$M$5:$M$219)-SUM(H591:J591)</f>
        <v>5</v>
      </c>
      <c r="H591" s="12">
        <f>SUMIF('On The Board'!I$5:I$219,"&lt;="&amp;$B591,'On The Board'!$M$5:$M$219)-SUM(I591,J591)</f>
        <v>2</v>
      </c>
      <c r="I591" s="12">
        <f>SUMIF('On The Board'!J$5:J$219,"&lt;="&amp;$B591,'On The Board'!$M$5:$M$219)-SUM(J591)</f>
        <v>0</v>
      </c>
      <c r="J591" s="12">
        <f>SUMIF('On The Board'!K$5:K$219,"&lt;="&amp;$B591,'On The Board'!$M$5:$M$219)</f>
        <v>70</v>
      </c>
      <c r="K591" s="10">
        <f t="shared" si="73"/>
        <v>77</v>
      </c>
      <c r="L591" s="10" t="e">
        <f ca="1">IF(TodaysDate&gt;=B591,SUM(F591:I591),NA())</f>
        <v>#N/A</v>
      </c>
      <c r="M591" s="44" t="e">
        <f t="shared" ca="1" si="74"/>
        <v>#N/A</v>
      </c>
      <c r="N591" s="44" t="e">
        <f ca="1">IF(ISNUMBER(M591),(J591-J581)/NETWORKDAYS(B581,B591,BankHolidays),NA())</f>
        <v>#N/A</v>
      </c>
      <c r="O591" s="44" t="e">
        <f t="shared" ca="1" si="75"/>
        <v>#N/A</v>
      </c>
      <c r="P591" s="53" t="e">
        <f t="shared" ca="1" si="76"/>
        <v>#N/A</v>
      </c>
      <c r="Q591" s="53" t="str">
        <f ca="1">IFERROR(DayByDayTable[[#This Row],[Lead Time]],"")</f>
        <v/>
      </c>
      <c r="R591" s="44" t="e">
        <f t="shared" ca="1" si="65"/>
        <v>#N/A</v>
      </c>
      <c r="S591" s="44">
        <f ca="1">ROUND(PERCENTILE(DayByDayTable[[#Data],[BlankLeadTime]],0.8),0)</f>
        <v>8</v>
      </c>
    </row>
    <row r="592" spans="1:19">
      <c r="A592" s="51">
        <f t="shared" si="72"/>
        <v>43262</v>
      </c>
      <c r="B592" s="11">
        <f t="shared" si="68"/>
        <v>43262</v>
      </c>
      <c r="C592" s="47">
        <f>SUMIFS('On The Board'!$M$5:$M$219,'On The Board'!F$5:F$219,"&lt;="&amp;$B592,'On The Board'!E$5:E$219,"="&amp;FutureWork)</f>
        <v>0</v>
      </c>
      <c r="D592" s="47" t="str">
        <f ca="1">IF(TodaysDate&gt;=B592,SUMIF('On The Board'!F$5:F$219,"&lt;="&amp;$B592,'On The Board'!$M$5:$M$219)-SUM(F592:J592),"")</f>
        <v/>
      </c>
      <c r="E592" s="12">
        <f ca="1">IF(TodaysDate&gt;=B592,SUMIF('On The Board'!F$5:F$219,"&lt;="&amp;$B592,'On The Board'!$M$5:$M$219)-SUM(F592:J592),E591)</f>
        <v>47</v>
      </c>
      <c r="F592" s="12">
        <f>SUMIF('On The Board'!G$5:G$219,"&lt;="&amp;$B592,'On The Board'!$M$5:$M$219)-SUM(G592:J592)</f>
        <v>0</v>
      </c>
      <c r="G592" s="12">
        <f>SUMIF('On The Board'!H$5:H$219,"&lt;="&amp;$B592,'On The Board'!$M$5:$M$219)-SUM(H592:J592)</f>
        <v>5</v>
      </c>
      <c r="H592" s="12">
        <f>SUMIF('On The Board'!I$5:I$219,"&lt;="&amp;$B592,'On The Board'!$M$5:$M$219)-SUM(I592,J592)</f>
        <v>2</v>
      </c>
      <c r="I592" s="12">
        <f>SUMIF('On The Board'!J$5:J$219,"&lt;="&amp;$B592,'On The Board'!$M$5:$M$219)-SUM(J592)</f>
        <v>0</v>
      </c>
      <c r="J592" s="12">
        <f>SUMIF('On The Board'!K$5:K$219,"&lt;="&amp;$B592,'On The Board'!$M$5:$M$219)</f>
        <v>70</v>
      </c>
      <c r="K592" s="10">
        <f t="shared" si="73"/>
        <v>77</v>
      </c>
      <c r="L592" s="10" t="e">
        <f ca="1">IF(TodaysDate&gt;=B592,SUM(F592:I592),NA())</f>
        <v>#N/A</v>
      </c>
      <c r="M592" s="44" t="e">
        <f t="shared" ca="1" si="74"/>
        <v>#N/A</v>
      </c>
      <c r="N592" s="44" t="e">
        <f ca="1">IF(ISNUMBER(M592),(J592-J582)/NETWORKDAYS(B582,B592,BankHolidays),NA())</f>
        <v>#N/A</v>
      </c>
      <c r="O592" s="44" t="e">
        <f t="shared" ca="1" si="75"/>
        <v>#N/A</v>
      </c>
      <c r="P592" s="53" t="e">
        <f t="shared" ca="1" si="76"/>
        <v>#N/A</v>
      </c>
      <c r="Q592" s="53" t="str">
        <f ca="1">IFERROR(DayByDayTable[[#This Row],[Lead Time]],"")</f>
        <v/>
      </c>
      <c r="R592" s="44" t="e">
        <f t="shared" ref="R592:R600" ca="1" si="77">PERCENTILE(O581:O592,0.8)</f>
        <v>#N/A</v>
      </c>
      <c r="S592" s="44">
        <f ca="1">ROUND(PERCENTILE(DayByDayTable[[#Data],[BlankLeadTime]],0.8),0)</f>
        <v>8</v>
      </c>
    </row>
    <row r="593" spans="1:19">
      <c r="A593" s="51">
        <f t="shared" si="72"/>
        <v>43263</v>
      </c>
      <c r="B593" s="11">
        <f t="shared" si="68"/>
        <v>43263</v>
      </c>
      <c r="C593" s="47">
        <f>SUMIFS('On The Board'!$M$5:$M$219,'On The Board'!F$5:F$219,"&lt;="&amp;$B593,'On The Board'!E$5:E$219,"="&amp;FutureWork)</f>
        <v>0</v>
      </c>
      <c r="D593" s="47" t="str">
        <f ca="1">IF(TodaysDate&gt;=B593,SUMIF('On The Board'!F$5:F$219,"&lt;="&amp;$B593,'On The Board'!$M$5:$M$219)-SUM(F593:J593),"")</f>
        <v/>
      </c>
      <c r="E593" s="12">
        <f ca="1">IF(TodaysDate&gt;=B593,SUMIF('On The Board'!F$5:F$219,"&lt;="&amp;$B593,'On The Board'!$M$5:$M$219)-SUM(F593:J593),E592)</f>
        <v>47</v>
      </c>
      <c r="F593" s="12">
        <f>SUMIF('On The Board'!G$5:G$219,"&lt;="&amp;$B593,'On The Board'!$M$5:$M$219)-SUM(G593:J593)</f>
        <v>0</v>
      </c>
      <c r="G593" s="12">
        <f>SUMIF('On The Board'!H$5:H$219,"&lt;="&amp;$B593,'On The Board'!$M$5:$M$219)-SUM(H593:J593)</f>
        <v>5</v>
      </c>
      <c r="H593" s="12">
        <f>SUMIF('On The Board'!I$5:I$219,"&lt;="&amp;$B593,'On The Board'!$M$5:$M$219)-SUM(I593,J593)</f>
        <v>2</v>
      </c>
      <c r="I593" s="12">
        <f>SUMIF('On The Board'!J$5:J$219,"&lt;="&amp;$B593,'On The Board'!$M$5:$M$219)-SUM(J593)</f>
        <v>0</v>
      </c>
      <c r="J593" s="12">
        <f>SUMIF('On The Board'!K$5:K$219,"&lt;="&amp;$B593,'On The Board'!$M$5:$M$219)</f>
        <v>70</v>
      </c>
      <c r="K593" s="10">
        <f t="shared" si="73"/>
        <v>77</v>
      </c>
      <c r="L593" s="10" t="e">
        <f ca="1">IF(TodaysDate&gt;=B593,SUM(F593:I593),NA())</f>
        <v>#N/A</v>
      </c>
      <c r="M593" s="44" t="e">
        <f t="shared" ca="1" si="74"/>
        <v>#N/A</v>
      </c>
      <c r="N593" s="44" t="e">
        <f ca="1">IF(ISNUMBER(M593),(J593-J583)/NETWORKDAYS(B583,B593,BankHolidays),NA())</f>
        <v>#N/A</v>
      </c>
      <c r="O593" s="44" t="e">
        <f t="shared" ca="1" si="75"/>
        <v>#N/A</v>
      </c>
      <c r="P593" s="53" t="e">
        <f t="shared" ca="1" si="76"/>
        <v>#N/A</v>
      </c>
      <c r="Q593" s="53" t="str">
        <f ca="1">IFERROR(DayByDayTable[[#This Row],[Lead Time]],"")</f>
        <v/>
      </c>
      <c r="R593" s="44" t="e">
        <f t="shared" ca="1" si="77"/>
        <v>#N/A</v>
      </c>
      <c r="S593" s="44">
        <f ca="1">ROUND(PERCENTILE(DayByDayTable[[#Data],[BlankLeadTime]],0.8),0)</f>
        <v>8</v>
      </c>
    </row>
    <row r="594" spans="1:19">
      <c r="A594" s="51">
        <f t="shared" si="72"/>
        <v>43264</v>
      </c>
      <c r="B594" s="11">
        <f t="shared" si="68"/>
        <v>43264</v>
      </c>
      <c r="C594" s="47">
        <f>SUMIFS('On The Board'!$M$5:$M$219,'On The Board'!F$5:F$219,"&lt;="&amp;$B594,'On The Board'!E$5:E$219,"="&amp;FutureWork)</f>
        <v>0</v>
      </c>
      <c r="D594" s="47" t="str">
        <f ca="1">IF(TodaysDate&gt;=B594,SUMIF('On The Board'!F$5:F$219,"&lt;="&amp;$B594,'On The Board'!$M$5:$M$219)-SUM(F594:J594),"")</f>
        <v/>
      </c>
      <c r="E594" s="12">
        <f ca="1">IF(TodaysDate&gt;=B594,SUMIF('On The Board'!F$5:F$219,"&lt;="&amp;$B594,'On The Board'!$M$5:$M$219)-SUM(F594:J594),E593)</f>
        <v>47</v>
      </c>
      <c r="F594" s="12">
        <f>SUMIF('On The Board'!G$5:G$219,"&lt;="&amp;$B594,'On The Board'!$M$5:$M$219)-SUM(G594:J594)</f>
        <v>0</v>
      </c>
      <c r="G594" s="12">
        <f>SUMIF('On The Board'!H$5:H$219,"&lt;="&amp;$B594,'On The Board'!$M$5:$M$219)-SUM(H594:J594)</f>
        <v>5</v>
      </c>
      <c r="H594" s="12">
        <f>SUMIF('On The Board'!I$5:I$219,"&lt;="&amp;$B594,'On The Board'!$M$5:$M$219)-SUM(I594,J594)</f>
        <v>2</v>
      </c>
      <c r="I594" s="12">
        <f>SUMIF('On The Board'!J$5:J$219,"&lt;="&amp;$B594,'On The Board'!$M$5:$M$219)-SUM(J594)</f>
        <v>0</v>
      </c>
      <c r="J594" s="12">
        <f>SUMIF('On The Board'!K$5:K$219,"&lt;="&amp;$B594,'On The Board'!$M$5:$M$219)</f>
        <v>70</v>
      </c>
      <c r="K594" s="10">
        <f t="shared" si="73"/>
        <v>77</v>
      </c>
      <c r="L594" s="10" t="e">
        <f ca="1">IF(TodaysDate&gt;=B594,SUM(F594:I594),NA())</f>
        <v>#N/A</v>
      </c>
      <c r="M594" s="44" t="e">
        <f t="shared" ca="1" si="74"/>
        <v>#N/A</v>
      </c>
      <c r="N594" s="44" t="e">
        <f ca="1">IF(ISNUMBER(M594),(J594-J584)/NETWORKDAYS(B584,B594,BankHolidays),NA())</f>
        <v>#N/A</v>
      </c>
      <c r="O594" s="44" t="e">
        <f t="shared" ca="1" si="75"/>
        <v>#N/A</v>
      </c>
      <c r="P594" s="53" t="e">
        <f t="shared" ca="1" si="76"/>
        <v>#N/A</v>
      </c>
      <c r="Q594" s="53" t="str">
        <f ca="1">IFERROR(DayByDayTable[[#This Row],[Lead Time]],"")</f>
        <v/>
      </c>
      <c r="R594" s="44" t="e">
        <f t="shared" ca="1" si="77"/>
        <v>#N/A</v>
      </c>
      <c r="S594" s="44">
        <f ca="1">ROUND(PERCENTILE(DayByDayTable[[#Data],[BlankLeadTime]],0.8),0)</f>
        <v>8</v>
      </c>
    </row>
    <row r="595" spans="1:19">
      <c r="A595" s="51">
        <f t="shared" si="72"/>
        <v>43265</v>
      </c>
      <c r="B595" s="11">
        <f t="shared" si="68"/>
        <v>43265</v>
      </c>
      <c r="C595" s="47">
        <f>SUMIFS('On The Board'!$M$5:$M$219,'On The Board'!F$5:F$219,"&lt;="&amp;$B595,'On The Board'!E$5:E$219,"="&amp;FutureWork)</f>
        <v>0</v>
      </c>
      <c r="D595" s="47" t="str">
        <f ca="1">IF(TodaysDate&gt;=B595,SUMIF('On The Board'!F$5:F$219,"&lt;="&amp;$B595,'On The Board'!$M$5:$M$219)-SUM(F595:J595),"")</f>
        <v/>
      </c>
      <c r="E595" s="12">
        <f ca="1">IF(TodaysDate&gt;=B595,SUMIF('On The Board'!F$5:F$219,"&lt;="&amp;$B595,'On The Board'!$M$5:$M$219)-SUM(F595:J595),E594)</f>
        <v>47</v>
      </c>
      <c r="F595" s="12">
        <f>SUMIF('On The Board'!G$5:G$219,"&lt;="&amp;$B595,'On The Board'!$M$5:$M$219)-SUM(G595:J595)</f>
        <v>0</v>
      </c>
      <c r="G595" s="12">
        <f>SUMIF('On The Board'!H$5:H$219,"&lt;="&amp;$B595,'On The Board'!$M$5:$M$219)-SUM(H595:J595)</f>
        <v>5</v>
      </c>
      <c r="H595" s="12">
        <f>SUMIF('On The Board'!I$5:I$219,"&lt;="&amp;$B595,'On The Board'!$M$5:$M$219)-SUM(I595,J595)</f>
        <v>2</v>
      </c>
      <c r="I595" s="12">
        <f>SUMIF('On The Board'!J$5:J$219,"&lt;="&amp;$B595,'On The Board'!$M$5:$M$219)-SUM(J595)</f>
        <v>0</v>
      </c>
      <c r="J595" s="12">
        <f>SUMIF('On The Board'!K$5:K$219,"&lt;="&amp;$B595,'On The Board'!$M$5:$M$219)</f>
        <v>70</v>
      </c>
      <c r="K595" s="10">
        <f t="shared" si="73"/>
        <v>77</v>
      </c>
      <c r="L595" s="10" t="e">
        <f ca="1">IF(TodaysDate&gt;=B595,SUM(F595:I595),NA())</f>
        <v>#N/A</v>
      </c>
      <c r="M595" s="44" t="e">
        <f t="shared" ca="1" si="74"/>
        <v>#N/A</v>
      </c>
      <c r="N595" s="44" t="e">
        <f ca="1">IF(ISNUMBER(M595),(J595-J585)/NETWORKDAYS(B585,B595,BankHolidays),NA())</f>
        <v>#N/A</v>
      </c>
      <c r="O595" s="44" t="e">
        <f t="shared" ca="1" si="75"/>
        <v>#N/A</v>
      </c>
      <c r="P595" s="53" t="e">
        <f t="shared" ca="1" si="76"/>
        <v>#N/A</v>
      </c>
      <c r="Q595" s="53" t="str">
        <f ca="1">IFERROR(DayByDayTable[[#This Row],[Lead Time]],"")</f>
        <v/>
      </c>
      <c r="R595" s="44" t="e">
        <f t="shared" ca="1" si="77"/>
        <v>#N/A</v>
      </c>
      <c r="S595" s="44">
        <f ca="1">ROUND(PERCENTILE(DayByDayTable[[#Data],[BlankLeadTime]],0.8),0)</f>
        <v>8</v>
      </c>
    </row>
    <row r="596" spans="1:19">
      <c r="A596" s="51">
        <f t="shared" si="72"/>
        <v>43266</v>
      </c>
      <c r="B596" s="11">
        <f t="shared" si="68"/>
        <v>43266</v>
      </c>
      <c r="C596" s="47">
        <f>SUMIFS('On The Board'!$M$5:$M$219,'On The Board'!F$5:F$219,"&lt;="&amp;$B596,'On The Board'!E$5:E$219,"="&amp;FutureWork)</f>
        <v>0</v>
      </c>
      <c r="D596" s="47" t="str">
        <f ca="1">IF(TodaysDate&gt;=B596,SUMIF('On The Board'!F$5:F$219,"&lt;="&amp;$B596,'On The Board'!$M$5:$M$219)-SUM(F596:J596),"")</f>
        <v/>
      </c>
      <c r="E596" s="12">
        <f ca="1">IF(TodaysDate&gt;=B596,SUMIF('On The Board'!F$5:F$219,"&lt;="&amp;$B596,'On The Board'!$M$5:$M$219)-SUM(F596:J596),E595)</f>
        <v>47</v>
      </c>
      <c r="F596" s="12">
        <f>SUMIF('On The Board'!G$5:G$219,"&lt;="&amp;$B596,'On The Board'!$M$5:$M$219)-SUM(G596:J596)</f>
        <v>0</v>
      </c>
      <c r="G596" s="12">
        <f>SUMIF('On The Board'!H$5:H$219,"&lt;="&amp;$B596,'On The Board'!$M$5:$M$219)-SUM(H596:J596)</f>
        <v>5</v>
      </c>
      <c r="H596" s="12">
        <f>SUMIF('On The Board'!I$5:I$219,"&lt;="&amp;$B596,'On The Board'!$M$5:$M$219)-SUM(I596,J596)</f>
        <v>2</v>
      </c>
      <c r="I596" s="12">
        <f>SUMIF('On The Board'!J$5:J$219,"&lt;="&amp;$B596,'On The Board'!$M$5:$M$219)-SUM(J596)</f>
        <v>0</v>
      </c>
      <c r="J596" s="12">
        <f>SUMIF('On The Board'!K$5:K$219,"&lt;="&amp;$B596,'On The Board'!$M$5:$M$219)</f>
        <v>70</v>
      </c>
      <c r="K596" s="10">
        <f t="shared" si="73"/>
        <v>77</v>
      </c>
      <c r="L596" s="10" t="e">
        <f ca="1">IF(TodaysDate&gt;=B596,SUM(F596:I596),NA())</f>
        <v>#N/A</v>
      </c>
      <c r="M596" s="44" t="e">
        <f t="shared" ca="1" si="74"/>
        <v>#N/A</v>
      </c>
      <c r="N596" s="44" t="e">
        <f ca="1">IF(ISNUMBER(M596),(J596-J586)/NETWORKDAYS(B586,B596,BankHolidays),NA())</f>
        <v>#N/A</v>
      </c>
      <c r="O596" s="44" t="e">
        <f t="shared" ca="1" si="75"/>
        <v>#N/A</v>
      </c>
      <c r="P596" s="53" t="e">
        <f t="shared" ca="1" si="76"/>
        <v>#N/A</v>
      </c>
      <c r="Q596" s="53" t="str">
        <f ca="1">IFERROR(DayByDayTable[[#This Row],[Lead Time]],"")</f>
        <v/>
      </c>
      <c r="R596" s="44" t="e">
        <f t="shared" ca="1" si="77"/>
        <v>#N/A</v>
      </c>
      <c r="S596" s="44">
        <f ca="1">ROUND(PERCENTILE(DayByDayTable[[#Data],[BlankLeadTime]],0.8),0)</f>
        <v>8</v>
      </c>
    </row>
    <row r="597" spans="1:19">
      <c r="A597" s="51">
        <f t="shared" si="72"/>
        <v>43269</v>
      </c>
      <c r="B597" s="11">
        <f t="shared" si="68"/>
        <v>43269</v>
      </c>
      <c r="C597" s="47">
        <f>SUMIFS('On The Board'!$M$5:$M$219,'On The Board'!F$5:F$219,"&lt;="&amp;$B597,'On The Board'!E$5:E$219,"="&amp;FutureWork)</f>
        <v>0</v>
      </c>
      <c r="D597" s="47" t="str">
        <f ca="1">IF(TodaysDate&gt;=B597,SUMIF('On The Board'!F$5:F$219,"&lt;="&amp;$B597,'On The Board'!$M$5:$M$219)-SUM(F597:J597),"")</f>
        <v/>
      </c>
      <c r="E597" s="12">
        <f ca="1">IF(TodaysDate&gt;=B597,SUMIF('On The Board'!F$5:F$219,"&lt;="&amp;$B597,'On The Board'!$M$5:$M$219)-SUM(F597:J597),E596)</f>
        <v>47</v>
      </c>
      <c r="F597" s="12">
        <f>SUMIF('On The Board'!G$5:G$219,"&lt;="&amp;$B597,'On The Board'!$M$5:$M$219)-SUM(G597:J597)</f>
        <v>0</v>
      </c>
      <c r="G597" s="12">
        <f>SUMIF('On The Board'!H$5:H$219,"&lt;="&amp;$B597,'On The Board'!$M$5:$M$219)-SUM(H597:J597)</f>
        <v>5</v>
      </c>
      <c r="H597" s="12">
        <f>SUMIF('On The Board'!I$5:I$219,"&lt;="&amp;$B597,'On The Board'!$M$5:$M$219)-SUM(I597,J597)</f>
        <v>2</v>
      </c>
      <c r="I597" s="12">
        <f>SUMIF('On The Board'!J$5:J$219,"&lt;="&amp;$B597,'On The Board'!$M$5:$M$219)-SUM(J597)</f>
        <v>0</v>
      </c>
      <c r="J597" s="12">
        <f>SUMIF('On The Board'!K$5:K$219,"&lt;="&amp;$B597,'On The Board'!$M$5:$M$219)</f>
        <v>70</v>
      </c>
      <c r="K597" s="10">
        <f t="shared" si="73"/>
        <v>77</v>
      </c>
      <c r="L597" s="10" t="e">
        <f ca="1">IF(TodaysDate&gt;=B597,SUM(F597:I597),NA())</f>
        <v>#N/A</v>
      </c>
      <c r="M597" s="44" t="e">
        <f t="shared" ca="1" si="74"/>
        <v>#N/A</v>
      </c>
      <c r="N597" s="44" t="e">
        <f ca="1">IF(ISNUMBER(M597),(J597-J587)/NETWORKDAYS(B587,B597,BankHolidays),NA())</f>
        <v>#N/A</v>
      </c>
      <c r="O597" s="44" t="e">
        <f t="shared" ca="1" si="75"/>
        <v>#N/A</v>
      </c>
      <c r="P597" s="53" t="e">
        <f t="shared" ca="1" si="76"/>
        <v>#N/A</v>
      </c>
      <c r="Q597" s="53" t="str">
        <f ca="1">IFERROR(DayByDayTable[[#This Row],[Lead Time]],"")</f>
        <v/>
      </c>
      <c r="R597" s="44" t="e">
        <f t="shared" ca="1" si="77"/>
        <v>#N/A</v>
      </c>
      <c r="S597" s="44">
        <f ca="1">ROUND(PERCENTILE(DayByDayTable[[#Data],[BlankLeadTime]],0.8),0)</f>
        <v>8</v>
      </c>
    </row>
    <row r="598" spans="1:19">
      <c r="A598" s="51">
        <f t="shared" si="72"/>
        <v>43270</v>
      </c>
      <c r="B598" s="11">
        <f t="shared" si="68"/>
        <v>43270</v>
      </c>
      <c r="C598" s="47">
        <f>SUMIFS('On The Board'!$M$5:$M$219,'On The Board'!F$5:F$219,"&lt;="&amp;$B598,'On The Board'!E$5:E$219,"="&amp;FutureWork)</f>
        <v>0</v>
      </c>
      <c r="D598" s="47" t="str">
        <f ca="1">IF(TodaysDate&gt;=B598,SUMIF('On The Board'!F$5:F$219,"&lt;="&amp;$B598,'On The Board'!$M$5:$M$219)-SUM(F598:J598),"")</f>
        <v/>
      </c>
      <c r="E598" s="12">
        <f ca="1">IF(TodaysDate&gt;=B598,SUMIF('On The Board'!F$5:F$219,"&lt;="&amp;$B598,'On The Board'!$M$5:$M$219)-SUM(F598:J598),E597)</f>
        <v>47</v>
      </c>
      <c r="F598" s="12">
        <f>SUMIF('On The Board'!G$5:G$219,"&lt;="&amp;$B598,'On The Board'!$M$5:$M$219)-SUM(G598:J598)</f>
        <v>0</v>
      </c>
      <c r="G598" s="12">
        <f>SUMIF('On The Board'!H$5:H$219,"&lt;="&amp;$B598,'On The Board'!$M$5:$M$219)-SUM(H598:J598)</f>
        <v>5</v>
      </c>
      <c r="H598" s="12">
        <f>SUMIF('On The Board'!I$5:I$219,"&lt;="&amp;$B598,'On The Board'!$M$5:$M$219)-SUM(I598,J598)</f>
        <v>2</v>
      </c>
      <c r="I598" s="12">
        <f>SUMIF('On The Board'!J$5:J$219,"&lt;="&amp;$B598,'On The Board'!$M$5:$M$219)-SUM(J598)</f>
        <v>0</v>
      </c>
      <c r="J598" s="12">
        <f>SUMIF('On The Board'!K$5:K$219,"&lt;="&amp;$B598,'On The Board'!$M$5:$M$219)</f>
        <v>70</v>
      </c>
      <c r="K598" s="10">
        <f t="shared" si="73"/>
        <v>77</v>
      </c>
      <c r="L598" s="10" t="e">
        <f ca="1">IF(TodaysDate&gt;=B598,SUM(F598:I598),NA())</f>
        <v>#N/A</v>
      </c>
      <c r="M598" s="44" t="e">
        <f t="shared" ca="1" si="74"/>
        <v>#N/A</v>
      </c>
      <c r="N598" s="44" t="e">
        <f ca="1">IF(ISNUMBER(M598),(J598-J588)/NETWORKDAYS(B588,B598,BankHolidays),NA())</f>
        <v>#N/A</v>
      </c>
      <c r="O598" s="44" t="e">
        <f t="shared" ca="1" si="75"/>
        <v>#N/A</v>
      </c>
      <c r="P598" s="53" t="e">
        <f t="shared" ca="1" si="76"/>
        <v>#N/A</v>
      </c>
      <c r="Q598" s="53" t="str">
        <f ca="1">IFERROR(DayByDayTable[[#This Row],[Lead Time]],"")</f>
        <v/>
      </c>
      <c r="R598" s="44" t="e">
        <f t="shared" ca="1" si="77"/>
        <v>#N/A</v>
      </c>
      <c r="S598" s="44">
        <f ca="1">ROUND(PERCENTILE(DayByDayTable[[#Data],[BlankLeadTime]],0.8),0)</f>
        <v>8</v>
      </c>
    </row>
    <row r="599" spans="1:19">
      <c r="A599" s="51">
        <f t="shared" si="72"/>
        <v>43271</v>
      </c>
      <c r="B599" s="11">
        <f t="shared" si="68"/>
        <v>43271</v>
      </c>
      <c r="C599" s="47">
        <f>SUMIFS('On The Board'!$M$5:$M$219,'On The Board'!F$5:F$219,"&lt;="&amp;$B599,'On The Board'!E$5:E$219,"="&amp;FutureWork)</f>
        <v>0</v>
      </c>
      <c r="D599" s="47" t="str">
        <f ca="1">IF(TodaysDate&gt;=B599,SUMIF('On The Board'!F$5:F$219,"&lt;="&amp;$B599,'On The Board'!$M$5:$M$219)-SUM(F599:J599),"")</f>
        <v/>
      </c>
      <c r="E599" s="12">
        <f ca="1">IF(TodaysDate&gt;=B599,SUMIF('On The Board'!F$5:F$219,"&lt;="&amp;$B599,'On The Board'!$M$5:$M$219)-SUM(F599:J599),E598)</f>
        <v>47</v>
      </c>
      <c r="F599" s="12">
        <f>SUMIF('On The Board'!G$5:G$219,"&lt;="&amp;$B599,'On The Board'!$M$5:$M$219)-SUM(G599:J599)</f>
        <v>0</v>
      </c>
      <c r="G599" s="12">
        <f>SUMIF('On The Board'!H$5:H$219,"&lt;="&amp;$B599,'On The Board'!$M$5:$M$219)-SUM(H599:J599)</f>
        <v>5</v>
      </c>
      <c r="H599" s="12">
        <f>SUMIF('On The Board'!I$5:I$219,"&lt;="&amp;$B599,'On The Board'!$M$5:$M$219)-SUM(I599,J599)</f>
        <v>2</v>
      </c>
      <c r="I599" s="12">
        <f>SUMIF('On The Board'!J$5:J$219,"&lt;="&amp;$B599,'On The Board'!$M$5:$M$219)-SUM(J599)</f>
        <v>0</v>
      </c>
      <c r="J599" s="12">
        <f>SUMIF('On The Board'!K$5:K$219,"&lt;="&amp;$B599,'On The Board'!$M$5:$M$219)</f>
        <v>70</v>
      </c>
      <c r="K599" s="10">
        <f t="shared" si="73"/>
        <v>77</v>
      </c>
      <c r="L599" s="10" t="e">
        <f ca="1">IF(TodaysDate&gt;=B599,SUM(F599:I599),NA())</f>
        <v>#N/A</v>
      </c>
      <c r="M599" s="44" t="e">
        <f t="shared" ca="1" si="74"/>
        <v>#N/A</v>
      </c>
      <c r="N599" s="44" t="e">
        <f ca="1">IF(ISNUMBER(M599),(J599-J589)/NETWORKDAYS(B589,B599,BankHolidays),NA())</f>
        <v>#N/A</v>
      </c>
      <c r="O599" s="44" t="e">
        <f t="shared" ca="1" si="75"/>
        <v>#N/A</v>
      </c>
      <c r="P599" s="53" t="e">
        <f t="shared" ca="1" si="76"/>
        <v>#N/A</v>
      </c>
      <c r="Q599" s="53" t="str">
        <f ca="1">IFERROR(DayByDayTable[[#This Row],[Lead Time]],"")</f>
        <v/>
      </c>
      <c r="R599" s="44" t="e">
        <f t="shared" ca="1" si="77"/>
        <v>#N/A</v>
      </c>
      <c r="S599" s="44">
        <f ca="1">ROUND(PERCENTILE(DayByDayTable[[#Data],[BlankLeadTime]],0.8),0)</f>
        <v>8</v>
      </c>
    </row>
    <row r="600" spans="1:19">
      <c r="A600" s="51">
        <f t="shared" si="72"/>
        <v>43272</v>
      </c>
      <c r="B600" s="11">
        <f t="shared" si="68"/>
        <v>43272</v>
      </c>
      <c r="C600" s="47">
        <f>SUMIFS('On The Board'!$M$5:$M$219,'On The Board'!F$5:F$219,"&lt;="&amp;$B600,'On The Board'!E$5:E$219,"="&amp;FutureWork)</f>
        <v>0</v>
      </c>
      <c r="D600" s="47" t="str">
        <f ca="1">IF(TodaysDate&gt;=B600,SUMIF('On The Board'!F$5:F$219,"&lt;="&amp;$B600,'On The Board'!$M$5:$M$219)-SUM(F600:J600),"")</f>
        <v/>
      </c>
      <c r="E600" s="12">
        <f ca="1">IF(TodaysDate&gt;=B600,SUMIF('On The Board'!F$5:F$219,"&lt;="&amp;$B600,'On The Board'!$M$5:$M$219)-SUM(F600:J600),E599)</f>
        <v>47</v>
      </c>
      <c r="F600" s="12">
        <f>SUMIF('On The Board'!G$5:G$219,"&lt;="&amp;$B600,'On The Board'!$M$5:$M$219)-SUM(G600:J600)</f>
        <v>0</v>
      </c>
      <c r="G600" s="12">
        <f>SUMIF('On The Board'!H$5:H$219,"&lt;="&amp;$B600,'On The Board'!$M$5:$M$219)-SUM(H600:J600)</f>
        <v>5</v>
      </c>
      <c r="H600" s="12">
        <f>SUMIF('On The Board'!I$5:I$219,"&lt;="&amp;$B600,'On The Board'!$M$5:$M$219)-SUM(I600,J600)</f>
        <v>2</v>
      </c>
      <c r="I600" s="12">
        <f>SUMIF('On The Board'!J$5:J$219,"&lt;="&amp;$B600,'On The Board'!$M$5:$M$219)-SUM(J600)</f>
        <v>0</v>
      </c>
      <c r="J600" s="12">
        <f>SUMIF('On The Board'!K$5:K$219,"&lt;="&amp;$B600,'On The Board'!$M$5:$M$219)</f>
        <v>70</v>
      </c>
      <c r="K600" s="10">
        <f t="shared" si="73"/>
        <v>77</v>
      </c>
      <c r="L600" s="10" t="e">
        <f ca="1">IF(TodaysDate&gt;=B600,SUM(F600:I600),NA())</f>
        <v>#N/A</v>
      </c>
      <c r="M600" s="44" t="e">
        <f t="shared" ca="1" si="74"/>
        <v>#N/A</v>
      </c>
      <c r="N600" s="44" t="e">
        <f ca="1">IF(ISNUMBER(M600),(J600-J590)/NETWORKDAYS(B590,B600,BankHolidays),NA())</f>
        <v>#N/A</v>
      </c>
      <c r="O600" s="44" t="e">
        <f t="shared" ca="1" si="75"/>
        <v>#N/A</v>
      </c>
      <c r="P600" s="53" t="e">
        <f t="shared" ca="1" si="76"/>
        <v>#N/A</v>
      </c>
      <c r="Q600" s="53" t="str">
        <f ca="1">IFERROR(DayByDayTable[[#This Row],[Lead Time]],"")</f>
        <v/>
      </c>
      <c r="R600" s="44" t="e">
        <f t="shared" ca="1" si="77"/>
        <v>#N/A</v>
      </c>
      <c r="S600" s="44">
        <f ca="1">ROUND(PERCENTILE(DayByDayTable[[#Data],[BlankLeadTime]],0.8),0)</f>
        <v>8</v>
      </c>
    </row>
    <row r="601" spans="1:19" ht="15.95" customHeight="1"/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  <_dlc_DocId xmlns="3cee23b6-011a-491c-87c3-7d5d22b706e3">UTHT3ME6PVR3-19-88</_dlc_DocId>
    <_dlc_DocIdUrl xmlns="3cee23b6-011a-491c-87c3-7d5d22b706e3">
      <Url>http://tfs.kingsway.asos.com/sites/ASOS/ASOS_Backlog/_layouts/DocIdRedir.aspx?ID=UTHT3ME6PVR3-19-88</Url>
      <Description>UTHT3ME6PVR3-19-88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EA0D7EDE96FD44BEE562E0EC759B25" ma:contentTypeVersion="1" ma:contentTypeDescription="Create a new document." ma:contentTypeScope="" ma:versionID="f45fc4f81fbd6320abe168cb30ebbda1">
  <xsd:schema xmlns:xsd="http://www.w3.org/2001/XMLSchema" xmlns:xs="http://www.w3.org/2001/XMLSchema" xmlns:p="http://schemas.microsoft.com/office/2006/metadata/properties" xmlns:ns1="http://schemas.microsoft.com/sharepoint/v3" xmlns:ns2="3cee23b6-011a-491c-87c3-7d5d22b706e3" targetNamespace="http://schemas.microsoft.com/office/2006/metadata/properties" ma:root="true" ma:fieldsID="97a4e319bb5889d40428e45ad5c69adf" ns1:_="" ns2:_="">
    <xsd:import namespace="http://schemas.microsoft.com/sharepoint/v3"/>
    <xsd:import namespace="3cee23b6-011a-491c-87c3-7d5d22b706e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e23b6-011a-491c-87c3-7d5d22b706e3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D4D51F-15F1-4EC0-A223-AB204D695F4D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3cee23b6-011a-491c-87c3-7d5d22b706e3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C0D676A-8E48-4FBE-845F-B24983F889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cee23b6-011a-491c-87c3-7d5d22b706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635D14-9B38-4DFF-9DA5-B64CCC6245E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38880C4-8B8C-4D35-B7EC-1C6C1D5F63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LtDistribution</vt:lpstr>
      <vt:lpstr>WIP</vt:lpstr>
      <vt:lpstr>LeadTime</vt:lpstr>
      <vt:lpstr>On The Board</vt:lpstr>
      <vt:lpstr>setup</vt:lpstr>
      <vt:lpstr>CFD Data</vt:lpstr>
      <vt:lpstr>Data</vt:lpstr>
      <vt:lpstr>CFD Chart</vt:lpstr>
      <vt:lpstr>Run Chart</vt:lpstr>
      <vt:lpstr>AVG</vt:lpstr>
      <vt:lpstr>BankHolidays</vt:lpstr>
      <vt:lpstr>DaysToIgnoreOnAvg</vt:lpstr>
      <vt:lpstr>DeadlineDate</vt:lpstr>
      <vt:lpstr>FirstDate</vt:lpstr>
      <vt:lpstr>FutureWork</vt:lpstr>
      <vt:lpstr>Historic</vt:lpstr>
      <vt:lpstr>LCL</vt:lpstr>
      <vt:lpstr>PercentileHigh</vt:lpstr>
      <vt:lpstr>LtDistribution!Print_Area</vt:lpstr>
      <vt:lpstr>sigmaVal</vt:lpstr>
      <vt:lpstr>TodaysDate</vt:lpstr>
    </vt:vector>
  </TitlesOfParts>
  <Company>Ripple Rock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Cumulative Flow Diagram</dc:title>
  <dc:creator>dan.brown@ripple-rock.com</dc:creator>
  <cp:lastModifiedBy>Dan Brown</cp:lastModifiedBy>
  <cp:lastPrinted>2016-05-31T12:17:25Z</cp:lastPrinted>
  <dcterms:created xsi:type="dcterms:W3CDTF">2012-05-28T16:17:04Z</dcterms:created>
  <dcterms:modified xsi:type="dcterms:W3CDTF">2018-09-21T14:04:43Z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0x010100F6EA0D7EDE96FD44BEE562E0EC759B25</vt:lpwstr>
  </property>
  <property fmtid="{D5CDD505-2E9C-101B-9397-08002B2CF9AE}" pid="3" name="_dlc_DocIdItemGuid">
    <vt:lpwstr>06fce592-2ee0-489f-a145-471480c84c3f</vt:lpwstr>
  </property>
</Properties>
</file>