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tiff" ContentType="image/tiff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drawings/drawing7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86e632abe338efe4/Documents/GitHub/PredictiveCFD/"/>
    </mc:Choice>
  </mc:AlternateContent>
  <xr:revisionPtr revIDLastSave="20" documentId="11_28FE9AF520E9B7B099F419981F6A4BCAD23A3EEE" xr6:coauthVersionLast="36" xr6:coauthVersionMax="36" xr10:uidLastSave="{B1000FBB-7521-4653-98ED-8E8312700F23}"/>
  <bookViews>
    <workbookView xWindow="0" yWindow="465" windowWidth="28800" windowHeight="17460" activeTab="2" xr2:uid="{00000000-000D-0000-FFFF-FFFF00000000}"/>
  </bookViews>
  <sheets>
    <sheet name="CFD Chart" sheetId="17" r:id="rId1"/>
    <sheet name="LtDistribution" sheetId="22" r:id="rId2"/>
    <sheet name="Run Chart" sheetId="27" r:id="rId3"/>
    <sheet name="WIP" sheetId="24" r:id="rId4"/>
    <sheet name="LeadTime" sheetId="25" r:id="rId5"/>
    <sheet name="On The Board" sheetId="19" r:id="rId6"/>
    <sheet name="setup" sheetId="20" r:id="rId7"/>
    <sheet name="CFD Data" sheetId="16" r:id="rId8"/>
    <sheet name="Data" sheetId="21" r:id="rId9"/>
  </sheets>
  <definedNames>
    <definedName name="_xlnm._FilterDatabase" localSheetId="8" hidden="1">Data!$A$601:$R$601</definedName>
    <definedName name="_xlnm._FilterDatabase" localSheetId="5" hidden="1">'On The Board'!$D$4:$N$68</definedName>
    <definedName name="AsIfSprint">#REF!</definedName>
    <definedName name="AVG">'On The Board'!$N$3</definedName>
    <definedName name="BankHolidays">setup!$A$22:$A$61</definedName>
    <definedName name="DaysToIgnoreOnAvg">setup!$B$4</definedName>
    <definedName name="DeadlineDate">setup!$E$2</definedName>
    <definedName name="DeviationFactor">setup!#REF!</definedName>
    <definedName name="FirstDate">setup!$B$3</definedName>
    <definedName name="FutureWork">setup!$D$9</definedName>
    <definedName name="Historic">setup!$B$6</definedName>
    <definedName name="LCL">'On The Board'!$M$2</definedName>
    <definedName name="PercentileHigh">setup!$B$5</definedName>
    <definedName name="PercentileLow">setup!#REF!</definedName>
    <definedName name="_xlnm.Print_Area" localSheetId="1">LtDistribution!$A$1:$P$46</definedName>
    <definedName name="sigmaVal">'CFD Data'!$Y$2</definedName>
    <definedName name="TodaysDate">setup!$E$1</definedName>
    <definedName name="UCL">'On The Board'!#REF!</definedName>
    <definedName name="WeightFactor">setup!#REF!</definedName>
    <definedName name="WorstCase">OFFSET('CFD Data'!$M$2,0,0,COUNTA('CFD Data'!$M$2:$M$187),1)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20" l="1"/>
  <c r="B2" i="21"/>
  <c r="B3" i="21"/>
  <c r="B4" i="21"/>
  <c r="B4" i="16"/>
  <c r="I4" i="21"/>
  <c r="K4" i="16"/>
  <c r="B3" i="16"/>
  <c r="I3" i="21"/>
  <c r="K3" i="16"/>
  <c r="L4" i="16"/>
  <c r="B2" i="16"/>
  <c r="I2" i="21"/>
  <c r="K2" i="16"/>
  <c r="L3" i="16"/>
  <c r="Q4" i="16"/>
  <c r="B5" i="21"/>
  <c r="B5" i="16"/>
  <c r="I5" i="21"/>
  <c r="K5" i="16"/>
  <c r="L5" i="16"/>
  <c r="Q5" i="16"/>
  <c r="B6" i="21"/>
  <c r="B6" i="16"/>
  <c r="I6" i="21"/>
  <c r="K6" i="16"/>
  <c r="L6" i="16"/>
  <c r="Q6" i="16"/>
  <c r="B7" i="21"/>
  <c r="B7" i="16"/>
  <c r="I7" i="21"/>
  <c r="K7" i="16"/>
  <c r="L7" i="16"/>
  <c r="Q7" i="16"/>
  <c r="B8" i="21"/>
  <c r="B8" i="16"/>
  <c r="I8" i="21"/>
  <c r="K8" i="16"/>
  <c r="L8" i="16"/>
  <c r="Q8" i="16"/>
  <c r="B9" i="21"/>
  <c r="B9" i="16"/>
  <c r="I9" i="21"/>
  <c r="K9" i="16"/>
  <c r="L9" i="16"/>
  <c r="Q9" i="16"/>
  <c r="B10" i="21"/>
  <c r="B10" i="16"/>
  <c r="I10" i="21"/>
  <c r="K10" i="16"/>
  <c r="L10" i="16"/>
  <c r="Q10" i="16"/>
  <c r="B11" i="21"/>
  <c r="B11" i="16"/>
  <c r="I11" i="21"/>
  <c r="K11" i="16"/>
  <c r="L11" i="16"/>
  <c r="Q11" i="16"/>
  <c r="B12" i="21"/>
  <c r="B12" i="16"/>
  <c r="I12" i="21"/>
  <c r="K12" i="16"/>
  <c r="L12" i="16"/>
  <c r="Q12" i="16"/>
  <c r="B13" i="21"/>
  <c r="B13" i="16"/>
  <c r="I13" i="21"/>
  <c r="K13" i="16"/>
  <c r="L13" i="16"/>
  <c r="Q13" i="16"/>
  <c r="B14" i="21"/>
  <c r="B14" i="16"/>
  <c r="I14" i="21"/>
  <c r="K14" i="16"/>
  <c r="L14" i="16"/>
  <c r="Q14" i="16"/>
  <c r="B15" i="21"/>
  <c r="B15" i="16"/>
  <c r="I15" i="21"/>
  <c r="K15" i="16"/>
  <c r="L15" i="16"/>
  <c r="Q15" i="16"/>
  <c r="B16" i="21"/>
  <c r="B16" i="16"/>
  <c r="I16" i="21"/>
  <c r="K16" i="16"/>
  <c r="L16" i="16"/>
  <c r="Q16" i="16"/>
  <c r="B17" i="21"/>
  <c r="B17" i="16"/>
  <c r="I17" i="21"/>
  <c r="K17" i="16"/>
  <c r="L17" i="16"/>
  <c r="Q17" i="16"/>
  <c r="B18" i="21"/>
  <c r="B18" i="16"/>
  <c r="I18" i="21"/>
  <c r="K18" i="16"/>
  <c r="L18" i="16"/>
  <c r="Q18" i="16"/>
  <c r="B19" i="21"/>
  <c r="B19" i="16"/>
  <c r="I19" i="21"/>
  <c r="K19" i="16"/>
  <c r="L19" i="16"/>
  <c r="Q19" i="16"/>
  <c r="B20" i="21"/>
  <c r="B20" i="16"/>
  <c r="I20" i="21"/>
  <c r="K20" i="16"/>
  <c r="L20" i="16"/>
  <c r="Q20" i="16"/>
  <c r="B21" i="21"/>
  <c r="B21" i="16"/>
  <c r="I21" i="21"/>
  <c r="K21" i="16"/>
  <c r="L21" i="16"/>
  <c r="Q21" i="16"/>
  <c r="B22" i="21"/>
  <c r="B22" i="16"/>
  <c r="I22" i="21"/>
  <c r="K22" i="16"/>
  <c r="L22" i="16"/>
  <c r="Q22" i="16"/>
  <c r="B23" i="21"/>
  <c r="B23" i="16"/>
  <c r="I23" i="21"/>
  <c r="K23" i="16"/>
  <c r="L23" i="16"/>
  <c r="Q23" i="16"/>
  <c r="B24" i="21"/>
  <c r="B24" i="16"/>
  <c r="I24" i="21"/>
  <c r="K24" i="16"/>
  <c r="L24" i="16"/>
  <c r="Q24" i="16"/>
  <c r="B25" i="21"/>
  <c r="B25" i="16"/>
  <c r="I25" i="21"/>
  <c r="K25" i="16"/>
  <c r="L25" i="16"/>
  <c r="Q25" i="16"/>
  <c r="B26" i="21"/>
  <c r="B26" i="16"/>
  <c r="I26" i="21"/>
  <c r="K26" i="16"/>
  <c r="L26" i="16"/>
  <c r="Q26" i="16"/>
  <c r="B27" i="21"/>
  <c r="B27" i="16"/>
  <c r="I27" i="21"/>
  <c r="K27" i="16"/>
  <c r="L27" i="16"/>
  <c r="Q27" i="16"/>
  <c r="B28" i="21"/>
  <c r="B28" i="16"/>
  <c r="I28" i="21"/>
  <c r="K28" i="16"/>
  <c r="L28" i="16"/>
  <c r="Q28" i="16"/>
  <c r="B29" i="21"/>
  <c r="B29" i="16"/>
  <c r="I29" i="21"/>
  <c r="K29" i="16"/>
  <c r="L29" i="16"/>
  <c r="Q29" i="16"/>
  <c r="B30" i="21"/>
  <c r="B30" i="16"/>
  <c r="I30" i="21"/>
  <c r="K30" i="16"/>
  <c r="L30" i="16"/>
  <c r="Q30" i="16"/>
  <c r="B31" i="21"/>
  <c r="B31" i="16"/>
  <c r="I31" i="21"/>
  <c r="K31" i="16"/>
  <c r="L31" i="16"/>
  <c r="Q31" i="16"/>
  <c r="B32" i="21"/>
  <c r="B32" i="16"/>
  <c r="I32" i="21"/>
  <c r="K32" i="16"/>
  <c r="L32" i="16"/>
  <c r="Q32" i="16"/>
  <c r="B33" i="21"/>
  <c r="B33" i="16"/>
  <c r="I33" i="21"/>
  <c r="K33" i="16"/>
  <c r="L33" i="16"/>
  <c r="Q33" i="16"/>
  <c r="B34" i="21"/>
  <c r="B34" i="16"/>
  <c r="I34" i="21"/>
  <c r="K34" i="16"/>
  <c r="L34" i="16"/>
  <c r="Q34" i="16"/>
  <c r="B35" i="21"/>
  <c r="B35" i="16"/>
  <c r="I35" i="21"/>
  <c r="K35" i="16"/>
  <c r="L35" i="16"/>
  <c r="Q35" i="16"/>
  <c r="B36" i="21"/>
  <c r="B36" i="16"/>
  <c r="I36" i="21"/>
  <c r="K36" i="16"/>
  <c r="L36" i="16"/>
  <c r="Q36" i="16"/>
  <c r="B37" i="21"/>
  <c r="B37" i="16"/>
  <c r="I37" i="21"/>
  <c r="K37" i="16"/>
  <c r="L37" i="16"/>
  <c r="Q37" i="16"/>
  <c r="B38" i="21"/>
  <c r="B38" i="16"/>
  <c r="I38" i="21"/>
  <c r="K38" i="16"/>
  <c r="L38" i="16"/>
  <c r="Q38" i="16"/>
  <c r="B39" i="21"/>
  <c r="B39" i="16"/>
  <c r="I39" i="21"/>
  <c r="K39" i="16"/>
  <c r="L39" i="16"/>
  <c r="Q39" i="16"/>
  <c r="B40" i="21"/>
  <c r="B40" i="16"/>
  <c r="I40" i="21"/>
  <c r="K40" i="16"/>
  <c r="L40" i="16"/>
  <c r="Q40" i="16"/>
  <c r="B41" i="21"/>
  <c r="B41" i="16"/>
  <c r="I41" i="21"/>
  <c r="K41" i="16"/>
  <c r="L41" i="16"/>
  <c r="Q41" i="16"/>
  <c r="B42" i="21"/>
  <c r="B42" i="16"/>
  <c r="I42" i="21"/>
  <c r="K42" i="16"/>
  <c r="L42" i="16"/>
  <c r="Q42" i="16"/>
  <c r="B43" i="21"/>
  <c r="B43" i="16"/>
  <c r="I43" i="21"/>
  <c r="K43" i="16"/>
  <c r="L43" i="16"/>
  <c r="Q43" i="16"/>
  <c r="B44" i="21"/>
  <c r="B44" i="16"/>
  <c r="I44" i="21"/>
  <c r="K44" i="16"/>
  <c r="L44" i="16"/>
  <c r="Q44" i="16"/>
  <c r="B45" i="21"/>
  <c r="B45" i="16"/>
  <c r="I45" i="21"/>
  <c r="K45" i="16"/>
  <c r="L45" i="16"/>
  <c r="Q45" i="16"/>
  <c r="B46" i="21"/>
  <c r="B46" i="16"/>
  <c r="I46" i="21"/>
  <c r="K46" i="16"/>
  <c r="L46" i="16"/>
  <c r="Q46" i="16"/>
  <c r="B47" i="21"/>
  <c r="B47" i="16"/>
  <c r="I47" i="21"/>
  <c r="K47" i="16"/>
  <c r="L47" i="16"/>
  <c r="Q47" i="16"/>
  <c r="B48" i="21"/>
  <c r="B48" i="16"/>
  <c r="I48" i="21"/>
  <c r="K48" i="16"/>
  <c r="L48" i="16"/>
  <c r="Q48" i="16"/>
  <c r="B49" i="21"/>
  <c r="B49" i="16"/>
  <c r="I49" i="21"/>
  <c r="K49" i="16"/>
  <c r="L49" i="16"/>
  <c r="Q49" i="16"/>
  <c r="B50" i="21"/>
  <c r="B50" i="16"/>
  <c r="I50" i="21"/>
  <c r="K50" i="16"/>
  <c r="L50" i="16"/>
  <c r="Q50" i="16"/>
  <c r="B51" i="21"/>
  <c r="B51" i="16"/>
  <c r="I51" i="21"/>
  <c r="K51" i="16"/>
  <c r="L51" i="16"/>
  <c r="Q51" i="16"/>
  <c r="B52" i="21"/>
  <c r="B52" i="16"/>
  <c r="I52" i="21"/>
  <c r="K52" i="16"/>
  <c r="L52" i="16"/>
  <c r="Q52" i="16"/>
  <c r="B53" i="21"/>
  <c r="B53" i="16"/>
  <c r="I53" i="21"/>
  <c r="K53" i="16"/>
  <c r="L53" i="16"/>
  <c r="Q53" i="16"/>
  <c r="B54" i="21"/>
  <c r="B54" i="16"/>
  <c r="I54" i="21"/>
  <c r="K54" i="16"/>
  <c r="L54" i="16"/>
  <c r="Q54" i="16"/>
  <c r="B55" i="21"/>
  <c r="B55" i="16"/>
  <c r="I55" i="21"/>
  <c r="K55" i="16"/>
  <c r="L55" i="16"/>
  <c r="Q55" i="16"/>
  <c r="B56" i="21"/>
  <c r="B56" i="16"/>
  <c r="I56" i="21"/>
  <c r="K56" i="16"/>
  <c r="L56" i="16"/>
  <c r="Q56" i="16"/>
  <c r="B57" i="21"/>
  <c r="B57" i="16"/>
  <c r="I57" i="21"/>
  <c r="K57" i="16"/>
  <c r="L57" i="16"/>
  <c r="Q57" i="16"/>
  <c r="B58" i="21"/>
  <c r="B58" i="16"/>
  <c r="I58" i="21"/>
  <c r="K58" i="16"/>
  <c r="L58" i="16"/>
  <c r="Q58" i="16"/>
  <c r="B59" i="21"/>
  <c r="B59" i="16"/>
  <c r="I59" i="21"/>
  <c r="K59" i="16"/>
  <c r="L59" i="16"/>
  <c r="Q59" i="16"/>
  <c r="B60" i="21"/>
  <c r="B60" i="16"/>
  <c r="I60" i="21"/>
  <c r="K60" i="16"/>
  <c r="L60" i="16"/>
  <c r="Q60" i="16"/>
  <c r="B61" i="21"/>
  <c r="B61" i="16"/>
  <c r="I61" i="21"/>
  <c r="K61" i="16"/>
  <c r="L61" i="16"/>
  <c r="Q61" i="16"/>
  <c r="B62" i="21"/>
  <c r="B62" i="16"/>
  <c r="I62" i="21"/>
  <c r="K62" i="16"/>
  <c r="L62" i="16"/>
  <c r="Q62" i="16"/>
  <c r="B63" i="21"/>
  <c r="B63" i="16"/>
  <c r="I63" i="21"/>
  <c r="K63" i="16"/>
  <c r="L63" i="16"/>
  <c r="Q63" i="16"/>
  <c r="B64" i="21"/>
  <c r="B64" i="16"/>
  <c r="I64" i="21"/>
  <c r="K64" i="16"/>
  <c r="L64" i="16"/>
  <c r="Q64" i="16"/>
  <c r="B65" i="21"/>
  <c r="B65" i="16"/>
  <c r="I65" i="21"/>
  <c r="K65" i="16"/>
  <c r="L65" i="16"/>
  <c r="Q65" i="16"/>
  <c r="B66" i="21"/>
  <c r="B66" i="16"/>
  <c r="I66" i="21"/>
  <c r="K66" i="16"/>
  <c r="L66" i="16"/>
  <c r="Q66" i="16"/>
  <c r="B67" i="21"/>
  <c r="B67" i="16"/>
  <c r="I67" i="21"/>
  <c r="K67" i="16"/>
  <c r="L67" i="16"/>
  <c r="Q67" i="16"/>
  <c r="B68" i="21"/>
  <c r="B68" i="16"/>
  <c r="I68" i="21"/>
  <c r="K68" i="16"/>
  <c r="L68" i="16"/>
  <c r="Q68" i="16"/>
  <c r="B69" i="21"/>
  <c r="B69" i="16"/>
  <c r="I69" i="21"/>
  <c r="K69" i="16"/>
  <c r="L69" i="16"/>
  <c r="Q69" i="16"/>
  <c r="B70" i="21"/>
  <c r="B70" i="16"/>
  <c r="I70" i="21"/>
  <c r="K70" i="16"/>
  <c r="L70" i="16"/>
  <c r="Q70" i="16"/>
  <c r="B71" i="21"/>
  <c r="B71" i="16"/>
  <c r="I71" i="21"/>
  <c r="K71" i="16"/>
  <c r="L71" i="16"/>
  <c r="Q71" i="16"/>
  <c r="B72" i="21"/>
  <c r="B72" i="16"/>
  <c r="I72" i="21"/>
  <c r="K72" i="16"/>
  <c r="L72" i="16"/>
  <c r="Q72" i="16"/>
  <c r="B73" i="21"/>
  <c r="B73" i="16"/>
  <c r="I73" i="21"/>
  <c r="K73" i="16"/>
  <c r="L73" i="16"/>
  <c r="Q73" i="16"/>
  <c r="B74" i="21"/>
  <c r="B74" i="16"/>
  <c r="I74" i="21"/>
  <c r="K74" i="16"/>
  <c r="L74" i="16"/>
  <c r="Q74" i="16"/>
  <c r="B75" i="21"/>
  <c r="B75" i="16"/>
  <c r="I75" i="21"/>
  <c r="K75" i="16"/>
  <c r="L75" i="16"/>
  <c r="Q75" i="16"/>
  <c r="B76" i="21"/>
  <c r="B76" i="16"/>
  <c r="I76" i="21"/>
  <c r="K76" i="16"/>
  <c r="L76" i="16"/>
  <c r="Q76" i="16"/>
  <c r="B77" i="21"/>
  <c r="B77" i="16"/>
  <c r="I77" i="21"/>
  <c r="K77" i="16"/>
  <c r="L77" i="16"/>
  <c r="Q77" i="16"/>
  <c r="B78" i="21"/>
  <c r="B78" i="16"/>
  <c r="I78" i="21"/>
  <c r="K78" i="16"/>
  <c r="L78" i="16"/>
  <c r="Q78" i="16"/>
  <c r="B79" i="21"/>
  <c r="B79" i="16"/>
  <c r="I79" i="21"/>
  <c r="K79" i="16"/>
  <c r="L79" i="16"/>
  <c r="Q79" i="16"/>
  <c r="B80" i="21"/>
  <c r="B80" i="16"/>
  <c r="I80" i="21"/>
  <c r="K80" i="16"/>
  <c r="L80" i="16"/>
  <c r="Q80" i="16"/>
  <c r="B81" i="21"/>
  <c r="B81" i="16"/>
  <c r="K81" i="16"/>
  <c r="L81" i="16"/>
  <c r="Q81" i="16"/>
  <c r="B82" i="21"/>
  <c r="B82" i="16"/>
  <c r="K82" i="16"/>
  <c r="L82" i="16"/>
  <c r="Q82" i="16"/>
  <c r="B83" i="21"/>
  <c r="B83" i="16"/>
  <c r="K83" i="16"/>
  <c r="L83" i="16"/>
  <c r="Q83" i="16"/>
  <c r="B84" i="21"/>
  <c r="B84" i="16"/>
  <c r="K84" i="16"/>
  <c r="L84" i="16"/>
  <c r="Q84" i="16"/>
  <c r="B85" i="21"/>
  <c r="B85" i="16"/>
  <c r="K85" i="16"/>
  <c r="L85" i="16"/>
  <c r="Q85" i="16"/>
  <c r="B86" i="21"/>
  <c r="B86" i="16"/>
  <c r="K86" i="16"/>
  <c r="L86" i="16"/>
  <c r="Q86" i="16"/>
  <c r="B87" i="21"/>
  <c r="B87" i="16"/>
  <c r="K87" i="16"/>
  <c r="L87" i="16"/>
  <c r="Q87" i="16"/>
  <c r="B88" i="21"/>
  <c r="B88" i="16"/>
  <c r="K88" i="16"/>
  <c r="L88" i="16"/>
  <c r="Q88" i="16"/>
  <c r="B89" i="21"/>
  <c r="B89" i="16"/>
  <c r="K89" i="16"/>
  <c r="L89" i="16"/>
  <c r="Q89" i="16"/>
  <c r="B90" i="21"/>
  <c r="B90" i="16"/>
  <c r="K90" i="16"/>
  <c r="L90" i="16"/>
  <c r="Q90" i="16"/>
  <c r="B91" i="21"/>
  <c r="B91" i="16"/>
  <c r="K91" i="16"/>
  <c r="L91" i="16"/>
  <c r="Q91" i="16"/>
  <c r="B92" i="21"/>
  <c r="B92" i="16"/>
  <c r="K92" i="16"/>
  <c r="L92" i="16"/>
  <c r="Q92" i="16"/>
  <c r="B93" i="21"/>
  <c r="B93" i="16"/>
  <c r="K93" i="16"/>
  <c r="L93" i="16"/>
  <c r="Q93" i="16"/>
  <c r="B94" i="21"/>
  <c r="B94" i="16"/>
  <c r="K94" i="16"/>
  <c r="L94" i="16"/>
  <c r="Q94" i="16"/>
  <c r="B95" i="21"/>
  <c r="B95" i="16"/>
  <c r="K95" i="16"/>
  <c r="L95" i="16"/>
  <c r="Q95" i="16"/>
  <c r="B96" i="21"/>
  <c r="B96" i="16"/>
  <c r="K96" i="16"/>
  <c r="L96" i="16"/>
  <c r="Q96" i="16"/>
  <c r="B97" i="21"/>
  <c r="B97" i="16"/>
  <c r="K97" i="16"/>
  <c r="L97" i="16"/>
  <c r="Q97" i="16"/>
  <c r="B98" i="21"/>
  <c r="B98" i="16"/>
  <c r="K98" i="16"/>
  <c r="L98" i="16"/>
  <c r="Q98" i="16"/>
  <c r="B99" i="21"/>
  <c r="B99" i="16"/>
  <c r="K99" i="16"/>
  <c r="L99" i="16"/>
  <c r="Q99" i="16"/>
  <c r="B100" i="21"/>
  <c r="B100" i="16"/>
  <c r="K100" i="16"/>
  <c r="L100" i="16"/>
  <c r="Q100" i="16"/>
  <c r="B101" i="21"/>
  <c r="B101" i="16"/>
  <c r="K101" i="16"/>
  <c r="L101" i="16"/>
  <c r="Q101" i="16"/>
  <c r="B102" i="21"/>
  <c r="B102" i="16"/>
  <c r="K102" i="16"/>
  <c r="L102" i="16"/>
  <c r="Q102" i="16"/>
  <c r="B103" i="21"/>
  <c r="B103" i="16"/>
  <c r="K103" i="16"/>
  <c r="L103" i="16"/>
  <c r="Q103" i="16"/>
  <c r="B104" i="21"/>
  <c r="B104" i="16"/>
  <c r="K104" i="16"/>
  <c r="L104" i="16"/>
  <c r="Q104" i="16"/>
  <c r="B105" i="21"/>
  <c r="B105" i="16"/>
  <c r="K105" i="16"/>
  <c r="L105" i="16"/>
  <c r="Q105" i="16"/>
  <c r="B106" i="21"/>
  <c r="B106" i="16"/>
  <c r="K106" i="16"/>
  <c r="L106" i="16"/>
  <c r="Q106" i="16"/>
  <c r="B107" i="21"/>
  <c r="B107" i="16"/>
  <c r="K107" i="16"/>
  <c r="L107" i="16"/>
  <c r="Q107" i="16"/>
  <c r="B108" i="21"/>
  <c r="B108" i="16"/>
  <c r="K108" i="16"/>
  <c r="L108" i="16"/>
  <c r="Q108" i="16"/>
  <c r="B109" i="21"/>
  <c r="B109" i="16"/>
  <c r="K109" i="16"/>
  <c r="L109" i="16"/>
  <c r="Q109" i="16"/>
  <c r="B110" i="21"/>
  <c r="B110" i="16"/>
  <c r="K110" i="16"/>
  <c r="L110" i="16"/>
  <c r="Q110" i="16"/>
  <c r="B111" i="21"/>
  <c r="B111" i="16"/>
  <c r="K111" i="16"/>
  <c r="L111" i="16"/>
  <c r="Q111" i="16"/>
  <c r="B112" i="21"/>
  <c r="B112" i="16"/>
  <c r="K112" i="16"/>
  <c r="L112" i="16"/>
  <c r="Q112" i="16"/>
  <c r="B113" i="21"/>
  <c r="B113" i="16"/>
  <c r="K113" i="16"/>
  <c r="L113" i="16"/>
  <c r="Q113" i="16"/>
  <c r="B114" i="21"/>
  <c r="B114" i="16"/>
  <c r="K114" i="16"/>
  <c r="L114" i="16"/>
  <c r="Q114" i="16"/>
  <c r="B115" i="21"/>
  <c r="B115" i="16"/>
  <c r="K115" i="16"/>
  <c r="L115" i="16"/>
  <c r="Q115" i="16"/>
  <c r="B116" i="21"/>
  <c r="B116" i="16"/>
  <c r="K116" i="16"/>
  <c r="L116" i="16"/>
  <c r="Q116" i="16"/>
  <c r="B117" i="21"/>
  <c r="B117" i="16"/>
  <c r="K117" i="16"/>
  <c r="L117" i="16"/>
  <c r="Q117" i="16"/>
  <c r="B118" i="21"/>
  <c r="B118" i="16"/>
  <c r="K118" i="16"/>
  <c r="L118" i="16"/>
  <c r="Q118" i="16"/>
  <c r="B119" i="21"/>
  <c r="B119" i="16"/>
  <c r="K119" i="16"/>
  <c r="L119" i="16"/>
  <c r="Q119" i="16"/>
  <c r="B120" i="21"/>
  <c r="B120" i="16"/>
  <c r="K120" i="16"/>
  <c r="L120" i="16"/>
  <c r="Q120" i="16"/>
  <c r="B121" i="21"/>
  <c r="B121" i="16"/>
  <c r="K121" i="16"/>
  <c r="L121" i="16"/>
  <c r="Q121" i="16"/>
  <c r="B122" i="21"/>
  <c r="B122" i="16"/>
  <c r="K122" i="16"/>
  <c r="L122" i="16"/>
  <c r="Q122" i="16"/>
  <c r="B123" i="21"/>
  <c r="B123" i="16"/>
  <c r="K123" i="16"/>
  <c r="L123" i="16"/>
  <c r="Q123" i="16"/>
  <c r="B124" i="21"/>
  <c r="B124" i="16"/>
  <c r="K124" i="16"/>
  <c r="L124" i="16"/>
  <c r="Q124" i="16"/>
  <c r="B125" i="21"/>
  <c r="B125" i="16"/>
  <c r="K125" i="16"/>
  <c r="L125" i="16"/>
  <c r="Q125" i="16"/>
  <c r="B126" i="21"/>
  <c r="B126" i="16"/>
  <c r="K126" i="16"/>
  <c r="L126" i="16"/>
  <c r="Q126" i="16"/>
  <c r="B127" i="21"/>
  <c r="B127" i="16"/>
  <c r="K127" i="16"/>
  <c r="L127" i="16"/>
  <c r="Q127" i="16"/>
  <c r="B128" i="21"/>
  <c r="B128" i="16"/>
  <c r="K128" i="16"/>
  <c r="L128" i="16"/>
  <c r="Q128" i="16"/>
  <c r="B129" i="21"/>
  <c r="B129" i="16"/>
  <c r="K129" i="16"/>
  <c r="L129" i="16"/>
  <c r="Q129" i="16"/>
  <c r="B130" i="21"/>
  <c r="B130" i="16"/>
  <c r="K130" i="16"/>
  <c r="L130" i="16"/>
  <c r="Q130" i="16"/>
  <c r="B131" i="21"/>
  <c r="B131" i="16"/>
  <c r="K131" i="16"/>
  <c r="L131" i="16"/>
  <c r="Q131" i="16"/>
  <c r="B132" i="21"/>
  <c r="B132" i="16"/>
  <c r="K132" i="16"/>
  <c r="L132" i="16"/>
  <c r="Q132" i="16"/>
  <c r="B133" i="21"/>
  <c r="B133" i="16"/>
  <c r="K133" i="16"/>
  <c r="L133" i="16"/>
  <c r="Q133" i="16"/>
  <c r="B134" i="21"/>
  <c r="B134" i="16"/>
  <c r="K134" i="16"/>
  <c r="L134" i="16"/>
  <c r="Q134" i="16"/>
  <c r="B135" i="21"/>
  <c r="B135" i="16"/>
  <c r="K135" i="16"/>
  <c r="L135" i="16"/>
  <c r="Q135" i="16"/>
  <c r="B136" i="21"/>
  <c r="B136" i="16"/>
  <c r="K136" i="16"/>
  <c r="L136" i="16"/>
  <c r="Q136" i="16"/>
  <c r="B137" i="21"/>
  <c r="B137" i="16"/>
  <c r="K137" i="16"/>
  <c r="L137" i="16"/>
  <c r="Q137" i="16"/>
  <c r="B138" i="21"/>
  <c r="B138" i="16"/>
  <c r="K138" i="16"/>
  <c r="L138" i="16"/>
  <c r="Q138" i="16"/>
  <c r="B139" i="21"/>
  <c r="B139" i="16"/>
  <c r="K139" i="16"/>
  <c r="L139" i="16"/>
  <c r="Q139" i="16"/>
  <c r="B140" i="21"/>
  <c r="B140" i="16"/>
  <c r="K140" i="16"/>
  <c r="L140" i="16"/>
  <c r="Q140" i="16"/>
  <c r="B141" i="21"/>
  <c r="B141" i="16"/>
  <c r="K141" i="16"/>
  <c r="L141" i="16"/>
  <c r="Q141" i="16"/>
  <c r="B142" i="21"/>
  <c r="B142" i="16"/>
  <c r="K142" i="16"/>
  <c r="L142" i="16"/>
  <c r="Q142" i="16"/>
  <c r="B143" i="21"/>
  <c r="B143" i="16"/>
  <c r="K143" i="16"/>
  <c r="L143" i="16"/>
  <c r="Q143" i="16"/>
  <c r="B144" i="21"/>
  <c r="B144" i="16"/>
  <c r="K144" i="16"/>
  <c r="L144" i="16"/>
  <c r="Q144" i="16"/>
  <c r="B145" i="21"/>
  <c r="B145" i="16"/>
  <c r="K145" i="16"/>
  <c r="L145" i="16"/>
  <c r="Q145" i="16"/>
  <c r="B146" i="21"/>
  <c r="B146" i="16"/>
  <c r="K146" i="16"/>
  <c r="L146" i="16"/>
  <c r="Q146" i="16"/>
  <c r="B147" i="21"/>
  <c r="B147" i="16"/>
  <c r="K147" i="16"/>
  <c r="L147" i="16"/>
  <c r="Q147" i="16"/>
  <c r="B148" i="21"/>
  <c r="B148" i="16"/>
  <c r="K148" i="16"/>
  <c r="L148" i="16"/>
  <c r="Q148" i="16"/>
  <c r="B149" i="21"/>
  <c r="B149" i="16"/>
  <c r="K149" i="16"/>
  <c r="L149" i="16"/>
  <c r="Q149" i="16"/>
  <c r="B150" i="21"/>
  <c r="B150" i="16"/>
  <c r="K150" i="16"/>
  <c r="L150" i="16"/>
  <c r="Q150" i="16"/>
  <c r="B151" i="21"/>
  <c r="B151" i="16"/>
  <c r="K151" i="16"/>
  <c r="L151" i="16"/>
  <c r="Q151" i="16"/>
  <c r="B152" i="21"/>
  <c r="B152" i="16"/>
  <c r="K152" i="16"/>
  <c r="L152" i="16"/>
  <c r="Q152" i="16"/>
  <c r="B153" i="21"/>
  <c r="B153" i="16"/>
  <c r="K153" i="16"/>
  <c r="L153" i="16"/>
  <c r="Q153" i="16"/>
  <c r="B154" i="21"/>
  <c r="B154" i="16"/>
  <c r="K154" i="16"/>
  <c r="L154" i="16"/>
  <c r="Q154" i="16"/>
  <c r="B155" i="21"/>
  <c r="B155" i="16"/>
  <c r="K155" i="16"/>
  <c r="L155" i="16"/>
  <c r="Q155" i="16"/>
  <c r="B156" i="21"/>
  <c r="B156" i="16"/>
  <c r="K156" i="16"/>
  <c r="L156" i="16"/>
  <c r="Q156" i="16"/>
  <c r="B157" i="21"/>
  <c r="B157" i="16"/>
  <c r="K157" i="16"/>
  <c r="L157" i="16"/>
  <c r="Q157" i="16"/>
  <c r="B158" i="21"/>
  <c r="B158" i="16"/>
  <c r="K158" i="16"/>
  <c r="L158" i="16"/>
  <c r="Q158" i="16"/>
  <c r="B159" i="21"/>
  <c r="B159" i="16"/>
  <c r="K159" i="16"/>
  <c r="L159" i="16"/>
  <c r="Q159" i="16"/>
  <c r="B160" i="21"/>
  <c r="B160" i="16"/>
  <c r="K160" i="16"/>
  <c r="L160" i="16"/>
  <c r="Q160" i="16"/>
  <c r="B161" i="21"/>
  <c r="B161" i="16"/>
  <c r="K161" i="16"/>
  <c r="L161" i="16"/>
  <c r="Q161" i="16"/>
  <c r="B162" i="21"/>
  <c r="B162" i="16"/>
  <c r="K162" i="16"/>
  <c r="L162" i="16"/>
  <c r="Q162" i="16"/>
  <c r="B163" i="21"/>
  <c r="B163" i="16"/>
  <c r="K163" i="16"/>
  <c r="L163" i="16"/>
  <c r="Q163" i="16"/>
  <c r="B164" i="21"/>
  <c r="B164" i="16"/>
  <c r="K164" i="16"/>
  <c r="L164" i="16"/>
  <c r="Q164" i="16"/>
  <c r="B165" i="21"/>
  <c r="B165" i="16"/>
  <c r="K165" i="16"/>
  <c r="L165" i="16"/>
  <c r="Q165" i="16"/>
  <c r="B166" i="21"/>
  <c r="B166" i="16"/>
  <c r="K166" i="16"/>
  <c r="L166" i="16"/>
  <c r="Q166" i="16"/>
  <c r="B167" i="21"/>
  <c r="B167" i="16"/>
  <c r="K167" i="16"/>
  <c r="L167" i="16"/>
  <c r="Q167" i="16"/>
  <c r="B168" i="21"/>
  <c r="B168" i="16"/>
  <c r="K168" i="16"/>
  <c r="L168" i="16"/>
  <c r="Q168" i="16"/>
  <c r="B169" i="21"/>
  <c r="B169" i="16"/>
  <c r="K169" i="16"/>
  <c r="L169" i="16"/>
  <c r="Q169" i="16"/>
  <c r="B170" i="21"/>
  <c r="B170" i="16"/>
  <c r="K170" i="16"/>
  <c r="L170" i="16"/>
  <c r="Q170" i="16"/>
  <c r="B171" i="21"/>
  <c r="B171" i="16"/>
  <c r="K171" i="16"/>
  <c r="L171" i="16"/>
  <c r="Q171" i="16"/>
  <c r="B172" i="21"/>
  <c r="B172" i="16"/>
  <c r="K172" i="16"/>
  <c r="L172" i="16"/>
  <c r="Q172" i="16"/>
  <c r="B173" i="21"/>
  <c r="B173" i="16"/>
  <c r="K173" i="16"/>
  <c r="L173" i="16"/>
  <c r="Q173" i="16"/>
  <c r="B174" i="21"/>
  <c r="B174" i="16"/>
  <c r="K174" i="16"/>
  <c r="L174" i="16"/>
  <c r="Q174" i="16"/>
  <c r="B175" i="21"/>
  <c r="B175" i="16"/>
  <c r="K175" i="16"/>
  <c r="L175" i="16"/>
  <c r="Q175" i="16"/>
  <c r="B176" i="21"/>
  <c r="B176" i="16"/>
  <c r="K176" i="16"/>
  <c r="L176" i="16"/>
  <c r="Q176" i="16"/>
  <c r="B177" i="21"/>
  <c r="B177" i="16"/>
  <c r="K177" i="16"/>
  <c r="L177" i="16"/>
  <c r="Q177" i="16"/>
  <c r="B178" i="21"/>
  <c r="B178" i="16"/>
  <c r="K178" i="16"/>
  <c r="L178" i="16"/>
  <c r="Q178" i="16"/>
  <c r="B179" i="21"/>
  <c r="B179" i="16"/>
  <c r="K179" i="16"/>
  <c r="L179" i="16"/>
  <c r="Q179" i="16"/>
  <c r="B180" i="21"/>
  <c r="B180" i="16"/>
  <c r="K180" i="16"/>
  <c r="L180" i="16"/>
  <c r="Q180" i="16"/>
  <c r="B181" i="21"/>
  <c r="B181" i="16"/>
  <c r="K181" i="16"/>
  <c r="L181" i="16"/>
  <c r="Q181" i="16"/>
  <c r="B182" i="21"/>
  <c r="B182" i="16"/>
  <c r="K182" i="16"/>
  <c r="L182" i="16"/>
  <c r="Q182" i="16"/>
  <c r="B183" i="21"/>
  <c r="B183" i="16"/>
  <c r="K183" i="16"/>
  <c r="L183" i="16"/>
  <c r="Q183" i="16"/>
  <c r="B184" i="21"/>
  <c r="B184" i="16"/>
  <c r="K184" i="16"/>
  <c r="L184" i="16"/>
  <c r="Q184" i="16"/>
  <c r="B185" i="21"/>
  <c r="B185" i="16"/>
  <c r="K185" i="16"/>
  <c r="L185" i="16"/>
  <c r="Q185" i="16"/>
  <c r="B186" i="21"/>
  <c r="B186" i="16"/>
  <c r="K186" i="16"/>
  <c r="L186" i="16"/>
  <c r="Q186" i="16"/>
  <c r="B187" i="21"/>
  <c r="B187" i="16"/>
  <c r="K187" i="16"/>
  <c r="L187" i="16"/>
  <c r="Q187" i="16"/>
  <c r="Q3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0" i="16"/>
  <c r="S71" i="16"/>
  <c r="S72" i="16"/>
  <c r="S73" i="16"/>
  <c r="S74" i="16"/>
  <c r="S75" i="16"/>
  <c r="S76" i="16"/>
  <c r="S77" i="16"/>
  <c r="S78" i="16"/>
  <c r="S79" i="16"/>
  <c r="S80" i="16"/>
  <c r="S81" i="16"/>
  <c r="S82" i="16"/>
  <c r="S83" i="16"/>
  <c r="S84" i="16"/>
  <c r="S85" i="16"/>
  <c r="S86" i="16"/>
  <c r="S87" i="16"/>
  <c r="S88" i="16"/>
  <c r="S89" i="16"/>
  <c r="S90" i="16"/>
  <c r="S91" i="16"/>
  <c r="S92" i="16"/>
  <c r="S93" i="16"/>
  <c r="S94" i="16"/>
  <c r="S95" i="16"/>
  <c r="S96" i="16"/>
  <c r="S97" i="16"/>
  <c r="S98" i="16"/>
  <c r="S99" i="16"/>
  <c r="S100" i="16"/>
  <c r="S101" i="16"/>
  <c r="S102" i="16"/>
  <c r="S103" i="16"/>
  <c r="S104" i="16"/>
  <c r="S105" i="16"/>
  <c r="S106" i="16"/>
  <c r="S107" i="16"/>
  <c r="S108" i="16"/>
  <c r="S109" i="16"/>
  <c r="S110" i="16"/>
  <c r="S111" i="16"/>
  <c r="S112" i="16"/>
  <c r="S113" i="16"/>
  <c r="S114" i="16"/>
  <c r="S115" i="16"/>
  <c r="S116" i="16"/>
  <c r="S117" i="16"/>
  <c r="S118" i="16"/>
  <c r="S119" i="16"/>
  <c r="S120" i="16"/>
  <c r="S121" i="16"/>
  <c r="S122" i="16"/>
  <c r="S123" i="16"/>
  <c r="S124" i="16"/>
  <c r="S125" i="16"/>
  <c r="S126" i="16"/>
  <c r="S127" i="16"/>
  <c r="S128" i="16"/>
  <c r="S129" i="16"/>
  <c r="S130" i="16"/>
  <c r="S131" i="16"/>
  <c r="S132" i="16"/>
  <c r="S133" i="16"/>
  <c r="S134" i="16"/>
  <c r="S135" i="16"/>
  <c r="S136" i="16"/>
  <c r="S137" i="16"/>
  <c r="S138" i="16"/>
  <c r="S139" i="16"/>
  <c r="S140" i="16"/>
  <c r="S141" i="16"/>
  <c r="S142" i="16"/>
  <c r="S143" i="16"/>
  <c r="S144" i="16"/>
  <c r="S145" i="16"/>
  <c r="S146" i="16"/>
  <c r="S147" i="16"/>
  <c r="S148" i="16"/>
  <c r="S149" i="16"/>
  <c r="S150" i="16"/>
  <c r="S151" i="16"/>
  <c r="S152" i="16"/>
  <c r="S153" i="16"/>
  <c r="S154" i="16"/>
  <c r="S155" i="16"/>
  <c r="S156" i="16"/>
  <c r="S157" i="16"/>
  <c r="S158" i="16"/>
  <c r="S159" i="16"/>
  <c r="S160" i="16"/>
  <c r="S161" i="16"/>
  <c r="S162" i="16"/>
  <c r="S163" i="16"/>
  <c r="S164" i="16"/>
  <c r="S165" i="16"/>
  <c r="S166" i="16"/>
  <c r="S167" i="16"/>
  <c r="S168" i="16"/>
  <c r="S169" i="16"/>
  <c r="S170" i="16"/>
  <c r="S171" i="16"/>
  <c r="S172" i="16"/>
  <c r="S173" i="16"/>
  <c r="S174" i="16"/>
  <c r="S175" i="16"/>
  <c r="S176" i="16"/>
  <c r="S177" i="16"/>
  <c r="S178" i="16"/>
  <c r="S179" i="16"/>
  <c r="S180" i="16"/>
  <c r="S181" i="16"/>
  <c r="S182" i="16"/>
  <c r="S183" i="16"/>
  <c r="S184" i="16"/>
  <c r="S185" i="16"/>
  <c r="S186" i="16"/>
  <c r="S187" i="16"/>
  <c r="S4" i="16"/>
  <c r="S3" i="16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39" i="16"/>
  <c r="R40" i="16"/>
  <c r="R41" i="16"/>
  <c r="R42" i="16"/>
  <c r="R43" i="16"/>
  <c r="R44" i="16"/>
  <c r="R45" i="16"/>
  <c r="R46" i="16"/>
  <c r="R47" i="16"/>
  <c r="R48" i="16"/>
  <c r="R49" i="16"/>
  <c r="R50" i="16"/>
  <c r="R51" i="16"/>
  <c r="R52" i="16"/>
  <c r="R53" i="16"/>
  <c r="R54" i="16"/>
  <c r="R55" i="16"/>
  <c r="R56" i="16"/>
  <c r="R57" i="16"/>
  <c r="R58" i="16"/>
  <c r="R59" i="16"/>
  <c r="R60" i="16"/>
  <c r="R61" i="16"/>
  <c r="R62" i="16"/>
  <c r="R63" i="16"/>
  <c r="R64" i="16"/>
  <c r="R65" i="16"/>
  <c r="R66" i="16"/>
  <c r="R67" i="16"/>
  <c r="R68" i="16"/>
  <c r="R69" i="16"/>
  <c r="R70" i="16"/>
  <c r="R71" i="16"/>
  <c r="R72" i="16"/>
  <c r="R73" i="16"/>
  <c r="R74" i="16"/>
  <c r="R75" i="16"/>
  <c r="R76" i="16"/>
  <c r="R77" i="16"/>
  <c r="R78" i="16"/>
  <c r="R79" i="16"/>
  <c r="R80" i="16"/>
  <c r="R81" i="16"/>
  <c r="R82" i="16"/>
  <c r="R83" i="16"/>
  <c r="R84" i="16"/>
  <c r="R85" i="16"/>
  <c r="R86" i="16"/>
  <c r="R87" i="16"/>
  <c r="R88" i="16"/>
  <c r="R89" i="16"/>
  <c r="R90" i="16"/>
  <c r="R91" i="16"/>
  <c r="R92" i="16"/>
  <c r="R93" i="16"/>
  <c r="R94" i="16"/>
  <c r="R95" i="16"/>
  <c r="R96" i="16"/>
  <c r="R97" i="16"/>
  <c r="R98" i="16"/>
  <c r="R99" i="16"/>
  <c r="R100" i="16"/>
  <c r="R101" i="16"/>
  <c r="R102" i="16"/>
  <c r="R103" i="16"/>
  <c r="R104" i="16"/>
  <c r="R105" i="16"/>
  <c r="R106" i="16"/>
  <c r="R107" i="16"/>
  <c r="R108" i="16"/>
  <c r="R109" i="16"/>
  <c r="R110" i="16"/>
  <c r="R111" i="16"/>
  <c r="R112" i="16"/>
  <c r="R113" i="16"/>
  <c r="R114" i="16"/>
  <c r="R115" i="16"/>
  <c r="R116" i="16"/>
  <c r="R117" i="16"/>
  <c r="R118" i="16"/>
  <c r="R119" i="16"/>
  <c r="R120" i="16"/>
  <c r="R121" i="16"/>
  <c r="R122" i="16"/>
  <c r="R123" i="16"/>
  <c r="R124" i="16"/>
  <c r="R125" i="16"/>
  <c r="R126" i="16"/>
  <c r="R127" i="16"/>
  <c r="R128" i="16"/>
  <c r="R129" i="16"/>
  <c r="R130" i="16"/>
  <c r="R131" i="16"/>
  <c r="R132" i="16"/>
  <c r="R133" i="16"/>
  <c r="R134" i="16"/>
  <c r="R135" i="16"/>
  <c r="R136" i="16"/>
  <c r="R137" i="16"/>
  <c r="R138" i="16"/>
  <c r="R139" i="16"/>
  <c r="R140" i="16"/>
  <c r="R141" i="16"/>
  <c r="R142" i="16"/>
  <c r="R143" i="16"/>
  <c r="R144" i="16"/>
  <c r="R145" i="16"/>
  <c r="R146" i="16"/>
  <c r="R147" i="16"/>
  <c r="R148" i="16"/>
  <c r="R149" i="16"/>
  <c r="R150" i="16"/>
  <c r="R151" i="16"/>
  <c r="R152" i="16"/>
  <c r="R153" i="16"/>
  <c r="R154" i="16"/>
  <c r="R155" i="16"/>
  <c r="R156" i="16"/>
  <c r="R157" i="16"/>
  <c r="R158" i="16"/>
  <c r="R159" i="16"/>
  <c r="R160" i="16"/>
  <c r="R161" i="16"/>
  <c r="R162" i="16"/>
  <c r="R163" i="16"/>
  <c r="R164" i="16"/>
  <c r="R165" i="16"/>
  <c r="R166" i="16"/>
  <c r="R167" i="16"/>
  <c r="R168" i="16"/>
  <c r="R169" i="16"/>
  <c r="R170" i="16"/>
  <c r="R171" i="16"/>
  <c r="R172" i="16"/>
  <c r="R173" i="16"/>
  <c r="R174" i="16"/>
  <c r="R175" i="16"/>
  <c r="R176" i="16"/>
  <c r="R177" i="16"/>
  <c r="R178" i="16"/>
  <c r="R179" i="16"/>
  <c r="R180" i="16"/>
  <c r="R181" i="16"/>
  <c r="R182" i="16"/>
  <c r="R183" i="16"/>
  <c r="R184" i="16"/>
  <c r="R185" i="16"/>
  <c r="R186" i="16"/>
  <c r="R187" i="16"/>
  <c r="U2" i="16"/>
  <c r="U3" i="16"/>
  <c r="U4" i="16"/>
  <c r="U5" i="16"/>
  <c r="U6" i="16"/>
  <c r="U7" i="16"/>
  <c r="U8" i="16"/>
  <c r="U9" i="16"/>
  <c r="U10" i="16"/>
  <c r="U11" i="16"/>
  <c r="U12" i="16"/>
  <c r="U13" i="16"/>
  <c r="U14" i="16"/>
  <c r="U15" i="16"/>
  <c r="U16" i="16"/>
  <c r="U17" i="16"/>
  <c r="U18" i="16"/>
  <c r="U19" i="16"/>
  <c r="U20" i="16"/>
  <c r="U21" i="16"/>
  <c r="U22" i="16"/>
  <c r="U23" i="16"/>
  <c r="U24" i="16"/>
  <c r="U25" i="16"/>
  <c r="U26" i="16"/>
  <c r="U27" i="16"/>
  <c r="U28" i="16"/>
  <c r="U29" i="16"/>
  <c r="U30" i="16"/>
  <c r="U31" i="16"/>
  <c r="U32" i="16"/>
  <c r="U33" i="16"/>
  <c r="U34" i="16"/>
  <c r="U35" i="16"/>
  <c r="U36" i="16"/>
  <c r="U37" i="16"/>
  <c r="U38" i="16"/>
  <c r="U39" i="16"/>
  <c r="U40" i="16"/>
  <c r="U41" i="16"/>
  <c r="U42" i="16"/>
  <c r="U43" i="16"/>
  <c r="U44" i="16"/>
  <c r="U45" i="16"/>
  <c r="U46" i="16"/>
  <c r="U47" i="16"/>
  <c r="U48" i="16"/>
  <c r="U49" i="16"/>
  <c r="U50" i="16"/>
  <c r="U51" i="16"/>
  <c r="U52" i="16"/>
  <c r="U53" i="16"/>
  <c r="U54" i="16"/>
  <c r="U55" i="16"/>
  <c r="U56" i="16"/>
  <c r="U57" i="16"/>
  <c r="U58" i="16"/>
  <c r="U59" i="16"/>
  <c r="U60" i="16"/>
  <c r="U61" i="16"/>
  <c r="U62" i="16"/>
  <c r="U63" i="16"/>
  <c r="U64" i="16"/>
  <c r="U65" i="16"/>
  <c r="U66" i="16"/>
  <c r="U67" i="16"/>
  <c r="U68" i="16"/>
  <c r="U69" i="16"/>
  <c r="U70" i="16"/>
  <c r="U71" i="16"/>
  <c r="U72" i="16"/>
  <c r="U73" i="16"/>
  <c r="U74" i="16"/>
  <c r="U75" i="16"/>
  <c r="U76" i="16"/>
  <c r="U77" i="16"/>
  <c r="U78" i="16"/>
  <c r="U79" i="16"/>
  <c r="U80" i="16"/>
  <c r="U81" i="16"/>
  <c r="U82" i="16"/>
  <c r="U83" i="16"/>
  <c r="U84" i="16"/>
  <c r="U85" i="16"/>
  <c r="U86" i="16"/>
  <c r="U87" i="16"/>
  <c r="U88" i="16"/>
  <c r="U89" i="16"/>
  <c r="U90" i="16"/>
  <c r="U91" i="16"/>
  <c r="U92" i="16"/>
  <c r="U93" i="16"/>
  <c r="U94" i="16"/>
  <c r="U95" i="16"/>
  <c r="U96" i="16"/>
  <c r="U97" i="16"/>
  <c r="U98" i="16"/>
  <c r="U99" i="16"/>
  <c r="U100" i="16"/>
  <c r="U101" i="16"/>
  <c r="U102" i="16"/>
  <c r="U103" i="16"/>
  <c r="U104" i="16"/>
  <c r="U105" i="16"/>
  <c r="U106" i="16"/>
  <c r="U107" i="16"/>
  <c r="U108" i="16"/>
  <c r="U109" i="16"/>
  <c r="U110" i="16"/>
  <c r="U111" i="16"/>
  <c r="U112" i="16"/>
  <c r="U113" i="16"/>
  <c r="U114" i="16"/>
  <c r="U115" i="16"/>
  <c r="U116" i="16"/>
  <c r="U117" i="16"/>
  <c r="U118" i="16"/>
  <c r="U119" i="16"/>
  <c r="U120" i="16"/>
  <c r="U121" i="16"/>
  <c r="U122" i="16"/>
  <c r="U123" i="16"/>
  <c r="U124" i="16"/>
  <c r="U125" i="16"/>
  <c r="U126" i="16"/>
  <c r="U127" i="16"/>
  <c r="U128" i="16"/>
  <c r="U129" i="16"/>
  <c r="U130" i="16"/>
  <c r="U131" i="16"/>
  <c r="U132" i="16"/>
  <c r="U133" i="16"/>
  <c r="U134" i="16"/>
  <c r="U135" i="16"/>
  <c r="U136" i="16"/>
  <c r="U137" i="16"/>
  <c r="U138" i="16"/>
  <c r="U139" i="16"/>
  <c r="U140" i="16"/>
  <c r="U141" i="16"/>
  <c r="U142" i="16"/>
  <c r="U143" i="16"/>
  <c r="U144" i="16"/>
  <c r="U145" i="16"/>
  <c r="U146" i="16"/>
  <c r="U147" i="16"/>
  <c r="U148" i="16"/>
  <c r="U149" i="16"/>
  <c r="U150" i="16"/>
  <c r="U151" i="16"/>
  <c r="U152" i="16"/>
  <c r="U153" i="16"/>
  <c r="U154" i="16"/>
  <c r="U155" i="16"/>
  <c r="U156" i="16"/>
  <c r="U157" i="16"/>
  <c r="U158" i="16"/>
  <c r="U159" i="16"/>
  <c r="U160" i="16"/>
  <c r="U161" i="16"/>
  <c r="U162" i="16"/>
  <c r="U163" i="16"/>
  <c r="U164" i="16"/>
  <c r="U165" i="16"/>
  <c r="U166" i="16"/>
  <c r="U167" i="16"/>
  <c r="U168" i="16"/>
  <c r="U169" i="16"/>
  <c r="U170" i="16"/>
  <c r="U171" i="16"/>
  <c r="U172" i="16"/>
  <c r="U173" i="16"/>
  <c r="U174" i="16"/>
  <c r="U175" i="16"/>
  <c r="U176" i="16"/>
  <c r="U177" i="16"/>
  <c r="U178" i="16"/>
  <c r="U179" i="16"/>
  <c r="U180" i="16"/>
  <c r="U181" i="16"/>
  <c r="U182" i="16"/>
  <c r="U183" i="16"/>
  <c r="U184" i="16"/>
  <c r="U185" i="16"/>
  <c r="U186" i="16"/>
  <c r="U187" i="16"/>
  <c r="V2" i="16"/>
  <c r="V3" i="16"/>
  <c r="V4" i="16"/>
  <c r="V5" i="16"/>
  <c r="V6" i="16"/>
  <c r="V7" i="16"/>
  <c r="V8" i="16"/>
  <c r="V9" i="16"/>
  <c r="V10" i="16"/>
  <c r="V11" i="16"/>
  <c r="V12" i="16"/>
  <c r="V13" i="16"/>
  <c r="V14" i="16"/>
  <c r="V15" i="16"/>
  <c r="V16" i="16"/>
  <c r="V17" i="16"/>
  <c r="V18" i="16"/>
  <c r="V19" i="16"/>
  <c r="V20" i="16"/>
  <c r="V21" i="16"/>
  <c r="V22" i="16"/>
  <c r="V23" i="16"/>
  <c r="V24" i="16"/>
  <c r="V25" i="16"/>
  <c r="V26" i="16"/>
  <c r="V27" i="16"/>
  <c r="V28" i="16"/>
  <c r="V29" i="16"/>
  <c r="V30" i="16"/>
  <c r="V31" i="16"/>
  <c r="V32" i="16"/>
  <c r="V33" i="16"/>
  <c r="V34" i="16"/>
  <c r="V35" i="16"/>
  <c r="V36" i="16"/>
  <c r="V37" i="16"/>
  <c r="V38" i="16"/>
  <c r="V39" i="16"/>
  <c r="V40" i="16"/>
  <c r="V41" i="16"/>
  <c r="V42" i="16"/>
  <c r="V43" i="16"/>
  <c r="V44" i="16"/>
  <c r="V45" i="16"/>
  <c r="V46" i="16"/>
  <c r="V47" i="16"/>
  <c r="V48" i="16"/>
  <c r="V49" i="16"/>
  <c r="V50" i="16"/>
  <c r="V51" i="16"/>
  <c r="V52" i="16"/>
  <c r="V53" i="16"/>
  <c r="V54" i="16"/>
  <c r="V55" i="16"/>
  <c r="V56" i="16"/>
  <c r="V57" i="16"/>
  <c r="V58" i="16"/>
  <c r="V59" i="16"/>
  <c r="V60" i="16"/>
  <c r="V61" i="16"/>
  <c r="V62" i="16"/>
  <c r="V63" i="16"/>
  <c r="V64" i="16"/>
  <c r="V65" i="16"/>
  <c r="V66" i="16"/>
  <c r="V67" i="16"/>
  <c r="V68" i="16"/>
  <c r="V69" i="16"/>
  <c r="V70" i="16"/>
  <c r="V71" i="16"/>
  <c r="V72" i="16"/>
  <c r="V73" i="16"/>
  <c r="V74" i="16"/>
  <c r="V75" i="16"/>
  <c r="V76" i="16"/>
  <c r="V77" i="16"/>
  <c r="V78" i="16"/>
  <c r="V79" i="16"/>
  <c r="V80" i="16"/>
  <c r="V81" i="16"/>
  <c r="V82" i="16"/>
  <c r="V83" i="16"/>
  <c r="V84" i="16"/>
  <c r="V85" i="16"/>
  <c r="V86" i="16"/>
  <c r="V87" i="16"/>
  <c r="V88" i="16"/>
  <c r="V89" i="16"/>
  <c r="V90" i="16"/>
  <c r="V91" i="16"/>
  <c r="V92" i="16"/>
  <c r="V93" i="16"/>
  <c r="V94" i="16"/>
  <c r="V95" i="16"/>
  <c r="V96" i="16"/>
  <c r="V97" i="16"/>
  <c r="V98" i="16"/>
  <c r="V99" i="16"/>
  <c r="V100" i="16"/>
  <c r="V101" i="16"/>
  <c r="V102" i="16"/>
  <c r="V103" i="16"/>
  <c r="V104" i="16"/>
  <c r="V105" i="16"/>
  <c r="V106" i="16"/>
  <c r="V107" i="16"/>
  <c r="V108" i="16"/>
  <c r="V109" i="16"/>
  <c r="V110" i="16"/>
  <c r="V111" i="16"/>
  <c r="V112" i="16"/>
  <c r="V113" i="16"/>
  <c r="V114" i="16"/>
  <c r="V115" i="16"/>
  <c r="V116" i="16"/>
  <c r="V117" i="16"/>
  <c r="V118" i="16"/>
  <c r="V119" i="16"/>
  <c r="V120" i="16"/>
  <c r="V121" i="16"/>
  <c r="V122" i="16"/>
  <c r="V123" i="16"/>
  <c r="V124" i="16"/>
  <c r="V125" i="16"/>
  <c r="V126" i="16"/>
  <c r="V127" i="16"/>
  <c r="V128" i="16"/>
  <c r="V129" i="16"/>
  <c r="V130" i="16"/>
  <c r="V131" i="16"/>
  <c r="V132" i="16"/>
  <c r="V133" i="16"/>
  <c r="V134" i="16"/>
  <c r="V135" i="16"/>
  <c r="V136" i="16"/>
  <c r="V137" i="16"/>
  <c r="V138" i="16"/>
  <c r="V139" i="16"/>
  <c r="V140" i="16"/>
  <c r="V141" i="16"/>
  <c r="V142" i="16"/>
  <c r="V143" i="16"/>
  <c r="V144" i="16"/>
  <c r="V145" i="16"/>
  <c r="V146" i="16"/>
  <c r="V147" i="16"/>
  <c r="V148" i="16"/>
  <c r="V149" i="16"/>
  <c r="V150" i="16"/>
  <c r="V151" i="16"/>
  <c r="V152" i="16"/>
  <c r="V153" i="16"/>
  <c r="V154" i="16"/>
  <c r="V155" i="16"/>
  <c r="V156" i="16"/>
  <c r="V157" i="16"/>
  <c r="V158" i="16"/>
  <c r="V159" i="16"/>
  <c r="V160" i="16"/>
  <c r="V161" i="16"/>
  <c r="V162" i="16"/>
  <c r="V163" i="16"/>
  <c r="V164" i="16"/>
  <c r="V165" i="16"/>
  <c r="V166" i="16"/>
  <c r="V167" i="16"/>
  <c r="V168" i="16"/>
  <c r="V169" i="16"/>
  <c r="V170" i="16"/>
  <c r="V171" i="16"/>
  <c r="V172" i="16"/>
  <c r="V173" i="16"/>
  <c r="V174" i="16"/>
  <c r="V175" i="16"/>
  <c r="V176" i="16"/>
  <c r="V177" i="16"/>
  <c r="V178" i="16"/>
  <c r="V179" i="16"/>
  <c r="V180" i="16"/>
  <c r="V181" i="16"/>
  <c r="V182" i="16"/>
  <c r="V183" i="16"/>
  <c r="V184" i="16"/>
  <c r="V185" i="16"/>
  <c r="V186" i="16"/>
  <c r="V187" i="16"/>
  <c r="M11" i="16"/>
  <c r="M16" i="16"/>
  <c r="M19" i="16"/>
  <c r="M20" i="16"/>
  <c r="M3" i="16"/>
  <c r="M4" i="16"/>
  <c r="M5" i="16"/>
  <c r="M6" i="16"/>
  <c r="M7" i="16"/>
  <c r="M8" i="16"/>
  <c r="M9" i="16"/>
  <c r="M10" i="16"/>
  <c r="M12" i="16"/>
  <c r="M13" i="16"/>
  <c r="M14" i="16"/>
  <c r="M15" i="16"/>
  <c r="M17" i="16"/>
  <c r="M18" i="16"/>
  <c r="M21" i="16"/>
  <c r="P22" i="16"/>
  <c r="Y22" i="16"/>
  <c r="M25" i="16"/>
  <c r="M27" i="16"/>
  <c r="M22" i="16"/>
  <c r="M23" i="16"/>
  <c r="M24" i="16"/>
  <c r="M26" i="16"/>
  <c r="M28" i="16"/>
  <c r="P29" i="16"/>
  <c r="Y29" i="16"/>
  <c r="H2" i="21"/>
  <c r="G2" i="21"/>
  <c r="F2" i="21"/>
  <c r="E2" i="21"/>
  <c r="D2" i="21"/>
  <c r="H3" i="21"/>
  <c r="G3" i="21"/>
  <c r="F3" i="21"/>
  <c r="E3" i="21"/>
  <c r="D3" i="21"/>
  <c r="H4" i="21"/>
  <c r="G4" i="21"/>
  <c r="F4" i="21"/>
  <c r="E4" i="21"/>
  <c r="D4" i="21"/>
  <c r="H5" i="21"/>
  <c r="G5" i="21"/>
  <c r="F5" i="21"/>
  <c r="E5" i="21"/>
  <c r="D5" i="21"/>
  <c r="H6" i="21"/>
  <c r="G6" i="21"/>
  <c r="F6" i="21"/>
  <c r="E6" i="21"/>
  <c r="D6" i="21"/>
  <c r="H7" i="21"/>
  <c r="G7" i="21"/>
  <c r="F7" i="21"/>
  <c r="E7" i="21"/>
  <c r="D7" i="21"/>
  <c r="H8" i="21"/>
  <c r="G8" i="21"/>
  <c r="F8" i="21"/>
  <c r="E8" i="21"/>
  <c r="D8" i="21"/>
  <c r="H9" i="21"/>
  <c r="G9" i="21"/>
  <c r="F9" i="21"/>
  <c r="E9" i="21"/>
  <c r="D9" i="21"/>
  <c r="H10" i="21"/>
  <c r="G10" i="21"/>
  <c r="F10" i="21"/>
  <c r="E10" i="21"/>
  <c r="D10" i="21"/>
  <c r="H11" i="21"/>
  <c r="G11" i="21"/>
  <c r="F11" i="21"/>
  <c r="E11" i="21"/>
  <c r="D11" i="21"/>
  <c r="H12" i="21"/>
  <c r="G12" i="21"/>
  <c r="F12" i="21"/>
  <c r="E12" i="21"/>
  <c r="D12" i="21"/>
  <c r="H13" i="21"/>
  <c r="G13" i="21"/>
  <c r="F13" i="21"/>
  <c r="E13" i="21"/>
  <c r="D13" i="21"/>
  <c r="H14" i="21"/>
  <c r="G14" i="21"/>
  <c r="F14" i="21"/>
  <c r="E14" i="21"/>
  <c r="D14" i="21"/>
  <c r="H15" i="21"/>
  <c r="G15" i="21"/>
  <c r="F15" i="21"/>
  <c r="E15" i="21"/>
  <c r="D15" i="21"/>
  <c r="H16" i="21"/>
  <c r="G16" i="21"/>
  <c r="F16" i="21"/>
  <c r="E16" i="21"/>
  <c r="D16" i="21"/>
  <c r="H17" i="21"/>
  <c r="G17" i="21"/>
  <c r="F17" i="21"/>
  <c r="E17" i="21"/>
  <c r="D17" i="21"/>
  <c r="H18" i="21"/>
  <c r="G18" i="21"/>
  <c r="F18" i="21"/>
  <c r="E18" i="21"/>
  <c r="D18" i="21"/>
  <c r="H19" i="21"/>
  <c r="G19" i="21"/>
  <c r="F19" i="21"/>
  <c r="E19" i="21"/>
  <c r="D19" i="21"/>
  <c r="H20" i="21"/>
  <c r="G20" i="21"/>
  <c r="F20" i="21"/>
  <c r="E20" i="21"/>
  <c r="D20" i="21"/>
  <c r="H21" i="21"/>
  <c r="G21" i="21"/>
  <c r="F21" i="21"/>
  <c r="E21" i="21"/>
  <c r="D21" i="21"/>
  <c r="H22" i="21"/>
  <c r="G22" i="21"/>
  <c r="F22" i="21"/>
  <c r="E22" i="21"/>
  <c r="D22" i="21"/>
  <c r="H23" i="21"/>
  <c r="G23" i="21"/>
  <c r="F23" i="21"/>
  <c r="E23" i="21"/>
  <c r="D23" i="21"/>
  <c r="H24" i="21"/>
  <c r="G24" i="21"/>
  <c r="F24" i="21"/>
  <c r="E24" i="21"/>
  <c r="D24" i="21"/>
  <c r="H25" i="21"/>
  <c r="G25" i="21"/>
  <c r="F25" i="21"/>
  <c r="E25" i="21"/>
  <c r="D25" i="21"/>
  <c r="H26" i="21"/>
  <c r="G26" i="21"/>
  <c r="F26" i="21"/>
  <c r="E26" i="21"/>
  <c r="D26" i="21"/>
  <c r="H27" i="21"/>
  <c r="G27" i="21"/>
  <c r="F27" i="21"/>
  <c r="E27" i="21"/>
  <c r="D27" i="21"/>
  <c r="H28" i="21"/>
  <c r="G28" i="21"/>
  <c r="F28" i="21"/>
  <c r="E28" i="21"/>
  <c r="D28" i="21"/>
  <c r="H29" i="21"/>
  <c r="G29" i="21"/>
  <c r="F29" i="21"/>
  <c r="E29" i="21"/>
  <c r="D29" i="21"/>
  <c r="H30" i="21"/>
  <c r="G30" i="21"/>
  <c r="F30" i="21"/>
  <c r="E30" i="21"/>
  <c r="D30" i="21"/>
  <c r="H31" i="21"/>
  <c r="G31" i="21"/>
  <c r="F31" i="21"/>
  <c r="E31" i="21"/>
  <c r="D31" i="21"/>
  <c r="H32" i="21"/>
  <c r="G32" i="21"/>
  <c r="F32" i="21"/>
  <c r="E32" i="21"/>
  <c r="D32" i="21"/>
  <c r="H33" i="21"/>
  <c r="G33" i="21"/>
  <c r="F33" i="21"/>
  <c r="E33" i="21"/>
  <c r="D33" i="21"/>
  <c r="H34" i="21"/>
  <c r="G34" i="21"/>
  <c r="F34" i="21"/>
  <c r="E34" i="21"/>
  <c r="D34" i="21"/>
  <c r="H35" i="21"/>
  <c r="G35" i="21"/>
  <c r="F35" i="21"/>
  <c r="E35" i="21"/>
  <c r="D35" i="21"/>
  <c r="H36" i="21"/>
  <c r="G36" i="21"/>
  <c r="F36" i="21"/>
  <c r="E36" i="21"/>
  <c r="D36" i="21"/>
  <c r="H37" i="21"/>
  <c r="G37" i="21"/>
  <c r="F37" i="21"/>
  <c r="E37" i="21"/>
  <c r="D37" i="21"/>
  <c r="H38" i="21"/>
  <c r="G38" i="21"/>
  <c r="F38" i="21"/>
  <c r="E38" i="21"/>
  <c r="D38" i="21"/>
  <c r="H39" i="21"/>
  <c r="G39" i="21"/>
  <c r="F39" i="21"/>
  <c r="E39" i="21"/>
  <c r="D39" i="21"/>
  <c r="H40" i="21"/>
  <c r="G40" i="21"/>
  <c r="F40" i="21"/>
  <c r="E40" i="21"/>
  <c r="D40" i="21"/>
  <c r="H41" i="21"/>
  <c r="G41" i="21"/>
  <c r="F41" i="21"/>
  <c r="E41" i="21"/>
  <c r="D41" i="21"/>
  <c r="H42" i="21"/>
  <c r="G42" i="21"/>
  <c r="F42" i="21"/>
  <c r="E42" i="21"/>
  <c r="D42" i="21"/>
  <c r="H43" i="21"/>
  <c r="G43" i="21"/>
  <c r="F43" i="21"/>
  <c r="E43" i="21"/>
  <c r="D43" i="21"/>
  <c r="H44" i="21"/>
  <c r="G44" i="21"/>
  <c r="F44" i="21"/>
  <c r="E44" i="21"/>
  <c r="D44" i="21"/>
  <c r="H45" i="21"/>
  <c r="G45" i="21"/>
  <c r="F45" i="21"/>
  <c r="E45" i="21"/>
  <c r="D45" i="21"/>
  <c r="H46" i="21"/>
  <c r="G46" i="21"/>
  <c r="F46" i="21"/>
  <c r="E46" i="21"/>
  <c r="D46" i="21"/>
  <c r="H47" i="21"/>
  <c r="G47" i="21"/>
  <c r="F47" i="21"/>
  <c r="E47" i="21"/>
  <c r="D47" i="21"/>
  <c r="H48" i="21"/>
  <c r="G48" i="21"/>
  <c r="F48" i="21"/>
  <c r="E48" i="21"/>
  <c r="D48" i="21"/>
  <c r="H49" i="21"/>
  <c r="G49" i="21"/>
  <c r="F49" i="21"/>
  <c r="E49" i="21"/>
  <c r="D49" i="21"/>
  <c r="H50" i="21"/>
  <c r="G50" i="21"/>
  <c r="F50" i="21"/>
  <c r="E50" i="21"/>
  <c r="D50" i="21"/>
  <c r="H51" i="21"/>
  <c r="G51" i="21"/>
  <c r="F51" i="21"/>
  <c r="E51" i="21"/>
  <c r="D51" i="21"/>
  <c r="H52" i="21"/>
  <c r="G52" i="21"/>
  <c r="F52" i="21"/>
  <c r="E52" i="21"/>
  <c r="D52" i="21"/>
  <c r="H53" i="21"/>
  <c r="G53" i="21"/>
  <c r="F53" i="21"/>
  <c r="E53" i="21"/>
  <c r="D53" i="21"/>
  <c r="H54" i="21"/>
  <c r="G54" i="21"/>
  <c r="F54" i="21"/>
  <c r="E54" i="21"/>
  <c r="D54" i="21"/>
  <c r="H55" i="21"/>
  <c r="G55" i="21"/>
  <c r="F55" i="21"/>
  <c r="E55" i="21"/>
  <c r="D55" i="21"/>
  <c r="H56" i="21"/>
  <c r="G56" i="21"/>
  <c r="F56" i="21"/>
  <c r="E56" i="21"/>
  <c r="D56" i="21"/>
  <c r="H57" i="21"/>
  <c r="G57" i="21"/>
  <c r="F57" i="21"/>
  <c r="E57" i="21"/>
  <c r="D57" i="21"/>
  <c r="H58" i="21"/>
  <c r="G58" i="21"/>
  <c r="F58" i="21"/>
  <c r="E58" i="21"/>
  <c r="D58" i="21"/>
  <c r="H59" i="21"/>
  <c r="G59" i="21"/>
  <c r="F59" i="21"/>
  <c r="E59" i="21"/>
  <c r="D59" i="21"/>
  <c r="H60" i="21"/>
  <c r="G60" i="21"/>
  <c r="F60" i="21"/>
  <c r="E60" i="21"/>
  <c r="D60" i="21"/>
  <c r="H61" i="21"/>
  <c r="G61" i="21"/>
  <c r="F61" i="21"/>
  <c r="E61" i="21"/>
  <c r="D61" i="21"/>
  <c r="H62" i="21"/>
  <c r="G62" i="21"/>
  <c r="F62" i="21"/>
  <c r="E62" i="21"/>
  <c r="D62" i="21"/>
  <c r="H63" i="21"/>
  <c r="G63" i="21"/>
  <c r="F63" i="21"/>
  <c r="E63" i="21"/>
  <c r="D63" i="21"/>
  <c r="H64" i="21"/>
  <c r="G64" i="21"/>
  <c r="F64" i="21"/>
  <c r="E64" i="21"/>
  <c r="D64" i="21"/>
  <c r="H65" i="21"/>
  <c r="G65" i="21"/>
  <c r="F65" i="21"/>
  <c r="E65" i="21"/>
  <c r="D65" i="21"/>
  <c r="H66" i="21"/>
  <c r="G66" i="21"/>
  <c r="F66" i="21"/>
  <c r="E66" i="21"/>
  <c r="D66" i="21"/>
  <c r="H67" i="21"/>
  <c r="G67" i="21"/>
  <c r="F67" i="21"/>
  <c r="E67" i="21"/>
  <c r="D67" i="21"/>
  <c r="H68" i="21"/>
  <c r="G68" i="21"/>
  <c r="F68" i="21"/>
  <c r="E68" i="21"/>
  <c r="D68" i="21"/>
  <c r="H69" i="21"/>
  <c r="G69" i="21"/>
  <c r="F69" i="21"/>
  <c r="E69" i="21"/>
  <c r="D69" i="21"/>
  <c r="H70" i="21"/>
  <c r="G70" i="21"/>
  <c r="F70" i="21"/>
  <c r="E70" i="21"/>
  <c r="D70" i="21"/>
  <c r="H71" i="21"/>
  <c r="G71" i="21"/>
  <c r="F71" i="21"/>
  <c r="E71" i="21"/>
  <c r="D71" i="21"/>
  <c r="H72" i="21"/>
  <c r="G72" i="21"/>
  <c r="F72" i="21"/>
  <c r="E72" i="21"/>
  <c r="D72" i="21"/>
  <c r="H73" i="21"/>
  <c r="G73" i="21"/>
  <c r="F73" i="21"/>
  <c r="E73" i="21"/>
  <c r="D73" i="21"/>
  <c r="H74" i="21"/>
  <c r="G74" i="21"/>
  <c r="F74" i="21"/>
  <c r="E74" i="21"/>
  <c r="D74" i="21"/>
  <c r="H75" i="21"/>
  <c r="G75" i="21"/>
  <c r="F75" i="21"/>
  <c r="E75" i="21"/>
  <c r="D75" i="21"/>
  <c r="H76" i="21"/>
  <c r="G76" i="21"/>
  <c r="F76" i="21"/>
  <c r="E76" i="21"/>
  <c r="D76" i="21"/>
  <c r="H77" i="21"/>
  <c r="G77" i="21"/>
  <c r="F77" i="21"/>
  <c r="E77" i="21"/>
  <c r="D77" i="21"/>
  <c r="H78" i="21"/>
  <c r="G78" i="21"/>
  <c r="F78" i="21"/>
  <c r="E78" i="21"/>
  <c r="D78" i="21"/>
  <c r="H79" i="21"/>
  <c r="G79" i="21"/>
  <c r="F79" i="21"/>
  <c r="E79" i="21"/>
  <c r="D79" i="21"/>
  <c r="H80" i="21"/>
  <c r="G80" i="21"/>
  <c r="F80" i="21"/>
  <c r="E80" i="21"/>
  <c r="D80" i="21"/>
  <c r="I81" i="21"/>
  <c r="H81" i="21"/>
  <c r="G81" i="21"/>
  <c r="F81" i="21"/>
  <c r="E81" i="21"/>
  <c r="D81" i="21"/>
  <c r="I82" i="21"/>
  <c r="H82" i="21"/>
  <c r="G82" i="21"/>
  <c r="F82" i="21"/>
  <c r="E82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128" i="21"/>
  <c r="D129" i="21"/>
  <c r="D130" i="21"/>
  <c r="D131" i="21"/>
  <c r="D132" i="21"/>
  <c r="D133" i="21"/>
  <c r="D134" i="21"/>
  <c r="D135" i="21"/>
  <c r="D136" i="21"/>
  <c r="D137" i="21"/>
  <c r="D138" i="21"/>
  <c r="D139" i="21"/>
  <c r="D140" i="21"/>
  <c r="D141" i="21"/>
  <c r="D142" i="21"/>
  <c r="D143" i="21"/>
  <c r="D144" i="21"/>
  <c r="D145" i="21"/>
  <c r="D146" i="21"/>
  <c r="D147" i="21"/>
  <c r="D148" i="21"/>
  <c r="D149" i="21"/>
  <c r="D150" i="21"/>
  <c r="D151" i="21"/>
  <c r="D152" i="21"/>
  <c r="D153" i="21"/>
  <c r="D154" i="21"/>
  <c r="D155" i="21"/>
  <c r="D156" i="21"/>
  <c r="D157" i="21"/>
  <c r="D158" i="21"/>
  <c r="D159" i="21"/>
  <c r="D160" i="21"/>
  <c r="D161" i="21"/>
  <c r="D162" i="21"/>
  <c r="D163" i="21"/>
  <c r="D164" i="21"/>
  <c r="D165" i="21"/>
  <c r="D166" i="21"/>
  <c r="D167" i="21"/>
  <c r="D168" i="21"/>
  <c r="D169" i="21"/>
  <c r="D170" i="21"/>
  <c r="D171" i="21"/>
  <c r="D172" i="21"/>
  <c r="D173" i="21"/>
  <c r="D174" i="21"/>
  <c r="D175" i="21"/>
  <c r="D176" i="21"/>
  <c r="D177" i="21"/>
  <c r="D178" i="21"/>
  <c r="D179" i="21"/>
  <c r="D180" i="21"/>
  <c r="D181" i="21"/>
  <c r="D182" i="21"/>
  <c r="D183" i="21"/>
  <c r="D184" i="21"/>
  <c r="D185" i="21"/>
  <c r="D186" i="21"/>
  <c r="D187" i="21"/>
  <c r="B188" i="21"/>
  <c r="D188" i="21"/>
  <c r="B189" i="21"/>
  <c r="D189" i="21"/>
  <c r="B190" i="21"/>
  <c r="D190" i="21"/>
  <c r="B191" i="21"/>
  <c r="D191" i="21"/>
  <c r="B192" i="21"/>
  <c r="D192" i="21"/>
  <c r="B193" i="21"/>
  <c r="D193" i="21"/>
  <c r="B194" i="21"/>
  <c r="D194" i="21"/>
  <c r="B195" i="21"/>
  <c r="D195" i="21"/>
  <c r="B196" i="21"/>
  <c r="D196" i="21"/>
  <c r="B197" i="21"/>
  <c r="D197" i="21"/>
  <c r="B198" i="21"/>
  <c r="D198" i="21"/>
  <c r="B199" i="21"/>
  <c r="D199" i="21"/>
  <c r="B200" i="21"/>
  <c r="D200" i="21"/>
  <c r="B201" i="21"/>
  <c r="D201" i="21"/>
  <c r="B202" i="21"/>
  <c r="D202" i="21"/>
  <c r="B203" i="21"/>
  <c r="D203" i="21"/>
  <c r="B204" i="21"/>
  <c r="D204" i="21"/>
  <c r="B205" i="21"/>
  <c r="D205" i="21"/>
  <c r="B206" i="21"/>
  <c r="D206" i="21"/>
  <c r="B207" i="21"/>
  <c r="D207" i="21"/>
  <c r="B208" i="21"/>
  <c r="D208" i="21"/>
  <c r="B209" i="21"/>
  <c r="D209" i="21"/>
  <c r="B210" i="21"/>
  <c r="D210" i="21"/>
  <c r="B211" i="21"/>
  <c r="D211" i="21"/>
  <c r="B212" i="21"/>
  <c r="D212" i="21"/>
  <c r="B213" i="21"/>
  <c r="D213" i="21"/>
  <c r="B214" i="21"/>
  <c r="D214" i="21"/>
  <c r="B215" i="21"/>
  <c r="D215" i="21"/>
  <c r="B216" i="21"/>
  <c r="D216" i="21"/>
  <c r="B217" i="21"/>
  <c r="D217" i="21"/>
  <c r="B218" i="21"/>
  <c r="D218" i="21"/>
  <c r="B219" i="21"/>
  <c r="D219" i="21"/>
  <c r="B220" i="21"/>
  <c r="D220" i="21"/>
  <c r="B221" i="21"/>
  <c r="D221" i="21"/>
  <c r="B222" i="21"/>
  <c r="D222" i="21"/>
  <c r="B223" i="21"/>
  <c r="D223" i="21"/>
  <c r="B224" i="21"/>
  <c r="D224" i="21"/>
  <c r="B225" i="21"/>
  <c r="D225" i="21"/>
  <c r="B226" i="21"/>
  <c r="D226" i="21"/>
  <c r="B227" i="21"/>
  <c r="D227" i="21"/>
  <c r="B228" i="21"/>
  <c r="D228" i="21"/>
  <c r="B229" i="21"/>
  <c r="D229" i="21"/>
  <c r="B230" i="21"/>
  <c r="D230" i="21"/>
  <c r="B231" i="21"/>
  <c r="D231" i="21"/>
  <c r="B232" i="21"/>
  <c r="D232" i="21"/>
  <c r="B233" i="21"/>
  <c r="D233" i="21"/>
  <c r="B234" i="21"/>
  <c r="D234" i="21"/>
  <c r="B235" i="21"/>
  <c r="D235" i="21"/>
  <c r="B236" i="21"/>
  <c r="D236" i="21"/>
  <c r="B237" i="21"/>
  <c r="D237" i="21"/>
  <c r="B238" i="21"/>
  <c r="D238" i="21"/>
  <c r="B239" i="21"/>
  <c r="D239" i="21"/>
  <c r="B240" i="21"/>
  <c r="D240" i="21"/>
  <c r="B241" i="21"/>
  <c r="D241" i="21"/>
  <c r="B242" i="21"/>
  <c r="D242" i="21"/>
  <c r="B243" i="21"/>
  <c r="D243" i="21"/>
  <c r="B244" i="21"/>
  <c r="D244" i="21"/>
  <c r="B245" i="21"/>
  <c r="D245" i="21"/>
  <c r="B246" i="21"/>
  <c r="D246" i="21"/>
  <c r="B247" i="21"/>
  <c r="D247" i="21"/>
  <c r="B248" i="21"/>
  <c r="D248" i="21"/>
  <c r="B249" i="21"/>
  <c r="D249" i="21"/>
  <c r="B250" i="21"/>
  <c r="D250" i="21"/>
  <c r="B251" i="21"/>
  <c r="D251" i="21"/>
  <c r="B252" i="21"/>
  <c r="D252" i="21"/>
  <c r="B253" i="21"/>
  <c r="D253" i="21"/>
  <c r="B254" i="21"/>
  <c r="D254" i="21"/>
  <c r="B255" i="21"/>
  <c r="D255" i="21"/>
  <c r="B256" i="21"/>
  <c r="D256" i="21"/>
  <c r="B257" i="21"/>
  <c r="D257" i="21"/>
  <c r="B258" i="21"/>
  <c r="D258" i="21"/>
  <c r="B259" i="21"/>
  <c r="D259" i="21"/>
  <c r="B260" i="21"/>
  <c r="D260" i="21"/>
  <c r="B261" i="21"/>
  <c r="D261" i="21"/>
  <c r="B262" i="21"/>
  <c r="D262" i="21"/>
  <c r="B263" i="21"/>
  <c r="D263" i="21"/>
  <c r="B264" i="21"/>
  <c r="D264" i="21"/>
  <c r="B265" i="21"/>
  <c r="D265" i="21"/>
  <c r="B266" i="21"/>
  <c r="D266" i="21"/>
  <c r="B267" i="21"/>
  <c r="D267" i="21"/>
  <c r="B268" i="21"/>
  <c r="D268" i="21"/>
  <c r="B269" i="21"/>
  <c r="D269" i="21"/>
  <c r="B270" i="21"/>
  <c r="D270" i="21"/>
  <c r="B271" i="21"/>
  <c r="D271" i="21"/>
  <c r="B272" i="21"/>
  <c r="D272" i="21"/>
  <c r="B273" i="21"/>
  <c r="D273" i="21"/>
  <c r="B274" i="21"/>
  <c r="D274" i="21"/>
  <c r="B275" i="21"/>
  <c r="D275" i="21"/>
  <c r="B276" i="21"/>
  <c r="D276" i="21"/>
  <c r="B277" i="21"/>
  <c r="D277" i="21"/>
  <c r="B278" i="21"/>
  <c r="D278" i="21"/>
  <c r="B279" i="21"/>
  <c r="D279" i="21"/>
  <c r="B280" i="21"/>
  <c r="D280" i="21"/>
  <c r="B281" i="21"/>
  <c r="D281" i="21"/>
  <c r="B282" i="21"/>
  <c r="D282" i="21"/>
  <c r="B283" i="21"/>
  <c r="D283" i="21"/>
  <c r="B284" i="21"/>
  <c r="D284" i="21"/>
  <c r="B285" i="21"/>
  <c r="D285" i="21"/>
  <c r="B286" i="21"/>
  <c r="D286" i="21"/>
  <c r="B287" i="21"/>
  <c r="D287" i="21"/>
  <c r="B288" i="21"/>
  <c r="D288" i="21"/>
  <c r="B289" i="21"/>
  <c r="D289" i="21"/>
  <c r="B290" i="21"/>
  <c r="D290" i="21"/>
  <c r="B291" i="21"/>
  <c r="D291" i="21"/>
  <c r="B292" i="21"/>
  <c r="D292" i="21"/>
  <c r="B293" i="21"/>
  <c r="D293" i="21"/>
  <c r="B294" i="21"/>
  <c r="D294" i="21"/>
  <c r="B295" i="21"/>
  <c r="D295" i="21"/>
  <c r="B296" i="21"/>
  <c r="D296" i="21"/>
  <c r="B297" i="21"/>
  <c r="D297" i="21"/>
  <c r="B298" i="21"/>
  <c r="D298" i="21"/>
  <c r="B299" i="21"/>
  <c r="D299" i="21"/>
  <c r="B300" i="21"/>
  <c r="D300" i="21"/>
  <c r="B301" i="21"/>
  <c r="D301" i="21"/>
  <c r="B302" i="21"/>
  <c r="D302" i="21"/>
  <c r="B303" i="21"/>
  <c r="D303" i="21"/>
  <c r="B304" i="21"/>
  <c r="D304" i="21"/>
  <c r="B305" i="21"/>
  <c r="D305" i="21"/>
  <c r="B306" i="21"/>
  <c r="D306" i="21"/>
  <c r="B307" i="21"/>
  <c r="D307" i="21"/>
  <c r="B308" i="21"/>
  <c r="D308" i="21"/>
  <c r="B309" i="21"/>
  <c r="D309" i="21"/>
  <c r="B310" i="21"/>
  <c r="D310" i="21"/>
  <c r="B311" i="21"/>
  <c r="D311" i="21"/>
  <c r="B312" i="21"/>
  <c r="D312" i="21"/>
  <c r="B313" i="21"/>
  <c r="D313" i="21"/>
  <c r="B314" i="21"/>
  <c r="D314" i="21"/>
  <c r="B315" i="21"/>
  <c r="D315" i="21"/>
  <c r="B316" i="21"/>
  <c r="D316" i="21"/>
  <c r="B317" i="21"/>
  <c r="D317" i="21"/>
  <c r="B318" i="21"/>
  <c r="D318" i="21"/>
  <c r="B319" i="21"/>
  <c r="D319" i="21"/>
  <c r="B320" i="21"/>
  <c r="D320" i="21"/>
  <c r="B321" i="21"/>
  <c r="D321" i="21"/>
  <c r="B322" i="21"/>
  <c r="D322" i="21"/>
  <c r="B323" i="21"/>
  <c r="D323" i="21"/>
  <c r="B324" i="21"/>
  <c r="D324" i="21"/>
  <c r="B325" i="21"/>
  <c r="D325" i="21"/>
  <c r="B326" i="21"/>
  <c r="D326" i="21"/>
  <c r="B327" i="21"/>
  <c r="D327" i="21"/>
  <c r="B328" i="21"/>
  <c r="D328" i="21"/>
  <c r="B329" i="21"/>
  <c r="D329" i="21"/>
  <c r="B330" i="21"/>
  <c r="D330" i="21"/>
  <c r="B331" i="21"/>
  <c r="D331" i="21"/>
  <c r="B332" i="21"/>
  <c r="D332" i="21"/>
  <c r="B333" i="21"/>
  <c r="D333" i="21"/>
  <c r="B334" i="21"/>
  <c r="D334" i="21"/>
  <c r="B335" i="21"/>
  <c r="D335" i="21"/>
  <c r="B336" i="21"/>
  <c r="D336" i="21"/>
  <c r="B337" i="21"/>
  <c r="D337" i="21"/>
  <c r="B338" i="21"/>
  <c r="D338" i="21"/>
  <c r="B339" i="21"/>
  <c r="D339" i="21"/>
  <c r="B340" i="21"/>
  <c r="D340" i="21"/>
  <c r="B341" i="21"/>
  <c r="D341" i="21"/>
  <c r="B342" i="21"/>
  <c r="D342" i="21"/>
  <c r="B343" i="21"/>
  <c r="D343" i="21"/>
  <c r="B344" i="21"/>
  <c r="D344" i="21"/>
  <c r="B345" i="21"/>
  <c r="D345" i="21"/>
  <c r="B346" i="21"/>
  <c r="D346" i="21"/>
  <c r="B347" i="21"/>
  <c r="D347" i="21"/>
  <c r="B348" i="21"/>
  <c r="D348" i="21"/>
  <c r="B349" i="21"/>
  <c r="D349" i="21"/>
  <c r="B350" i="21"/>
  <c r="D350" i="21"/>
  <c r="B351" i="21"/>
  <c r="D351" i="21"/>
  <c r="B352" i="21"/>
  <c r="D352" i="21"/>
  <c r="B353" i="21"/>
  <c r="D353" i="21"/>
  <c r="B354" i="21"/>
  <c r="D354" i="21"/>
  <c r="B355" i="21"/>
  <c r="D355" i="21"/>
  <c r="B356" i="21"/>
  <c r="D356" i="21"/>
  <c r="B357" i="21"/>
  <c r="D357" i="21"/>
  <c r="B358" i="21"/>
  <c r="D358" i="21"/>
  <c r="B359" i="21"/>
  <c r="D359" i="21"/>
  <c r="B360" i="21"/>
  <c r="D360" i="21"/>
  <c r="B361" i="21"/>
  <c r="D361" i="21"/>
  <c r="B362" i="21"/>
  <c r="D362" i="21"/>
  <c r="B363" i="21"/>
  <c r="D363" i="21"/>
  <c r="B364" i="21"/>
  <c r="D364" i="21"/>
  <c r="B365" i="21"/>
  <c r="D365" i="21"/>
  <c r="B366" i="21"/>
  <c r="D366" i="21"/>
  <c r="B367" i="21"/>
  <c r="D367" i="21"/>
  <c r="B368" i="21"/>
  <c r="D368" i="21"/>
  <c r="B369" i="21"/>
  <c r="D369" i="21"/>
  <c r="B370" i="21"/>
  <c r="D370" i="21"/>
  <c r="B371" i="21"/>
  <c r="D371" i="21"/>
  <c r="B372" i="21"/>
  <c r="D372" i="21"/>
  <c r="B373" i="21"/>
  <c r="D373" i="21"/>
  <c r="B374" i="21"/>
  <c r="D374" i="21"/>
  <c r="B375" i="21"/>
  <c r="D375" i="21"/>
  <c r="B376" i="21"/>
  <c r="D376" i="21"/>
  <c r="B377" i="21"/>
  <c r="D377" i="21"/>
  <c r="B378" i="21"/>
  <c r="D378" i="21"/>
  <c r="B379" i="21"/>
  <c r="D379" i="21"/>
  <c r="B380" i="21"/>
  <c r="D380" i="21"/>
  <c r="B381" i="21"/>
  <c r="D381" i="21"/>
  <c r="B382" i="21"/>
  <c r="D382" i="21"/>
  <c r="B383" i="21"/>
  <c r="D383" i="21"/>
  <c r="B384" i="21"/>
  <c r="D384" i="21"/>
  <c r="B385" i="21"/>
  <c r="D385" i="21"/>
  <c r="B386" i="21"/>
  <c r="D386" i="21"/>
  <c r="B387" i="21"/>
  <c r="D387" i="21"/>
  <c r="B388" i="21"/>
  <c r="D388" i="21"/>
  <c r="B389" i="21"/>
  <c r="D389" i="21"/>
  <c r="B390" i="21"/>
  <c r="D390" i="21"/>
  <c r="B391" i="21"/>
  <c r="D391" i="21"/>
  <c r="B392" i="21"/>
  <c r="D392" i="21"/>
  <c r="B393" i="21"/>
  <c r="D393" i="21"/>
  <c r="B394" i="21"/>
  <c r="D394" i="21"/>
  <c r="B395" i="21"/>
  <c r="D395" i="21"/>
  <c r="B396" i="21"/>
  <c r="D396" i="21"/>
  <c r="B397" i="21"/>
  <c r="D397" i="21"/>
  <c r="B398" i="21"/>
  <c r="D398" i="21"/>
  <c r="B399" i="21"/>
  <c r="D399" i="21"/>
  <c r="B400" i="21"/>
  <c r="D400" i="21"/>
  <c r="B401" i="21"/>
  <c r="D401" i="21"/>
  <c r="B402" i="21"/>
  <c r="D402" i="21"/>
  <c r="B403" i="21"/>
  <c r="D403" i="21"/>
  <c r="B404" i="21"/>
  <c r="D404" i="21"/>
  <c r="B405" i="21"/>
  <c r="D405" i="21"/>
  <c r="B406" i="21"/>
  <c r="D406" i="21"/>
  <c r="B407" i="21"/>
  <c r="D407" i="21"/>
  <c r="B408" i="21"/>
  <c r="D408" i="21"/>
  <c r="B409" i="21"/>
  <c r="D409" i="21"/>
  <c r="B410" i="21"/>
  <c r="D410" i="21"/>
  <c r="B411" i="21"/>
  <c r="D411" i="21"/>
  <c r="B412" i="21"/>
  <c r="D412" i="21"/>
  <c r="B413" i="21"/>
  <c r="D413" i="21"/>
  <c r="B414" i="21"/>
  <c r="D414" i="21"/>
  <c r="B415" i="21"/>
  <c r="D415" i="21"/>
  <c r="B416" i="21"/>
  <c r="D416" i="21"/>
  <c r="B417" i="21"/>
  <c r="D417" i="21"/>
  <c r="B418" i="21"/>
  <c r="D418" i="21"/>
  <c r="B419" i="21"/>
  <c r="D419" i="21"/>
  <c r="B420" i="21"/>
  <c r="D420" i="21"/>
  <c r="B421" i="21"/>
  <c r="D421" i="21"/>
  <c r="B422" i="21"/>
  <c r="D422" i="21"/>
  <c r="B423" i="21"/>
  <c r="D423" i="21"/>
  <c r="B424" i="21"/>
  <c r="D424" i="21"/>
  <c r="B425" i="21"/>
  <c r="D425" i="21"/>
  <c r="B426" i="21"/>
  <c r="D426" i="21"/>
  <c r="B427" i="21"/>
  <c r="D427" i="21"/>
  <c r="B428" i="21"/>
  <c r="D428" i="21"/>
  <c r="B429" i="21"/>
  <c r="D429" i="21"/>
  <c r="B430" i="21"/>
  <c r="D430" i="21"/>
  <c r="B431" i="21"/>
  <c r="D431" i="21"/>
  <c r="B432" i="21"/>
  <c r="D432" i="21"/>
  <c r="B433" i="21"/>
  <c r="D433" i="21"/>
  <c r="B434" i="21"/>
  <c r="D434" i="21"/>
  <c r="B435" i="21"/>
  <c r="D435" i="21"/>
  <c r="B436" i="21"/>
  <c r="D436" i="21"/>
  <c r="B437" i="21"/>
  <c r="D437" i="21"/>
  <c r="B438" i="21"/>
  <c r="D438" i="21"/>
  <c r="B439" i="21"/>
  <c r="D439" i="21"/>
  <c r="B440" i="21"/>
  <c r="D440" i="21"/>
  <c r="B441" i="21"/>
  <c r="D441" i="21"/>
  <c r="B442" i="21"/>
  <c r="D442" i="21"/>
  <c r="B443" i="21"/>
  <c r="D443" i="21"/>
  <c r="B444" i="21"/>
  <c r="D444" i="21"/>
  <c r="B445" i="21"/>
  <c r="D445" i="21"/>
  <c r="B446" i="21"/>
  <c r="D446" i="21"/>
  <c r="B447" i="21"/>
  <c r="D447" i="21"/>
  <c r="B448" i="21"/>
  <c r="D448" i="21"/>
  <c r="B449" i="21"/>
  <c r="D449" i="21"/>
  <c r="B450" i="21"/>
  <c r="D450" i="21"/>
  <c r="B451" i="21"/>
  <c r="D451" i="21"/>
  <c r="B452" i="21"/>
  <c r="D452" i="21"/>
  <c r="B453" i="21"/>
  <c r="D453" i="21"/>
  <c r="B454" i="21"/>
  <c r="D454" i="21"/>
  <c r="B455" i="21"/>
  <c r="D455" i="21"/>
  <c r="B456" i="21"/>
  <c r="D456" i="21"/>
  <c r="B457" i="21"/>
  <c r="D457" i="21"/>
  <c r="B458" i="21"/>
  <c r="D458" i="21"/>
  <c r="B459" i="21"/>
  <c r="D459" i="21"/>
  <c r="B460" i="21"/>
  <c r="D460" i="21"/>
  <c r="B461" i="21"/>
  <c r="D461" i="21"/>
  <c r="B462" i="21"/>
  <c r="D462" i="21"/>
  <c r="B463" i="21"/>
  <c r="D463" i="21"/>
  <c r="B464" i="21"/>
  <c r="D464" i="21"/>
  <c r="B465" i="21"/>
  <c r="D465" i="21"/>
  <c r="B466" i="21"/>
  <c r="D466" i="21"/>
  <c r="B467" i="21"/>
  <c r="D467" i="21"/>
  <c r="B468" i="21"/>
  <c r="D468" i="21"/>
  <c r="B469" i="21"/>
  <c r="D469" i="21"/>
  <c r="B470" i="21"/>
  <c r="D470" i="21"/>
  <c r="B471" i="21"/>
  <c r="D471" i="21"/>
  <c r="B472" i="21"/>
  <c r="D472" i="21"/>
  <c r="B473" i="21"/>
  <c r="D473" i="21"/>
  <c r="B474" i="21"/>
  <c r="D474" i="21"/>
  <c r="B475" i="21"/>
  <c r="D475" i="21"/>
  <c r="B476" i="21"/>
  <c r="D476" i="21"/>
  <c r="B477" i="21"/>
  <c r="D477" i="21"/>
  <c r="B478" i="21"/>
  <c r="D478" i="21"/>
  <c r="B479" i="21"/>
  <c r="D479" i="21"/>
  <c r="B480" i="21"/>
  <c r="D480" i="21"/>
  <c r="B481" i="21"/>
  <c r="D481" i="21"/>
  <c r="B482" i="21"/>
  <c r="D482" i="21"/>
  <c r="B483" i="21"/>
  <c r="D483" i="21"/>
  <c r="B484" i="21"/>
  <c r="D484" i="21"/>
  <c r="B485" i="21"/>
  <c r="D485" i="21"/>
  <c r="B486" i="21"/>
  <c r="D486" i="21"/>
  <c r="B487" i="21"/>
  <c r="D487" i="21"/>
  <c r="B488" i="21"/>
  <c r="D488" i="21"/>
  <c r="B489" i="21"/>
  <c r="D489" i="21"/>
  <c r="B490" i="21"/>
  <c r="D490" i="21"/>
  <c r="B491" i="21"/>
  <c r="D491" i="21"/>
  <c r="B492" i="21"/>
  <c r="D492" i="21"/>
  <c r="B493" i="21"/>
  <c r="D493" i="21"/>
  <c r="B494" i="21"/>
  <c r="D494" i="21"/>
  <c r="B495" i="21"/>
  <c r="D495" i="21"/>
  <c r="B496" i="21"/>
  <c r="D496" i="21"/>
  <c r="B497" i="21"/>
  <c r="D497" i="21"/>
  <c r="B498" i="21"/>
  <c r="D498" i="21"/>
  <c r="B499" i="21"/>
  <c r="D499" i="21"/>
  <c r="B500" i="21"/>
  <c r="D500" i="21"/>
  <c r="B501" i="21"/>
  <c r="D501" i="21"/>
  <c r="B502" i="21"/>
  <c r="D502" i="21"/>
  <c r="B503" i="21"/>
  <c r="D503" i="21"/>
  <c r="B504" i="21"/>
  <c r="D504" i="21"/>
  <c r="B505" i="21"/>
  <c r="D505" i="21"/>
  <c r="B506" i="21"/>
  <c r="D506" i="21"/>
  <c r="B507" i="21"/>
  <c r="D507" i="21"/>
  <c r="B508" i="21"/>
  <c r="D508" i="21"/>
  <c r="B509" i="21"/>
  <c r="D509" i="21"/>
  <c r="B510" i="21"/>
  <c r="D510" i="21"/>
  <c r="B511" i="21"/>
  <c r="D511" i="21"/>
  <c r="B512" i="21"/>
  <c r="D512" i="21"/>
  <c r="B513" i="21"/>
  <c r="D513" i="21"/>
  <c r="B514" i="21"/>
  <c r="D514" i="21"/>
  <c r="B515" i="21"/>
  <c r="D515" i="21"/>
  <c r="B516" i="21"/>
  <c r="D516" i="21"/>
  <c r="B517" i="21"/>
  <c r="D517" i="21"/>
  <c r="B518" i="21"/>
  <c r="D518" i="21"/>
  <c r="B519" i="21"/>
  <c r="D519" i="21"/>
  <c r="B520" i="21"/>
  <c r="D520" i="21"/>
  <c r="B521" i="21"/>
  <c r="D521" i="21"/>
  <c r="B522" i="21"/>
  <c r="D522" i="21"/>
  <c r="B523" i="21"/>
  <c r="D523" i="21"/>
  <c r="B524" i="21"/>
  <c r="D524" i="21"/>
  <c r="B525" i="21"/>
  <c r="D525" i="21"/>
  <c r="B526" i="21"/>
  <c r="D526" i="21"/>
  <c r="B527" i="21"/>
  <c r="D527" i="21"/>
  <c r="B528" i="21"/>
  <c r="D528" i="21"/>
  <c r="B529" i="21"/>
  <c r="D529" i="21"/>
  <c r="B530" i="21"/>
  <c r="D530" i="21"/>
  <c r="B531" i="21"/>
  <c r="D531" i="21"/>
  <c r="B532" i="21"/>
  <c r="D532" i="21"/>
  <c r="B533" i="21"/>
  <c r="D533" i="21"/>
  <c r="B534" i="21"/>
  <c r="D534" i="21"/>
  <c r="B535" i="21"/>
  <c r="D535" i="21"/>
  <c r="B536" i="21"/>
  <c r="D536" i="21"/>
  <c r="B537" i="21"/>
  <c r="D537" i="21"/>
  <c r="B538" i="21"/>
  <c r="D538" i="21"/>
  <c r="B539" i="21"/>
  <c r="D539" i="21"/>
  <c r="B540" i="21"/>
  <c r="D540" i="21"/>
  <c r="B541" i="21"/>
  <c r="D541" i="21"/>
  <c r="B542" i="21"/>
  <c r="D542" i="21"/>
  <c r="B543" i="21"/>
  <c r="D543" i="21"/>
  <c r="B544" i="21"/>
  <c r="D544" i="21"/>
  <c r="B545" i="21"/>
  <c r="D545" i="21"/>
  <c r="B546" i="21"/>
  <c r="D546" i="21"/>
  <c r="B547" i="21"/>
  <c r="D547" i="21"/>
  <c r="B548" i="21"/>
  <c r="D548" i="21"/>
  <c r="B549" i="21"/>
  <c r="D549" i="21"/>
  <c r="B550" i="21"/>
  <c r="D550" i="21"/>
  <c r="B551" i="21"/>
  <c r="D551" i="21"/>
  <c r="B552" i="21"/>
  <c r="D552" i="21"/>
  <c r="B553" i="21"/>
  <c r="D553" i="21"/>
  <c r="B554" i="21"/>
  <c r="D554" i="21"/>
  <c r="B555" i="21"/>
  <c r="D555" i="21"/>
  <c r="B556" i="21"/>
  <c r="D556" i="21"/>
  <c r="B557" i="21"/>
  <c r="D557" i="21"/>
  <c r="B558" i="21"/>
  <c r="D558" i="21"/>
  <c r="B559" i="21"/>
  <c r="D559" i="21"/>
  <c r="B560" i="21"/>
  <c r="D560" i="21"/>
  <c r="B561" i="21"/>
  <c r="D561" i="21"/>
  <c r="B562" i="21"/>
  <c r="D562" i="21"/>
  <c r="B563" i="21"/>
  <c r="D563" i="21"/>
  <c r="B564" i="21"/>
  <c r="D564" i="21"/>
  <c r="B565" i="21"/>
  <c r="D565" i="21"/>
  <c r="B566" i="21"/>
  <c r="D566" i="21"/>
  <c r="B567" i="21"/>
  <c r="D567" i="21"/>
  <c r="B568" i="21"/>
  <c r="D568" i="21"/>
  <c r="B569" i="21"/>
  <c r="D569" i="21"/>
  <c r="B570" i="21"/>
  <c r="D570" i="21"/>
  <c r="B571" i="21"/>
  <c r="D571" i="21"/>
  <c r="B572" i="21"/>
  <c r="D572" i="21"/>
  <c r="B573" i="21"/>
  <c r="D573" i="21"/>
  <c r="B574" i="21"/>
  <c r="D574" i="21"/>
  <c r="B575" i="21"/>
  <c r="D575" i="21"/>
  <c r="B576" i="21"/>
  <c r="D576" i="21"/>
  <c r="B577" i="21"/>
  <c r="D577" i="21"/>
  <c r="B578" i="21"/>
  <c r="D578" i="21"/>
  <c r="B579" i="21"/>
  <c r="D579" i="21"/>
  <c r="B580" i="21"/>
  <c r="D580" i="21"/>
  <c r="B581" i="21"/>
  <c r="D581" i="21"/>
  <c r="B582" i="21"/>
  <c r="D582" i="21"/>
  <c r="B583" i="21"/>
  <c r="D583" i="21"/>
  <c r="B584" i="21"/>
  <c r="D584" i="21"/>
  <c r="B585" i="21"/>
  <c r="D585" i="21"/>
  <c r="B586" i="21"/>
  <c r="D586" i="21"/>
  <c r="B587" i="21"/>
  <c r="D587" i="21"/>
  <c r="B588" i="21"/>
  <c r="D588" i="21"/>
  <c r="B589" i="21"/>
  <c r="D589" i="21"/>
  <c r="B590" i="21"/>
  <c r="D590" i="21"/>
  <c r="B591" i="21"/>
  <c r="D591" i="21"/>
  <c r="B592" i="21"/>
  <c r="D592" i="21"/>
  <c r="B593" i="21"/>
  <c r="D593" i="21"/>
  <c r="B594" i="21"/>
  <c r="D594" i="21"/>
  <c r="B595" i="21"/>
  <c r="D595" i="21"/>
  <c r="B596" i="21"/>
  <c r="D596" i="21"/>
  <c r="B597" i="21"/>
  <c r="D597" i="21"/>
  <c r="B598" i="21"/>
  <c r="D598" i="21"/>
  <c r="B599" i="21"/>
  <c r="D599" i="21"/>
  <c r="B600" i="21"/>
  <c r="D600" i="21"/>
  <c r="G2" i="16"/>
  <c r="C2" i="16"/>
  <c r="G3" i="16"/>
  <c r="F2" i="16"/>
  <c r="H2" i="16"/>
  <c r="I2" i="16"/>
  <c r="J2" i="16"/>
  <c r="X2" i="16"/>
  <c r="F3" i="16"/>
  <c r="H3" i="16"/>
  <c r="I3" i="16"/>
  <c r="J3" i="16"/>
  <c r="X3" i="16"/>
  <c r="C3" i="16"/>
  <c r="G4" i="16"/>
  <c r="F4" i="16"/>
  <c r="H4" i="16"/>
  <c r="I4" i="16"/>
  <c r="J4" i="16"/>
  <c r="X4" i="16"/>
  <c r="C4" i="16"/>
  <c r="G5" i="16"/>
  <c r="F5" i="16"/>
  <c r="H5" i="16"/>
  <c r="I5" i="16"/>
  <c r="J5" i="16"/>
  <c r="X5" i="16"/>
  <c r="C5" i="16"/>
  <c r="G6" i="16"/>
  <c r="F6" i="16"/>
  <c r="H6" i="16"/>
  <c r="I6" i="16"/>
  <c r="J6" i="16"/>
  <c r="X6" i="16"/>
  <c r="C6" i="16"/>
  <c r="G7" i="16"/>
  <c r="F7" i="16"/>
  <c r="H7" i="16"/>
  <c r="I7" i="16"/>
  <c r="J7" i="16"/>
  <c r="X7" i="16"/>
  <c r="C7" i="16"/>
  <c r="G8" i="16"/>
  <c r="F8" i="16"/>
  <c r="H8" i="16"/>
  <c r="I8" i="16"/>
  <c r="J8" i="16"/>
  <c r="X8" i="16"/>
  <c r="C8" i="16"/>
  <c r="G9" i="16"/>
  <c r="F9" i="16"/>
  <c r="H9" i="16"/>
  <c r="I9" i="16"/>
  <c r="J9" i="16"/>
  <c r="X9" i="16"/>
  <c r="C9" i="16"/>
  <c r="G10" i="16"/>
  <c r="F10" i="16"/>
  <c r="H10" i="16"/>
  <c r="I10" i="16"/>
  <c r="J10" i="16"/>
  <c r="X10" i="16"/>
  <c r="C10" i="16"/>
  <c r="G11" i="16"/>
  <c r="F11" i="16"/>
  <c r="H11" i="16"/>
  <c r="I11" i="16"/>
  <c r="J11" i="16"/>
  <c r="X11" i="16"/>
  <c r="C11" i="16"/>
  <c r="G12" i="16"/>
  <c r="F12" i="16"/>
  <c r="H12" i="16"/>
  <c r="I12" i="16"/>
  <c r="J12" i="16"/>
  <c r="X12" i="16"/>
  <c r="C12" i="16"/>
  <c r="G13" i="16"/>
  <c r="F13" i="16"/>
  <c r="H13" i="16"/>
  <c r="I13" i="16"/>
  <c r="J13" i="16"/>
  <c r="X13" i="16"/>
  <c r="C13" i="16"/>
  <c r="G14" i="16"/>
  <c r="F14" i="16"/>
  <c r="H14" i="16"/>
  <c r="I14" i="16"/>
  <c r="J14" i="16"/>
  <c r="X14" i="16"/>
  <c r="C14" i="16"/>
  <c r="G15" i="16"/>
  <c r="F15" i="16"/>
  <c r="H15" i="16"/>
  <c r="I15" i="16"/>
  <c r="J15" i="16"/>
  <c r="X15" i="16"/>
  <c r="C15" i="16"/>
  <c r="G16" i="16"/>
  <c r="F16" i="16"/>
  <c r="H16" i="16"/>
  <c r="I16" i="16"/>
  <c r="J16" i="16"/>
  <c r="X16" i="16"/>
  <c r="C16" i="16"/>
  <c r="G17" i="16"/>
  <c r="F17" i="16"/>
  <c r="H17" i="16"/>
  <c r="I17" i="16"/>
  <c r="J17" i="16"/>
  <c r="X17" i="16"/>
  <c r="C17" i="16"/>
  <c r="G18" i="16"/>
  <c r="F18" i="16"/>
  <c r="H18" i="16"/>
  <c r="I18" i="16"/>
  <c r="J18" i="16"/>
  <c r="X18" i="16"/>
  <c r="C18" i="16"/>
  <c r="G19" i="16"/>
  <c r="F19" i="16"/>
  <c r="H19" i="16"/>
  <c r="I19" i="16"/>
  <c r="J19" i="16"/>
  <c r="X19" i="16"/>
  <c r="C19" i="16"/>
  <c r="G20" i="16"/>
  <c r="F20" i="16"/>
  <c r="H20" i="16"/>
  <c r="I20" i="16"/>
  <c r="J20" i="16"/>
  <c r="X20" i="16"/>
  <c r="C20" i="16"/>
  <c r="G21" i="16"/>
  <c r="F21" i="16"/>
  <c r="H21" i="16"/>
  <c r="I21" i="16"/>
  <c r="J21" i="16"/>
  <c r="X21" i="16"/>
  <c r="C21" i="16"/>
  <c r="G22" i="16"/>
  <c r="F22" i="16"/>
  <c r="H22" i="16"/>
  <c r="I22" i="16"/>
  <c r="J22" i="16"/>
  <c r="X22" i="16"/>
  <c r="C22" i="16"/>
  <c r="G23" i="16"/>
  <c r="F23" i="16"/>
  <c r="H23" i="16"/>
  <c r="I23" i="16"/>
  <c r="J23" i="16"/>
  <c r="X23" i="16"/>
  <c r="C23" i="16"/>
  <c r="G24" i="16"/>
  <c r="F24" i="16"/>
  <c r="H24" i="16"/>
  <c r="I24" i="16"/>
  <c r="J24" i="16"/>
  <c r="X24" i="16"/>
  <c r="C24" i="16"/>
  <c r="G25" i="16"/>
  <c r="F25" i="16"/>
  <c r="H25" i="16"/>
  <c r="I25" i="16"/>
  <c r="J25" i="16"/>
  <c r="X25" i="16"/>
  <c r="C25" i="16"/>
  <c r="G26" i="16"/>
  <c r="F26" i="16"/>
  <c r="H26" i="16"/>
  <c r="I26" i="16"/>
  <c r="J26" i="16"/>
  <c r="X26" i="16"/>
  <c r="C26" i="16"/>
  <c r="G27" i="16"/>
  <c r="F27" i="16"/>
  <c r="H27" i="16"/>
  <c r="I27" i="16"/>
  <c r="J27" i="16"/>
  <c r="X27" i="16"/>
  <c r="C27" i="16"/>
  <c r="G28" i="16"/>
  <c r="F28" i="16"/>
  <c r="H28" i="16"/>
  <c r="I28" i="16"/>
  <c r="J28" i="16"/>
  <c r="X28" i="16"/>
  <c r="C28" i="16"/>
  <c r="G29" i="16"/>
  <c r="F29" i="16"/>
  <c r="H29" i="16"/>
  <c r="I29" i="16"/>
  <c r="J29" i="16"/>
  <c r="X29" i="16"/>
  <c r="C29" i="16"/>
  <c r="G30" i="16"/>
  <c r="F30" i="16"/>
  <c r="H30" i="16"/>
  <c r="I30" i="16"/>
  <c r="J30" i="16"/>
  <c r="X30" i="16"/>
  <c r="C30" i="16"/>
  <c r="G31" i="16"/>
  <c r="F31" i="16"/>
  <c r="H31" i="16"/>
  <c r="I31" i="16"/>
  <c r="J31" i="16"/>
  <c r="X31" i="16"/>
  <c r="C31" i="16"/>
  <c r="G32" i="16"/>
  <c r="F32" i="16"/>
  <c r="H32" i="16"/>
  <c r="I32" i="16"/>
  <c r="J32" i="16"/>
  <c r="X32" i="16"/>
  <c r="C32" i="16"/>
  <c r="G33" i="16"/>
  <c r="F33" i="16"/>
  <c r="H33" i="16"/>
  <c r="I33" i="16"/>
  <c r="J33" i="16"/>
  <c r="X33" i="16"/>
  <c r="C33" i="16"/>
  <c r="G34" i="16"/>
  <c r="F34" i="16"/>
  <c r="H34" i="16"/>
  <c r="I34" i="16"/>
  <c r="J34" i="16"/>
  <c r="X34" i="16"/>
  <c r="C34" i="16"/>
  <c r="G35" i="16"/>
  <c r="F35" i="16"/>
  <c r="H35" i="16"/>
  <c r="I35" i="16"/>
  <c r="J35" i="16"/>
  <c r="X35" i="16"/>
  <c r="C35" i="16"/>
  <c r="G36" i="16"/>
  <c r="F36" i="16"/>
  <c r="H36" i="16"/>
  <c r="I36" i="16"/>
  <c r="J36" i="16"/>
  <c r="X36" i="16"/>
  <c r="C36" i="16"/>
  <c r="G37" i="16"/>
  <c r="F37" i="16"/>
  <c r="H37" i="16"/>
  <c r="I37" i="16"/>
  <c r="J37" i="16"/>
  <c r="X37" i="16"/>
  <c r="C37" i="16"/>
  <c r="G38" i="16"/>
  <c r="F38" i="16"/>
  <c r="H38" i="16"/>
  <c r="I38" i="16"/>
  <c r="J38" i="16"/>
  <c r="X38" i="16"/>
  <c r="C38" i="16"/>
  <c r="G39" i="16"/>
  <c r="F39" i="16"/>
  <c r="H39" i="16"/>
  <c r="I39" i="16"/>
  <c r="J39" i="16"/>
  <c r="X39" i="16"/>
  <c r="C39" i="16"/>
  <c r="G40" i="16"/>
  <c r="F40" i="16"/>
  <c r="H40" i="16"/>
  <c r="I40" i="16"/>
  <c r="J40" i="16"/>
  <c r="X40" i="16"/>
  <c r="C40" i="16"/>
  <c r="G41" i="16"/>
  <c r="F41" i="16"/>
  <c r="H41" i="16"/>
  <c r="I41" i="16"/>
  <c r="J41" i="16"/>
  <c r="X41" i="16"/>
  <c r="C41" i="16"/>
  <c r="G42" i="16"/>
  <c r="F42" i="16"/>
  <c r="H42" i="16"/>
  <c r="I42" i="16"/>
  <c r="J42" i="16"/>
  <c r="X42" i="16"/>
  <c r="C42" i="16"/>
  <c r="G43" i="16"/>
  <c r="F43" i="16"/>
  <c r="H43" i="16"/>
  <c r="I43" i="16"/>
  <c r="J43" i="16"/>
  <c r="X43" i="16"/>
  <c r="C43" i="16"/>
  <c r="G44" i="16"/>
  <c r="F44" i="16"/>
  <c r="H44" i="16"/>
  <c r="I44" i="16"/>
  <c r="J44" i="16"/>
  <c r="X44" i="16"/>
  <c r="C44" i="16"/>
  <c r="G45" i="16"/>
  <c r="F45" i="16"/>
  <c r="H45" i="16"/>
  <c r="I45" i="16"/>
  <c r="J45" i="16"/>
  <c r="X45" i="16"/>
  <c r="C45" i="16"/>
  <c r="G46" i="16"/>
  <c r="F46" i="16"/>
  <c r="H46" i="16"/>
  <c r="I46" i="16"/>
  <c r="J46" i="16"/>
  <c r="X46" i="16"/>
  <c r="C46" i="16"/>
  <c r="G47" i="16"/>
  <c r="F47" i="16"/>
  <c r="H47" i="16"/>
  <c r="I47" i="16"/>
  <c r="J47" i="16"/>
  <c r="X47" i="16"/>
  <c r="C47" i="16"/>
  <c r="G48" i="16"/>
  <c r="F48" i="16"/>
  <c r="H48" i="16"/>
  <c r="I48" i="16"/>
  <c r="J48" i="16"/>
  <c r="X48" i="16"/>
  <c r="C48" i="16"/>
  <c r="G49" i="16"/>
  <c r="F49" i="16"/>
  <c r="H49" i="16"/>
  <c r="I49" i="16"/>
  <c r="J49" i="16"/>
  <c r="X49" i="16"/>
  <c r="C49" i="16"/>
  <c r="G50" i="16"/>
  <c r="F50" i="16"/>
  <c r="H50" i="16"/>
  <c r="I50" i="16"/>
  <c r="J50" i="16"/>
  <c r="X50" i="16"/>
  <c r="C50" i="16"/>
  <c r="G51" i="16"/>
  <c r="F51" i="16"/>
  <c r="H51" i="16"/>
  <c r="I51" i="16"/>
  <c r="J51" i="16"/>
  <c r="X51" i="16"/>
  <c r="C51" i="16"/>
  <c r="G52" i="16"/>
  <c r="F52" i="16"/>
  <c r="H52" i="16"/>
  <c r="I52" i="16"/>
  <c r="J52" i="16"/>
  <c r="X52" i="16"/>
  <c r="C52" i="16"/>
  <c r="G53" i="16"/>
  <c r="F53" i="16"/>
  <c r="H53" i="16"/>
  <c r="I53" i="16"/>
  <c r="J53" i="16"/>
  <c r="X53" i="16"/>
  <c r="C53" i="16"/>
  <c r="G54" i="16"/>
  <c r="F54" i="16"/>
  <c r="H54" i="16"/>
  <c r="I54" i="16"/>
  <c r="J54" i="16"/>
  <c r="X54" i="16"/>
  <c r="C54" i="16"/>
  <c r="G55" i="16"/>
  <c r="F55" i="16"/>
  <c r="H55" i="16"/>
  <c r="I55" i="16"/>
  <c r="J55" i="16"/>
  <c r="X55" i="16"/>
  <c r="C55" i="16"/>
  <c r="G56" i="16"/>
  <c r="F56" i="16"/>
  <c r="H56" i="16"/>
  <c r="I56" i="16"/>
  <c r="J56" i="16"/>
  <c r="X56" i="16"/>
  <c r="C56" i="16"/>
  <c r="G57" i="16"/>
  <c r="F57" i="16"/>
  <c r="H57" i="16"/>
  <c r="I57" i="16"/>
  <c r="J57" i="16"/>
  <c r="X57" i="16"/>
  <c r="C57" i="16"/>
  <c r="G58" i="16"/>
  <c r="F58" i="16"/>
  <c r="H58" i="16"/>
  <c r="I58" i="16"/>
  <c r="J58" i="16"/>
  <c r="X58" i="16"/>
  <c r="C58" i="16"/>
  <c r="G59" i="16"/>
  <c r="F59" i="16"/>
  <c r="H59" i="16"/>
  <c r="I59" i="16"/>
  <c r="J59" i="16"/>
  <c r="X59" i="16"/>
  <c r="C59" i="16"/>
  <c r="G60" i="16"/>
  <c r="F60" i="16"/>
  <c r="H60" i="16"/>
  <c r="I60" i="16"/>
  <c r="J60" i="16"/>
  <c r="X60" i="16"/>
  <c r="C60" i="16"/>
  <c r="G61" i="16"/>
  <c r="F61" i="16"/>
  <c r="H61" i="16"/>
  <c r="I61" i="16"/>
  <c r="J61" i="16"/>
  <c r="X61" i="16"/>
  <c r="C61" i="16"/>
  <c r="G62" i="16"/>
  <c r="F62" i="16"/>
  <c r="H62" i="16"/>
  <c r="I62" i="16"/>
  <c r="J62" i="16"/>
  <c r="X62" i="16"/>
  <c r="C62" i="16"/>
  <c r="G63" i="16"/>
  <c r="F63" i="16"/>
  <c r="H63" i="16"/>
  <c r="I63" i="16"/>
  <c r="J63" i="16"/>
  <c r="X63" i="16"/>
  <c r="C63" i="16"/>
  <c r="G64" i="16"/>
  <c r="F64" i="16"/>
  <c r="H64" i="16"/>
  <c r="I64" i="16"/>
  <c r="J64" i="16"/>
  <c r="X64" i="16"/>
  <c r="C64" i="16"/>
  <c r="G65" i="16"/>
  <c r="F65" i="16"/>
  <c r="H65" i="16"/>
  <c r="I65" i="16"/>
  <c r="J65" i="16"/>
  <c r="X65" i="16"/>
  <c r="C65" i="16"/>
  <c r="G66" i="16"/>
  <c r="F66" i="16"/>
  <c r="H66" i="16"/>
  <c r="I66" i="16"/>
  <c r="J66" i="16"/>
  <c r="X66" i="16"/>
  <c r="C66" i="16"/>
  <c r="G67" i="16"/>
  <c r="F67" i="16"/>
  <c r="H67" i="16"/>
  <c r="I67" i="16"/>
  <c r="J67" i="16"/>
  <c r="X67" i="16"/>
  <c r="C67" i="16"/>
  <c r="G68" i="16"/>
  <c r="F68" i="16"/>
  <c r="H68" i="16"/>
  <c r="I68" i="16"/>
  <c r="J68" i="16"/>
  <c r="X68" i="16"/>
  <c r="C68" i="16"/>
  <c r="G69" i="16"/>
  <c r="F69" i="16"/>
  <c r="H69" i="16"/>
  <c r="I69" i="16"/>
  <c r="J69" i="16"/>
  <c r="X69" i="16"/>
  <c r="C69" i="16"/>
  <c r="G70" i="16"/>
  <c r="F70" i="16"/>
  <c r="H70" i="16"/>
  <c r="I70" i="16"/>
  <c r="J70" i="16"/>
  <c r="X70" i="16"/>
  <c r="C70" i="16"/>
  <c r="G71" i="16"/>
  <c r="F71" i="16"/>
  <c r="H71" i="16"/>
  <c r="I71" i="16"/>
  <c r="J71" i="16"/>
  <c r="X71" i="16"/>
  <c r="C71" i="16"/>
  <c r="G72" i="16"/>
  <c r="F72" i="16"/>
  <c r="H72" i="16"/>
  <c r="I72" i="16"/>
  <c r="J72" i="16"/>
  <c r="X72" i="16"/>
  <c r="C72" i="16"/>
  <c r="G73" i="16"/>
  <c r="F73" i="16"/>
  <c r="H73" i="16"/>
  <c r="I73" i="16"/>
  <c r="J73" i="16"/>
  <c r="X73" i="16"/>
  <c r="C73" i="16"/>
  <c r="G74" i="16"/>
  <c r="F74" i="16"/>
  <c r="H74" i="16"/>
  <c r="I74" i="16"/>
  <c r="J74" i="16"/>
  <c r="X74" i="16"/>
  <c r="C74" i="16"/>
  <c r="G75" i="16"/>
  <c r="F75" i="16"/>
  <c r="H75" i="16"/>
  <c r="I75" i="16"/>
  <c r="J75" i="16"/>
  <c r="X75" i="16"/>
  <c r="C75" i="16"/>
  <c r="G76" i="16"/>
  <c r="F76" i="16"/>
  <c r="H76" i="16"/>
  <c r="I76" i="16"/>
  <c r="J76" i="16"/>
  <c r="X76" i="16"/>
  <c r="C76" i="16"/>
  <c r="G77" i="16"/>
  <c r="F77" i="16"/>
  <c r="H77" i="16"/>
  <c r="I77" i="16"/>
  <c r="J77" i="16"/>
  <c r="X77" i="16"/>
  <c r="C77" i="16"/>
  <c r="G78" i="16"/>
  <c r="F78" i="16"/>
  <c r="H78" i="16"/>
  <c r="I78" i="16"/>
  <c r="J78" i="16"/>
  <c r="X78" i="16"/>
  <c r="C78" i="16"/>
  <c r="G79" i="16"/>
  <c r="F79" i="16"/>
  <c r="H79" i="16"/>
  <c r="I79" i="16"/>
  <c r="J79" i="16"/>
  <c r="X79" i="16"/>
  <c r="C79" i="16"/>
  <c r="G80" i="16"/>
  <c r="F80" i="16"/>
  <c r="H80" i="16"/>
  <c r="I80" i="16"/>
  <c r="J80" i="16"/>
  <c r="X80" i="16"/>
  <c r="C80" i="16"/>
  <c r="G81" i="16"/>
  <c r="F81" i="16"/>
  <c r="H81" i="16"/>
  <c r="I81" i="16"/>
  <c r="J81" i="16"/>
  <c r="X81" i="16"/>
  <c r="C81" i="16"/>
  <c r="G82" i="16"/>
  <c r="F82" i="16"/>
  <c r="H82" i="16"/>
  <c r="I82" i="16"/>
  <c r="J82" i="16"/>
  <c r="X82" i="16"/>
  <c r="C82" i="16"/>
  <c r="G83" i="16"/>
  <c r="F83" i="16"/>
  <c r="H83" i="16"/>
  <c r="I83" i="16"/>
  <c r="J83" i="16"/>
  <c r="X83" i="16"/>
  <c r="C83" i="16"/>
  <c r="G84" i="16"/>
  <c r="F84" i="16"/>
  <c r="H84" i="16"/>
  <c r="I84" i="16"/>
  <c r="J84" i="16"/>
  <c r="X84" i="16"/>
  <c r="C84" i="16"/>
  <c r="G85" i="16"/>
  <c r="F85" i="16"/>
  <c r="H85" i="16"/>
  <c r="I85" i="16"/>
  <c r="J85" i="16"/>
  <c r="X85" i="16"/>
  <c r="C85" i="16"/>
  <c r="G86" i="16"/>
  <c r="F86" i="16"/>
  <c r="H86" i="16"/>
  <c r="I86" i="16"/>
  <c r="J86" i="16"/>
  <c r="X86" i="16"/>
  <c r="C86" i="16"/>
  <c r="G87" i="16"/>
  <c r="F87" i="16"/>
  <c r="H87" i="16"/>
  <c r="I87" i="16"/>
  <c r="J87" i="16"/>
  <c r="X87" i="16"/>
  <c r="C87" i="16"/>
  <c r="G88" i="16"/>
  <c r="F88" i="16"/>
  <c r="H88" i="16"/>
  <c r="I88" i="16"/>
  <c r="J88" i="16"/>
  <c r="X88" i="16"/>
  <c r="C88" i="16"/>
  <c r="G89" i="16"/>
  <c r="F89" i="16"/>
  <c r="H89" i="16"/>
  <c r="I89" i="16"/>
  <c r="J89" i="16"/>
  <c r="X89" i="16"/>
  <c r="C89" i="16"/>
  <c r="G90" i="16"/>
  <c r="F90" i="16"/>
  <c r="H90" i="16"/>
  <c r="I90" i="16"/>
  <c r="J90" i="16"/>
  <c r="X90" i="16"/>
  <c r="C90" i="16"/>
  <c r="G91" i="16"/>
  <c r="F91" i="16"/>
  <c r="H91" i="16"/>
  <c r="I91" i="16"/>
  <c r="J91" i="16"/>
  <c r="X91" i="16"/>
  <c r="C91" i="16"/>
  <c r="G92" i="16"/>
  <c r="F92" i="16"/>
  <c r="H92" i="16"/>
  <c r="I92" i="16"/>
  <c r="J92" i="16"/>
  <c r="X92" i="16"/>
  <c r="C92" i="16"/>
  <c r="G93" i="16"/>
  <c r="F93" i="16"/>
  <c r="H93" i="16"/>
  <c r="I93" i="16"/>
  <c r="J93" i="16"/>
  <c r="X93" i="16"/>
  <c r="C93" i="16"/>
  <c r="G94" i="16"/>
  <c r="F94" i="16"/>
  <c r="H94" i="16"/>
  <c r="I94" i="16"/>
  <c r="J94" i="16"/>
  <c r="X94" i="16"/>
  <c r="C94" i="16"/>
  <c r="G95" i="16"/>
  <c r="F95" i="16"/>
  <c r="H95" i="16"/>
  <c r="I95" i="16"/>
  <c r="J95" i="16"/>
  <c r="X95" i="16"/>
  <c r="C95" i="16"/>
  <c r="G96" i="16"/>
  <c r="F96" i="16"/>
  <c r="H96" i="16"/>
  <c r="I96" i="16"/>
  <c r="J96" i="16"/>
  <c r="X96" i="16"/>
  <c r="C96" i="16"/>
  <c r="G97" i="16"/>
  <c r="F97" i="16"/>
  <c r="H97" i="16"/>
  <c r="I97" i="16"/>
  <c r="J97" i="16"/>
  <c r="X97" i="16"/>
  <c r="C97" i="16"/>
  <c r="G98" i="16"/>
  <c r="F98" i="16"/>
  <c r="H98" i="16"/>
  <c r="I98" i="16"/>
  <c r="J98" i="16"/>
  <c r="X98" i="16"/>
  <c r="C98" i="16"/>
  <c r="G99" i="16"/>
  <c r="F99" i="16"/>
  <c r="H99" i="16"/>
  <c r="I99" i="16"/>
  <c r="J99" i="16"/>
  <c r="X99" i="16"/>
  <c r="C99" i="16"/>
  <c r="G100" i="16"/>
  <c r="F100" i="16"/>
  <c r="H100" i="16"/>
  <c r="I100" i="16"/>
  <c r="J100" i="16"/>
  <c r="X100" i="16"/>
  <c r="C100" i="16"/>
  <c r="G101" i="16"/>
  <c r="F101" i="16"/>
  <c r="H101" i="16"/>
  <c r="I101" i="16"/>
  <c r="J101" i="16"/>
  <c r="X101" i="16"/>
  <c r="C101" i="16"/>
  <c r="G102" i="16"/>
  <c r="F102" i="16"/>
  <c r="H102" i="16"/>
  <c r="I102" i="16"/>
  <c r="J102" i="16"/>
  <c r="X102" i="16"/>
  <c r="C102" i="16"/>
  <c r="G103" i="16"/>
  <c r="F103" i="16"/>
  <c r="H103" i="16"/>
  <c r="I103" i="16"/>
  <c r="J103" i="16"/>
  <c r="X103" i="16"/>
  <c r="C103" i="16"/>
  <c r="G104" i="16"/>
  <c r="F104" i="16"/>
  <c r="H104" i="16"/>
  <c r="I104" i="16"/>
  <c r="J104" i="16"/>
  <c r="X104" i="16"/>
  <c r="C104" i="16"/>
  <c r="G105" i="16"/>
  <c r="F105" i="16"/>
  <c r="H105" i="16"/>
  <c r="I105" i="16"/>
  <c r="J105" i="16"/>
  <c r="X105" i="16"/>
  <c r="C105" i="16"/>
  <c r="G106" i="16"/>
  <c r="F106" i="16"/>
  <c r="H106" i="16"/>
  <c r="I106" i="16"/>
  <c r="J106" i="16"/>
  <c r="X106" i="16"/>
  <c r="C106" i="16"/>
  <c r="G107" i="16"/>
  <c r="F107" i="16"/>
  <c r="H107" i="16"/>
  <c r="I107" i="16"/>
  <c r="J107" i="16"/>
  <c r="X107" i="16"/>
  <c r="C107" i="16"/>
  <c r="G108" i="16"/>
  <c r="F108" i="16"/>
  <c r="H108" i="16"/>
  <c r="I108" i="16"/>
  <c r="J108" i="16"/>
  <c r="X108" i="16"/>
  <c r="C108" i="16"/>
  <c r="G109" i="16"/>
  <c r="F109" i="16"/>
  <c r="H109" i="16"/>
  <c r="I109" i="16"/>
  <c r="J109" i="16"/>
  <c r="X109" i="16"/>
  <c r="C109" i="16"/>
  <c r="G110" i="16"/>
  <c r="F110" i="16"/>
  <c r="H110" i="16"/>
  <c r="I110" i="16"/>
  <c r="J110" i="16"/>
  <c r="X110" i="16"/>
  <c r="C110" i="16"/>
  <c r="G111" i="16"/>
  <c r="F111" i="16"/>
  <c r="H111" i="16"/>
  <c r="I111" i="16"/>
  <c r="J111" i="16"/>
  <c r="X111" i="16"/>
  <c r="C111" i="16"/>
  <c r="G112" i="16"/>
  <c r="F112" i="16"/>
  <c r="H112" i="16"/>
  <c r="I112" i="16"/>
  <c r="J112" i="16"/>
  <c r="X112" i="16"/>
  <c r="C112" i="16"/>
  <c r="G113" i="16"/>
  <c r="F113" i="16"/>
  <c r="H113" i="16"/>
  <c r="I113" i="16"/>
  <c r="J113" i="16"/>
  <c r="X113" i="16"/>
  <c r="C113" i="16"/>
  <c r="G114" i="16"/>
  <c r="F114" i="16"/>
  <c r="H114" i="16"/>
  <c r="I114" i="16"/>
  <c r="J114" i="16"/>
  <c r="X114" i="16"/>
  <c r="C114" i="16"/>
  <c r="G115" i="16"/>
  <c r="F115" i="16"/>
  <c r="H115" i="16"/>
  <c r="I115" i="16"/>
  <c r="J115" i="16"/>
  <c r="X115" i="16"/>
  <c r="C115" i="16"/>
  <c r="G116" i="16"/>
  <c r="F116" i="16"/>
  <c r="H116" i="16"/>
  <c r="I116" i="16"/>
  <c r="J116" i="16"/>
  <c r="X116" i="16"/>
  <c r="C116" i="16"/>
  <c r="G117" i="16"/>
  <c r="F117" i="16"/>
  <c r="H117" i="16"/>
  <c r="I117" i="16"/>
  <c r="J117" i="16"/>
  <c r="X117" i="16"/>
  <c r="C117" i="16"/>
  <c r="G118" i="16"/>
  <c r="F118" i="16"/>
  <c r="H118" i="16"/>
  <c r="I118" i="16"/>
  <c r="J118" i="16"/>
  <c r="X118" i="16"/>
  <c r="C118" i="16"/>
  <c r="G119" i="16"/>
  <c r="F119" i="16"/>
  <c r="H119" i="16"/>
  <c r="I119" i="16"/>
  <c r="J119" i="16"/>
  <c r="X119" i="16"/>
  <c r="C119" i="16"/>
  <c r="G120" i="16"/>
  <c r="F120" i="16"/>
  <c r="H120" i="16"/>
  <c r="I120" i="16"/>
  <c r="J120" i="16"/>
  <c r="X120" i="16"/>
  <c r="C120" i="16"/>
  <c r="G121" i="16"/>
  <c r="F121" i="16"/>
  <c r="H121" i="16"/>
  <c r="I121" i="16"/>
  <c r="J121" i="16"/>
  <c r="X121" i="16"/>
  <c r="C121" i="16"/>
  <c r="G122" i="16"/>
  <c r="F122" i="16"/>
  <c r="H122" i="16"/>
  <c r="I122" i="16"/>
  <c r="J122" i="16"/>
  <c r="X122" i="16"/>
  <c r="C122" i="16"/>
  <c r="G123" i="16"/>
  <c r="F123" i="16"/>
  <c r="H123" i="16"/>
  <c r="I123" i="16"/>
  <c r="J123" i="16"/>
  <c r="X123" i="16"/>
  <c r="C123" i="16"/>
  <c r="G124" i="16"/>
  <c r="F124" i="16"/>
  <c r="H124" i="16"/>
  <c r="I124" i="16"/>
  <c r="J124" i="16"/>
  <c r="X124" i="16"/>
  <c r="C124" i="16"/>
  <c r="G125" i="16"/>
  <c r="F125" i="16"/>
  <c r="H125" i="16"/>
  <c r="I125" i="16"/>
  <c r="J125" i="16"/>
  <c r="X125" i="16"/>
  <c r="C125" i="16"/>
  <c r="G126" i="16"/>
  <c r="F126" i="16"/>
  <c r="H126" i="16"/>
  <c r="I126" i="16"/>
  <c r="J126" i="16"/>
  <c r="X126" i="16"/>
  <c r="C126" i="16"/>
  <c r="G127" i="16"/>
  <c r="F127" i="16"/>
  <c r="H127" i="16"/>
  <c r="I127" i="16"/>
  <c r="J127" i="16"/>
  <c r="X127" i="16"/>
  <c r="C127" i="16"/>
  <c r="G128" i="16"/>
  <c r="F128" i="16"/>
  <c r="H128" i="16"/>
  <c r="I128" i="16"/>
  <c r="J128" i="16"/>
  <c r="X128" i="16"/>
  <c r="C128" i="16"/>
  <c r="G129" i="16"/>
  <c r="F129" i="16"/>
  <c r="H129" i="16"/>
  <c r="I129" i="16"/>
  <c r="J129" i="16"/>
  <c r="X129" i="16"/>
  <c r="C129" i="16"/>
  <c r="G130" i="16"/>
  <c r="F130" i="16"/>
  <c r="H130" i="16"/>
  <c r="I130" i="16"/>
  <c r="J130" i="16"/>
  <c r="X130" i="16"/>
  <c r="C130" i="16"/>
  <c r="G131" i="16"/>
  <c r="F131" i="16"/>
  <c r="H131" i="16"/>
  <c r="I131" i="16"/>
  <c r="J131" i="16"/>
  <c r="X131" i="16"/>
  <c r="C131" i="16"/>
  <c r="G132" i="16"/>
  <c r="F132" i="16"/>
  <c r="H132" i="16"/>
  <c r="I132" i="16"/>
  <c r="J132" i="16"/>
  <c r="X132" i="16"/>
  <c r="C132" i="16"/>
  <c r="G133" i="16"/>
  <c r="F133" i="16"/>
  <c r="H133" i="16"/>
  <c r="I133" i="16"/>
  <c r="J133" i="16"/>
  <c r="X133" i="16"/>
  <c r="C133" i="16"/>
  <c r="G134" i="16"/>
  <c r="F134" i="16"/>
  <c r="H134" i="16"/>
  <c r="I134" i="16"/>
  <c r="J134" i="16"/>
  <c r="X134" i="16"/>
  <c r="C134" i="16"/>
  <c r="G135" i="16"/>
  <c r="F135" i="16"/>
  <c r="H135" i="16"/>
  <c r="I135" i="16"/>
  <c r="J135" i="16"/>
  <c r="X135" i="16"/>
  <c r="C135" i="16"/>
  <c r="G136" i="16"/>
  <c r="F136" i="16"/>
  <c r="H136" i="16"/>
  <c r="I136" i="16"/>
  <c r="J136" i="16"/>
  <c r="X136" i="16"/>
  <c r="C136" i="16"/>
  <c r="G137" i="16"/>
  <c r="F137" i="16"/>
  <c r="H137" i="16"/>
  <c r="I137" i="16"/>
  <c r="J137" i="16"/>
  <c r="X137" i="16"/>
  <c r="C137" i="16"/>
  <c r="G138" i="16"/>
  <c r="F138" i="16"/>
  <c r="H138" i="16"/>
  <c r="I138" i="16"/>
  <c r="J138" i="16"/>
  <c r="X138" i="16"/>
  <c r="C138" i="16"/>
  <c r="G139" i="16"/>
  <c r="F139" i="16"/>
  <c r="H139" i="16"/>
  <c r="I139" i="16"/>
  <c r="J139" i="16"/>
  <c r="X139" i="16"/>
  <c r="C139" i="16"/>
  <c r="G140" i="16"/>
  <c r="F140" i="16"/>
  <c r="H140" i="16"/>
  <c r="I140" i="16"/>
  <c r="J140" i="16"/>
  <c r="X140" i="16"/>
  <c r="C140" i="16"/>
  <c r="G141" i="16"/>
  <c r="F141" i="16"/>
  <c r="H141" i="16"/>
  <c r="I141" i="16"/>
  <c r="J141" i="16"/>
  <c r="X141" i="16"/>
  <c r="C141" i="16"/>
  <c r="G142" i="16"/>
  <c r="F142" i="16"/>
  <c r="H142" i="16"/>
  <c r="I142" i="16"/>
  <c r="J142" i="16"/>
  <c r="X142" i="16"/>
  <c r="C142" i="16"/>
  <c r="G143" i="16"/>
  <c r="F143" i="16"/>
  <c r="H143" i="16"/>
  <c r="I143" i="16"/>
  <c r="J143" i="16"/>
  <c r="X143" i="16"/>
  <c r="C143" i="16"/>
  <c r="G144" i="16"/>
  <c r="F144" i="16"/>
  <c r="H144" i="16"/>
  <c r="I144" i="16"/>
  <c r="J144" i="16"/>
  <c r="X144" i="16"/>
  <c r="C144" i="16"/>
  <c r="G145" i="16"/>
  <c r="F145" i="16"/>
  <c r="H145" i="16"/>
  <c r="I145" i="16"/>
  <c r="J145" i="16"/>
  <c r="X145" i="16"/>
  <c r="C145" i="16"/>
  <c r="G146" i="16"/>
  <c r="F146" i="16"/>
  <c r="H146" i="16"/>
  <c r="I146" i="16"/>
  <c r="J146" i="16"/>
  <c r="X146" i="16"/>
  <c r="C146" i="16"/>
  <c r="G147" i="16"/>
  <c r="F147" i="16"/>
  <c r="H147" i="16"/>
  <c r="I147" i="16"/>
  <c r="J147" i="16"/>
  <c r="X147" i="16"/>
  <c r="C147" i="16"/>
  <c r="G148" i="16"/>
  <c r="F148" i="16"/>
  <c r="H148" i="16"/>
  <c r="I148" i="16"/>
  <c r="J148" i="16"/>
  <c r="X148" i="16"/>
  <c r="C148" i="16"/>
  <c r="G149" i="16"/>
  <c r="F149" i="16"/>
  <c r="H149" i="16"/>
  <c r="I149" i="16"/>
  <c r="J149" i="16"/>
  <c r="X149" i="16"/>
  <c r="C149" i="16"/>
  <c r="G150" i="16"/>
  <c r="F150" i="16"/>
  <c r="H150" i="16"/>
  <c r="I150" i="16"/>
  <c r="J150" i="16"/>
  <c r="X150" i="16"/>
  <c r="C150" i="16"/>
  <c r="G151" i="16"/>
  <c r="F151" i="16"/>
  <c r="H151" i="16"/>
  <c r="I151" i="16"/>
  <c r="J151" i="16"/>
  <c r="X151" i="16"/>
  <c r="C151" i="16"/>
  <c r="G152" i="16"/>
  <c r="F152" i="16"/>
  <c r="H152" i="16"/>
  <c r="I152" i="16"/>
  <c r="J152" i="16"/>
  <c r="X152" i="16"/>
  <c r="C152" i="16"/>
  <c r="G153" i="16"/>
  <c r="F153" i="16"/>
  <c r="H153" i="16"/>
  <c r="I153" i="16"/>
  <c r="J153" i="16"/>
  <c r="X153" i="16"/>
  <c r="C153" i="16"/>
  <c r="G154" i="16"/>
  <c r="F154" i="16"/>
  <c r="H154" i="16"/>
  <c r="I154" i="16"/>
  <c r="J154" i="16"/>
  <c r="X154" i="16"/>
  <c r="C154" i="16"/>
  <c r="G155" i="16"/>
  <c r="F155" i="16"/>
  <c r="H155" i="16"/>
  <c r="I155" i="16"/>
  <c r="J155" i="16"/>
  <c r="X155" i="16"/>
  <c r="C155" i="16"/>
  <c r="G156" i="16"/>
  <c r="F156" i="16"/>
  <c r="H156" i="16"/>
  <c r="I156" i="16"/>
  <c r="J156" i="16"/>
  <c r="X156" i="16"/>
  <c r="C156" i="16"/>
  <c r="G157" i="16"/>
  <c r="F157" i="16"/>
  <c r="H157" i="16"/>
  <c r="I157" i="16"/>
  <c r="J157" i="16"/>
  <c r="X157" i="16"/>
  <c r="C157" i="16"/>
  <c r="G158" i="16"/>
  <c r="F158" i="16"/>
  <c r="H158" i="16"/>
  <c r="I158" i="16"/>
  <c r="J158" i="16"/>
  <c r="X158" i="16"/>
  <c r="C158" i="16"/>
  <c r="G159" i="16"/>
  <c r="F159" i="16"/>
  <c r="H159" i="16"/>
  <c r="I159" i="16"/>
  <c r="J159" i="16"/>
  <c r="X159" i="16"/>
  <c r="C159" i="16"/>
  <c r="G160" i="16"/>
  <c r="F160" i="16"/>
  <c r="H160" i="16"/>
  <c r="I160" i="16"/>
  <c r="J160" i="16"/>
  <c r="X160" i="16"/>
  <c r="C160" i="16"/>
  <c r="G161" i="16"/>
  <c r="F161" i="16"/>
  <c r="H161" i="16"/>
  <c r="I161" i="16"/>
  <c r="J161" i="16"/>
  <c r="X161" i="16"/>
  <c r="C161" i="16"/>
  <c r="G162" i="16"/>
  <c r="F162" i="16"/>
  <c r="H162" i="16"/>
  <c r="I162" i="16"/>
  <c r="J162" i="16"/>
  <c r="X162" i="16"/>
  <c r="C162" i="16"/>
  <c r="G163" i="16"/>
  <c r="F163" i="16"/>
  <c r="H163" i="16"/>
  <c r="I163" i="16"/>
  <c r="J163" i="16"/>
  <c r="X163" i="16"/>
  <c r="C163" i="16"/>
  <c r="G164" i="16"/>
  <c r="F164" i="16"/>
  <c r="H164" i="16"/>
  <c r="I164" i="16"/>
  <c r="J164" i="16"/>
  <c r="X164" i="16"/>
  <c r="C164" i="16"/>
  <c r="G165" i="16"/>
  <c r="F165" i="16"/>
  <c r="H165" i="16"/>
  <c r="I165" i="16"/>
  <c r="J165" i="16"/>
  <c r="X165" i="16"/>
  <c r="C165" i="16"/>
  <c r="G166" i="16"/>
  <c r="F166" i="16"/>
  <c r="H166" i="16"/>
  <c r="I166" i="16"/>
  <c r="J166" i="16"/>
  <c r="X166" i="16"/>
  <c r="C166" i="16"/>
  <c r="G167" i="16"/>
  <c r="F167" i="16"/>
  <c r="H167" i="16"/>
  <c r="I167" i="16"/>
  <c r="J167" i="16"/>
  <c r="X167" i="16"/>
  <c r="C167" i="16"/>
  <c r="G168" i="16"/>
  <c r="F168" i="16"/>
  <c r="H168" i="16"/>
  <c r="I168" i="16"/>
  <c r="J168" i="16"/>
  <c r="X168" i="16"/>
  <c r="C168" i="16"/>
  <c r="G169" i="16"/>
  <c r="F169" i="16"/>
  <c r="H169" i="16"/>
  <c r="I169" i="16"/>
  <c r="J169" i="16"/>
  <c r="X169" i="16"/>
  <c r="C169" i="16"/>
  <c r="G170" i="16"/>
  <c r="F170" i="16"/>
  <c r="H170" i="16"/>
  <c r="I170" i="16"/>
  <c r="J170" i="16"/>
  <c r="X170" i="16"/>
  <c r="C170" i="16"/>
  <c r="G171" i="16"/>
  <c r="F171" i="16"/>
  <c r="H171" i="16"/>
  <c r="I171" i="16"/>
  <c r="J171" i="16"/>
  <c r="X171" i="16"/>
  <c r="C171" i="16"/>
  <c r="G172" i="16"/>
  <c r="F172" i="16"/>
  <c r="H172" i="16"/>
  <c r="I172" i="16"/>
  <c r="J172" i="16"/>
  <c r="X172" i="16"/>
  <c r="C172" i="16"/>
  <c r="G173" i="16"/>
  <c r="F173" i="16"/>
  <c r="H173" i="16"/>
  <c r="I173" i="16"/>
  <c r="J173" i="16"/>
  <c r="X173" i="16"/>
  <c r="C173" i="16"/>
  <c r="G174" i="16"/>
  <c r="F174" i="16"/>
  <c r="H174" i="16"/>
  <c r="I174" i="16"/>
  <c r="J174" i="16"/>
  <c r="X174" i="16"/>
  <c r="C174" i="16"/>
  <c r="G175" i="16"/>
  <c r="F175" i="16"/>
  <c r="H175" i="16"/>
  <c r="I175" i="16"/>
  <c r="J175" i="16"/>
  <c r="X175" i="16"/>
  <c r="C175" i="16"/>
  <c r="G176" i="16"/>
  <c r="F176" i="16"/>
  <c r="H176" i="16"/>
  <c r="I176" i="16"/>
  <c r="J176" i="16"/>
  <c r="X176" i="16"/>
  <c r="C176" i="16"/>
  <c r="G177" i="16"/>
  <c r="F177" i="16"/>
  <c r="H177" i="16"/>
  <c r="I177" i="16"/>
  <c r="J177" i="16"/>
  <c r="X177" i="16"/>
  <c r="C177" i="16"/>
  <c r="G178" i="16"/>
  <c r="F178" i="16"/>
  <c r="H178" i="16"/>
  <c r="I178" i="16"/>
  <c r="J178" i="16"/>
  <c r="X178" i="16"/>
  <c r="C178" i="16"/>
  <c r="G179" i="16"/>
  <c r="F179" i="16"/>
  <c r="H179" i="16"/>
  <c r="I179" i="16"/>
  <c r="J179" i="16"/>
  <c r="X179" i="16"/>
  <c r="C179" i="16"/>
  <c r="G180" i="16"/>
  <c r="F180" i="16"/>
  <c r="H180" i="16"/>
  <c r="I180" i="16"/>
  <c r="J180" i="16"/>
  <c r="X180" i="16"/>
  <c r="C180" i="16"/>
  <c r="G181" i="16"/>
  <c r="F181" i="16"/>
  <c r="H181" i="16"/>
  <c r="I181" i="16"/>
  <c r="J181" i="16"/>
  <c r="X181" i="16"/>
  <c r="C181" i="16"/>
  <c r="G182" i="16"/>
  <c r="F182" i="16"/>
  <c r="H182" i="16"/>
  <c r="I182" i="16"/>
  <c r="J182" i="16"/>
  <c r="X182" i="16"/>
  <c r="C182" i="16"/>
  <c r="G183" i="16"/>
  <c r="F183" i="16"/>
  <c r="H183" i="16"/>
  <c r="I183" i="16"/>
  <c r="J183" i="16"/>
  <c r="X183" i="16"/>
  <c r="C183" i="16"/>
  <c r="G184" i="16"/>
  <c r="F184" i="16"/>
  <c r="H184" i="16"/>
  <c r="I184" i="16"/>
  <c r="J184" i="16"/>
  <c r="X184" i="16"/>
  <c r="C184" i="16"/>
  <c r="G185" i="16"/>
  <c r="F185" i="16"/>
  <c r="H185" i="16"/>
  <c r="I185" i="16"/>
  <c r="J185" i="16"/>
  <c r="X185" i="16"/>
  <c r="C185" i="16"/>
  <c r="G186" i="16"/>
  <c r="F186" i="16"/>
  <c r="H186" i="16"/>
  <c r="I186" i="16"/>
  <c r="J186" i="16"/>
  <c r="X186" i="16"/>
  <c r="C186" i="16"/>
  <c r="G187" i="16"/>
  <c r="F187" i="16"/>
  <c r="H187" i="16"/>
  <c r="I187" i="16"/>
  <c r="J187" i="16"/>
  <c r="X187" i="16"/>
  <c r="C187" i="16"/>
  <c r="N94" i="19"/>
  <c r="O94" i="19"/>
  <c r="N5" i="19"/>
  <c r="O5" i="19"/>
  <c r="N6" i="19"/>
  <c r="O6" i="19"/>
  <c r="N7" i="19"/>
  <c r="O7" i="19"/>
  <c r="N8" i="19"/>
  <c r="O8" i="19"/>
  <c r="N9" i="19"/>
  <c r="O9" i="19"/>
  <c r="N10" i="19"/>
  <c r="O10" i="19"/>
  <c r="N11" i="19"/>
  <c r="O11" i="19"/>
  <c r="N12" i="19"/>
  <c r="O12" i="19"/>
  <c r="N13" i="19"/>
  <c r="O13" i="19"/>
  <c r="N14" i="19"/>
  <c r="O14" i="19"/>
  <c r="N15" i="19"/>
  <c r="O15" i="19"/>
  <c r="N16" i="19"/>
  <c r="O16" i="19"/>
  <c r="N17" i="19"/>
  <c r="O17" i="19"/>
  <c r="N18" i="19"/>
  <c r="O18" i="19"/>
  <c r="N19" i="19"/>
  <c r="O19" i="19"/>
  <c r="N20" i="19"/>
  <c r="O20" i="19"/>
  <c r="N21" i="19"/>
  <c r="O21" i="19"/>
  <c r="N22" i="19"/>
  <c r="O22" i="19"/>
  <c r="N23" i="19"/>
  <c r="O23" i="19"/>
  <c r="N24" i="19"/>
  <c r="O24" i="19"/>
  <c r="N25" i="19"/>
  <c r="O25" i="19"/>
  <c r="N26" i="19"/>
  <c r="O26" i="19"/>
  <c r="N27" i="19"/>
  <c r="O27" i="19"/>
  <c r="N28" i="19"/>
  <c r="O28" i="19"/>
  <c r="N29" i="19"/>
  <c r="O29" i="19"/>
  <c r="N30" i="19"/>
  <c r="O30" i="19"/>
  <c r="N31" i="19"/>
  <c r="O31" i="19"/>
  <c r="N32" i="19"/>
  <c r="O32" i="19"/>
  <c r="N33" i="19"/>
  <c r="O33" i="19"/>
  <c r="N34" i="19"/>
  <c r="O34" i="19"/>
  <c r="N35" i="19"/>
  <c r="O35" i="19"/>
  <c r="N36" i="19"/>
  <c r="O36" i="19"/>
  <c r="N37" i="19"/>
  <c r="O37" i="19"/>
  <c r="N38" i="19"/>
  <c r="O38" i="19"/>
  <c r="N39" i="19"/>
  <c r="O39" i="19"/>
  <c r="N40" i="19"/>
  <c r="O40" i="19"/>
  <c r="N41" i="19"/>
  <c r="O41" i="19"/>
  <c r="N42" i="19"/>
  <c r="O42" i="19"/>
  <c r="N43" i="19"/>
  <c r="O43" i="19"/>
  <c r="N44" i="19"/>
  <c r="O44" i="19"/>
  <c r="N45" i="19"/>
  <c r="O45" i="19"/>
  <c r="N46" i="19"/>
  <c r="O46" i="19"/>
  <c r="N47" i="19"/>
  <c r="O47" i="19"/>
  <c r="N48" i="19"/>
  <c r="O48" i="19"/>
  <c r="N49" i="19"/>
  <c r="O49" i="19"/>
  <c r="N50" i="19"/>
  <c r="O50" i="19"/>
  <c r="N51" i="19"/>
  <c r="O51" i="19"/>
  <c r="N52" i="19"/>
  <c r="O52" i="19"/>
  <c r="N53" i="19"/>
  <c r="O53" i="19"/>
  <c r="N54" i="19"/>
  <c r="O54" i="19"/>
  <c r="N55" i="19"/>
  <c r="O55" i="19"/>
  <c r="N56" i="19"/>
  <c r="O56" i="19"/>
  <c r="N57" i="19"/>
  <c r="O57" i="19"/>
  <c r="N58" i="19"/>
  <c r="O58" i="19"/>
  <c r="N59" i="19"/>
  <c r="O59" i="19"/>
  <c r="N60" i="19"/>
  <c r="O60" i="19"/>
  <c r="N61" i="19"/>
  <c r="O61" i="19"/>
  <c r="N62" i="19"/>
  <c r="O62" i="19"/>
  <c r="N63" i="19"/>
  <c r="O63" i="19"/>
  <c r="N64" i="19"/>
  <c r="O64" i="19"/>
  <c r="N65" i="19"/>
  <c r="O65" i="19"/>
  <c r="N67" i="19"/>
  <c r="O67" i="19"/>
  <c r="N68" i="19"/>
  <c r="O68" i="19"/>
  <c r="N69" i="19"/>
  <c r="O69" i="19"/>
  <c r="N70" i="19"/>
  <c r="O70" i="19"/>
  <c r="N71" i="19"/>
  <c r="O71" i="19"/>
  <c r="N66" i="19"/>
  <c r="O66" i="19"/>
  <c r="N76" i="19"/>
  <c r="O76" i="19"/>
  <c r="N77" i="19"/>
  <c r="O77" i="19"/>
  <c r="N72" i="19"/>
  <c r="O72" i="19"/>
  <c r="N78" i="19"/>
  <c r="O78" i="19"/>
  <c r="N82" i="19"/>
  <c r="O82" i="19"/>
  <c r="N83" i="19"/>
  <c r="O83" i="19"/>
  <c r="N84" i="19"/>
  <c r="O84" i="19"/>
  <c r="N85" i="19"/>
  <c r="O85" i="19"/>
  <c r="N86" i="19"/>
  <c r="O86" i="19"/>
  <c r="N87" i="19"/>
  <c r="O87" i="19"/>
  <c r="N88" i="19"/>
  <c r="O88" i="19"/>
  <c r="N89" i="19"/>
  <c r="O89" i="19"/>
  <c r="N90" i="19"/>
  <c r="O90" i="19"/>
  <c r="N91" i="19"/>
  <c r="O91" i="19"/>
  <c r="N92" i="19"/>
  <c r="O92" i="19"/>
  <c r="N93" i="19"/>
  <c r="O93" i="19"/>
  <c r="N73" i="19"/>
  <c r="O73" i="19"/>
  <c r="N75" i="19"/>
  <c r="O75" i="19"/>
  <c r="N79" i="19"/>
  <c r="O79" i="19"/>
  <c r="N74" i="19"/>
  <c r="O74" i="19"/>
  <c r="N80" i="19"/>
  <c r="O80" i="19"/>
  <c r="N81" i="19"/>
  <c r="O81" i="19"/>
  <c r="N95" i="19"/>
  <c r="O95" i="19"/>
  <c r="N96" i="19"/>
  <c r="O96" i="19"/>
  <c r="N97" i="19"/>
  <c r="O97" i="19"/>
  <c r="N98" i="19"/>
  <c r="O98" i="19"/>
  <c r="N99" i="19"/>
  <c r="O99" i="19"/>
  <c r="N100" i="19"/>
  <c r="O100" i="19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C3" i="22"/>
  <c r="C4" i="22"/>
  <c r="C5" i="22"/>
  <c r="C6" i="22"/>
  <c r="D6" i="22"/>
  <c r="C7" i="22"/>
  <c r="D7" i="22"/>
  <c r="C8" i="22"/>
  <c r="D8" i="22"/>
  <c r="C9" i="22"/>
  <c r="D9" i="22"/>
  <c r="C10" i="22"/>
  <c r="D10" i="22"/>
  <c r="C11" i="22"/>
  <c r="D11" i="22"/>
  <c r="C12" i="22"/>
  <c r="D12" i="22"/>
  <c r="C13" i="22"/>
  <c r="D13" i="22"/>
  <c r="C14" i="22"/>
  <c r="D14" i="22"/>
  <c r="C15" i="22"/>
  <c r="D15" i="22"/>
  <c r="C16" i="22"/>
  <c r="D16" i="22"/>
  <c r="C17" i="22"/>
  <c r="D17" i="22"/>
  <c r="C18" i="22"/>
  <c r="D18" i="22"/>
  <c r="C19" i="22"/>
  <c r="D19" i="22"/>
  <c r="C20" i="22"/>
  <c r="D20" i="22"/>
  <c r="C21" i="22"/>
  <c r="D21" i="22"/>
  <c r="C22" i="22"/>
  <c r="D22" i="22"/>
  <c r="C23" i="22"/>
  <c r="D23" i="22"/>
  <c r="C24" i="22"/>
  <c r="D24" i="22"/>
  <c r="C25" i="22"/>
  <c r="D25" i="22"/>
  <c r="C26" i="22"/>
  <c r="D26" i="22"/>
  <c r="C27" i="22"/>
  <c r="D27" i="22"/>
  <c r="C28" i="22"/>
  <c r="D28" i="22"/>
  <c r="C29" i="22"/>
  <c r="D29" i="22"/>
  <c r="C30" i="22"/>
  <c r="D30" i="22"/>
  <c r="C31" i="22"/>
  <c r="D31" i="22"/>
  <c r="C32" i="22"/>
  <c r="D32" i="22"/>
  <c r="C33" i="22"/>
  <c r="D33" i="22"/>
  <c r="C34" i="22"/>
  <c r="D34" i="22"/>
  <c r="C35" i="22"/>
  <c r="D35" i="22"/>
  <c r="C36" i="22"/>
  <c r="D36" i="22"/>
  <c r="C37" i="22"/>
  <c r="D37" i="22"/>
  <c r="C38" i="22"/>
  <c r="D38" i="22"/>
  <c r="C39" i="22"/>
  <c r="D39" i="22"/>
  <c r="C40" i="22"/>
  <c r="D40" i="22"/>
  <c r="C41" i="22"/>
  <c r="D41" i="22"/>
  <c r="C42" i="22"/>
  <c r="D42" i="22"/>
  <c r="C43" i="22"/>
  <c r="D43" i="22"/>
  <c r="C44" i="22"/>
  <c r="D44" i="22"/>
  <c r="C45" i="22"/>
  <c r="D45" i="22"/>
  <c r="D5" i="22"/>
  <c r="D4" i="22"/>
  <c r="B63" i="19"/>
  <c r="H1" i="22"/>
  <c r="E2" i="20"/>
  <c r="A145" i="16"/>
  <c r="I145" i="21"/>
  <c r="H145" i="21"/>
  <c r="G145" i="21"/>
  <c r="F145" i="21"/>
  <c r="E145" i="21"/>
  <c r="D9" i="20"/>
  <c r="C145" i="21"/>
  <c r="E145" i="16"/>
  <c r="W2" i="16"/>
  <c r="W3" i="16"/>
  <c r="W4" i="16"/>
  <c r="W5" i="16"/>
  <c r="W6" i="16"/>
  <c r="W7" i="16"/>
  <c r="W8" i="16"/>
  <c r="W9" i="16"/>
  <c r="W10" i="16"/>
  <c r="W11" i="16"/>
  <c r="W12" i="16"/>
  <c r="W13" i="16"/>
  <c r="W14" i="16"/>
  <c r="W15" i="16"/>
  <c r="W16" i="16"/>
  <c r="W17" i="16"/>
  <c r="W18" i="16"/>
  <c r="W19" i="16"/>
  <c r="W20" i="16"/>
  <c r="W21" i="16"/>
  <c r="W22" i="16"/>
  <c r="W23" i="16"/>
  <c r="W24" i="16"/>
  <c r="W25" i="16"/>
  <c r="W26" i="16"/>
  <c r="W27" i="16"/>
  <c r="W28" i="16"/>
  <c r="W29" i="16"/>
  <c r="W30" i="16"/>
  <c r="W31" i="16"/>
  <c r="W32" i="16"/>
  <c r="W33" i="16"/>
  <c r="W34" i="16"/>
  <c r="W35" i="16"/>
  <c r="W36" i="16"/>
  <c r="W37" i="16"/>
  <c r="W38" i="16"/>
  <c r="W39" i="16"/>
  <c r="W40" i="16"/>
  <c r="W41" i="16"/>
  <c r="W42" i="16"/>
  <c r="W43" i="16"/>
  <c r="W44" i="16"/>
  <c r="W45" i="16"/>
  <c r="W46" i="16"/>
  <c r="W47" i="16"/>
  <c r="W48" i="16"/>
  <c r="W49" i="16"/>
  <c r="W50" i="16"/>
  <c r="W51" i="16"/>
  <c r="W52" i="16"/>
  <c r="W53" i="16"/>
  <c r="W54" i="16"/>
  <c r="W55" i="16"/>
  <c r="W56" i="16"/>
  <c r="W57" i="16"/>
  <c r="W58" i="16"/>
  <c r="W59" i="16"/>
  <c r="W60" i="16"/>
  <c r="W61" i="16"/>
  <c r="W62" i="16"/>
  <c r="W63" i="16"/>
  <c r="W64" i="16"/>
  <c r="W65" i="16"/>
  <c r="W66" i="16"/>
  <c r="W67" i="16"/>
  <c r="W68" i="16"/>
  <c r="W69" i="16"/>
  <c r="W70" i="16"/>
  <c r="W71" i="16"/>
  <c r="W72" i="16"/>
  <c r="W73" i="16"/>
  <c r="W74" i="16"/>
  <c r="W75" i="16"/>
  <c r="W76" i="16"/>
  <c r="W77" i="16"/>
  <c r="W78" i="16"/>
  <c r="W79" i="16"/>
  <c r="W80" i="16"/>
  <c r="W81" i="16"/>
  <c r="W82" i="16"/>
  <c r="W83" i="16"/>
  <c r="W84" i="16"/>
  <c r="W85" i="16"/>
  <c r="W86" i="16"/>
  <c r="W87" i="16"/>
  <c r="W88" i="16"/>
  <c r="W89" i="16"/>
  <c r="W90" i="16"/>
  <c r="W91" i="16"/>
  <c r="W92" i="16"/>
  <c r="W93" i="16"/>
  <c r="W94" i="16"/>
  <c r="W95" i="16"/>
  <c r="W96" i="16"/>
  <c r="W97" i="16"/>
  <c r="W98" i="16"/>
  <c r="W99" i="16"/>
  <c r="W100" i="16"/>
  <c r="W101" i="16"/>
  <c r="W102" i="16"/>
  <c r="W103" i="16"/>
  <c r="W104" i="16"/>
  <c r="W105" i="16"/>
  <c r="W106" i="16"/>
  <c r="W107" i="16"/>
  <c r="W108" i="16"/>
  <c r="W109" i="16"/>
  <c r="W110" i="16"/>
  <c r="W111" i="16"/>
  <c r="W112" i="16"/>
  <c r="W113" i="16"/>
  <c r="W114" i="16"/>
  <c r="W115" i="16"/>
  <c r="W116" i="16"/>
  <c r="W117" i="16"/>
  <c r="W118" i="16"/>
  <c r="W119" i="16"/>
  <c r="W120" i="16"/>
  <c r="W121" i="16"/>
  <c r="W122" i="16"/>
  <c r="W123" i="16"/>
  <c r="W124" i="16"/>
  <c r="W125" i="16"/>
  <c r="W126" i="16"/>
  <c r="W127" i="16"/>
  <c r="W128" i="16"/>
  <c r="W129" i="16"/>
  <c r="W130" i="16"/>
  <c r="W131" i="16"/>
  <c r="W132" i="16"/>
  <c r="W133" i="16"/>
  <c r="W134" i="16"/>
  <c r="W135" i="16"/>
  <c r="W136" i="16"/>
  <c r="W137" i="16"/>
  <c r="W138" i="16"/>
  <c r="W139" i="16"/>
  <c r="W140" i="16"/>
  <c r="W141" i="16"/>
  <c r="W142" i="16"/>
  <c r="W143" i="16"/>
  <c r="W144" i="16"/>
  <c r="W145" i="16"/>
  <c r="D145" i="16"/>
  <c r="P3" i="16"/>
  <c r="M2" i="16"/>
  <c r="Y3" i="16"/>
  <c r="P4" i="16"/>
  <c r="Y4" i="16"/>
  <c r="P5" i="16"/>
  <c r="Y5" i="16"/>
  <c r="P6" i="16"/>
  <c r="Y6" i="16"/>
  <c r="P7" i="16"/>
  <c r="Y7" i="16"/>
  <c r="P8" i="16"/>
  <c r="Y8" i="16"/>
  <c r="P9" i="16"/>
  <c r="Y9" i="16"/>
  <c r="P10" i="16"/>
  <c r="Y10" i="16"/>
  <c r="P11" i="16"/>
  <c r="Y11" i="16"/>
  <c r="P12" i="16"/>
  <c r="Y12" i="16"/>
  <c r="P13" i="16"/>
  <c r="Y13" i="16"/>
  <c r="P14" i="16"/>
  <c r="Y14" i="16"/>
  <c r="P15" i="16"/>
  <c r="Y15" i="16"/>
  <c r="P16" i="16"/>
  <c r="Y16" i="16"/>
  <c r="P17" i="16"/>
  <c r="Y17" i="16"/>
  <c r="P18" i="16"/>
  <c r="Y18" i="16"/>
  <c r="P19" i="16"/>
  <c r="Y19" i="16"/>
  <c r="P20" i="16"/>
  <c r="Y20" i="16"/>
  <c r="P21" i="16"/>
  <c r="Y21" i="16"/>
  <c r="P23" i="16"/>
  <c r="Y23" i="16"/>
  <c r="P24" i="16"/>
  <c r="Y24" i="16"/>
  <c r="P25" i="16"/>
  <c r="Y25" i="16"/>
  <c r="P26" i="16"/>
  <c r="Y26" i="16"/>
  <c r="P27" i="16"/>
  <c r="Y27" i="16"/>
  <c r="P28" i="16"/>
  <c r="Y28" i="16"/>
  <c r="M29" i="16"/>
  <c r="P30" i="16"/>
  <c r="Y30" i="16"/>
  <c r="M30" i="16"/>
  <c r="P31" i="16"/>
  <c r="Y31" i="16"/>
  <c r="M31" i="16"/>
  <c r="P32" i="16"/>
  <c r="Y32" i="16"/>
  <c r="M32" i="16"/>
  <c r="P33" i="16"/>
  <c r="Y33" i="16"/>
  <c r="M33" i="16"/>
  <c r="P34" i="16"/>
  <c r="Y34" i="16"/>
  <c r="M34" i="16"/>
  <c r="P35" i="16"/>
  <c r="Y35" i="16"/>
  <c r="M35" i="16"/>
  <c r="P36" i="16"/>
  <c r="Y36" i="16"/>
  <c r="M36" i="16"/>
  <c r="P37" i="16"/>
  <c r="Y37" i="16"/>
  <c r="M37" i="16"/>
  <c r="P38" i="16"/>
  <c r="Y38" i="16"/>
  <c r="M38" i="16"/>
  <c r="P39" i="16"/>
  <c r="Y39" i="16"/>
  <c r="M39" i="16"/>
  <c r="P40" i="16"/>
  <c r="Y40" i="16"/>
  <c r="M40" i="16"/>
  <c r="P41" i="16"/>
  <c r="Y41" i="16"/>
  <c r="M41" i="16"/>
  <c r="P42" i="16"/>
  <c r="Y42" i="16"/>
  <c r="M42" i="16"/>
  <c r="P43" i="16"/>
  <c r="Y43" i="16"/>
  <c r="M43" i="16"/>
  <c r="P44" i="16"/>
  <c r="Y44" i="16"/>
  <c r="M44" i="16"/>
  <c r="P45" i="16"/>
  <c r="Y45" i="16"/>
  <c r="M45" i="16"/>
  <c r="P46" i="16"/>
  <c r="Y46" i="16"/>
  <c r="M46" i="16"/>
  <c r="P47" i="16"/>
  <c r="Y47" i="16"/>
  <c r="M47" i="16"/>
  <c r="P48" i="16"/>
  <c r="Y48" i="16"/>
  <c r="M48" i="16"/>
  <c r="P49" i="16"/>
  <c r="Y49" i="16"/>
  <c r="M49" i="16"/>
  <c r="P50" i="16"/>
  <c r="Y50" i="16"/>
  <c r="M50" i="16"/>
  <c r="P51" i="16"/>
  <c r="Y51" i="16"/>
  <c r="M51" i="16"/>
  <c r="P52" i="16"/>
  <c r="Y52" i="16"/>
  <c r="M52" i="16"/>
  <c r="P53" i="16"/>
  <c r="Y53" i="16"/>
  <c r="M53" i="16"/>
  <c r="P54" i="16"/>
  <c r="Y54" i="16"/>
  <c r="M54" i="16"/>
  <c r="P55" i="16"/>
  <c r="Y55" i="16"/>
  <c r="M55" i="16"/>
  <c r="P56" i="16"/>
  <c r="Y56" i="16"/>
  <c r="M56" i="16"/>
  <c r="P57" i="16"/>
  <c r="Y57" i="16"/>
  <c r="M57" i="16"/>
  <c r="P58" i="16"/>
  <c r="Y58" i="16"/>
  <c r="M58" i="16"/>
  <c r="P59" i="16"/>
  <c r="Y59" i="16"/>
  <c r="M59" i="16"/>
  <c r="P60" i="16"/>
  <c r="Y60" i="16"/>
  <c r="M60" i="16"/>
  <c r="P61" i="16"/>
  <c r="Y61" i="16"/>
  <c r="M61" i="16"/>
  <c r="P62" i="16"/>
  <c r="Y62" i="16"/>
  <c r="M62" i="16"/>
  <c r="P63" i="16"/>
  <c r="Y63" i="16"/>
  <c r="M63" i="16"/>
  <c r="P64" i="16"/>
  <c r="Y64" i="16"/>
  <c r="M64" i="16"/>
  <c r="P65" i="16"/>
  <c r="Y65" i="16"/>
  <c r="M65" i="16"/>
  <c r="P66" i="16"/>
  <c r="Y66" i="16"/>
  <c r="M66" i="16"/>
  <c r="P67" i="16"/>
  <c r="Y67" i="16"/>
  <c r="M67" i="16"/>
  <c r="P68" i="16"/>
  <c r="Y68" i="16"/>
  <c r="M68" i="16"/>
  <c r="P69" i="16"/>
  <c r="Y69" i="16"/>
  <c r="M69" i="16"/>
  <c r="P70" i="16"/>
  <c r="Y70" i="16"/>
  <c r="M70" i="16"/>
  <c r="P71" i="16"/>
  <c r="Y71" i="16"/>
  <c r="M71" i="16"/>
  <c r="P72" i="16"/>
  <c r="Y72" i="16"/>
  <c r="M72" i="16"/>
  <c r="P73" i="16"/>
  <c r="Y73" i="16"/>
  <c r="M73" i="16"/>
  <c r="P74" i="16"/>
  <c r="Y74" i="16"/>
  <c r="M74" i="16"/>
  <c r="P75" i="16"/>
  <c r="Y75" i="16"/>
  <c r="M75" i="16"/>
  <c r="P76" i="16"/>
  <c r="Y76" i="16"/>
  <c r="M76" i="16"/>
  <c r="P77" i="16"/>
  <c r="Y77" i="16"/>
  <c r="M77" i="16"/>
  <c r="P78" i="16"/>
  <c r="Y78" i="16"/>
  <c r="M78" i="16"/>
  <c r="P79" i="16"/>
  <c r="Y79" i="16"/>
  <c r="M79" i="16"/>
  <c r="P80" i="16"/>
  <c r="Y80" i="16"/>
  <c r="M80" i="16"/>
  <c r="P81" i="16"/>
  <c r="Y81" i="16"/>
  <c r="M81" i="16"/>
  <c r="P82" i="16"/>
  <c r="Y82" i="16"/>
  <c r="M82" i="16"/>
  <c r="P83" i="16"/>
  <c r="Y83" i="16"/>
  <c r="M83" i="16"/>
  <c r="P84" i="16"/>
  <c r="Y84" i="16"/>
  <c r="M84" i="16"/>
  <c r="P85" i="16"/>
  <c r="Y85" i="16"/>
  <c r="M85" i="16"/>
  <c r="P86" i="16"/>
  <c r="Y86" i="16"/>
  <c r="M86" i="16"/>
  <c r="P87" i="16"/>
  <c r="Y87" i="16"/>
  <c r="M87" i="16"/>
  <c r="P88" i="16"/>
  <c r="Y88" i="16"/>
  <c r="M88" i="16"/>
  <c r="P89" i="16"/>
  <c r="Y89" i="16"/>
  <c r="M89" i="16"/>
  <c r="P90" i="16"/>
  <c r="Y90" i="16"/>
  <c r="M90" i="16"/>
  <c r="P91" i="16"/>
  <c r="Y91" i="16"/>
  <c r="M91" i="16"/>
  <c r="P92" i="16"/>
  <c r="Y92" i="16"/>
  <c r="M92" i="16"/>
  <c r="P93" i="16"/>
  <c r="Y93" i="16"/>
  <c r="M93" i="16"/>
  <c r="P94" i="16"/>
  <c r="Y94" i="16"/>
  <c r="M94" i="16"/>
  <c r="P95" i="16"/>
  <c r="Y95" i="16"/>
  <c r="M95" i="16"/>
  <c r="P96" i="16"/>
  <c r="Y96" i="16"/>
  <c r="M96" i="16"/>
  <c r="P97" i="16"/>
  <c r="Y97" i="16"/>
  <c r="M97" i="16"/>
  <c r="P98" i="16"/>
  <c r="Y98" i="16"/>
  <c r="M98" i="16"/>
  <c r="P99" i="16"/>
  <c r="Y99" i="16"/>
  <c r="M99" i="16"/>
  <c r="P100" i="16"/>
  <c r="Y100" i="16"/>
  <c r="M100" i="16"/>
  <c r="P101" i="16"/>
  <c r="Y101" i="16"/>
  <c r="M101" i="16"/>
  <c r="P102" i="16"/>
  <c r="Y102" i="16"/>
  <c r="M102" i="16"/>
  <c r="P103" i="16"/>
  <c r="Y103" i="16"/>
  <c r="M103" i="16"/>
  <c r="P104" i="16"/>
  <c r="Y104" i="16"/>
  <c r="M104" i="16"/>
  <c r="P105" i="16"/>
  <c r="Y105" i="16"/>
  <c r="M105" i="16"/>
  <c r="P106" i="16"/>
  <c r="Y106" i="16"/>
  <c r="M106" i="16"/>
  <c r="P107" i="16"/>
  <c r="Y107" i="16"/>
  <c r="M107" i="16"/>
  <c r="P108" i="16"/>
  <c r="Y108" i="16"/>
  <c r="M108" i="16"/>
  <c r="P109" i="16"/>
  <c r="Y109" i="16"/>
  <c r="M109" i="16"/>
  <c r="P110" i="16"/>
  <c r="Y110" i="16"/>
  <c r="M110" i="16"/>
  <c r="P111" i="16"/>
  <c r="Y111" i="16"/>
  <c r="M111" i="16"/>
  <c r="P112" i="16"/>
  <c r="Y112" i="16"/>
  <c r="M112" i="16"/>
  <c r="P113" i="16"/>
  <c r="Y113" i="16"/>
  <c r="M113" i="16"/>
  <c r="P114" i="16"/>
  <c r="Y114" i="16"/>
  <c r="M114" i="16"/>
  <c r="P115" i="16"/>
  <c r="Y115" i="16"/>
  <c r="M115" i="16"/>
  <c r="P116" i="16"/>
  <c r="Y116" i="16"/>
  <c r="M116" i="16"/>
  <c r="P117" i="16"/>
  <c r="Y117" i="16"/>
  <c r="M117" i="16"/>
  <c r="P118" i="16"/>
  <c r="Y118" i="16"/>
  <c r="M118" i="16"/>
  <c r="P119" i="16"/>
  <c r="Y119" i="16"/>
  <c r="M119" i="16"/>
  <c r="P120" i="16"/>
  <c r="Y120" i="16"/>
  <c r="M120" i="16"/>
  <c r="P121" i="16"/>
  <c r="Y121" i="16"/>
  <c r="M121" i="16"/>
  <c r="P122" i="16"/>
  <c r="Y122" i="16"/>
  <c r="M122" i="16"/>
  <c r="P123" i="16"/>
  <c r="Y123" i="16"/>
  <c r="M123" i="16"/>
  <c r="P124" i="16"/>
  <c r="Y124" i="16"/>
  <c r="M124" i="16"/>
  <c r="P125" i="16"/>
  <c r="Y125" i="16"/>
  <c r="M125" i="16"/>
  <c r="P126" i="16"/>
  <c r="Y126" i="16"/>
  <c r="M126" i="16"/>
  <c r="P127" i="16"/>
  <c r="Y127" i="16"/>
  <c r="M127" i="16"/>
  <c r="P128" i="16"/>
  <c r="Y128" i="16"/>
  <c r="M128" i="16"/>
  <c r="P129" i="16"/>
  <c r="Y129" i="16"/>
  <c r="M129" i="16"/>
  <c r="P130" i="16"/>
  <c r="Y130" i="16"/>
  <c r="M130" i="16"/>
  <c r="P131" i="16"/>
  <c r="Y131" i="16"/>
  <c r="M131" i="16"/>
  <c r="P132" i="16"/>
  <c r="Y132" i="16"/>
  <c r="M132" i="16"/>
  <c r="P133" i="16"/>
  <c r="Y133" i="16"/>
  <c r="M133" i="16"/>
  <c r="P134" i="16"/>
  <c r="Y134" i="16"/>
  <c r="M134" i="16"/>
  <c r="P135" i="16"/>
  <c r="Y135" i="16"/>
  <c r="M135" i="16"/>
  <c r="P136" i="16"/>
  <c r="Y136" i="16"/>
  <c r="M136" i="16"/>
  <c r="P137" i="16"/>
  <c r="Y137" i="16"/>
  <c r="M137" i="16"/>
  <c r="P138" i="16"/>
  <c r="Y138" i="16"/>
  <c r="M138" i="16"/>
  <c r="P139" i="16"/>
  <c r="Y139" i="16"/>
  <c r="M139" i="16"/>
  <c r="P140" i="16"/>
  <c r="Y140" i="16"/>
  <c r="M140" i="16"/>
  <c r="P141" i="16"/>
  <c r="Y141" i="16"/>
  <c r="M141" i="16"/>
  <c r="P142" i="16"/>
  <c r="Y142" i="16"/>
  <c r="M142" i="16"/>
  <c r="P143" i="16"/>
  <c r="Y143" i="16"/>
  <c r="M143" i="16"/>
  <c r="P144" i="16"/>
  <c r="Y144" i="16"/>
  <c r="M144" i="16"/>
  <c r="P145" i="16"/>
  <c r="Y145" i="16"/>
  <c r="M145" i="16"/>
  <c r="Z3" i="16"/>
  <c r="N3" i="16"/>
  <c r="Z4" i="16"/>
  <c r="N4" i="16"/>
  <c r="Z5" i="16"/>
  <c r="N5" i="16"/>
  <c r="Z6" i="16"/>
  <c r="N6" i="16"/>
  <c r="Z7" i="16"/>
  <c r="N7" i="16"/>
  <c r="Z8" i="16"/>
  <c r="N8" i="16"/>
  <c r="Z9" i="16"/>
  <c r="N9" i="16"/>
  <c r="Z10" i="16"/>
  <c r="N10" i="16"/>
  <c r="Z11" i="16"/>
  <c r="N11" i="16"/>
  <c r="Z12" i="16"/>
  <c r="N12" i="16"/>
  <c r="Z13" i="16"/>
  <c r="N13" i="16"/>
  <c r="Z14" i="16"/>
  <c r="N14" i="16"/>
  <c r="Z15" i="16"/>
  <c r="N15" i="16"/>
  <c r="Z16" i="16"/>
  <c r="N16" i="16"/>
  <c r="Z17" i="16"/>
  <c r="N17" i="16"/>
  <c r="Z18" i="16"/>
  <c r="N18" i="16"/>
  <c r="Z19" i="16"/>
  <c r="N19" i="16"/>
  <c r="Z20" i="16"/>
  <c r="N20" i="16"/>
  <c r="Z21" i="16"/>
  <c r="N21" i="16"/>
  <c r="Z22" i="16"/>
  <c r="N22" i="16"/>
  <c r="Z23" i="16"/>
  <c r="N23" i="16"/>
  <c r="Z24" i="16"/>
  <c r="N24" i="16"/>
  <c r="Z25" i="16"/>
  <c r="N25" i="16"/>
  <c r="Z26" i="16"/>
  <c r="N26" i="16"/>
  <c r="Z27" i="16"/>
  <c r="N27" i="16"/>
  <c r="Z28" i="16"/>
  <c r="N28" i="16"/>
  <c r="Z29" i="16"/>
  <c r="N29" i="16"/>
  <c r="Z30" i="16"/>
  <c r="N30" i="16"/>
  <c r="Z31" i="16"/>
  <c r="N31" i="16"/>
  <c r="Z32" i="16"/>
  <c r="N32" i="16"/>
  <c r="Z33" i="16"/>
  <c r="N33" i="16"/>
  <c r="Z34" i="16"/>
  <c r="N34" i="16"/>
  <c r="Z35" i="16"/>
  <c r="N35" i="16"/>
  <c r="Z36" i="16"/>
  <c r="N36" i="16"/>
  <c r="Z37" i="16"/>
  <c r="N37" i="16"/>
  <c r="Z38" i="16"/>
  <c r="N38" i="16"/>
  <c r="Z39" i="16"/>
  <c r="N39" i="16"/>
  <c r="Z40" i="16"/>
  <c r="N40" i="16"/>
  <c r="Z41" i="16"/>
  <c r="N41" i="16"/>
  <c r="Z42" i="16"/>
  <c r="N42" i="16"/>
  <c r="Z43" i="16"/>
  <c r="N43" i="16"/>
  <c r="Z44" i="16"/>
  <c r="N44" i="16"/>
  <c r="Z45" i="16"/>
  <c r="N45" i="16"/>
  <c r="Z46" i="16"/>
  <c r="N46" i="16"/>
  <c r="Z47" i="16"/>
  <c r="N47" i="16"/>
  <c r="Z48" i="16"/>
  <c r="N48" i="16"/>
  <c r="Z49" i="16"/>
  <c r="N49" i="16"/>
  <c r="Z50" i="16"/>
  <c r="N50" i="16"/>
  <c r="Z51" i="16"/>
  <c r="N51" i="16"/>
  <c r="Z52" i="16"/>
  <c r="N52" i="16"/>
  <c r="Z53" i="16"/>
  <c r="N53" i="16"/>
  <c r="Z54" i="16"/>
  <c r="N54" i="16"/>
  <c r="Z55" i="16"/>
  <c r="N55" i="16"/>
  <c r="Z56" i="16"/>
  <c r="N56" i="16"/>
  <c r="Z57" i="16"/>
  <c r="N57" i="16"/>
  <c r="Z58" i="16"/>
  <c r="N58" i="16"/>
  <c r="Z59" i="16"/>
  <c r="N59" i="16"/>
  <c r="Z60" i="16"/>
  <c r="N60" i="16"/>
  <c r="Z61" i="16"/>
  <c r="N61" i="16"/>
  <c r="Z62" i="16"/>
  <c r="N62" i="16"/>
  <c r="Z63" i="16"/>
  <c r="N63" i="16"/>
  <c r="Z64" i="16"/>
  <c r="N64" i="16"/>
  <c r="Z65" i="16"/>
  <c r="N65" i="16"/>
  <c r="Z66" i="16"/>
  <c r="N66" i="16"/>
  <c r="Z67" i="16"/>
  <c r="N67" i="16"/>
  <c r="Z68" i="16"/>
  <c r="N68" i="16"/>
  <c r="Z69" i="16"/>
  <c r="N69" i="16"/>
  <c r="Z70" i="16"/>
  <c r="N70" i="16"/>
  <c r="Z71" i="16"/>
  <c r="N71" i="16"/>
  <c r="Z72" i="16"/>
  <c r="N72" i="16"/>
  <c r="Z73" i="16"/>
  <c r="N73" i="16"/>
  <c r="Z74" i="16"/>
  <c r="N74" i="16"/>
  <c r="Z75" i="16"/>
  <c r="N75" i="16"/>
  <c r="Z76" i="16"/>
  <c r="N76" i="16"/>
  <c r="Z77" i="16"/>
  <c r="N77" i="16"/>
  <c r="Z78" i="16"/>
  <c r="N78" i="16"/>
  <c r="Z79" i="16"/>
  <c r="N79" i="16"/>
  <c r="Z80" i="16"/>
  <c r="N80" i="16"/>
  <c r="Z81" i="16"/>
  <c r="N81" i="16"/>
  <c r="Z82" i="16"/>
  <c r="N82" i="16"/>
  <c r="Z83" i="16"/>
  <c r="N83" i="16"/>
  <c r="Z84" i="16"/>
  <c r="N84" i="16"/>
  <c r="Z85" i="16"/>
  <c r="N85" i="16"/>
  <c r="Z86" i="16"/>
  <c r="N86" i="16"/>
  <c r="Z87" i="16"/>
  <c r="N87" i="16"/>
  <c r="Z88" i="16"/>
  <c r="N88" i="16"/>
  <c r="Z89" i="16"/>
  <c r="N89" i="16"/>
  <c r="Z90" i="16"/>
  <c r="N90" i="16"/>
  <c r="Z91" i="16"/>
  <c r="N91" i="16"/>
  <c r="Z92" i="16"/>
  <c r="N92" i="16"/>
  <c r="Z93" i="16"/>
  <c r="N93" i="16"/>
  <c r="Z94" i="16"/>
  <c r="N94" i="16"/>
  <c r="Z95" i="16"/>
  <c r="N95" i="16"/>
  <c r="Z96" i="16"/>
  <c r="N96" i="16"/>
  <c r="Z97" i="16"/>
  <c r="N97" i="16"/>
  <c r="Z98" i="16"/>
  <c r="N98" i="16"/>
  <c r="Z99" i="16"/>
  <c r="N99" i="16"/>
  <c r="Z100" i="16"/>
  <c r="N100" i="16"/>
  <c r="Z101" i="16"/>
  <c r="N101" i="16"/>
  <c r="Z102" i="16"/>
  <c r="N102" i="16"/>
  <c r="Z103" i="16"/>
  <c r="N103" i="16"/>
  <c r="Z104" i="16"/>
  <c r="N104" i="16"/>
  <c r="Z105" i="16"/>
  <c r="N105" i="16"/>
  <c r="Z106" i="16"/>
  <c r="N106" i="16"/>
  <c r="Z107" i="16"/>
  <c r="N107" i="16"/>
  <c r="Z108" i="16"/>
  <c r="N108" i="16"/>
  <c r="Z109" i="16"/>
  <c r="N109" i="16"/>
  <c r="Z110" i="16"/>
  <c r="N110" i="16"/>
  <c r="Z111" i="16"/>
  <c r="N111" i="16"/>
  <c r="Z112" i="16"/>
  <c r="N112" i="16"/>
  <c r="Z113" i="16"/>
  <c r="N113" i="16"/>
  <c r="Z114" i="16"/>
  <c r="N114" i="16"/>
  <c r="Z115" i="16"/>
  <c r="N115" i="16"/>
  <c r="Z116" i="16"/>
  <c r="N116" i="16"/>
  <c r="Z117" i="16"/>
  <c r="N117" i="16"/>
  <c r="Z118" i="16"/>
  <c r="N118" i="16"/>
  <c r="Z119" i="16"/>
  <c r="N119" i="16"/>
  <c r="Z120" i="16"/>
  <c r="N120" i="16"/>
  <c r="Z121" i="16"/>
  <c r="N121" i="16"/>
  <c r="Z122" i="16"/>
  <c r="N122" i="16"/>
  <c r="Z123" i="16"/>
  <c r="N123" i="16"/>
  <c r="Z124" i="16"/>
  <c r="N124" i="16"/>
  <c r="Z125" i="16"/>
  <c r="N125" i="16"/>
  <c r="Z126" i="16"/>
  <c r="N126" i="16"/>
  <c r="Z127" i="16"/>
  <c r="N127" i="16"/>
  <c r="Z128" i="16"/>
  <c r="N128" i="16"/>
  <c r="Z129" i="16"/>
  <c r="N129" i="16"/>
  <c r="Z130" i="16"/>
  <c r="N130" i="16"/>
  <c r="Z131" i="16"/>
  <c r="N131" i="16"/>
  <c r="Z132" i="16"/>
  <c r="N132" i="16"/>
  <c r="Z133" i="16"/>
  <c r="N133" i="16"/>
  <c r="Z134" i="16"/>
  <c r="N134" i="16"/>
  <c r="Z135" i="16"/>
  <c r="N135" i="16"/>
  <c r="Z136" i="16"/>
  <c r="N136" i="16"/>
  <c r="Z137" i="16"/>
  <c r="N137" i="16"/>
  <c r="Z138" i="16"/>
  <c r="N138" i="16"/>
  <c r="Z139" i="16"/>
  <c r="N139" i="16"/>
  <c r="Z140" i="16"/>
  <c r="N140" i="16"/>
  <c r="Z141" i="16"/>
  <c r="N141" i="16"/>
  <c r="Z142" i="16"/>
  <c r="N142" i="16"/>
  <c r="Z143" i="16"/>
  <c r="N143" i="16"/>
  <c r="Z144" i="16"/>
  <c r="N144" i="16"/>
  <c r="Z145" i="16"/>
  <c r="N145" i="16"/>
  <c r="T3" i="16"/>
  <c r="O2" i="16"/>
  <c r="AA3" i="16"/>
  <c r="O3" i="16"/>
  <c r="T4" i="16"/>
  <c r="AA4" i="16"/>
  <c r="O4" i="16"/>
  <c r="T5" i="16"/>
  <c r="AA5" i="16"/>
  <c r="O5" i="16"/>
  <c r="T6" i="16"/>
  <c r="AA6" i="16"/>
  <c r="O6" i="16"/>
  <c r="T7" i="16"/>
  <c r="AA7" i="16"/>
  <c r="O7" i="16"/>
  <c r="T8" i="16"/>
  <c r="AA8" i="16"/>
  <c r="O8" i="16"/>
  <c r="T9" i="16"/>
  <c r="AA9" i="16"/>
  <c r="O9" i="16"/>
  <c r="T10" i="16"/>
  <c r="AA10" i="16"/>
  <c r="O10" i="16"/>
  <c r="T11" i="16"/>
  <c r="AA11" i="16"/>
  <c r="O11" i="16"/>
  <c r="T12" i="16"/>
  <c r="AA12" i="16"/>
  <c r="O12" i="16"/>
  <c r="T13" i="16"/>
  <c r="AA13" i="16"/>
  <c r="O13" i="16"/>
  <c r="T14" i="16"/>
  <c r="AA14" i="16"/>
  <c r="O14" i="16"/>
  <c r="T15" i="16"/>
  <c r="AA15" i="16"/>
  <c r="O15" i="16"/>
  <c r="T16" i="16"/>
  <c r="AA16" i="16"/>
  <c r="O16" i="16"/>
  <c r="T17" i="16"/>
  <c r="AA17" i="16"/>
  <c r="O17" i="16"/>
  <c r="T18" i="16"/>
  <c r="AA18" i="16"/>
  <c r="O18" i="16"/>
  <c r="T19" i="16"/>
  <c r="AA19" i="16"/>
  <c r="O19" i="16"/>
  <c r="T20" i="16"/>
  <c r="AA20" i="16"/>
  <c r="O20" i="16"/>
  <c r="T21" i="16"/>
  <c r="AA21" i="16"/>
  <c r="O21" i="16"/>
  <c r="T22" i="16"/>
  <c r="AA22" i="16"/>
  <c r="O22" i="16"/>
  <c r="T23" i="16"/>
  <c r="AA23" i="16"/>
  <c r="O23" i="16"/>
  <c r="T24" i="16"/>
  <c r="AA24" i="16"/>
  <c r="O24" i="16"/>
  <c r="T25" i="16"/>
  <c r="AA25" i="16"/>
  <c r="O25" i="16"/>
  <c r="T26" i="16"/>
  <c r="AA26" i="16"/>
  <c r="O26" i="16"/>
  <c r="T27" i="16"/>
  <c r="AA27" i="16"/>
  <c r="O27" i="16"/>
  <c r="T28" i="16"/>
  <c r="AA28" i="16"/>
  <c r="O28" i="16"/>
  <c r="T29" i="16"/>
  <c r="AA29" i="16"/>
  <c r="O29" i="16"/>
  <c r="T30" i="16"/>
  <c r="AA30" i="16"/>
  <c r="O30" i="16"/>
  <c r="T31" i="16"/>
  <c r="AA31" i="16"/>
  <c r="O31" i="16"/>
  <c r="T32" i="16"/>
  <c r="AA32" i="16"/>
  <c r="O32" i="16"/>
  <c r="T33" i="16"/>
  <c r="AA33" i="16"/>
  <c r="O33" i="16"/>
  <c r="T34" i="16"/>
  <c r="AA34" i="16"/>
  <c r="O34" i="16"/>
  <c r="T35" i="16"/>
  <c r="AA35" i="16"/>
  <c r="O35" i="16"/>
  <c r="T36" i="16"/>
  <c r="AA36" i="16"/>
  <c r="O36" i="16"/>
  <c r="T37" i="16"/>
  <c r="AA37" i="16"/>
  <c r="O37" i="16"/>
  <c r="T38" i="16"/>
  <c r="AA38" i="16"/>
  <c r="O38" i="16"/>
  <c r="T39" i="16"/>
  <c r="AA39" i="16"/>
  <c r="O39" i="16"/>
  <c r="T40" i="16"/>
  <c r="AA40" i="16"/>
  <c r="O40" i="16"/>
  <c r="T41" i="16"/>
  <c r="AA41" i="16"/>
  <c r="O41" i="16"/>
  <c r="T42" i="16"/>
  <c r="AA42" i="16"/>
  <c r="O42" i="16"/>
  <c r="T43" i="16"/>
  <c r="AA43" i="16"/>
  <c r="O43" i="16"/>
  <c r="T44" i="16"/>
  <c r="AA44" i="16"/>
  <c r="O44" i="16"/>
  <c r="T45" i="16"/>
  <c r="AA45" i="16"/>
  <c r="O45" i="16"/>
  <c r="T46" i="16"/>
  <c r="AA46" i="16"/>
  <c r="O46" i="16"/>
  <c r="T47" i="16"/>
  <c r="AA47" i="16"/>
  <c r="O47" i="16"/>
  <c r="T48" i="16"/>
  <c r="AA48" i="16"/>
  <c r="O48" i="16"/>
  <c r="T49" i="16"/>
  <c r="AA49" i="16"/>
  <c r="O49" i="16"/>
  <c r="T50" i="16"/>
  <c r="AA50" i="16"/>
  <c r="O50" i="16"/>
  <c r="T51" i="16"/>
  <c r="AA51" i="16"/>
  <c r="O51" i="16"/>
  <c r="T52" i="16"/>
  <c r="AA52" i="16"/>
  <c r="O52" i="16"/>
  <c r="T53" i="16"/>
  <c r="AA53" i="16"/>
  <c r="O53" i="16"/>
  <c r="T54" i="16"/>
  <c r="AA54" i="16"/>
  <c r="O54" i="16"/>
  <c r="T55" i="16"/>
  <c r="AA55" i="16"/>
  <c r="O55" i="16"/>
  <c r="T56" i="16"/>
  <c r="AA56" i="16"/>
  <c r="O56" i="16"/>
  <c r="T57" i="16"/>
  <c r="AA57" i="16"/>
  <c r="O57" i="16"/>
  <c r="T58" i="16"/>
  <c r="AA58" i="16"/>
  <c r="O58" i="16"/>
  <c r="T59" i="16"/>
  <c r="AA59" i="16"/>
  <c r="O59" i="16"/>
  <c r="T60" i="16"/>
  <c r="AA60" i="16"/>
  <c r="O60" i="16"/>
  <c r="T61" i="16"/>
  <c r="AA61" i="16"/>
  <c r="O61" i="16"/>
  <c r="T62" i="16"/>
  <c r="AA62" i="16"/>
  <c r="O62" i="16"/>
  <c r="T63" i="16"/>
  <c r="AA63" i="16"/>
  <c r="O63" i="16"/>
  <c r="T64" i="16"/>
  <c r="AA64" i="16"/>
  <c r="O64" i="16"/>
  <c r="T65" i="16"/>
  <c r="AA65" i="16"/>
  <c r="O65" i="16"/>
  <c r="T66" i="16"/>
  <c r="AA66" i="16"/>
  <c r="O66" i="16"/>
  <c r="T67" i="16"/>
  <c r="AA67" i="16"/>
  <c r="O67" i="16"/>
  <c r="T68" i="16"/>
  <c r="AA68" i="16"/>
  <c r="O68" i="16"/>
  <c r="T69" i="16"/>
  <c r="AA69" i="16"/>
  <c r="O69" i="16"/>
  <c r="T70" i="16"/>
  <c r="AA70" i="16"/>
  <c r="O70" i="16"/>
  <c r="T71" i="16"/>
  <c r="AA71" i="16"/>
  <c r="O71" i="16"/>
  <c r="T72" i="16"/>
  <c r="AA72" i="16"/>
  <c r="O72" i="16"/>
  <c r="T73" i="16"/>
  <c r="AA73" i="16"/>
  <c r="O73" i="16"/>
  <c r="T74" i="16"/>
  <c r="AA74" i="16"/>
  <c r="O74" i="16"/>
  <c r="T75" i="16"/>
  <c r="AA75" i="16"/>
  <c r="O75" i="16"/>
  <c r="T76" i="16"/>
  <c r="AA76" i="16"/>
  <c r="O76" i="16"/>
  <c r="T77" i="16"/>
  <c r="AA77" i="16"/>
  <c r="O77" i="16"/>
  <c r="T78" i="16"/>
  <c r="AA78" i="16"/>
  <c r="O78" i="16"/>
  <c r="T79" i="16"/>
  <c r="AA79" i="16"/>
  <c r="O79" i="16"/>
  <c r="T80" i="16"/>
  <c r="AA80" i="16"/>
  <c r="O80" i="16"/>
  <c r="T81" i="16"/>
  <c r="AA81" i="16"/>
  <c r="O81" i="16"/>
  <c r="T82" i="16"/>
  <c r="AA82" i="16"/>
  <c r="O82" i="16"/>
  <c r="T83" i="16"/>
  <c r="AA83" i="16"/>
  <c r="O83" i="16"/>
  <c r="T84" i="16"/>
  <c r="AA84" i="16"/>
  <c r="O84" i="16"/>
  <c r="T85" i="16"/>
  <c r="AA85" i="16"/>
  <c r="O85" i="16"/>
  <c r="T86" i="16"/>
  <c r="AA86" i="16"/>
  <c r="O86" i="16"/>
  <c r="T87" i="16"/>
  <c r="AA87" i="16"/>
  <c r="O87" i="16"/>
  <c r="T88" i="16"/>
  <c r="AA88" i="16"/>
  <c r="O88" i="16"/>
  <c r="T89" i="16"/>
  <c r="AA89" i="16"/>
  <c r="O89" i="16"/>
  <c r="T90" i="16"/>
  <c r="AA90" i="16"/>
  <c r="O90" i="16"/>
  <c r="T91" i="16"/>
  <c r="AA91" i="16"/>
  <c r="O91" i="16"/>
  <c r="T92" i="16"/>
  <c r="AA92" i="16"/>
  <c r="O92" i="16"/>
  <c r="T93" i="16"/>
  <c r="AA93" i="16"/>
  <c r="O93" i="16"/>
  <c r="T94" i="16"/>
  <c r="AA94" i="16"/>
  <c r="O94" i="16"/>
  <c r="T95" i="16"/>
  <c r="AA95" i="16"/>
  <c r="O95" i="16"/>
  <c r="T96" i="16"/>
  <c r="AA96" i="16"/>
  <c r="O96" i="16"/>
  <c r="T97" i="16"/>
  <c r="AA97" i="16"/>
  <c r="O97" i="16"/>
  <c r="T98" i="16"/>
  <c r="AA98" i="16"/>
  <c r="O98" i="16"/>
  <c r="T99" i="16"/>
  <c r="AA99" i="16"/>
  <c r="O99" i="16"/>
  <c r="T100" i="16"/>
  <c r="AA100" i="16"/>
  <c r="O100" i="16"/>
  <c r="T101" i="16"/>
  <c r="AA101" i="16"/>
  <c r="O101" i="16"/>
  <c r="T102" i="16"/>
  <c r="AA102" i="16"/>
  <c r="O102" i="16"/>
  <c r="T103" i="16"/>
  <c r="AA103" i="16"/>
  <c r="O103" i="16"/>
  <c r="T104" i="16"/>
  <c r="AA104" i="16"/>
  <c r="O104" i="16"/>
  <c r="T105" i="16"/>
  <c r="AA105" i="16"/>
  <c r="O105" i="16"/>
  <c r="T106" i="16"/>
  <c r="AA106" i="16"/>
  <c r="O106" i="16"/>
  <c r="T107" i="16"/>
  <c r="AA107" i="16"/>
  <c r="O107" i="16"/>
  <c r="T108" i="16"/>
  <c r="AA108" i="16"/>
  <c r="O108" i="16"/>
  <c r="T109" i="16"/>
  <c r="AA109" i="16"/>
  <c r="O109" i="16"/>
  <c r="T110" i="16"/>
  <c r="AA110" i="16"/>
  <c r="O110" i="16"/>
  <c r="T111" i="16"/>
  <c r="AA111" i="16"/>
  <c r="O111" i="16"/>
  <c r="T112" i="16"/>
  <c r="AA112" i="16"/>
  <c r="O112" i="16"/>
  <c r="T113" i="16"/>
  <c r="AA113" i="16"/>
  <c r="O113" i="16"/>
  <c r="T114" i="16"/>
  <c r="AA114" i="16"/>
  <c r="O114" i="16"/>
  <c r="T115" i="16"/>
  <c r="AA115" i="16"/>
  <c r="O115" i="16"/>
  <c r="T116" i="16"/>
  <c r="AA116" i="16"/>
  <c r="O116" i="16"/>
  <c r="T117" i="16"/>
  <c r="AA117" i="16"/>
  <c r="O117" i="16"/>
  <c r="T118" i="16"/>
  <c r="AA118" i="16"/>
  <c r="O118" i="16"/>
  <c r="T119" i="16"/>
  <c r="AA119" i="16"/>
  <c r="O119" i="16"/>
  <c r="T120" i="16"/>
  <c r="AA120" i="16"/>
  <c r="O120" i="16"/>
  <c r="T121" i="16"/>
  <c r="AA121" i="16"/>
  <c r="O121" i="16"/>
  <c r="T122" i="16"/>
  <c r="AA122" i="16"/>
  <c r="O122" i="16"/>
  <c r="T123" i="16"/>
  <c r="AA123" i="16"/>
  <c r="O123" i="16"/>
  <c r="T124" i="16"/>
  <c r="AA124" i="16"/>
  <c r="O124" i="16"/>
  <c r="T125" i="16"/>
  <c r="AA125" i="16"/>
  <c r="O125" i="16"/>
  <c r="T126" i="16"/>
  <c r="AA126" i="16"/>
  <c r="O126" i="16"/>
  <c r="T127" i="16"/>
  <c r="AA127" i="16"/>
  <c r="O127" i="16"/>
  <c r="T128" i="16"/>
  <c r="AA128" i="16"/>
  <c r="O128" i="16"/>
  <c r="T129" i="16"/>
  <c r="AA129" i="16"/>
  <c r="O129" i="16"/>
  <c r="T130" i="16"/>
  <c r="AA130" i="16"/>
  <c r="O130" i="16"/>
  <c r="T131" i="16"/>
  <c r="AA131" i="16"/>
  <c r="O131" i="16"/>
  <c r="T132" i="16"/>
  <c r="AA132" i="16"/>
  <c r="O132" i="16"/>
  <c r="T133" i="16"/>
  <c r="AA133" i="16"/>
  <c r="O133" i="16"/>
  <c r="T134" i="16"/>
  <c r="AA134" i="16"/>
  <c r="O134" i="16"/>
  <c r="T135" i="16"/>
  <c r="AA135" i="16"/>
  <c r="O135" i="16"/>
  <c r="T136" i="16"/>
  <c r="AA136" i="16"/>
  <c r="O136" i="16"/>
  <c r="T137" i="16"/>
  <c r="AA137" i="16"/>
  <c r="O137" i="16"/>
  <c r="T138" i="16"/>
  <c r="AA138" i="16"/>
  <c r="O138" i="16"/>
  <c r="T139" i="16"/>
  <c r="AA139" i="16"/>
  <c r="O139" i="16"/>
  <c r="T140" i="16"/>
  <c r="AA140" i="16"/>
  <c r="O140" i="16"/>
  <c r="T141" i="16"/>
  <c r="AA141" i="16"/>
  <c r="O141" i="16"/>
  <c r="T142" i="16"/>
  <c r="AA142" i="16"/>
  <c r="O142" i="16"/>
  <c r="T143" i="16"/>
  <c r="AA143" i="16"/>
  <c r="O143" i="16"/>
  <c r="T144" i="16"/>
  <c r="AA144" i="16"/>
  <c r="O144" i="16"/>
  <c r="T145" i="16"/>
  <c r="AA145" i="16"/>
  <c r="O145" i="16"/>
  <c r="AB145" i="16"/>
  <c r="A146" i="16"/>
  <c r="I146" i="21"/>
  <c r="H146" i="21"/>
  <c r="G146" i="21"/>
  <c r="F146" i="21"/>
  <c r="E146" i="21"/>
  <c r="C146" i="21"/>
  <c r="E146" i="16"/>
  <c r="W146" i="16"/>
  <c r="D146" i="16"/>
  <c r="P146" i="16"/>
  <c r="Y146" i="16"/>
  <c r="M146" i="16"/>
  <c r="Z146" i="16"/>
  <c r="N146" i="16"/>
  <c r="T146" i="16"/>
  <c r="AA146" i="16"/>
  <c r="O146" i="16"/>
  <c r="AB146" i="16"/>
  <c r="A147" i="16"/>
  <c r="I147" i="21"/>
  <c r="H147" i="21"/>
  <c r="G147" i="21"/>
  <c r="F147" i="21"/>
  <c r="E147" i="21"/>
  <c r="C147" i="21"/>
  <c r="E147" i="16"/>
  <c r="W147" i="16"/>
  <c r="D147" i="16"/>
  <c r="P147" i="16"/>
  <c r="Y147" i="16"/>
  <c r="M147" i="16"/>
  <c r="Z147" i="16"/>
  <c r="N147" i="16"/>
  <c r="T147" i="16"/>
  <c r="AA147" i="16"/>
  <c r="O147" i="16"/>
  <c r="AB147" i="16"/>
  <c r="A148" i="16"/>
  <c r="I148" i="21"/>
  <c r="H148" i="21"/>
  <c r="G148" i="21"/>
  <c r="F148" i="21"/>
  <c r="E148" i="21"/>
  <c r="C148" i="21"/>
  <c r="E148" i="16"/>
  <c r="W148" i="16"/>
  <c r="D148" i="16"/>
  <c r="P148" i="16"/>
  <c r="Y148" i="16"/>
  <c r="M148" i="16"/>
  <c r="Z148" i="16"/>
  <c r="N148" i="16"/>
  <c r="T148" i="16"/>
  <c r="AA148" i="16"/>
  <c r="O148" i="16"/>
  <c r="AB148" i="16"/>
  <c r="A149" i="16"/>
  <c r="I149" i="21"/>
  <c r="H149" i="21"/>
  <c r="G149" i="21"/>
  <c r="F149" i="21"/>
  <c r="E149" i="21"/>
  <c r="C149" i="21"/>
  <c r="E149" i="16"/>
  <c r="W149" i="16"/>
  <c r="D149" i="16"/>
  <c r="P149" i="16"/>
  <c r="Y149" i="16"/>
  <c r="M149" i="16"/>
  <c r="Z149" i="16"/>
  <c r="N149" i="16"/>
  <c r="T149" i="16"/>
  <c r="AA149" i="16"/>
  <c r="O149" i="16"/>
  <c r="AB149" i="16"/>
  <c r="A150" i="16"/>
  <c r="I150" i="21"/>
  <c r="H150" i="21"/>
  <c r="G150" i="21"/>
  <c r="F150" i="21"/>
  <c r="E150" i="21"/>
  <c r="C150" i="21"/>
  <c r="E150" i="16"/>
  <c r="W150" i="16"/>
  <c r="D150" i="16"/>
  <c r="P150" i="16"/>
  <c r="Y150" i="16"/>
  <c r="M150" i="16"/>
  <c r="Z150" i="16"/>
  <c r="N150" i="16"/>
  <c r="T150" i="16"/>
  <c r="AA150" i="16"/>
  <c r="O150" i="16"/>
  <c r="AB150" i="16"/>
  <c r="A151" i="16"/>
  <c r="I151" i="21"/>
  <c r="H151" i="21"/>
  <c r="G151" i="21"/>
  <c r="F151" i="21"/>
  <c r="E151" i="21"/>
  <c r="C151" i="21"/>
  <c r="E151" i="16"/>
  <c r="W151" i="16"/>
  <c r="D151" i="16"/>
  <c r="P151" i="16"/>
  <c r="Y151" i="16"/>
  <c r="M151" i="16"/>
  <c r="Z151" i="16"/>
  <c r="N151" i="16"/>
  <c r="T151" i="16"/>
  <c r="AA151" i="16"/>
  <c r="O151" i="16"/>
  <c r="AB151" i="16"/>
  <c r="A152" i="16"/>
  <c r="I152" i="21"/>
  <c r="H152" i="21"/>
  <c r="G152" i="21"/>
  <c r="F152" i="21"/>
  <c r="E152" i="21"/>
  <c r="C152" i="21"/>
  <c r="E152" i="16"/>
  <c r="W152" i="16"/>
  <c r="D152" i="16"/>
  <c r="P152" i="16"/>
  <c r="Y152" i="16"/>
  <c r="M152" i="16"/>
  <c r="Z152" i="16"/>
  <c r="N152" i="16"/>
  <c r="T152" i="16"/>
  <c r="AA152" i="16"/>
  <c r="O152" i="16"/>
  <c r="AB152" i="16"/>
  <c r="A153" i="16"/>
  <c r="I153" i="21"/>
  <c r="H153" i="21"/>
  <c r="G153" i="21"/>
  <c r="F153" i="21"/>
  <c r="E153" i="21"/>
  <c r="C153" i="21"/>
  <c r="E153" i="16"/>
  <c r="W153" i="16"/>
  <c r="D153" i="16"/>
  <c r="P153" i="16"/>
  <c r="Y153" i="16"/>
  <c r="M153" i="16"/>
  <c r="Z153" i="16"/>
  <c r="N153" i="16"/>
  <c r="T153" i="16"/>
  <c r="AA153" i="16"/>
  <c r="O153" i="16"/>
  <c r="AB153" i="16"/>
  <c r="A154" i="16"/>
  <c r="I154" i="21"/>
  <c r="H154" i="21"/>
  <c r="G154" i="21"/>
  <c r="F154" i="21"/>
  <c r="E154" i="21"/>
  <c r="C154" i="21"/>
  <c r="E154" i="16"/>
  <c r="W154" i="16"/>
  <c r="D154" i="16"/>
  <c r="P154" i="16"/>
  <c r="Y154" i="16"/>
  <c r="M154" i="16"/>
  <c r="Z154" i="16"/>
  <c r="N154" i="16"/>
  <c r="T154" i="16"/>
  <c r="AA154" i="16"/>
  <c r="O154" i="16"/>
  <c r="AB154" i="16"/>
  <c r="A155" i="16"/>
  <c r="I155" i="21"/>
  <c r="H155" i="21"/>
  <c r="G155" i="21"/>
  <c r="F155" i="21"/>
  <c r="E155" i="21"/>
  <c r="C155" i="21"/>
  <c r="E155" i="16"/>
  <c r="W155" i="16"/>
  <c r="D155" i="16"/>
  <c r="P155" i="16"/>
  <c r="Y155" i="16"/>
  <c r="M155" i="16"/>
  <c r="Z155" i="16"/>
  <c r="N155" i="16"/>
  <c r="T155" i="16"/>
  <c r="AA155" i="16"/>
  <c r="O155" i="16"/>
  <c r="AB155" i="16"/>
  <c r="A156" i="16"/>
  <c r="I156" i="21"/>
  <c r="H156" i="21"/>
  <c r="G156" i="21"/>
  <c r="F156" i="21"/>
  <c r="E156" i="21"/>
  <c r="C156" i="21"/>
  <c r="E156" i="16"/>
  <c r="W156" i="16"/>
  <c r="D156" i="16"/>
  <c r="P156" i="16"/>
  <c r="Y156" i="16"/>
  <c r="M156" i="16"/>
  <c r="Z156" i="16"/>
  <c r="N156" i="16"/>
  <c r="T156" i="16"/>
  <c r="AA156" i="16"/>
  <c r="O156" i="16"/>
  <c r="AB156" i="16"/>
  <c r="A157" i="16"/>
  <c r="I157" i="21"/>
  <c r="H157" i="21"/>
  <c r="G157" i="21"/>
  <c r="F157" i="21"/>
  <c r="E157" i="21"/>
  <c r="C157" i="21"/>
  <c r="E157" i="16"/>
  <c r="W157" i="16"/>
  <c r="D157" i="16"/>
  <c r="P157" i="16"/>
  <c r="Y157" i="16"/>
  <c r="M157" i="16"/>
  <c r="Z157" i="16"/>
  <c r="N157" i="16"/>
  <c r="T157" i="16"/>
  <c r="AA157" i="16"/>
  <c r="O157" i="16"/>
  <c r="AB157" i="16"/>
  <c r="A158" i="16"/>
  <c r="I158" i="21"/>
  <c r="H158" i="21"/>
  <c r="G158" i="21"/>
  <c r="F158" i="21"/>
  <c r="E158" i="21"/>
  <c r="C158" i="21"/>
  <c r="E158" i="16"/>
  <c r="W158" i="16"/>
  <c r="D158" i="16"/>
  <c r="P158" i="16"/>
  <c r="Y158" i="16"/>
  <c r="M158" i="16"/>
  <c r="Z158" i="16"/>
  <c r="N158" i="16"/>
  <c r="T158" i="16"/>
  <c r="AA158" i="16"/>
  <c r="O158" i="16"/>
  <c r="AB158" i="16"/>
  <c r="A159" i="16"/>
  <c r="I159" i="21"/>
  <c r="H159" i="21"/>
  <c r="G159" i="21"/>
  <c r="F159" i="21"/>
  <c r="E159" i="21"/>
  <c r="C159" i="21"/>
  <c r="E159" i="16"/>
  <c r="W159" i="16"/>
  <c r="D159" i="16"/>
  <c r="P159" i="16"/>
  <c r="Y159" i="16"/>
  <c r="M159" i="16"/>
  <c r="Z159" i="16"/>
  <c r="N159" i="16"/>
  <c r="T159" i="16"/>
  <c r="AA159" i="16"/>
  <c r="O159" i="16"/>
  <c r="AB159" i="16"/>
  <c r="A160" i="16"/>
  <c r="I160" i="21"/>
  <c r="H160" i="21"/>
  <c r="G160" i="21"/>
  <c r="F160" i="21"/>
  <c r="E160" i="21"/>
  <c r="C160" i="21"/>
  <c r="E160" i="16"/>
  <c r="W160" i="16"/>
  <c r="D160" i="16"/>
  <c r="P160" i="16"/>
  <c r="Y160" i="16"/>
  <c r="M160" i="16"/>
  <c r="Z160" i="16"/>
  <c r="N160" i="16"/>
  <c r="T160" i="16"/>
  <c r="AA160" i="16"/>
  <c r="O160" i="16"/>
  <c r="AB160" i="16"/>
  <c r="A161" i="16"/>
  <c r="I161" i="21"/>
  <c r="H161" i="21"/>
  <c r="G161" i="21"/>
  <c r="F161" i="21"/>
  <c r="E161" i="21"/>
  <c r="C161" i="21"/>
  <c r="E161" i="16"/>
  <c r="W161" i="16"/>
  <c r="D161" i="16"/>
  <c r="P161" i="16"/>
  <c r="Y161" i="16"/>
  <c r="M161" i="16"/>
  <c r="Z161" i="16"/>
  <c r="N161" i="16"/>
  <c r="T161" i="16"/>
  <c r="AA161" i="16"/>
  <c r="O161" i="16"/>
  <c r="AB161" i="16"/>
  <c r="A162" i="16"/>
  <c r="I162" i="21"/>
  <c r="H162" i="21"/>
  <c r="G162" i="21"/>
  <c r="F162" i="21"/>
  <c r="E162" i="21"/>
  <c r="C162" i="21"/>
  <c r="E162" i="16"/>
  <c r="W162" i="16"/>
  <c r="D162" i="16"/>
  <c r="P162" i="16"/>
  <c r="Y162" i="16"/>
  <c r="M162" i="16"/>
  <c r="Z162" i="16"/>
  <c r="N162" i="16"/>
  <c r="T162" i="16"/>
  <c r="AA162" i="16"/>
  <c r="O162" i="16"/>
  <c r="AB162" i="16"/>
  <c r="A163" i="16"/>
  <c r="I163" i="21"/>
  <c r="H163" i="21"/>
  <c r="G163" i="21"/>
  <c r="F163" i="21"/>
  <c r="E163" i="21"/>
  <c r="C163" i="21"/>
  <c r="E163" i="16"/>
  <c r="W163" i="16"/>
  <c r="D163" i="16"/>
  <c r="P163" i="16"/>
  <c r="Y163" i="16"/>
  <c r="M163" i="16"/>
  <c r="Z163" i="16"/>
  <c r="N163" i="16"/>
  <c r="T163" i="16"/>
  <c r="AA163" i="16"/>
  <c r="O163" i="16"/>
  <c r="AB163" i="16"/>
  <c r="A164" i="16"/>
  <c r="I164" i="21"/>
  <c r="H164" i="21"/>
  <c r="G164" i="21"/>
  <c r="F164" i="21"/>
  <c r="E164" i="21"/>
  <c r="C164" i="21"/>
  <c r="E164" i="16"/>
  <c r="W164" i="16"/>
  <c r="D164" i="16"/>
  <c r="P164" i="16"/>
  <c r="Y164" i="16"/>
  <c r="M164" i="16"/>
  <c r="Z164" i="16"/>
  <c r="N164" i="16"/>
  <c r="T164" i="16"/>
  <c r="AA164" i="16"/>
  <c r="O164" i="16"/>
  <c r="AB164" i="16"/>
  <c r="A165" i="16"/>
  <c r="I165" i="21"/>
  <c r="H165" i="21"/>
  <c r="G165" i="21"/>
  <c r="F165" i="21"/>
  <c r="E165" i="21"/>
  <c r="C165" i="21"/>
  <c r="E165" i="16"/>
  <c r="W165" i="16"/>
  <c r="D165" i="16"/>
  <c r="P165" i="16"/>
  <c r="Y165" i="16"/>
  <c r="M165" i="16"/>
  <c r="Z165" i="16"/>
  <c r="N165" i="16"/>
  <c r="T165" i="16"/>
  <c r="AA165" i="16"/>
  <c r="O165" i="16"/>
  <c r="AB165" i="16"/>
  <c r="A166" i="16"/>
  <c r="I166" i="21"/>
  <c r="H166" i="21"/>
  <c r="G166" i="21"/>
  <c r="F166" i="21"/>
  <c r="E166" i="21"/>
  <c r="C166" i="21"/>
  <c r="E166" i="16"/>
  <c r="W166" i="16"/>
  <c r="D166" i="16"/>
  <c r="P166" i="16"/>
  <c r="Y166" i="16"/>
  <c r="M166" i="16"/>
  <c r="Z166" i="16"/>
  <c r="N166" i="16"/>
  <c r="T166" i="16"/>
  <c r="AA166" i="16"/>
  <c r="O166" i="16"/>
  <c r="AB166" i="16"/>
  <c r="A167" i="16"/>
  <c r="I167" i="21"/>
  <c r="H167" i="21"/>
  <c r="G167" i="21"/>
  <c r="F167" i="21"/>
  <c r="E167" i="21"/>
  <c r="C167" i="21"/>
  <c r="E167" i="16"/>
  <c r="W167" i="16"/>
  <c r="D167" i="16"/>
  <c r="P167" i="16"/>
  <c r="Y167" i="16"/>
  <c r="M167" i="16"/>
  <c r="Z167" i="16"/>
  <c r="N167" i="16"/>
  <c r="T167" i="16"/>
  <c r="AA167" i="16"/>
  <c r="O167" i="16"/>
  <c r="AB167" i="16"/>
  <c r="A168" i="16"/>
  <c r="I168" i="21"/>
  <c r="H168" i="21"/>
  <c r="G168" i="21"/>
  <c r="F168" i="21"/>
  <c r="E168" i="21"/>
  <c r="C168" i="21"/>
  <c r="E168" i="16"/>
  <c r="W168" i="16"/>
  <c r="D168" i="16"/>
  <c r="P168" i="16"/>
  <c r="Y168" i="16"/>
  <c r="M168" i="16"/>
  <c r="Z168" i="16"/>
  <c r="N168" i="16"/>
  <c r="T168" i="16"/>
  <c r="AA168" i="16"/>
  <c r="O168" i="16"/>
  <c r="AB168" i="16"/>
  <c r="A169" i="16"/>
  <c r="I169" i="21"/>
  <c r="H169" i="21"/>
  <c r="G169" i="21"/>
  <c r="F169" i="21"/>
  <c r="E169" i="21"/>
  <c r="C169" i="21"/>
  <c r="E169" i="16"/>
  <c r="W169" i="16"/>
  <c r="D169" i="16"/>
  <c r="P169" i="16"/>
  <c r="Y169" i="16"/>
  <c r="M169" i="16"/>
  <c r="Z169" i="16"/>
  <c r="N169" i="16"/>
  <c r="T169" i="16"/>
  <c r="AA169" i="16"/>
  <c r="O169" i="16"/>
  <c r="AB169" i="16"/>
  <c r="A170" i="16"/>
  <c r="I170" i="21"/>
  <c r="H170" i="21"/>
  <c r="G170" i="21"/>
  <c r="F170" i="21"/>
  <c r="E170" i="21"/>
  <c r="C170" i="21"/>
  <c r="E170" i="16"/>
  <c r="W170" i="16"/>
  <c r="D170" i="16"/>
  <c r="P170" i="16"/>
  <c r="Y170" i="16"/>
  <c r="M170" i="16"/>
  <c r="Z170" i="16"/>
  <c r="N170" i="16"/>
  <c r="T170" i="16"/>
  <c r="AA170" i="16"/>
  <c r="O170" i="16"/>
  <c r="AB170" i="16"/>
  <c r="A171" i="16"/>
  <c r="I171" i="21"/>
  <c r="H171" i="21"/>
  <c r="G171" i="21"/>
  <c r="F171" i="21"/>
  <c r="E171" i="21"/>
  <c r="C171" i="21"/>
  <c r="E171" i="16"/>
  <c r="W171" i="16"/>
  <c r="D171" i="16"/>
  <c r="P171" i="16"/>
  <c r="Y171" i="16"/>
  <c r="M171" i="16"/>
  <c r="Z171" i="16"/>
  <c r="N171" i="16"/>
  <c r="T171" i="16"/>
  <c r="AA171" i="16"/>
  <c r="O171" i="16"/>
  <c r="AB171" i="16"/>
  <c r="A172" i="16"/>
  <c r="I172" i="21"/>
  <c r="H172" i="21"/>
  <c r="G172" i="21"/>
  <c r="F172" i="21"/>
  <c r="E172" i="21"/>
  <c r="C172" i="21"/>
  <c r="E172" i="16"/>
  <c r="W172" i="16"/>
  <c r="D172" i="16"/>
  <c r="P172" i="16"/>
  <c r="Y172" i="16"/>
  <c r="M172" i="16"/>
  <c r="Z172" i="16"/>
  <c r="N172" i="16"/>
  <c r="T172" i="16"/>
  <c r="AA172" i="16"/>
  <c r="O172" i="16"/>
  <c r="AB172" i="16"/>
  <c r="A173" i="16"/>
  <c r="I173" i="21"/>
  <c r="H173" i="21"/>
  <c r="G173" i="21"/>
  <c r="F173" i="21"/>
  <c r="E173" i="21"/>
  <c r="C173" i="21"/>
  <c r="E173" i="16"/>
  <c r="W173" i="16"/>
  <c r="D173" i="16"/>
  <c r="P173" i="16"/>
  <c r="Y173" i="16"/>
  <c r="M173" i="16"/>
  <c r="Z173" i="16"/>
  <c r="N173" i="16"/>
  <c r="T173" i="16"/>
  <c r="AA173" i="16"/>
  <c r="O173" i="16"/>
  <c r="AB173" i="16"/>
  <c r="A174" i="16"/>
  <c r="I174" i="21"/>
  <c r="H174" i="21"/>
  <c r="G174" i="21"/>
  <c r="F174" i="21"/>
  <c r="E174" i="21"/>
  <c r="C174" i="21"/>
  <c r="E174" i="16"/>
  <c r="W174" i="16"/>
  <c r="D174" i="16"/>
  <c r="P174" i="16"/>
  <c r="Y174" i="16"/>
  <c r="M174" i="16"/>
  <c r="Z174" i="16"/>
  <c r="N174" i="16"/>
  <c r="T174" i="16"/>
  <c r="AA174" i="16"/>
  <c r="O174" i="16"/>
  <c r="AB174" i="16"/>
  <c r="A175" i="16"/>
  <c r="I175" i="21"/>
  <c r="H175" i="21"/>
  <c r="G175" i="21"/>
  <c r="F175" i="21"/>
  <c r="E175" i="21"/>
  <c r="C175" i="21"/>
  <c r="E175" i="16"/>
  <c r="W175" i="16"/>
  <c r="D175" i="16"/>
  <c r="P175" i="16"/>
  <c r="Y175" i="16"/>
  <c r="M175" i="16"/>
  <c r="Z175" i="16"/>
  <c r="N175" i="16"/>
  <c r="T175" i="16"/>
  <c r="AA175" i="16"/>
  <c r="O175" i="16"/>
  <c r="AB175" i="16"/>
  <c r="A176" i="16"/>
  <c r="I176" i="21"/>
  <c r="H176" i="21"/>
  <c r="G176" i="21"/>
  <c r="F176" i="21"/>
  <c r="E176" i="21"/>
  <c r="C176" i="21"/>
  <c r="E176" i="16"/>
  <c r="W176" i="16"/>
  <c r="D176" i="16"/>
  <c r="P176" i="16"/>
  <c r="Y176" i="16"/>
  <c r="M176" i="16"/>
  <c r="Z176" i="16"/>
  <c r="N176" i="16"/>
  <c r="T176" i="16"/>
  <c r="AA176" i="16"/>
  <c r="O176" i="16"/>
  <c r="AB176" i="16"/>
  <c r="A177" i="16"/>
  <c r="I177" i="21"/>
  <c r="H177" i="21"/>
  <c r="G177" i="21"/>
  <c r="F177" i="21"/>
  <c r="E177" i="21"/>
  <c r="C177" i="21"/>
  <c r="E177" i="16"/>
  <c r="W177" i="16"/>
  <c r="D177" i="16"/>
  <c r="P177" i="16"/>
  <c r="Y177" i="16"/>
  <c r="M177" i="16"/>
  <c r="Z177" i="16"/>
  <c r="N177" i="16"/>
  <c r="T177" i="16"/>
  <c r="AA177" i="16"/>
  <c r="O177" i="16"/>
  <c r="AB177" i="16"/>
  <c r="A178" i="16"/>
  <c r="I178" i="21"/>
  <c r="H178" i="21"/>
  <c r="G178" i="21"/>
  <c r="F178" i="21"/>
  <c r="E178" i="21"/>
  <c r="C178" i="21"/>
  <c r="E178" i="16"/>
  <c r="W178" i="16"/>
  <c r="D178" i="16"/>
  <c r="P178" i="16"/>
  <c r="Y178" i="16"/>
  <c r="M178" i="16"/>
  <c r="Z178" i="16"/>
  <c r="N178" i="16"/>
  <c r="T178" i="16"/>
  <c r="AA178" i="16"/>
  <c r="O178" i="16"/>
  <c r="AB178" i="16"/>
  <c r="A179" i="16"/>
  <c r="I179" i="21"/>
  <c r="H179" i="21"/>
  <c r="G179" i="21"/>
  <c r="F179" i="21"/>
  <c r="E179" i="21"/>
  <c r="C179" i="21"/>
  <c r="E179" i="16"/>
  <c r="W179" i="16"/>
  <c r="D179" i="16"/>
  <c r="P179" i="16"/>
  <c r="Y179" i="16"/>
  <c r="M179" i="16"/>
  <c r="Z179" i="16"/>
  <c r="N179" i="16"/>
  <c r="T179" i="16"/>
  <c r="AA179" i="16"/>
  <c r="O179" i="16"/>
  <c r="AB179" i="16"/>
  <c r="A180" i="16"/>
  <c r="I180" i="21"/>
  <c r="H180" i="21"/>
  <c r="G180" i="21"/>
  <c r="F180" i="21"/>
  <c r="E180" i="21"/>
  <c r="C180" i="21"/>
  <c r="E180" i="16"/>
  <c r="W180" i="16"/>
  <c r="D180" i="16"/>
  <c r="P180" i="16"/>
  <c r="Y180" i="16"/>
  <c r="M180" i="16"/>
  <c r="Z180" i="16"/>
  <c r="N180" i="16"/>
  <c r="T180" i="16"/>
  <c r="AA180" i="16"/>
  <c r="O180" i="16"/>
  <c r="AB180" i="16"/>
  <c r="A181" i="16"/>
  <c r="I181" i="21"/>
  <c r="H181" i="21"/>
  <c r="G181" i="21"/>
  <c r="F181" i="21"/>
  <c r="E181" i="21"/>
  <c r="C181" i="21"/>
  <c r="E181" i="16"/>
  <c r="W181" i="16"/>
  <c r="D181" i="16"/>
  <c r="P181" i="16"/>
  <c r="Y181" i="16"/>
  <c r="M181" i="16"/>
  <c r="Z181" i="16"/>
  <c r="N181" i="16"/>
  <c r="T181" i="16"/>
  <c r="AA181" i="16"/>
  <c r="O181" i="16"/>
  <c r="AB181" i="16"/>
  <c r="A182" i="16"/>
  <c r="I182" i="21"/>
  <c r="H182" i="21"/>
  <c r="G182" i="21"/>
  <c r="F182" i="21"/>
  <c r="E182" i="21"/>
  <c r="C182" i="21"/>
  <c r="E182" i="16"/>
  <c r="W182" i="16"/>
  <c r="D182" i="16"/>
  <c r="P182" i="16"/>
  <c r="Y182" i="16"/>
  <c r="M182" i="16"/>
  <c r="Z182" i="16"/>
  <c r="N182" i="16"/>
  <c r="T182" i="16"/>
  <c r="AA182" i="16"/>
  <c r="O182" i="16"/>
  <c r="AB182" i="16"/>
  <c r="A183" i="16"/>
  <c r="I183" i="21"/>
  <c r="H183" i="21"/>
  <c r="G183" i="21"/>
  <c r="F183" i="21"/>
  <c r="E183" i="21"/>
  <c r="C183" i="21"/>
  <c r="E183" i="16"/>
  <c r="W183" i="16"/>
  <c r="D183" i="16"/>
  <c r="P183" i="16"/>
  <c r="Y183" i="16"/>
  <c r="M183" i="16"/>
  <c r="Z183" i="16"/>
  <c r="N183" i="16"/>
  <c r="T183" i="16"/>
  <c r="AA183" i="16"/>
  <c r="O183" i="16"/>
  <c r="AB183" i="16"/>
  <c r="A184" i="16"/>
  <c r="I184" i="21"/>
  <c r="H184" i="21"/>
  <c r="G184" i="21"/>
  <c r="F184" i="21"/>
  <c r="E184" i="21"/>
  <c r="C184" i="21"/>
  <c r="E184" i="16"/>
  <c r="W184" i="16"/>
  <c r="D184" i="16"/>
  <c r="P184" i="16"/>
  <c r="Y184" i="16"/>
  <c r="M184" i="16"/>
  <c r="Z184" i="16"/>
  <c r="N184" i="16"/>
  <c r="T184" i="16"/>
  <c r="AA184" i="16"/>
  <c r="O184" i="16"/>
  <c r="AB184" i="16"/>
  <c r="A185" i="16"/>
  <c r="I185" i="21"/>
  <c r="H185" i="21"/>
  <c r="G185" i="21"/>
  <c r="F185" i="21"/>
  <c r="E185" i="21"/>
  <c r="C185" i="21"/>
  <c r="E185" i="16"/>
  <c r="W185" i="16"/>
  <c r="D185" i="16"/>
  <c r="P185" i="16"/>
  <c r="Y185" i="16"/>
  <c r="M185" i="16"/>
  <c r="Z185" i="16"/>
  <c r="N185" i="16"/>
  <c r="T185" i="16"/>
  <c r="AA185" i="16"/>
  <c r="O185" i="16"/>
  <c r="AB185" i="16"/>
  <c r="A186" i="16"/>
  <c r="I186" i="21"/>
  <c r="H186" i="21"/>
  <c r="G186" i="21"/>
  <c r="F186" i="21"/>
  <c r="E186" i="21"/>
  <c r="C186" i="21"/>
  <c r="E186" i="16"/>
  <c r="W186" i="16"/>
  <c r="D186" i="16"/>
  <c r="P186" i="16"/>
  <c r="Y186" i="16"/>
  <c r="M186" i="16"/>
  <c r="Z186" i="16"/>
  <c r="N186" i="16"/>
  <c r="T186" i="16"/>
  <c r="AA186" i="16"/>
  <c r="O186" i="16"/>
  <c r="AB186" i="16"/>
  <c r="A187" i="16"/>
  <c r="I187" i="21"/>
  <c r="H187" i="21"/>
  <c r="G187" i="21"/>
  <c r="F187" i="21"/>
  <c r="E187" i="21"/>
  <c r="C187" i="21"/>
  <c r="E187" i="16"/>
  <c r="W187" i="16"/>
  <c r="D187" i="16"/>
  <c r="P187" i="16"/>
  <c r="Y187" i="16"/>
  <c r="M187" i="16"/>
  <c r="Z187" i="16"/>
  <c r="N187" i="16"/>
  <c r="T187" i="16"/>
  <c r="AA187" i="16"/>
  <c r="O187" i="16"/>
  <c r="AB187" i="16"/>
  <c r="A143" i="16"/>
  <c r="I143" i="21"/>
  <c r="H143" i="21"/>
  <c r="G143" i="21"/>
  <c r="F143" i="21"/>
  <c r="E143" i="21"/>
  <c r="C143" i="21"/>
  <c r="E143" i="16"/>
  <c r="D143" i="16"/>
  <c r="AB143" i="16"/>
  <c r="A144" i="16"/>
  <c r="I144" i="21"/>
  <c r="H144" i="21"/>
  <c r="G144" i="21"/>
  <c r="F144" i="21"/>
  <c r="E144" i="21"/>
  <c r="C144" i="21"/>
  <c r="E144" i="16"/>
  <c r="D144" i="16"/>
  <c r="AB144" i="16"/>
  <c r="A117" i="16"/>
  <c r="I117" i="21"/>
  <c r="H117" i="21"/>
  <c r="G117" i="21"/>
  <c r="F117" i="21"/>
  <c r="E117" i="21"/>
  <c r="C117" i="21"/>
  <c r="E117" i="16"/>
  <c r="D117" i="16"/>
  <c r="AB117" i="16"/>
  <c r="A118" i="16"/>
  <c r="I118" i="21"/>
  <c r="H118" i="21"/>
  <c r="G118" i="21"/>
  <c r="F118" i="21"/>
  <c r="E118" i="21"/>
  <c r="C118" i="21"/>
  <c r="E118" i="16"/>
  <c r="D118" i="16"/>
  <c r="AB118" i="16"/>
  <c r="A119" i="16"/>
  <c r="I119" i="21"/>
  <c r="H119" i="21"/>
  <c r="G119" i="21"/>
  <c r="F119" i="21"/>
  <c r="E119" i="21"/>
  <c r="C119" i="21"/>
  <c r="E119" i="16"/>
  <c r="D119" i="16"/>
  <c r="AB119" i="16"/>
  <c r="A120" i="16"/>
  <c r="I120" i="21"/>
  <c r="H120" i="21"/>
  <c r="G120" i="21"/>
  <c r="F120" i="21"/>
  <c r="E120" i="21"/>
  <c r="C120" i="21"/>
  <c r="E120" i="16"/>
  <c r="D120" i="16"/>
  <c r="AB120" i="16"/>
  <c r="A121" i="16"/>
  <c r="I121" i="21"/>
  <c r="H121" i="21"/>
  <c r="G121" i="21"/>
  <c r="F121" i="21"/>
  <c r="E121" i="21"/>
  <c r="C121" i="21"/>
  <c r="E121" i="16"/>
  <c r="D121" i="16"/>
  <c r="AB121" i="16"/>
  <c r="A122" i="16"/>
  <c r="I122" i="21"/>
  <c r="H122" i="21"/>
  <c r="G122" i="21"/>
  <c r="F122" i="21"/>
  <c r="E122" i="21"/>
  <c r="C122" i="21"/>
  <c r="E122" i="16"/>
  <c r="D122" i="16"/>
  <c r="AB122" i="16"/>
  <c r="A123" i="16"/>
  <c r="I123" i="21"/>
  <c r="H123" i="21"/>
  <c r="G123" i="21"/>
  <c r="F123" i="21"/>
  <c r="E123" i="21"/>
  <c r="C123" i="21"/>
  <c r="E123" i="16"/>
  <c r="D123" i="16"/>
  <c r="AB123" i="16"/>
  <c r="A124" i="16"/>
  <c r="I124" i="21"/>
  <c r="H124" i="21"/>
  <c r="G124" i="21"/>
  <c r="F124" i="21"/>
  <c r="E124" i="21"/>
  <c r="C124" i="21"/>
  <c r="E124" i="16"/>
  <c r="D124" i="16"/>
  <c r="AB124" i="16"/>
  <c r="A125" i="16"/>
  <c r="I125" i="21"/>
  <c r="H125" i="21"/>
  <c r="G125" i="21"/>
  <c r="F125" i="21"/>
  <c r="E125" i="21"/>
  <c r="C125" i="21"/>
  <c r="E125" i="16"/>
  <c r="D125" i="16"/>
  <c r="AB125" i="16"/>
  <c r="A126" i="16"/>
  <c r="I126" i="21"/>
  <c r="H126" i="21"/>
  <c r="G126" i="21"/>
  <c r="F126" i="21"/>
  <c r="E126" i="21"/>
  <c r="C126" i="21"/>
  <c r="E126" i="16"/>
  <c r="D126" i="16"/>
  <c r="AB126" i="16"/>
  <c r="A127" i="16"/>
  <c r="I127" i="21"/>
  <c r="H127" i="21"/>
  <c r="G127" i="21"/>
  <c r="F127" i="21"/>
  <c r="E127" i="21"/>
  <c r="C127" i="21"/>
  <c r="E127" i="16"/>
  <c r="D127" i="16"/>
  <c r="AB127" i="16"/>
  <c r="A128" i="16"/>
  <c r="I128" i="21"/>
  <c r="H128" i="21"/>
  <c r="G128" i="21"/>
  <c r="F128" i="21"/>
  <c r="E128" i="21"/>
  <c r="C128" i="21"/>
  <c r="E128" i="16"/>
  <c r="D128" i="16"/>
  <c r="AB128" i="16"/>
  <c r="A129" i="16"/>
  <c r="I129" i="21"/>
  <c r="H129" i="21"/>
  <c r="G129" i="21"/>
  <c r="F129" i="21"/>
  <c r="E129" i="21"/>
  <c r="C129" i="21"/>
  <c r="E129" i="16"/>
  <c r="D129" i="16"/>
  <c r="AB129" i="16"/>
  <c r="A130" i="16"/>
  <c r="I130" i="21"/>
  <c r="H130" i="21"/>
  <c r="G130" i="21"/>
  <c r="F130" i="21"/>
  <c r="E130" i="21"/>
  <c r="C130" i="21"/>
  <c r="E130" i="16"/>
  <c r="D130" i="16"/>
  <c r="AB130" i="16"/>
  <c r="A131" i="16"/>
  <c r="I131" i="21"/>
  <c r="H131" i="21"/>
  <c r="G131" i="21"/>
  <c r="F131" i="21"/>
  <c r="E131" i="21"/>
  <c r="C131" i="21"/>
  <c r="E131" i="16"/>
  <c r="D131" i="16"/>
  <c r="AB131" i="16"/>
  <c r="A132" i="16"/>
  <c r="I132" i="21"/>
  <c r="H132" i="21"/>
  <c r="G132" i="21"/>
  <c r="F132" i="21"/>
  <c r="E132" i="21"/>
  <c r="C132" i="21"/>
  <c r="E132" i="16"/>
  <c r="D132" i="16"/>
  <c r="AB132" i="16"/>
  <c r="A133" i="16"/>
  <c r="I133" i="21"/>
  <c r="H133" i="21"/>
  <c r="G133" i="21"/>
  <c r="F133" i="21"/>
  <c r="E133" i="21"/>
  <c r="C133" i="21"/>
  <c r="E133" i="16"/>
  <c r="D133" i="16"/>
  <c r="AB133" i="16"/>
  <c r="A134" i="16"/>
  <c r="I134" i="21"/>
  <c r="H134" i="21"/>
  <c r="G134" i="21"/>
  <c r="F134" i="21"/>
  <c r="E134" i="21"/>
  <c r="C134" i="21"/>
  <c r="E134" i="16"/>
  <c r="D134" i="16"/>
  <c r="AB134" i="16"/>
  <c r="A135" i="16"/>
  <c r="I135" i="21"/>
  <c r="H135" i="21"/>
  <c r="G135" i="21"/>
  <c r="F135" i="21"/>
  <c r="E135" i="21"/>
  <c r="C135" i="21"/>
  <c r="E135" i="16"/>
  <c r="D135" i="16"/>
  <c r="AB135" i="16"/>
  <c r="A136" i="16"/>
  <c r="I136" i="21"/>
  <c r="H136" i="21"/>
  <c r="G136" i="21"/>
  <c r="F136" i="21"/>
  <c r="E136" i="21"/>
  <c r="C136" i="21"/>
  <c r="E136" i="16"/>
  <c r="D136" i="16"/>
  <c r="AB136" i="16"/>
  <c r="A137" i="16"/>
  <c r="I137" i="21"/>
  <c r="H137" i="21"/>
  <c r="G137" i="21"/>
  <c r="F137" i="21"/>
  <c r="E137" i="21"/>
  <c r="C137" i="21"/>
  <c r="E137" i="16"/>
  <c r="D137" i="16"/>
  <c r="AB137" i="16"/>
  <c r="A138" i="16"/>
  <c r="I138" i="21"/>
  <c r="H138" i="21"/>
  <c r="G138" i="21"/>
  <c r="F138" i="21"/>
  <c r="E138" i="21"/>
  <c r="C138" i="21"/>
  <c r="E138" i="16"/>
  <c r="D138" i="16"/>
  <c r="AB138" i="16"/>
  <c r="A139" i="16"/>
  <c r="I139" i="21"/>
  <c r="H139" i="21"/>
  <c r="G139" i="21"/>
  <c r="F139" i="21"/>
  <c r="E139" i="21"/>
  <c r="C139" i="21"/>
  <c r="E139" i="16"/>
  <c r="D139" i="16"/>
  <c r="AB139" i="16"/>
  <c r="A140" i="16"/>
  <c r="I140" i="21"/>
  <c r="H140" i="21"/>
  <c r="G140" i="21"/>
  <c r="F140" i="21"/>
  <c r="E140" i="21"/>
  <c r="C140" i="21"/>
  <c r="E140" i="16"/>
  <c r="D140" i="16"/>
  <c r="AB140" i="16"/>
  <c r="A141" i="16"/>
  <c r="I141" i="21"/>
  <c r="H141" i="21"/>
  <c r="G141" i="21"/>
  <c r="F141" i="21"/>
  <c r="E141" i="21"/>
  <c r="C141" i="21"/>
  <c r="E141" i="16"/>
  <c r="D141" i="16"/>
  <c r="AB141" i="16"/>
  <c r="A142" i="16"/>
  <c r="I142" i="21"/>
  <c r="H142" i="21"/>
  <c r="G142" i="21"/>
  <c r="F142" i="21"/>
  <c r="E142" i="21"/>
  <c r="C142" i="21"/>
  <c r="E142" i="16"/>
  <c r="D142" i="16"/>
  <c r="AB142" i="16"/>
  <c r="AB2" i="16"/>
  <c r="AB3" i="16"/>
  <c r="AB4" i="16"/>
  <c r="AB5" i="16"/>
  <c r="AB6" i="16"/>
  <c r="AB7" i="16"/>
  <c r="AB8" i="16"/>
  <c r="AB9" i="16"/>
  <c r="AB10" i="16"/>
  <c r="AB11" i="16"/>
  <c r="AB12" i="16"/>
  <c r="AB13" i="16"/>
  <c r="AB14" i="16"/>
  <c r="AB15" i="16"/>
  <c r="AB16" i="16"/>
  <c r="AB17" i="16"/>
  <c r="AB18" i="16"/>
  <c r="AB19" i="16"/>
  <c r="AB20" i="16"/>
  <c r="AB21" i="16"/>
  <c r="AB22" i="16"/>
  <c r="AB23" i="16"/>
  <c r="AB24" i="16"/>
  <c r="AB25" i="16"/>
  <c r="AB26" i="16"/>
  <c r="AB27" i="16"/>
  <c r="AB28" i="16"/>
  <c r="AB29" i="16"/>
  <c r="AB30" i="16"/>
  <c r="AB31" i="16"/>
  <c r="AB32" i="16"/>
  <c r="AB33" i="16"/>
  <c r="AB34" i="16"/>
  <c r="AB35" i="16"/>
  <c r="AB36" i="16"/>
  <c r="AB37" i="16"/>
  <c r="AB38" i="16"/>
  <c r="AB39" i="16"/>
  <c r="AB40" i="16"/>
  <c r="AB41" i="16"/>
  <c r="AB42" i="16"/>
  <c r="AB43" i="16"/>
  <c r="AB44" i="16"/>
  <c r="AB45" i="16"/>
  <c r="AB46" i="16"/>
  <c r="AB47" i="16"/>
  <c r="AB48" i="16"/>
  <c r="AB49" i="16"/>
  <c r="AB50" i="16"/>
  <c r="AB51" i="16"/>
  <c r="AB52" i="16"/>
  <c r="AB53" i="16"/>
  <c r="AB54" i="16"/>
  <c r="AB55" i="16"/>
  <c r="AB56" i="16"/>
  <c r="AB57" i="16"/>
  <c r="AB58" i="16"/>
  <c r="AB59" i="16"/>
  <c r="AB60" i="16"/>
  <c r="AB61" i="16"/>
  <c r="AB62" i="16"/>
  <c r="AB63" i="16"/>
  <c r="AB64" i="16"/>
  <c r="AB65" i="16"/>
  <c r="AB66" i="16"/>
  <c r="AB67" i="16"/>
  <c r="AB68" i="16"/>
  <c r="AB69" i="16"/>
  <c r="AB70" i="16"/>
  <c r="AB71" i="16"/>
  <c r="AB72" i="16"/>
  <c r="AB73" i="16"/>
  <c r="AB74" i="16"/>
  <c r="AB75" i="16"/>
  <c r="AB76" i="16"/>
  <c r="AB77" i="16"/>
  <c r="AB78" i="16"/>
  <c r="AB79" i="16"/>
  <c r="AB80" i="16"/>
  <c r="AB81" i="16"/>
  <c r="AB82" i="16"/>
  <c r="AB83" i="16"/>
  <c r="AB84" i="16"/>
  <c r="AB85" i="16"/>
  <c r="AB86" i="16"/>
  <c r="AB87" i="16"/>
  <c r="AB88" i="16"/>
  <c r="AB89" i="16"/>
  <c r="AB90" i="16"/>
  <c r="AB91" i="16"/>
  <c r="AB92" i="16"/>
  <c r="AB93" i="16"/>
  <c r="AB94" i="16"/>
  <c r="AB95" i="16"/>
  <c r="AB96" i="16"/>
  <c r="AB97" i="16"/>
  <c r="AB98" i="16"/>
  <c r="AB99" i="16"/>
  <c r="AB100" i="16"/>
  <c r="AB101" i="16"/>
  <c r="AB102" i="16"/>
  <c r="AB103" i="16"/>
  <c r="AB104" i="16"/>
  <c r="AB105" i="16"/>
  <c r="AB106" i="16"/>
  <c r="AB107" i="16"/>
  <c r="AB108" i="16"/>
  <c r="AB109" i="16"/>
  <c r="AB110" i="16"/>
  <c r="AB111" i="16"/>
  <c r="AB112" i="16"/>
  <c r="AB113" i="16"/>
  <c r="AB114" i="16"/>
  <c r="AB115" i="16"/>
  <c r="AB116" i="16"/>
  <c r="B84" i="19"/>
  <c r="E1" i="22"/>
  <c r="D1" i="22"/>
  <c r="A113" i="16"/>
  <c r="I113" i="21"/>
  <c r="H113" i="21"/>
  <c r="G113" i="21"/>
  <c r="F113" i="21"/>
  <c r="E113" i="21"/>
  <c r="C113" i="21"/>
  <c r="E113" i="16"/>
  <c r="A114" i="16"/>
  <c r="I114" i="21"/>
  <c r="H114" i="21"/>
  <c r="G114" i="21"/>
  <c r="F114" i="21"/>
  <c r="E114" i="21"/>
  <c r="C114" i="21"/>
  <c r="E114" i="16"/>
  <c r="A115" i="16"/>
  <c r="I115" i="21"/>
  <c r="H115" i="21"/>
  <c r="G115" i="21"/>
  <c r="F115" i="21"/>
  <c r="E115" i="21"/>
  <c r="C115" i="21"/>
  <c r="E115" i="16"/>
  <c r="A116" i="16"/>
  <c r="I116" i="21"/>
  <c r="H116" i="21"/>
  <c r="G116" i="21"/>
  <c r="F116" i="21"/>
  <c r="E116" i="21"/>
  <c r="C116" i="21"/>
  <c r="E116" i="16"/>
  <c r="A112" i="16"/>
  <c r="I112" i="21"/>
  <c r="H112" i="21"/>
  <c r="G112" i="21"/>
  <c r="F112" i="21"/>
  <c r="E112" i="21"/>
  <c r="C112" i="21"/>
  <c r="E112" i="16"/>
  <c r="T15" i="25"/>
  <c r="A590" i="21"/>
  <c r="C590" i="21"/>
  <c r="I590" i="21"/>
  <c r="H590" i="21"/>
  <c r="G590" i="21"/>
  <c r="F590" i="21"/>
  <c r="E590" i="21"/>
  <c r="J590" i="21"/>
  <c r="A591" i="21"/>
  <c r="C591" i="21"/>
  <c r="I591" i="21"/>
  <c r="H591" i="21"/>
  <c r="G591" i="21"/>
  <c r="F591" i="21"/>
  <c r="E591" i="21"/>
  <c r="J591" i="21"/>
  <c r="A592" i="21"/>
  <c r="C592" i="21"/>
  <c r="I592" i="21"/>
  <c r="H592" i="21"/>
  <c r="G592" i="21"/>
  <c r="F592" i="21"/>
  <c r="E592" i="21"/>
  <c r="J592" i="21"/>
  <c r="A593" i="21"/>
  <c r="C593" i="21"/>
  <c r="I593" i="21"/>
  <c r="H593" i="21"/>
  <c r="G593" i="21"/>
  <c r="F593" i="21"/>
  <c r="E593" i="21"/>
  <c r="J593" i="21"/>
  <c r="A594" i="21"/>
  <c r="C594" i="21"/>
  <c r="I594" i="21"/>
  <c r="H594" i="21"/>
  <c r="G594" i="21"/>
  <c r="F594" i="21"/>
  <c r="E594" i="21"/>
  <c r="J594" i="21"/>
  <c r="A595" i="21"/>
  <c r="C595" i="21"/>
  <c r="I595" i="21"/>
  <c r="H595" i="21"/>
  <c r="G595" i="21"/>
  <c r="F595" i="21"/>
  <c r="E595" i="21"/>
  <c r="J595" i="21"/>
  <c r="A596" i="21"/>
  <c r="C596" i="21"/>
  <c r="I596" i="21"/>
  <c r="H596" i="21"/>
  <c r="G596" i="21"/>
  <c r="F596" i="21"/>
  <c r="E596" i="21"/>
  <c r="J596" i="21"/>
  <c r="A597" i="21"/>
  <c r="C597" i="21"/>
  <c r="I597" i="21"/>
  <c r="H597" i="21"/>
  <c r="G597" i="21"/>
  <c r="F597" i="21"/>
  <c r="E597" i="21"/>
  <c r="J597" i="21"/>
  <c r="A598" i="21"/>
  <c r="C598" i="21"/>
  <c r="I598" i="21"/>
  <c r="H598" i="21"/>
  <c r="G598" i="21"/>
  <c r="F598" i="21"/>
  <c r="E598" i="21"/>
  <c r="J598" i="21"/>
  <c r="A599" i="21"/>
  <c r="C599" i="21"/>
  <c r="I599" i="21"/>
  <c r="H599" i="21"/>
  <c r="G599" i="21"/>
  <c r="F599" i="21"/>
  <c r="E599" i="21"/>
  <c r="J599" i="21"/>
  <c r="A600" i="21"/>
  <c r="C600" i="21"/>
  <c r="I600" i="21"/>
  <c r="H600" i="21"/>
  <c r="G600" i="21"/>
  <c r="F600" i="21"/>
  <c r="E600" i="21"/>
  <c r="J600" i="21"/>
  <c r="A110" i="16"/>
  <c r="I110" i="21"/>
  <c r="H110" i="21"/>
  <c r="G110" i="21"/>
  <c r="F110" i="21"/>
  <c r="E110" i="21"/>
  <c r="C110" i="21"/>
  <c r="E110" i="16"/>
  <c r="A111" i="16"/>
  <c r="I111" i="21"/>
  <c r="H111" i="21"/>
  <c r="G111" i="21"/>
  <c r="F111" i="21"/>
  <c r="E111" i="21"/>
  <c r="C111" i="21"/>
  <c r="E111" i="1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B41" i="19"/>
  <c r="B69" i="19"/>
  <c r="B55" i="19"/>
  <c r="B53" i="19"/>
  <c r="B56" i="19"/>
  <c r="B57" i="19"/>
  <c r="B52" i="19"/>
  <c r="B54" i="19"/>
  <c r="B58" i="19"/>
  <c r="B62" i="19"/>
  <c r="B60" i="19"/>
  <c r="B77" i="19"/>
  <c r="B68" i="19"/>
  <c r="B61" i="19"/>
  <c r="B91" i="19"/>
  <c r="B92" i="19"/>
  <c r="B65" i="19"/>
  <c r="B76" i="19"/>
  <c r="B72" i="19"/>
  <c r="B66" i="19"/>
  <c r="B93" i="19"/>
  <c r="B64" i="19"/>
  <c r="B78" i="19"/>
  <c r="B67" i="19"/>
  <c r="B71" i="19"/>
  <c r="B73" i="19"/>
  <c r="B75" i="19"/>
  <c r="B94" i="19"/>
  <c r="B79" i="19"/>
  <c r="B74" i="19"/>
  <c r="B80" i="19"/>
  <c r="B81" i="19"/>
  <c r="B95" i="19"/>
  <c r="B96" i="19"/>
  <c r="B97" i="19"/>
  <c r="B98" i="19"/>
  <c r="B99" i="19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12" i="21"/>
  <c r="C313" i="21"/>
  <c r="C314" i="21"/>
  <c r="C315" i="21"/>
  <c r="C316" i="21"/>
  <c r="C317" i="21"/>
  <c r="C318" i="21"/>
  <c r="C319" i="21"/>
  <c r="C320" i="21"/>
  <c r="C321" i="21"/>
  <c r="C322" i="21"/>
  <c r="C323" i="21"/>
  <c r="C324" i="21"/>
  <c r="C325" i="21"/>
  <c r="C326" i="21"/>
  <c r="C327" i="21"/>
  <c r="C328" i="21"/>
  <c r="C329" i="21"/>
  <c r="C330" i="21"/>
  <c r="C331" i="21"/>
  <c r="C332" i="21"/>
  <c r="C333" i="21"/>
  <c r="C334" i="21"/>
  <c r="C335" i="21"/>
  <c r="C336" i="21"/>
  <c r="C337" i="21"/>
  <c r="C338" i="21"/>
  <c r="C339" i="21"/>
  <c r="C340" i="21"/>
  <c r="C341" i="21"/>
  <c r="C342" i="21"/>
  <c r="C343" i="21"/>
  <c r="C344" i="21"/>
  <c r="C345" i="21"/>
  <c r="C346" i="21"/>
  <c r="C347" i="21"/>
  <c r="C348" i="21"/>
  <c r="C349" i="21"/>
  <c r="C350" i="21"/>
  <c r="C351" i="21"/>
  <c r="C352" i="21"/>
  <c r="C353" i="21"/>
  <c r="C354" i="21"/>
  <c r="C355" i="21"/>
  <c r="C356" i="21"/>
  <c r="C357" i="21"/>
  <c r="C358" i="21"/>
  <c r="C359" i="21"/>
  <c r="C360" i="21"/>
  <c r="C361" i="21"/>
  <c r="C362" i="21"/>
  <c r="C363" i="21"/>
  <c r="C364" i="21"/>
  <c r="C365" i="21"/>
  <c r="C366" i="21"/>
  <c r="C367" i="21"/>
  <c r="C368" i="21"/>
  <c r="C369" i="21"/>
  <c r="C370" i="21"/>
  <c r="C371" i="21"/>
  <c r="C372" i="21"/>
  <c r="C373" i="21"/>
  <c r="C374" i="21"/>
  <c r="C375" i="21"/>
  <c r="C376" i="21"/>
  <c r="C377" i="21"/>
  <c r="C378" i="21"/>
  <c r="C379" i="21"/>
  <c r="C380" i="21"/>
  <c r="C381" i="21"/>
  <c r="C382" i="21"/>
  <c r="C383" i="21"/>
  <c r="C384" i="21"/>
  <c r="C385" i="21"/>
  <c r="C386" i="21"/>
  <c r="C387" i="21"/>
  <c r="C388" i="21"/>
  <c r="C389" i="21"/>
  <c r="C390" i="21"/>
  <c r="C391" i="21"/>
  <c r="C392" i="21"/>
  <c r="C393" i="21"/>
  <c r="C394" i="21"/>
  <c r="C395" i="21"/>
  <c r="C396" i="21"/>
  <c r="C397" i="21"/>
  <c r="C398" i="21"/>
  <c r="C399" i="21"/>
  <c r="C400" i="21"/>
  <c r="C401" i="21"/>
  <c r="C402" i="21"/>
  <c r="C403" i="21"/>
  <c r="C404" i="21"/>
  <c r="C405" i="21"/>
  <c r="C406" i="21"/>
  <c r="C407" i="21"/>
  <c r="C408" i="21"/>
  <c r="C409" i="21"/>
  <c r="C410" i="21"/>
  <c r="C411" i="21"/>
  <c r="C412" i="21"/>
  <c r="C413" i="21"/>
  <c r="C414" i="21"/>
  <c r="C415" i="21"/>
  <c r="C416" i="21"/>
  <c r="C417" i="21"/>
  <c r="C418" i="21"/>
  <c r="C419" i="21"/>
  <c r="C420" i="21"/>
  <c r="C421" i="21"/>
  <c r="C422" i="21"/>
  <c r="C423" i="21"/>
  <c r="C424" i="21"/>
  <c r="C425" i="21"/>
  <c r="C426" i="21"/>
  <c r="C427" i="21"/>
  <c r="C428" i="21"/>
  <c r="C429" i="21"/>
  <c r="C430" i="21"/>
  <c r="C431" i="21"/>
  <c r="C432" i="21"/>
  <c r="C433" i="21"/>
  <c r="C434" i="21"/>
  <c r="C435" i="21"/>
  <c r="C436" i="21"/>
  <c r="C437" i="21"/>
  <c r="C438" i="21"/>
  <c r="C439" i="21"/>
  <c r="C440" i="21"/>
  <c r="C441" i="21"/>
  <c r="C442" i="21"/>
  <c r="C443" i="21"/>
  <c r="C444" i="21"/>
  <c r="C445" i="21"/>
  <c r="C446" i="21"/>
  <c r="C447" i="21"/>
  <c r="C448" i="21"/>
  <c r="C449" i="21"/>
  <c r="C450" i="21"/>
  <c r="C451" i="21"/>
  <c r="C452" i="21"/>
  <c r="C453" i="21"/>
  <c r="C454" i="21"/>
  <c r="C455" i="21"/>
  <c r="C456" i="21"/>
  <c r="C457" i="21"/>
  <c r="C458" i="21"/>
  <c r="C459" i="21"/>
  <c r="C460" i="21"/>
  <c r="C461" i="21"/>
  <c r="C462" i="21"/>
  <c r="C463" i="21"/>
  <c r="C464" i="21"/>
  <c r="C465" i="21"/>
  <c r="C466" i="21"/>
  <c r="C467" i="21"/>
  <c r="C468" i="21"/>
  <c r="C469" i="21"/>
  <c r="C470" i="21"/>
  <c r="C471" i="21"/>
  <c r="C472" i="21"/>
  <c r="C473" i="21"/>
  <c r="C474" i="21"/>
  <c r="C475" i="21"/>
  <c r="C476" i="21"/>
  <c r="C477" i="21"/>
  <c r="C478" i="21"/>
  <c r="C479" i="21"/>
  <c r="C480" i="21"/>
  <c r="C481" i="21"/>
  <c r="C482" i="21"/>
  <c r="C483" i="21"/>
  <c r="C484" i="21"/>
  <c r="C485" i="21"/>
  <c r="C486" i="21"/>
  <c r="C487" i="21"/>
  <c r="C488" i="21"/>
  <c r="C489" i="21"/>
  <c r="C490" i="21"/>
  <c r="C491" i="21"/>
  <c r="C492" i="21"/>
  <c r="C493" i="21"/>
  <c r="C494" i="21"/>
  <c r="C495" i="21"/>
  <c r="C496" i="21"/>
  <c r="C497" i="21"/>
  <c r="C498" i="21"/>
  <c r="C499" i="21"/>
  <c r="C500" i="21"/>
  <c r="C501" i="21"/>
  <c r="C502" i="21"/>
  <c r="C503" i="21"/>
  <c r="C504" i="21"/>
  <c r="C505" i="21"/>
  <c r="C506" i="21"/>
  <c r="C507" i="21"/>
  <c r="C508" i="21"/>
  <c r="C509" i="21"/>
  <c r="C510" i="21"/>
  <c r="C511" i="21"/>
  <c r="C512" i="21"/>
  <c r="C513" i="21"/>
  <c r="C514" i="21"/>
  <c r="C515" i="21"/>
  <c r="C516" i="21"/>
  <c r="C517" i="21"/>
  <c r="C518" i="21"/>
  <c r="C519" i="21"/>
  <c r="C520" i="21"/>
  <c r="C521" i="21"/>
  <c r="C522" i="21"/>
  <c r="C523" i="21"/>
  <c r="C524" i="21"/>
  <c r="C525" i="21"/>
  <c r="C526" i="21"/>
  <c r="C527" i="21"/>
  <c r="C528" i="21"/>
  <c r="C529" i="21"/>
  <c r="C530" i="21"/>
  <c r="C531" i="21"/>
  <c r="C532" i="21"/>
  <c r="C533" i="21"/>
  <c r="C534" i="21"/>
  <c r="C535" i="21"/>
  <c r="C536" i="21"/>
  <c r="C537" i="21"/>
  <c r="C538" i="21"/>
  <c r="C539" i="21"/>
  <c r="C540" i="21"/>
  <c r="C541" i="21"/>
  <c r="C542" i="21"/>
  <c r="C543" i="21"/>
  <c r="C544" i="21"/>
  <c r="C545" i="21"/>
  <c r="C546" i="21"/>
  <c r="C547" i="21"/>
  <c r="C548" i="21"/>
  <c r="C549" i="21"/>
  <c r="C550" i="21"/>
  <c r="C551" i="21"/>
  <c r="C552" i="21"/>
  <c r="C553" i="21"/>
  <c r="C554" i="21"/>
  <c r="C555" i="21"/>
  <c r="C556" i="21"/>
  <c r="C557" i="21"/>
  <c r="C558" i="21"/>
  <c r="C559" i="21"/>
  <c r="C560" i="21"/>
  <c r="C561" i="21"/>
  <c r="C562" i="21"/>
  <c r="C563" i="21"/>
  <c r="C564" i="21"/>
  <c r="C565" i="21"/>
  <c r="C566" i="21"/>
  <c r="C567" i="21"/>
  <c r="C568" i="21"/>
  <c r="C569" i="21"/>
  <c r="C570" i="21"/>
  <c r="C571" i="21"/>
  <c r="C572" i="21"/>
  <c r="C573" i="21"/>
  <c r="C574" i="21"/>
  <c r="C575" i="21"/>
  <c r="C576" i="21"/>
  <c r="C577" i="21"/>
  <c r="C578" i="21"/>
  <c r="C579" i="21"/>
  <c r="C580" i="21"/>
  <c r="C581" i="21"/>
  <c r="C582" i="21"/>
  <c r="C583" i="21"/>
  <c r="C584" i="21"/>
  <c r="C585" i="21"/>
  <c r="C586" i="21"/>
  <c r="C587" i="21"/>
  <c r="C588" i="21"/>
  <c r="C589" i="21"/>
  <c r="C2" i="21"/>
  <c r="A36" i="21"/>
  <c r="J36" i="21"/>
  <c r="A37" i="21"/>
  <c r="J37" i="21"/>
  <c r="A38" i="21"/>
  <c r="J38" i="21"/>
  <c r="A39" i="21"/>
  <c r="J39" i="21"/>
  <c r="A40" i="21"/>
  <c r="J40" i="21"/>
  <c r="A41" i="21"/>
  <c r="J41" i="21"/>
  <c r="A42" i="21"/>
  <c r="J42" i="21"/>
  <c r="A43" i="21"/>
  <c r="J43" i="21"/>
  <c r="A44" i="21"/>
  <c r="J44" i="21"/>
  <c r="A45" i="21"/>
  <c r="J45" i="21"/>
  <c r="A46" i="21"/>
  <c r="J46" i="21"/>
  <c r="A47" i="21"/>
  <c r="J47" i="21"/>
  <c r="A48" i="21"/>
  <c r="J48" i="21"/>
  <c r="A49" i="21"/>
  <c r="J49" i="21"/>
  <c r="A50" i="21"/>
  <c r="J50" i="21"/>
  <c r="A51" i="21"/>
  <c r="J51" i="21"/>
  <c r="A52" i="21"/>
  <c r="J52" i="21"/>
  <c r="A53" i="21"/>
  <c r="J53" i="21"/>
  <c r="A54" i="21"/>
  <c r="J54" i="21"/>
  <c r="A55" i="21"/>
  <c r="J55" i="21"/>
  <c r="A56" i="21"/>
  <c r="J56" i="21"/>
  <c r="A57" i="21"/>
  <c r="J57" i="21"/>
  <c r="A58" i="21"/>
  <c r="J58" i="21"/>
  <c r="A59" i="21"/>
  <c r="J59" i="21"/>
  <c r="A60" i="21"/>
  <c r="J60" i="21"/>
  <c r="A61" i="21"/>
  <c r="J61" i="21"/>
  <c r="A62" i="21"/>
  <c r="J62" i="21"/>
  <c r="A63" i="21"/>
  <c r="J63" i="21"/>
  <c r="A64" i="21"/>
  <c r="J64" i="21"/>
  <c r="A65" i="21"/>
  <c r="J65" i="21"/>
  <c r="A66" i="21"/>
  <c r="J66" i="21"/>
  <c r="A67" i="21"/>
  <c r="J67" i="21"/>
  <c r="A68" i="21"/>
  <c r="J68" i="21"/>
  <c r="A69" i="21"/>
  <c r="J69" i="21"/>
  <c r="A70" i="21"/>
  <c r="J70" i="21"/>
  <c r="A71" i="21"/>
  <c r="J71" i="21"/>
  <c r="A72" i="21"/>
  <c r="J72" i="21"/>
  <c r="A73" i="21"/>
  <c r="J73" i="21"/>
  <c r="A74" i="21"/>
  <c r="J74" i="21"/>
  <c r="A75" i="21"/>
  <c r="J75" i="21"/>
  <c r="A76" i="21"/>
  <c r="J76" i="21"/>
  <c r="A77" i="21"/>
  <c r="J77" i="21"/>
  <c r="A78" i="21"/>
  <c r="J78" i="21"/>
  <c r="A79" i="21"/>
  <c r="J79" i="21"/>
  <c r="A80" i="21"/>
  <c r="J80" i="21"/>
  <c r="A81" i="21"/>
  <c r="J81" i="21"/>
  <c r="A82" i="21"/>
  <c r="J82" i="21"/>
  <c r="A83" i="21"/>
  <c r="I83" i="21"/>
  <c r="H83" i="21"/>
  <c r="G83" i="21"/>
  <c r="F83" i="21"/>
  <c r="E83" i="21"/>
  <c r="J83" i="21"/>
  <c r="A84" i="21"/>
  <c r="I84" i="21"/>
  <c r="H84" i="21"/>
  <c r="G84" i="21"/>
  <c r="F84" i="21"/>
  <c r="E84" i="21"/>
  <c r="J84" i="21"/>
  <c r="A85" i="21"/>
  <c r="I85" i="21"/>
  <c r="H85" i="21"/>
  <c r="G85" i="21"/>
  <c r="F85" i="21"/>
  <c r="E85" i="21"/>
  <c r="J85" i="21"/>
  <c r="A86" i="21"/>
  <c r="I86" i="21"/>
  <c r="H86" i="21"/>
  <c r="G86" i="21"/>
  <c r="F86" i="21"/>
  <c r="E86" i="21"/>
  <c r="J86" i="21"/>
  <c r="A87" i="21"/>
  <c r="I87" i="21"/>
  <c r="H87" i="21"/>
  <c r="G87" i="21"/>
  <c r="F87" i="21"/>
  <c r="E87" i="21"/>
  <c r="J87" i="21"/>
  <c r="A88" i="21"/>
  <c r="I88" i="21"/>
  <c r="H88" i="21"/>
  <c r="G88" i="21"/>
  <c r="F88" i="21"/>
  <c r="E88" i="21"/>
  <c r="J88" i="21"/>
  <c r="A89" i="21"/>
  <c r="I89" i="21"/>
  <c r="H89" i="21"/>
  <c r="G89" i="21"/>
  <c r="F89" i="21"/>
  <c r="E89" i="21"/>
  <c r="J89" i="21"/>
  <c r="A90" i="21"/>
  <c r="I90" i="21"/>
  <c r="H90" i="21"/>
  <c r="G90" i="21"/>
  <c r="F90" i="21"/>
  <c r="E90" i="21"/>
  <c r="J90" i="21"/>
  <c r="A91" i="21"/>
  <c r="I91" i="21"/>
  <c r="H91" i="21"/>
  <c r="G91" i="21"/>
  <c r="F91" i="21"/>
  <c r="E91" i="21"/>
  <c r="J91" i="21"/>
  <c r="A92" i="21"/>
  <c r="I92" i="21"/>
  <c r="H92" i="21"/>
  <c r="G92" i="21"/>
  <c r="F92" i="21"/>
  <c r="E92" i="21"/>
  <c r="J92" i="21"/>
  <c r="A93" i="21"/>
  <c r="I93" i="21"/>
  <c r="H93" i="21"/>
  <c r="G93" i="21"/>
  <c r="F93" i="21"/>
  <c r="E93" i="21"/>
  <c r="J93" i="21"/>
  <c r="A94" i="21"/>
  <c r="I94" i="21"/>
  <c r="H94" i="21"/>
  <c r="G94" i="21"/>
  <c r="F94" i="21"/>
  <c r="E94" i="21"/>
  <c r="J94" i="21"/>
  <c r="A95" i="21"/>
  <c r="I95" i="21"/>
  <c r="H95" i="21"/>
  <c r="G95" i="21"/>
  <c r="F95" i="21"/>
  <c r="E95" i="21"/>
  <c r="J95" i="21"/>
  <c r="A96" i="21"/>
  <c r="I96" i="21"/>
  <c r="H96" i="21"/>
  <c r="G96" i="21"/>
  <c r="F96" i="21"/>
  <c r="E96" i="21"/>
  <c r="J96" i="21"/>
  <c r="A97" i="21"/>
  <c r="I97" i="21"/>
  <c r="H97" i="21"/>
  <c r="G97" i="21"/>
  <c r="F97" i="21"/>
  <c r="E97" i="21"/>
  <c r="J97" i="21"/>
  <c r="A98" i="21"/>
  <c r="I98" i="21"/>
  <c r="H98" i="21"/>
  <c r="G98" i="21"/>
  <c r="F98" i="21"/>
  <c r="E98" i="21"/>
  <c r="J98" i="21"/>
  <c r="A99" i="21"/>
  <c r="I99" i="21"/>
  <c r="H99" i="21"/>
  <c r="G99" i="21"/>
  <c r="F99" i="21"/>
  <c r="E99" i="21"/>
  <c r="J99" i="21"/>
  <c r="A100" i="21"/>
  <c r="I100" i="21"/>
  <c r="H100" i="21"/>
  <c r="G100" i="21"/>
  <c r="F100" i="21"/>
  <c r="E100" i="21"/>
  <c r="J100" i="21"/>
  <c r="A101" i="21"/>
  <c r="I101" i="21"/>
  <c r="H101" i="21"/>
  <c r="G101" i="21"/>
  <c r="F101" i="21"/>
  <c r="E101" i="21"/>
  <c r="J101" i="21"/>
  <c r="A102" i="21"/>
  <c r="I102" i="21"/>
  <c r="H102" i="21"/>
  <c r="G102" i="21"/>
  <c r="F102" i="21"/>
  <c r="E102" i="21"/>
  <c r="J102" i="21"/>
  <c r="A103" i="21"/>
  <c r="I103" i="21"/>
  <c r="H103" i="21"/>
  <c r="G103" i="21"/>
  <c r="F103" i="21"/>
  <c r="E103" i="21"/>
  <c r="J103" i="21"/>
  <c r="A104" i="21"/>
  <c r="I104" i="21"/>
  <c r="H104" i="21"/>
  <c r="G104" i="21"/>
  <c r="F104" i="21"/>
  <c r="E104" i="21"/>
  <c r="J104" i="21"/>
  <c r="A105" i="21"/>
  <c r="I105" i="21"/>
  <c r="H105" i="21"/>
  <c r="G105" i="21"/>
  <c r="F105" i="21"/>
  <c r="E105" i="21"/>
  <c r="J105" i="21"/>
  <c r="A106" i="21"/>
  <c r="I106" i="21"/>
  <c r="H106" i="21"/>
  <c r="G106" i="21"/>
  <c r="F106" i="21"/>
  <c r="E106" i="21"/>
  <c r="J106" i="21"/>
  <c r="A107" i="21"/>
  <c r="I107" i="21"/>
  <c r="H107" i="21"/>
  <c r="G107" i="21"/>
  <c r="F107" i="21"/>
  <c r="E107" i="21"/>
  <c r="J107" i="21"/>
  <c r="A108" i="21"/>
  <c r="I108" i="21"/>
  <c r="H108" i="21"/>
  <c r="G108" i="21"/>
  <c r="F108" i="21"/>
  <c r="E108" i="21"/>
  <c r="J108" i="21"/>
  <c r="A109" i="21"/>
  <c r="I109" i="21"/>
  <c r="H109" i="21"/>
  <c r="G109" i="21"/>
  <c r="F109" i="21"/>
  <c r="E109" i="21"/>
  <c r="J109" i="21"/>
  <c r="A110" i="21"/>
  <c r="J110" i="21"/>
  <c r="A111" i="21"/>
  <c r="J111" i="21"/>
  <c r="A112" i="21"/>
  <c r="J112" i="21"/>
  <c r="A113" i="21"/>
  <c r="J113" i="21"/>
  <c r="A114" i="21"/>
  <c r="J114" i="21"/>
  <c r="A115" i="21"/>
  <c r="J115" i="21"/>
  <c r="A116" i="21"/>
  <c r="J116" i="21"/>
  <c r="A117" i="21"/>
  <c r="J117" i="21"/>
  <c r="A118" i="21"/>
  <c r="J118" i="21"/>
  <c r="A119" i="21"/>
  <c r="J119" i="21"/>
  <c r="A120" i="21"/>
  <c r="J120" i="21"/>
  <c r="A121" i="21"/>
  <c r="J121" i="21"/>
  <c r="A122" i="21"/>
  <c r="J122" i="21"/>
  <c r="A123" i="21"/>
  <c r="J123" i="21"/>
  <c r="A124" i="21"/>
  <c r="J124" i="21"/>
  <c r="A125" i="21"/>
  <c r="J125" i="21"/>
  <c r="A126" i="21"/>
  <c r="J126" i="21"/>
  <c r="A127" i="21"/>
  <c r="J127" i="21"/>
  <c r="A128" i="21"/>
  <c r="J128" i="21"/>
  <c r="A129" i="21"/>
  <c r="J129" i="21"/>
  <c r="A130" i="21"/>
  <c r="J130" i="21"/>
  <c r="A131" i="21"/>
  <c r="J131" i="21"/>
  <c r="A132" i="21"/>
  <c r="J132" i="21"/>
  <c r="A133" i="21"/>
  <c r="J133" i="21"/>
  <c r="A134" i="21"/>
  <c r="J134" i="21"/>
  <c r="A135" i="21"/>
  <c r="J135" i="21"/>
  <c r="A136" i="21"/>
  <c r="J136" i="21"/>
  <c r="A137" i="21"/>
  <c r="J137" i="21"/>
  <c r="A138" i="21"/>
  <c r="J138" i="21"/>
  <c r="A139" i="21"/>
  <c r="J139" i="21"/>
  <c r="A140" i="21"/>
  <c r="J140" i="21"/>
  <c r="A141" i="21"/>
  <c r="J141" i="21"/>
  <c r="A142" i="21"/>
  <c r="J142" i="21"/>
  <c r="A143" i="21"/>
  <c r="J143" i="21"/>
  <c r="A144" i="21"/>
  <c r="J144" i="21"/>
  <c r="A145" i="21"/>
  <c r="J145" i="21"/>
  <c r="A146" i="21"/>
  <c r="J146" i="21"/>
  <c r="A147" i="21"/>
  <c r="J147" i="21"/>
  <c r="A148" i="21"/>
  <c r="J148" i="21"/>
  <c r="A149" i="21"/>
  <c r="J149" i="21"/>
  <c r="A150" i="21"/>
  <c r="J150" i="21"/>
  <c r="A151" i="21"/>
  <c r="J151" i="21"/>
  <c r="A152" i="21"/>
  <c r="J152" i="21"/>
  <c r="A153" i="21"/>
  <c r="J153" i="21"/>
  <c r="A154" i="21"/>
  <c r="J154" i="21"/>
  <c r="A155" i="21"/>
  <c r="J155" i="21"/>
  <c r="A156" i="21"/>
  <c r="J156" i="21"/>
  <c r="A157" i="21"/>
  <c r="J157" i="21"/>
  <c r="A158" i="21"/>
  <c r="J158" i="21"/>
  <c r="A159" i="21"/>
  <c r="J159" i="21"/>
  <c r="A160" i="21"/>
  <c r="J160" i="21"/>
  <c r="A161" i="21"/>
  <c r="J161" i="21"/>
  <c r="A162" i="21"/>
  <c r="J162" i="21"/>
  <c r="A163" i="21"/>
  <c r="J163" i="21"/>
  <c r="A164" i="21"/>
  <c r="J164" i="21"/>
  <c r="A165" i="21"/>
  <c r="J165" i="21"/>
  <c r="A166" i="21"/>
  <c r="J166" i="21"/>
  <c r="A167" i="21"/>
  <c r="J167" i="21"/>
  <c r="A168" i="21"/>
  <c r="J168" i="21"/>
  <c r="A169" i="21"/>
  <c r="J169" i="21"/>
  <c r="A170" i="21"/>
  <c r="J170" i="21"/>
  <c r="A171" i="21"/>
  <c r="J171" i="21"/>
  <c r="A172" i="21"/>
  <c r="J172" i="21"/>
  <c r="A173" i="21"/>
  <c r="J173" i="21"/>
  <c r="A174" i="21"/>
  <c r="J174" i="21"/>
  <c r="A175" i="21"/>
  <c r="J175" i="21"/>
  <c r="A176" i="21"/>
  <c r="J176" i="21"/>
  <c r="A177" i="21"/>
  <c r="J177" i="21"/>
  <c r="A178" i="21"/>
  <c r="J178" i="21"/>
  <c r="A179" i="21"/>
  <c r="J179" i="21"/>
  <c r="A180" i="21"/>
  <c r="J180" i="21"/>
  <c r="A181" i="21"/>
  <c r="J181" i="21"/>
  <c r="A182" i="21"/>
  <c r="J182" i="21"/>
  <c r="A183" i="21"/>
  <c r="J183" i="21"/>
  <c r="A184" i="21"/>
  <c r="J184" i="21"/>
  <c r="A185" i="21"/>
  <c r="J185" i="21"/>
  <c r="A186" i="21"/>
  <c r="J186" i="21"/>
  <c r="A187" i="21"/>
  <c r="J187" i="21"/>
  <c r="A188" i="21"/>
  <c r="I188" i="21"/>
  <c r="H188" i="21"/>
  <c r="G188" i="21"/>
  <c r="F188" i="21"/>
  <c r="E188" i="21"/>
  <c r="J188" i="21"/>
  <c r="A189" i="21"/>
  <c r="I189" i="21"/>
  <c r="H189" i="21"/>
  <c r="G189" i="21"/>
  <c r="F189" i="21"/>
  <c r="E189" i="21"/>
  <c r="J189" i="21"/>
  <c r="A190" i="21"/>
  <c r="I190" i="21"/>
  <c r="H190" i="21"/>
  <c r="G190" i="21"/>
  <c r="F190" i="21"/>
  <c r="E190" i="21"/>
  <c r="J190" i="21"/>
  <c r="A191" i="21"/>
  <c r="I191" i="21"/>
  <c r="H191" i="21"/>
  <c r="G191" i="21"/>
  <c r="F191" i="21"/>
  <c r="E191" i="21"/>
  <c r="J191" i="21"/>
  <c r="A192" i="21"/>
  <c r="I192" i="21"/>
  <c r="H192" i="21"/>
  <c r="G192" i="21"/>
  <c r="F192" i="21"/>
  <c r="E192" i="21"/>
  <c r="J192" i="21"/>
  <c r="A193" i="21"/>
  <c r="I193" i="21"/>
  <c r="H193" i="21"/>
  <c r="G193" i="21"/>
  <c r="F193" i="21"/>
  <c r="E193" i="21"/>
  <c r="J193" i="21"/>
  <c r="A194" i="21"/>
  <c r="I194" i="21"/>
  <c r="H194" i="21"/>
  <c r="G194" i="21"/>
  <c r="F194" i="21"/>
  <c r="E194" i="21"/>
  <c r="J194" i="21"/>
  <c r="A195" i="21"/>
  <c r="I195" i="21"/>
  <c r="H195" i="21"/>
  <c r="G195" i="21"/>
  <c r="F195" i="21"/>
  <c r="E195" i="21"/>
  <c r="J195" i="21"/>
  <c r="A196" i="21"/>
  <c r="I196" i="21"/>
  <c r="H196" i="21"/>
  <c r="G196" i="21"/>
  <c r="F196" i="21"/>
  <c r="E196" i="21"/>
  <c r="J196" i="21"/>
  <c r="A197" i="21"/>
  <c r="I197" i="21"/>
  <c r="H197" i="21"/>
  <c r="G197" i="21"/>
  <c r="F197" i="21"/>
  <c r="E197" i="21"/>
  <c r="J197" i="21"/>
  <c r="A198" i="21"/>
  <c r="I198" i="21"/>
  <c r="H198" i="21"/>
  <c r="G198" i="21"/>
  <c r="F198" i="21"/>
  <c r="E198" i="21"/>
  <c r="J198" i="21"/>
  <c r="A199" i="21"/>
  <c r="I199" i="21"/>
  <c r="H199" i="21"/>
  <c r="G199" i="21"/>
  <c r="F199" i="21"/>
  <c r="E199" i="21"/>
  <c r="J199" i="21"/>
  <c r="A200" i="21"/>
  <c r="I200" i="21"/>
  <c r="H200" i="21"/>
  <c r="G200" i="21"/>
  <c r="F200" i="21"/>
  <c r="E200" i="21"/>
  <c r="J200" i="21"/>
  <c r="A201" i="21"/>
  <c r="I201" i="21"/>
  <c r="H201" i="21"/>
  <c r="G201" i="21"/>
  <c r="F201" i="21"/>
  <c r="E201" i="21"/>
  <c r="J201" i="21"/>
  <c r="A202" i="21"/>
  <c r="I202" i="21"/>
  <c r="H202" i="21"/>
  <c r="G202" i="21"/>
  <c r="F202" i="21"/>
  <c r="E202" i="21"/>
  <c r="J202" i="21"/>
  <c r="A203" i="21"/>
  <c r="I203" i="21"/>
  <c r="H203" i="21"/>
  <c r="G203" i="21"/>
  <c r="F203" i="21"/>
  <c r="E203" i="21"/>
  <c r="J203" i="21"/>
  <c r="A204" i="21"/>
  <c r="I204" i="21"/>
  <c r="H204" i="21"/>
  <c r="G204" i="21"/>
  <c r="F204" i="21"/>
  <c r="E204" i="21"/>
  <c r="J204" i="21"/>
  <c r="A205" i="21"/>
  <c r="I205" i="21"/>
  <c r="H205" i="21"/>
  <c r="G205" i="21"/>
  <c r="F205" i="21"/>
  <c r="E205" i="21"/>
  <c r="J205" i="21"/>
  <c r="A206" i="21"/>
  <c r="I206" i="21"/>
  <c r="H206" i="21"/>
  <c r="G206" i="21"/>
  <c r="F206" i="21"/>
  <c r="E206" i="21"/>
  <c r="J206" i="21"/>
  <c r="A207" i="21"/>
  <c r="I207" i="21"/>
  <c r="H207" i="21"/>
  <c r="G207" i="21"/>
  <c r="F207" i="21"/>
  <c r="E207" i="21"/>
  <c r="J207" i="21"/>
  <c r="A208" i="21"/>
  <c r="I208" i="21"/>
  <c r="H208" i="21"/>
  <c r="G208" i="21"/>
  <c r="F208" i="21"/>
  <c r="E208" i="21"/>
  <c r="J208" i="21"/>
  <c r="A209" i="21"/>
  <c r="I209" i="21"/>
  <c r="H209" i="21"/>
  <c r="G209" i="21"/>
  <c r="F209" i="21"/>
  <c r="E209" i="21"/>
  <c r="J209" i="21"/>
  <c r="A210" i="21"/>
  <c r="I210" i="21"/>
  <c r="H210" i="21"/>
  <c r="G210" i="21"/>
  <c r="F210" i="21"/>
  <c r="E210" i="21"/>
  <c r="J210" i="21"/>
  <c r="A211" i="21"/>
  <c r="I211" i="21"/>
  <c r="H211" i="21"/>
  <c r="G211" i="21"/>
  <c r="F211" i="21"/>
  <c r="E211" i="21"/>
  <c r="J211" i="21"/>
  <c r="A212" i="21"/>
  <c r="I212" i="21"/>
  <c r="H212" i="21"/>
  <c r="G212" i="21"/>
  <c r="F212" i="21"/>
  <c r="E212" i="21"/>
  <c r="J212" i="21"/>
  <c r="A213" i="21"/>
  <c r="I213" i="21"/>
  <c r="H213" i="21"/>
  <c r="G213" i="21"/>
  <c r="F213" i="21"/>
  <c r="E213" i="21"/>
  <c r="J213" i="21"/>
  <c r="A214" i="21"/>
  <c r="I214" i="21"/>
  <c r="H214" i="21"/>
  <c r="G214" i="21"/>
  <c r="F214" i="21"/>
  <c r="E214" i="21"/>
  <c r="J214" i="21"/>
  <c r="A215" i="21"/>
  <c r="I215" i="21"/>
  <c r="H215" i="21"/>
  <c r="G215" i="21"/>
  <c r="F215" i="21"/>
  <c r="E215" i="21"/>
  <c r="J215" i="21"/>
  <c r="A216" i="21"/>
  <c r="I216" i="21"/>
  <c r="H216" i="21"/>
  <c r="G216" i="21"/>
  <c r="F216" i="21"/>
  <c r="E216" i="21"/>
  <c r="J216" i="21"/>
  <c r="A217" i="21"/>
  <c r="I217" i="21"/>
  <c r="H217" i="21"/>
  <c r="G217" i="21"/>
  <c r="F217" i="21"/>
  <c r="E217" i="21"/>
  <c r="J217" i="21"/>
  <c r="A218" i="21"/>
  <c r="I218" i="21"/>
  <c r="H218" i="21"/>
  <c r="G218" i="21"/>
  <c r="F218" i="21"/>
  <c r="E218" i="21"/>
  <c r="J218" i="21"/>
  <c r="A219" i="21"/>
  <c r="I219" i="21"/>
  <c r="H219" i="21"/>
  <c r="G219" i="21"/>
  <c r="F219" i="21"/>
  <c r="E219" i="21"/>
  <c r="J219" i="21"/>
  <c r="A220" i="21"/>
  <c r="I220" i="21"/>
  <c r="H220" i="21"/>
  <c r="G220" i="21"/>
  <c r="F220" i="21"/>
  <c r="E220" i="21"/>
  <c r="J220" i="21"/>
  <c r="A221" i="21"/>
  <c r="I221" i="21"/>
  <c r="H221" i="21"/>
  <c r="G221" i="21"/>
  <c r="F221" i="21"/>
  <c r="E221" i="21"/>
  <c r="J221" i="21"/>
  <c r="A222" i="21"/>
  <c r="I222" i="21"/>
  <c r="H222" i="21"/>
  <c r="G222" i="21"/>
  <c r="F222" i="21"/>
  <c r="E222" i="21"/>
  <c r="J222" i="21"/>
  <c r="A223" i="21"/>
  <c r="I223" i="21"/>
  <c r="H223" i="21"/>
  <c r="G223" i="21"/>
  <c r="F223" i="21"/>
  <c r="E223" i="21"/>
  <c r="J223" i="21"/>
  <c r="A224" i="21"/>
  <c r="I224" i="21"/>
  <c r="H224" i="21"/>
  <c r="G224" i="21"/>
  <c r="F224" i="21"/>
  <c r="E224" i="21"/>
  <c r="J224" i="21"/>
  <c r="A225" i="21"/>
  <c r="I225" i="21"/>
  <c r="H225" i="21"/>
  <c r="G225" i="21"/>
  <c r="F225" i="21"/>
  <c r="E225" i="21"/>
  <c r="J225" i="21"/>
  <c r="A226" i="21"/>
  <c r="I226" i="21"/>
  <c r="H226" i="21"/>
  <c r="G226" i="21"/>
  <c r="F226" i="21"/>
  <c r="E226" i="21"/>
  <c r="J226" i="21"/>
  <c r="A227" i="21"/>
  <c r="I227" i="21"/>
  <c r="H227" i="21"/>
  <c r="G227" i="21"/>
  <c r="F227" i="21"/>
  <c r="E227" i="21"/>
  <c r="J227" i="21"/>
  <c r="A228" i="21"/>
  <c r="I228" i="21"/>
  <c r="H228" i="21"/>
  <c r="G228" i="21"/>
  <c r="F228" i="21"/>
  <c r="E228" i="21"/>
  <c r="J228" i="21"/>
  <c r="A229" i="21"/>
  <c r="I229" i="21"/>
  <c r="H229" i="21"/>
  <c r="G229" i="21"/>
  <c r="F229" i="21"/>
  <c r="E229" i="21"/>
  <c r="J229" i="21"/>
  <c r="A230" i="21"/>
  <c r="I230" i="21"/>
  <c r="H230" i="21"/>
  <c r="G230" i="21"/>
  <c r="F230" i="21"/>
  <c r="E230" i="21"/>
  <c r="J230" i="21"/>
  <c r="A231" i="21"/>
  <c r="I231" i="21"/>
  <c r="H231" i="21"/>
  <c r="G231" i="21"/>
  <c r="F231" i="21"/>
  <c r="E231" i="21"/>
  <c r="J231" i="21"/>
  <c r="A232" i="21"/>
  <c r="I232" i="21"/>
  <c r="H232" i="21"/>
  <c r="G232" i="21"/>
  <c r="F232" i="21"/>
  <c r="E232" i="21"/>
  <c r="J232" i="21"/>
  <c r="A233" i="21"/>
  <c r="I233" i="21"/>
  <c r="H233" i="21"/>
  <c r="G233" i="21"/>
  <c r="F233" i="21"/>
  <c r="E233" i="21"/>
  <c r="J233" i="21"/>
  <c r="A234" i="21"/>
  <c r="I234" i="21"/>
  <c r="H234" i="21"/>
  <c r="G234" i="21"/>
  <c r="F234" i="21"/>
  <c r="E234" i="21"/>
  <c r="J234" i="21"/>
  <c r="A235" i="21"/>
  <c r="I235" i="21"/>
  <c r="H235" i="21"/>
  <c r="G235" i="21"/>
  <c r="F235" i="21"/>
  <c r="E235" i="21"/>
  <c r="J235" i="21"/>
  <c r="A236" i="21"/>
  <c r="I236" i="21"/>
  <c r="H236" i="21"/>
  <c r="G236" i="21"/>
  <c r="F236" i="21"/>
  <c r="E236" i="21"/>
  <c r="J236" i="21"/>
  <c r="A237" i="21"/>
  <c r="I237" i="21"/>
  <c r="H237" i="21"/>
  <c r="G237" i="21"/>
  <c r="F237" i="21"/>
  <c r="E237" i="21"/>
  <c r="J237" i="21"/>
  <c r="A238" i="21"/>
  <c r="I238" i="21"/>
  <c r="H238" i="21"/>
  <c r="G238" i="21"/>
  <c r="F238" i="21"/>
  <c r="E238" i="21"/>
  <c r="J238" i="21"/>
  <c r="A239" i="21"/>
  <c r="I239" i="21"/>
  <c r="H239" i="21"/>
  <c r="G239" i="21"/>
  <c r="F239" i="21"/>
  <c r="E239" i="21"/>
  <c r="J239" i="21"/>
  <c r="A240" i="21"/>
  <c r="I240" i="21"/>
  <c r="H240" i="21"/>
  <c r="G240" i="21"/>
  <c r="F240" i="21"/>
  <c r="E240" i="21"/>
  <c r="J240" i="21"/>
  <c r="A241" i="21"/>
  <c r="I241" i="21"/>
  <c r="H241" i="21"/>
  <c r="G241" i="21"/>
  <c r="F241" i="21"/>
  <c r="E241" i="21"/>
  <c r="J241" i="21"/>
  <c r="A242" i="21"/>
  <c r="I242" i="21"/>
  <c r="H242" i="21"/>
  <c r="G242" i="21"/>
  <c r="F242" i="21"/>
  <c r="E242" i="21"/>
  <c r="J242" i="21"/>
  <c r="A243" i="21"/>
  <c r="I243" i="21"/>
  <c r="H243" i="21"/>
  <c r="G243" i="21"/>
  <c r="F243" i="21"/>
  <c r="E243" i="21"/>
  <c r="J243" i="21"/>
  <c r="A244" i="21"/>
  <c r="I244" i="21"/>
  <c r="H244" i="21"/>
  <c r="G244" i="21"/>
  <c r="F244" i="21"/>
  <c r="E244" i="21"/>
  <c r="J244" i="21"/>
  <c r="A245" i="21"/>
  <c r="I245" i="21"/>
  <c r="H245" i="21"/>
  <c r="G245" i="21"/>
  <c r="F245" i="21"/>
  <c r="E245" i="21"/>
  <c r="J245" i="21"/>
  <c r="A246" i="21"/>
  <c r="I246" i="21"/>
  <c r="H246" i="21"/>
  <c r="G246" i="21"/>
  <c r="F246" i="21"/>
  <c r="E246" i="21"/>
  <c r="J246" i="21"/>
  <c r="A247" i="21"/>
  <c r="I247" i="21"/>
  <c r="H247" i="21"/>
  <c r="G247" i="21"/>
  <c r="F247" i="21"/>
  <c r="E247" i="21"/>
  <c r="J247" i="21"/>
  <c r="A248" i="21"/>
  <c r="I248" i="21"/>
  <c r="H248" i="21"/>
  <c r="G248" i="21"/>
  <c r="F248" i="21"/>
  <c r="E248" i="21"/>
  <c r="J248" i="21"/>
  <c r="A249" i="21"/>
  <c r="I249" i="21"/>
  <c r="H249" i="21"/>
  <c r="G249" i="21"/>
  <c r="F249" i="21"/>
  <c r="E249" i="21"/>
  <c r="J249" i="21"/>
  <c r="A250" i="21"/>
  <c r="I250" i="21"/>
  <c r="H250" i="21"/>
  <c r="G250" i="21"/>
  <c r="F250" i="21"/>
  <c r="E250" i="21"/>
  <c r="J250" i="21"/>
  <c r="A251" i="21"/>
  <c r="I251" i="21"/>
  <c r="H251" i="21"/>
  <c r="G251" i="21"/>
  <c r="F251" i="21"/>
  <c r="E251" i="21"/>
  <c r="J251" i="21"/>
  <c r="A252" i="21"/>
  <c r="I252" i="21"/>
  <c r="H252" i="21"/>
  <c r="G252" i="21"/>
  <c r="F252" i="21"/>
  <c r="E252" i="21"/>
  <c r="J252" i="21"/>
  <c r="A253" i="21"/>
  <c r="I253" i="21"/>
  <c r="H253" i="21"/>
  <c r="G253" i="21"/>
  <c r="F253" i="21"/>
  <c r="E253" i="21"/>
  <c r="J253" i="21"/>
  <c r="A254" i="21"/>
  <c r="I254" i="21"/>
  <c r="H254" i="21"/>
  <c r="G254" i="21"/>
  <c r="F254" i="21"/>
  <c r="E254" i="21"/>
  <c r="J254" i="21"/>
  <c r="A255" i="21"/>
  <c r="I255" i="21"/>
  <c r="H255" i="21"/>
  <c r="G255" i="21"/>
  <c r="F255" i="21"/>
  <c r="E255" i="21"/>
  <c r="J255" i="21"/>
  <c r="A256" i="21"/>
  <c r="I256" i="21"/>
  <c r="H256" i="21"/>
  <c r="G256" i="21"/>
  <c r="F256" i="21"/>
  <c r="E256" i="21"/>
  <c r="J256" i="21"/>
  <c r="A257" i="21"/>
  <c r="I257" i="21"/>
  <c r="H257" i="21"/>
  <c r="G257" i="21"/>
  <c r="F257" i="21"/>
  <c r="E257" i="21"/>
  <c r="J257" i="21"/>
  <c r="A258" i="21"/>
  <c r="I258" i="21"/>
  <c r="H258" i="21"/>
  <c r="G258" i="21"/>
  <c r="F258" i="21"/>
  <c r="E258" i="21"/>
  <c r="J258" i="21"/>
  <c r="A259" i="21"/>
  <c r="I259" i="21"/>
  <c r="H259" i="21"/>
  <c r="G259" i="21"/>
  <c r="F259" i="21"/>
  <c r="E259" i="21"/>
  <c r="J259" i="21"/>
  <c r="A260" i="21"/>
  <c r="I260" i="21"/>
  <c r="H260" i="21"/>
  <c r="G260" i="21"/>
  <c r="F260" i="21"/>
  <c r="E260" i="21"/>
  <c r="J260" i="21"/>
  <c r="A261" i="21"/>
  <c r="I261" i="21"/>
  <c r="H261" i="21"/>
  <c r="G261" i="21"/>
  <c r="F261" i="21"/>
  <c r="E261" i="21"/>
  <c r="J261" i="21"/>
  <c r="A262" i="21"/>
  <c r="I262" i="21"/>
  <c r="H262" i="21"/>
  <c r="G262" i="21"/>
  <c r="F262" i="21"/>
  <c r="E262" i="21"/>
  <c r="J262" i="21"/>
  <c r="A263" i="21"/>
  <c r="I263" i="21"/>
  <c r="H263" i="21"/>
  <c r="G263" i="21"/>
  <c r="F263" i="21"/>
  <c r="E263" i="21"/>
  <c r="J263" i="21"/>
  <c r="A264" i="21"/>
  <c r="I264" i="21"/>
  <c r="H264" i="21"/>
  <c r="G264" i="21"/>
  <c r="F264" i="21"/>
  <c r="E264" i="21"/>
  <c r="J264" i="21"/>
  <c r="A265" i="21"/>
  <c r="I265" i="21"/>
  <c r="H265" i="21"/>
  <c r="G265" i="21"/>
  <c r="F265" i="21"/>
  <c r="E265" i="21"/>
  <c r="J265" i="21"/>
  <c r="A266" i="21"/>
  <c r="I266" i="21"/>
  <c r="H266" i="21"/>
  <c r="G266" i="21"/>
  <c r="F266" i="21"/>
  <c r="E266" i="21"/>
  <c r="J266" i="21"/>
  <c r="A267" i="21"/>
  <c r="I267" i="21"/>
  <c r="H267" i="21"/>
  <c r="G267" i="21"/>
  <c r="F267" i="21"/>
  <c r="E267" i="21"/>
  <c r="J267" i="21"/>
  <c r="A268" i="21"/>
  <c r="I268" i="21"/>
  <c r="H268" i="21"/>
  <c r="G268" i="21"/>
  <c r="F268" i="21"/>
  <c r="E268" i="21"/>
  <c r="J268" i="21"/>
  <c r="A269" i="21"/>
  <c r="I269" i="21"/>
  <c r="H269" i="21"/>
  <c r="G269" i="21"/>
  <c r="F269" i="21"/>
  <c r="E269" i="21"/>
  <c r="J269" i="21"/>
  <c r="A270" i="21"/>
  <c r="I270" i="21"/>
  <c r="H270" i="21"/>
  <c r="G270" i="21"/>
  <c r="F270" i="21"/>
  <c r="E270" i="21"/>
  <c r="J270" i="21"/>
  <c r="A271" i="21"/>
  <c r="I271" i="21"/>
  <c r="H271" i="21"/>
  <c r="G271" i="21"/>
  <c r="F271" i="21"/>
  <c r="E271" i="21"/>
  <c r="J271" i="21"/>
  <c r="A272" i="21"/>
  <c r="I272" i="21"/>
  <c r="H272" i="21"/>
  <c r="G272" i="21"/>
  <c r="F272" i="21"/>
  <c r="E272" i="21"/>
  <c r="J272" i="21"/>
  <c r="A273" i="21"/>
  <c r="I273" i="21"/>
  <c r="H273" i="21"/>
  <c r="G273" i="21"/>
  <c r="F273" i="21"/>
  <c r="E273" i="21"/>
  <c r="J273" i="21"/>
  <c r="A274" i="21"/>
  <c r="I274" i="21"/>
  <c r="H274" i="21"/>
  <c r="G274" i="21"/>
  <c r="F274" i="21"/>
  <c r="E274" i="21"/>
  <c r="J274" i="21"/>
  <c r="A275" i="21"/>
  <c r="I275" i="21"/>
  <c r="H275" i="21"/>
  <c r="G275" i="21"/>
  <c r="F275" i="21"/>
  <c r="E275" i="21"/>
  <c r="J275" i="21"/>
  <c r="A276" i="21"/>
  <c r="I276" i="21"/>
  <c r="H276" i="21"/>
  <c r="G276" i="21"/>
  <c r="F276" i="21"/>
  <c r="E276" i="21"/>
  <c r="J276" i="21"/>
  <c r="A277" i="21"/>
  <c r="I277" i="21"/>
  <c r="H277" i="21"/>
  <c r="G277" i="21"/>
  <c r="F277" i="21"/>
  <c r="E277" i="21"/>
  <c r="J277" i="21"/>
  <c r="A278" i="21"/>
  <c r="I278" i="21"/>
  <c r="H278" i="21"/>
  <c r="G278" i="21"/>
  <c r="F278" i="21"/>
  <c r="E278" i="21"/>
  <c r="J278" i="21"/>
  <c r="A279" i="21"/>
  <c r="I279" i="21"/>
  <c r="H279" i="21"/>
  <c r="G279" i="21"/>
  <c r="F279" i="21"/>
  <c r="E279" i="21"/>
  <c r="J279" i="21"/>
  <c r="A280" i="21"/>
  <c r="I280" i="21"/>
  <c r="H280" i="21"/>
  <c r="G280" i="21"/>
  <c r="F280" i="21"/>
  <c r="E280" i="21"/>
  <c r="J280" i="21"/>
  <c r="A281" i="21"/>
  <c r="I281" i="21"/>
  <c r="H281" i="21"/>
  <c r="G281" i="21"/>
  <c r="F281" i="21"/>
  <c r="E281" i="21"/>
  <c r="J281" i="21"/>
  <c r="A282" i="21"/>
  <c r="I282" i="21"/>
  <c r="H282" i="21"/>
  <c r="G282" i="21"/>
  <c r="F282" i="21"/>
  <c r="E282" i="21"/>
  <c r="J282" i="21"/>
  <c r="A283" i="21"/>
  <c r="I283" i="21"/>
  <c r="H283" i="21"/>
  <c r="G283" i="21"/>
  <c r="F283" i="21"/>
  <c r="E283" i="21"/>
  <c r="J283" i="21"/>
  <c r="A284" i="21"/>
  <c r="I284" i="21"/>
  <c r="H284" i="21"/>
  <c r="G284" i="21"/>
  <c r="F284" i="21"/>
  <c r="E284" i="21"/>
  <c r="J284" i="21"/>
  <c r="A285" i="21"/>
  <c r="I285" i="21"/>
  <c r="H285" i="21"/>
  <c r="G285" i="21"/>
  <c r="F285" i="21"/>
  <c r="E285" i="21"/>
  <c r="J285" i="21"/>
  <c r="A286" i="21"/>
  <c r="I286" i="21"/>
  <c r="H286" i="21"/>
  <c r="G286" i="21"/>
  <c r="F286" i="21"/>
  <c r="E286" i="21"/>
  <c r="J286" i="21"/>
  <c r="A287" i="21"/>
  <c r="I287" i="21"/>
  <c r="H287" i="21"/>
  <c r="G287" i="21"/>
  <c r="F287" i="21"/>
  <c r="E287" i="21"/>
  <c r="J287" i="21"/>
  <c r="A288" i="21"/>
  <c r="I288" i="21"/>
  <c r="H288" i="21"/>
  <c r="G288" i="21"/>
  <c r="F288" i="21"/>
  <c r="E288" i="21"/>
  <c r="J288" i="21"/>
  <c r="A289" i="21"/>
  <c r="I289" i="21"/>
  <c r="H289" i="21"/>
  <c r="G289" i="21"/>
  <c r="F289" i="21"/>
  <c r="E289" i="21"/>
  <c r="J289" i="21"/>
  <c r="A290" i="21"/>
  <c r="I290" i="21"/>
  <c r="H290" i="21"/>
  <c r="G290" i="21"/>
  <c r="F290" i="21"/>
  <c r="E290" i="21"/>
  <c r="J290" i="21"/>
  <c r="A291" i="21"/>
  <c r="I291" i="21"/>
  <c r="H291" i="21"/>
  <c r="G291" i="21"/>
  <c r="F291" i="21"/>
  <c r="E291" i="21"/>
  <c r="J291" i="21"/>
  <c r="A292" i="21"/>
  <c r="I292" i="21"/>
  <c r="H292" i="21"/>
  <c r="G292" i="21"/>
  <c r="F292" i="21"/>
  <c r="E292" i="21"/>
  <c r="J292" i="21"/>
  <c r="A293" i="21"/>
  <c r="I293" i="21"/>
  <c r="H293" i="21"/>
  <c r="G293" i="21"/>
  <c r="F293" i="21"/>
  <c r="E293" i="21"/>
  <c r="J293" i="21"/>
  <c r="A294" i="21"/>
  <c r="I294" i="21"/>
  <c r="H294" i="21"/>
  <c r="G294" i="21"/>
  <c r="F294" i="21"/>
  <c r="E294" i="21"/>
  <c r="J294" i="21"/>
  <c r="A295" i="21"/>
  <c r="I295" i="21"/>
  <c r="H295" i="21"/>
  <c r="G295" i="21"/>
  <c r="F295" i="21"/>
  <c r="E295" i="21"/>
  <c r="J295" i="21"/>
  <c r="A296" i="21"/>
  <c r="I296" i="21"/>
  <c r="H296" i="21"/>
  <c r="G296" i="21"/>
  <c r="F296" i="21"/>
  <c r="E296" i="21"/>
  <c r="J296" i="21"/>
  <c r="A297" i="21"/>
  <c r="I297" i="21"/>
  <c r="H297" i="21"/>
  <c r="G297" i="21"/>
  <c r="F297" i="21"/>
  <c r="E297" i="21"/>
  <c r="J297" i="21"/>
  <c r="A298" i="21"/>
  <c r="I298" i="21"/>
  <c r="H298" i="21"/>
  <c r="G298" i="21"/>
  <c r="F298" i="21"/>
  <c r="E298" i="21"/>
  <c r="J298" i="21"/>
  <c r="A299" i="21"/>
  <c r="I299" i="21"/>
  <c r="H299" i="21"/>
  <c r="G299" i="21"/>
  <c r="F299" i="21"/>
  <c r="E299" i="21"/>
  <c r="J299" i="21"/>
  <c r="A300" i="21"/>
  <c r="I300" i="21"/>
  <c r="H300" i="21"/>
  <c r="G300" i="21"/>
  <c r="F300" i="21"/>
  <c r="E300" i="21"/>
  <c r="J300" i="21"/>
  <c r="A301" i="21"/>
  <c r="I301" i="21"/>
  <c r="H301" i="21"/>
  <c r="G301" i="21"/>
  <c r="F301" i="21"/>
  <c r="E301" i="21"/>
  <c r="J301" i="21"/>
  <c r="A302" i="21"/>
  <c r="I302" i="21"/>
  <c r="H302" i="21"/>
  <c r="G302" i="21"/>
  <c r="F302" i="21"/>
  <c r="E302" i="21"/>
  <c r="J302" i="21"/>
  <c r="A303" i="21"/>
  <c r="I303" i="21"/>
  <c r="H303" i="21"/>
  <c r="G303" i="21"/>
  <c r="F303" i="21"/>
  <c r="E303" i="21"/>
  <c r="J303" i="21"/>
  <c r="A304" i="21"/>
  <c r="I304" i="21"/>
  <c r="H304" i="21"/>
  <c r="G304" i="21"/>
  <c r="F304" i="21"/>
  <c r="E304" i="21"/>
  <c r="J304" i="21"/>
  <c r="A305" i="21"/>
  <c r="I305" i="21"/>
  <c r="H305" i="21"/>
  <c r="G305" i="21"/>
  <c r="F305" i="21"/>
  <c r="E305" i="21"/>
  <c r="J305" i="21"/>
  <c r="A306" i="21"/>
  <c r="I306" i="21"/>
  <c r="H306" i="21"/>
  <c r="G306" i="21"/>
  <c r="F306" i="21"/>
  <c r="E306" i="21"/>
  <c r="J306" i="21"/>
  <c r="A307" i="21"/>
  <c r="I307" i="21"/>
  <c r="H307" i="21"/>
  <c r="G307" i="21"/>
  <c r="F307" i="21"/>
  <c r="E307" i="21"/>
  <c r="J307" i="21"/>
  <c r="A308" i="21"/>
  <c r="I308" i="21"/>
  <c r="H308" i="21"/>
  <c r="G308" i="21"/>
  <c r="F308" i="21"/>
  <c r="E308" i="21"/>
  <c r="J308" i="21"/>
  <c r="A309" i="21"/>
  <c r="I309" i="21"/>
  <c r="H309" i="21"/>
  <c r="G309" i="21"/>
  <c r="F309" i="21"/>
  <c r="E309" i="21"/>
  <c r="J309" i="21"/>
  <c r="A310" i="21"/>
  <c r="I310" i="21"/>
  <c r="H310" i="21"/>
  <c r="G310" i="21"/>
  <c r="F310" i="21"/>
  <c r="E310" i="21"/>
  <c r="J310" i="21"/>
  <c r="A311" i="21"/>
  <c r="I311" i="21"/>
  <c r="H311" i="21"/>
  <c r="G311" i="21"/>
  <c r="F311" i="21"/>
  <c r="E311" i="21"/>
  <c r="J311" i="21"/>
  <c r="A312" i="21"/>
  <c r="I312" i="21"/>
  <c r="H312" i="21"/>
  <c r="G312" i="21"/>
  <c r="F312" i="21"/>
  <c r="E312" i="21"/>
  <c r="J312" i="21"/>
  <c r="A313" i="21"/>
  <c r="I313" i="21"/>
  <c r="H313" i="21"/>
  <c r="G313" i="21"/>
  <c r="F313" i="21"/>
  <c r="E313" i="21"/>
  <c r="J313" i="21"/>
  <c r="A314" i="21"/>
  <c r="I314" i="21"/>
  <c r="H314" i="21"/>
  <c r="G314" i="21"/>
  <c r="F314" i="21"/>
  <c r="E314" i="21"/>
  <c r="J314" i="21"/>
  <c r="A315" i="21"/>
  <c r="I315" i="21"/>
  <c r="H315" i="21"/>
  <c r="G315" i="21"/>
  <c r="F315" i="21"/>
  <c r="E315" i="21"/>
  <c r="J315" i="21"/>
  <c r="A316" i="21"/>
  <c r="I316" i="21"/>
  <c r="H316" i="21"/>
  <c r="G316" i="21"/>
  <c r="F316" i="21"/>
  <c r="E316" i="21"/>
  <c r="J316" i="21"/>
  <c r="A317" i="21"/>
  <c r="I317" i="21"/>
  <c r="H317" i="21"/>
  <c r="G317" i="21"/>
  <c r="F317" i="21"/>
  <c r="E317" i="21"/>
  <c r="J317" i="21"/>
  <c r="A318" i="21"/>
  <c r="I318" i="21"/>
  <c r="H318" i="21"/>
  <c r="G318" i="21"/>
  <c r="F318" i="21"/>
  <c r="E318" i="21"/>
  <c r="J318" i="21"/>
  <c r="A319" i="21"/>
  <c r="I319" i="21"/>
  <c r="H319" i="21"/>
  <c r="G319" i="21"/>
  <c r="F319" i="21"/>
  <c r="E319" i="21"/>
  <c r="J319" i="21"/>
  <c r="A320" i="21"/>
  <c r="I320" i="21"/>
  <c r="H320" i="21"/>
  <c r="G320" i="21"/>
  <c r="F320" i="21"/>
  <c r="E320" i="21"/>
  <c r="J320" i="21"/>
  <c r="A321" i="21"/>
  <c r="I321" i="21"/>
  <c r="H321" i="21"/>
  <c r="G321" i="21"/>
  <c r="F321" i="21"/>
  <c r="E321" i="21"/>
  <c r="J321" i="21"/>
  <c r="A322" i="21"/>
  <c r="I322" i="21"/>
  <c r="H322" i="21"/>
  <c r="G322" i="21"/>
  <c r="F322" i="21"/>
  <c r="E322" i="21"/>
  <c r="J322" i="21"/>
  <c r="A323" i="21"/>
  <c r="I323" i="21"/>
  <c r="H323" i="21"/>
  <c r="G323" i="21"/>
  <c r="F323" i="21"/>
  <c r="E323" i="21"/>
  <c r="J323" i="21"/>
  <c r="A324" i="21"/>
  <c r="I324" i="21"/>
  <c r="H324" i="21"/>
  <c r="G324" i="21"/>
  <c r="F324" i="21"/>
  <c r="E324" i="21"/>
  <c r="J324" i="21"/>
  <c r="A325" i="21"/>
  <c r="I325" i="21"/>
  <c r="H325" i="21"/>
  <c r="G325" i="21"/>
  <c r="F325" i="21"/>
  <c r="E325" i="21"/>
  <c r="J325" i="21"/>
  <c r="A326" i="21"/>
  <c r="I326" i="21"/>
  <c r="H326" i="21"/>
  <c r="G326" i="21"/>
  <c r="F326" i="21"/>
  <c r="E326" i="21"/>
  <c r="J326" i="21"/>
  <c r="A327" i="21"/>
  <c r="I327" i="21"/>
  <c r="H327" i="21"/>
  <c r="G327" i="21"/>
  <c r="F327" i="21"/>
  <c r="E327" i="21"/>
  <c r="J327" i="21"/>
  <c r="A328" i="21"/>
  <c r="I328" i="21"/>
  <c r="H328" i="21"/>
  <c r="G328" i="21"/>
  <c r="F328" i="21"/>
  <c r="E328" i="21"/>
  <c r="J328" i="21"/>
  <c r="A329" i="21"/>
  <c r="I329" i="21"/>
  <c r="H329" i="21"/>
  <c r="G329" i="21"/>
  <c r="F329" i="21"/>
  <c r="E329" i="21"/>
  <c r="J329" i="21"/>
  <c r="A330" i="21"/>
  <c r="I330" i="21"/>
  <c r="H330" i="21"/>
  <c r="G330" i="21"/>
  <c r="F330" i="21"/>
  <c r="E330" i="21"/>
  <c r="J330" i="21"/>
  <c r="A331" i="21"/>
  <c r="I331" i="21"/>
  <c r="H331" i="21"/>
  <c r="G331" i="21"/>
  <c r="F331" i="21"/>
  <c r="E331" i="21"/>
  <c r="J331" i="21"/>
  <c r="A332" i="21"/>
  <c r="I332" i="21"/>
  <c r="H332" i="21"/>
  <c r="G332" i="21"/>
  <c r="F332" i="21"/>
  <c r="E332" i="21"/>
  <c r="J332" i="21"/>
  <c r="A333" i="21"/>
  <c r="I333" i="21"/>
  <c r="H333" i="21"/>
  <c r="G333" i="21"/>
  <c r="F333" i="21"/>
  <c r="E333" i="21"/>
  <c r="J333" i="21"/>
  <c r="A334" i="21"/>
  <c r="I334" i="21"/>
  <c r="H334" i="21"/>
  <c r="G334" i="21"/>
  <c r="F334" i="21"/>
  <c r="E334" i="21"/>
  <c r="J334" i="21"/>
  <c r="A335" i="21"/>
  <c r="I335" i="21"/>
  <c r="H335" i="21"/>
  <c r="G335" i="21"/>
  <c r="F335" i="21"/>
  <c r="E335" i="21"/>
  <c r="J335" i="21"/>
  <c r="A336" i="21"/>
  <c r="I336" i="21"/>
  <c r="H336" i="21"/>
  <c r="G336" i="21"/>
  <c r="F336" i="21"/>
  <c r="E336" i="21"/>
  <c r="J336" i="21"/>
  <c r="A337" i="21"/>
  <c r="I337" i="21"/>
  <c r="H337" i="21"/>
  <c r="G337" i="21"/>
  <c r="F337" i="21"/>
  <c r="E337" i="21"/>
  <c r="J337" i="21"/>
  <c r="A338" i="21"/>
  <c r="I338" i="21"/>
  <c r="H338" i="21"/>
  <c r="G338" i="21"/>
  <c r="F338" i="21"/>
  <c r="E338" i="21"/>
  <c r="J338" i="21"/>
  <c r="A339" i="21"/>
  <c r="I339" i="21"/>
  <c r="H339" i="21"/>
  <c r="G339" i="21"/>
  <c r="F339" i="21"/>
  <c r="E339" i="21"/>
  <c r="J339" i="21"/>
  <c r="A340" i="21"/>
  <c r="I340" i="21"/>
  <c r="H340" i="21"/>
  <c r="G340" i="21"/>
  <c r="F340" i="21"/>
  <c r="E340" i="21"/>
  <c r="J340" i="21"/>
  <c r="A341" i="21"/>
  <c r="I341" i="21"/>
  <c r="H341" i="21"/>
  <c r="G341" i="21"/>
  <c r="F341" i="21"/>
  <c r="E341" i="21"/>
  <c r="J341" i="21"/>
  <c r="A342" i="21"/>
  <c r="I342" i="21"/>
  <c r="H342" i="21"/>
  <c r="G342" i="21"/>
  <c r="F342" i="21"/>
  <c r="E342" i="21"/>
  <c r="J342" i="21"/>
  <c r="A343" i="21"/>
  <c r="I343" i="21"/>
  <c r="H343" i="21"/>
  <c r="G343" i="21"/>
  <c r="F343" i="21"/>
  <c r="E343" i="21"/>
  <c r="J343" i="21"/>
  <c r="A344" i="21"/>
  <c r="I344" i="21"/>
  <c r="H344" i="21"/>
  <c r="G344" i="21"/>
  <c r="F344" i="21"/>
  <c r="E344" i="21"/>
  <c r="J344" i="21"/>
  <c r="A345" i="21"/>
  <c r="I345" i="21"/>
  <c r="H345" i="21"/>
  <c r="G345" i="21"/>
  <c r="F345" i="21"/>
  <c r="E345" i="21"/>
  <c r="J345" i="21"/>
  <c r="A346" i="21"/>
  <c r="I346" i="21"/>
  <c r="H346" i="21"/>
  <c r="G346" i="21"/>
  <c r="F346" i="21"/>
  <c r="E346" i="21"/>
  <c r="J346" i="21"/>
  <c r="A347" i="21"/>
  <c r="I347" i="21"/>
  <c r="H347" i="21"/>
  <c r="G347" i="21"/>
  <c r="F347" i="21"/>
  <c r="E347" i="21"/>
  <c r="J347" i="21"/>
  <c r="A348" i="21"/>
  <c r="I348" i="21"/>
  <c r="H348" i="21"/>
  <c r="G348" i="21"/>
  <c r="F348" i="21"/>
  <c r="E348" i="21"/>
  <c r="J348" i="21"/>
  <c r="A349" i="21"/>
  <c r="I349" i="21"/>
  <c r="H349" i="21"/>
  <c r="G349" i="21"/>
  <c r="F349" i="21"/>
  <c r="E349" i="21"/>
  <c r="J349" i="21"/>
  <c r="A350" i="21"/>
  <c r="I350" i="21"/>
  <c r="H350" i="21"/>
  <c r="G350" i="21"/>
  <c r="F350" i="21"/>
  <c r="E350" i="21"/>
  <c r="J350" i="21"/>
  <c r="A351" i="21"/>
  <c r="I351" i="21"/>
  <c r="H351" i="21"/>
  <c r="G351" i="21"/>
  <c r="F351" i="21"/>
  <c r="E351" i="21"/>
  <c r="J351" i="21"/>
  <c r="A352" i="21"/>
  <c r="I352" i="21"/>
  <c r="H352" i="21"/>
  <c r="G352" i="21"/>
  <c r="F352" i="21"/>
  <c r="E352" i="21"/>
  <c r="J352" i="21"/>
  <c r="A353" i="21"/>
  <c r="I353" i="21"/>
  <c r="H353" i="21"/>
  <c r="G353" i="21"/>
  <c r="F353" i="21"/>
  <c r="E353" i="21"/>
  <c r="J353" i="21"/>
  <c r="A354" i="21"/>
  <c r="I354" i="21"/>
  <c r="H354" i="21"/>
  <c r="G354" i="21"/>
  <c r="F354" i="21"/>
  <c r="E354" i="21"/>
  <c r="J354" i="21"/>
  <c r="A355" i="21"/>
  <c r="I355" i="21"/>
  <c r="H355" i="21"/>
  <c r="G355" i="21"/>
  <c r="F355" i="21"/>
  <c r="E355" i="21"/>
  <c r="J355" i="21"/>
  <c r="A356" i="21"/>
  <c r="I356" i="21"/>
  <c r="H356" i="21"/>
  <c r="G356" i="21"/>
  <c r="F356" i="21"/>
  <c r="E356" i="21"/>
  <c r="J356" i="21"/>
  <c r="A357" i="21"/>
  <c r="I357" i="21"/>
  <c r="H357" i="21"/>
  <c r="G357" i="21"/>
  <c r="F357" i="21"/>
  <c r="E357" i="21"/>
  <c r="J357" i="21"/>
  <c r="A358" i="21"/>
  <c r="I358" i="21"/>
  <c r="H358" i="21"/>
  <c r="G358" i="21"/>
  <c r="F358" i="21"/>
  <c r="E358" i="21"/>
  <c r="J358" i="21"/>
  <c r="A359" i="21"/>
  <c r="I359" i="21"/>
  <c r="H359" i="21"/>
  <c r="G359" i="21"/>
  <c r="F359" i="21"/>
  <c r="E359" i="21"/>
  <c r="J359" i="21"/>
  <c r="A360" i="21"/>
  <c r="I360" i="21"/>
  <c r="H360" i="21"/>
  <c r="G360" i="21"/>
  <c r="F360" i="21"/>
  <c r="E360" i="21"/>
  <c r="J360" i="21"/>
  <c r="A361" i="21"/>
  <c r="I361" i="21"/>
  <c r="H361" i="21"/>
  <c r="G361" i="21"/>
  <c r="F361" i="21"/>
  <c r="E361" i="21"/>
  <c r="J361" i="21"/>
  <c r="A362" i="21"/>
  <c r="I362" i="21"/>
  <c r="H362" i="21"/>
  <c r="G362" i="21"/>
  <c r="F362" i="21"/>
  <c r="E362" i="21"/>
  <c r="J362" i="21"/>
  <c r="A363" i="21"/>
  <c r="I363" i="21"/>
  <c r="H363" i="21"/>
  <c r="G363" i="21"/>
  <c r="F363" i="21"/>
  <c r="E363" i="21"/>
  <c r="J363" i="21"/>
  <c r="A364" i="21"/>
  <c r="I364" i="21"/>
  <c r="H364" i="21"/>
  <c r="G364" i="21"/>
  <c r="F364" i="21"/>
  <c r="E364" i="21"/>
  <c r="J364" i="21"/>
  <c r="A365" i="21"/>
  <c r="I365" i="21"/>
  <c r="H365" i="21"/>
  <c r="G365" i="21"/>
  <c r="F365" i="21"/>
  <c r="E365" i="21"/>
  <c r="J365" i="21"/>
  <c r="A366" i="21"/>
  <c r="I366" i="21"/>
  <c r="H366" i="21"/>
  <c r="G366" i="21"/>
  <c r="F366" i="21"/>
  <c r="E366" i="21"/>
  <c r="J366" i="21"/>
  <c r="A367" i="21"/>
  <c r="I367" i="21"/>
  <c r="H367" i="21"/>
  <c r="G367" i="21"/>
  <c r="F367" i="21"/>
  <c r="E367" i="21"/>
  <c r="J367" i="21"/>
  <c r="A368" i="21"/>
  <c r="I368" i="21"/>
  <c r="H368" i="21"/>
  <c r="G368" i="21"/>
  <c r="F368" i="21"/>
  <c r="E368" i="21"/>
  <c r="J368" i="21"/>
  <c r="A369" i="21"/>
  <c r="I369" i="21"/>
  <c r="H369" i="21"/>
  <c r="G369" i="21"/>
  <c r="F369" i="21"/>
  <c r="E369" i="21"/>
  <c r="J369" i="21"/>
  <c r="A370" i="21"/>
  <c r="I370" i="21"/>
  <c r="H370" i="21"/>
  <c r="G370" i="21"/>
  <c r="F370" i="21"/>
  <c r="E370" i="21"/>
  <c r="J370" i="21"/>
  <c r="A371" i="21"/>
  <c r="I371" i="21"/>
  <c r="H371" i="21"/>
  <c r="G371" i="21"/>
  <c r="F371" i="21"/>
  <c r="E371" i="21"/>
  <c r="J371" i="21"/>
  <c r="A372" i="21"/>
  <c r="I372" i="21"/>
  <c r="H372" i="21"/>
  <c r="G372" i="21"/>
  <c r="F372" i="21"/>
  <c r="E372" i="21"/>
  <c r="J372" i="21"/>
  <c r="A373" i="21"/>
  <c r="I373" i="21"/>
  <c r="H373" i="21"/>
  <c r="G373" i="21"/>
  <c r="F373" i="21"/>
  <c r="E373" i="21"/>
  <c r="J373" i="21"/>
  <c r="A374" i="21"/>
  <c r="I374" i="21"/>
  <c r="H374" i="21"/>
  <c r="G374" i="21"/>
  <c r="F374" i="21"/>
  <c r="E374" i="21"/>
  <c r="J374" i="21"/>
  <c r="A375" i="21"/>
  <c r="I375" i="21"/>
  <c r="H375" i="21"/>
  <c r="G375" i="21"/>
  <c r="F375" i="21"/>
  <c r="E375" i="21"/>
  <c r="J375" i="21"/>
  <c r="A376" i="21"/>
  <c r="I376" i="21"/>
  <c r="H376" i="21"/>
  <c r="G376" i="21"/>
  <c r="F376" i="21"/>
  <c r="E376" i="21"/>
  <c r="J376" i="21"/>
  <c r="A377" i="21"/>
  <c r="I377" i="21"/>
  <c r="H377" i="21"/>
  <c r="G377" i="21"/>
  <c r="F377" i="21"/>
  <c r="E377" i="21"/>
  <c r="J377" i="21"/>
  <c r="A378" i="21"/>
  <c r="I378" i="21"/>
  <c r="H378" i="21"/>
  <c r="G378" i="21"/>
  <c r="F378" i="21"/>
  <c r="E378" i="21"/>
  <c r="J378" i="21"/>
  <c r="A379" i="21"/>
  <c r="I379" i="21"/>
  <c r="H379" i="21"/>
  <c r="G379" i="21"/>
  <c r="F379" i="21"/>
  <c r="E379" i="21"/>
  <c r="J379" i="21"/>
  <c r="A380" i="21"/>
  <c r="I380" i="21"/>
  <c r="H380" i="21"/>
  <c r="G380" i="21"/>
  <c r="F380" i="21"/>
  <c r="E380" i="21"/>
  <c r="J380" i="21"/>
  <c r="A381" i="21"/>
  <c r="I381" i="21"/>
  <c r="H381" i="21"/>
  <c r="G381" i="21"/>
  <c r="F381" i="21"/>
  <c r="E381" i="21"/>
  <c r="J381" i="21"/>
  <c r="A382" i="21"/>
  <c r="I382" i="21"/>
  <c r="H382" i="21"/>
  <c r="G382" i="21"/>
  <c r="F382" i="21"/>
  <c r="E382" i="21"/>
  <c r="J382" i="21"/>
  <c r="A383" i="21"/>
  <c r="I383" i="21"/>
  <c r="H383" i="21"/>
  <c r="G383" i="21"/>
  <c r="F383" i="21"/>
  <c r="E383" i="21"/>
  <c r="J383" i="21"/>
  <c r="A384" i="21"/>
  <c r="I384" i="21"/>
  <c r="H384" i="21"/>
  <c r="G384" i="21"/>
  <c r="F384" i="21"/>
  <c r="E384" i="21"/>
  <c r="J384" i="21"/>
  <c r="A385" i="21"/>
  <c r="I385" i="21"/>
  <c r="H385" i="21"/>
  <c r="G385" i="21"/>
  <c r="F385" i="21"/>
  <c r="E385" i="21"/>
  <c r="J385" i="21"/>
  <c r="A386" i="21"/>
  <c r="I386" i="21"/>
  <c r="H386" i="21"/>
  <c r="G386" i="21"/>
  <c r="F386" i="21"/>
  <c r="E386" i="21"/>
  <c r="J386" i="21"/>
  <c r="A387" i="21"/>
  <c r="I387" i="21"/>
  <c r="H387" i="21"/>
  <c r="G387" i="21"/>
  <c r="F387" i="21"/>
  <c r="E387" i="21"/>
  <c r="J387" i="21"/>
  <c r="A388" i="21"/>
  <c r="I388" i="21"/>
  <c r="H388" i="21"/>
  <c r="G388" i="21"/>
  <c r="F388" i="21"/>
  <c r="E388" i="21"/>
  <c r="J388" i="21"/>
  <c r="A389" i="21"/>
  <c r="I389" i="21"/>
  <c r="H389" i="21"/>
  <c r="G389" i="21"/>
  <c r="F389" i="21"/>
  <c r="E389" i="21"/>
  <c r="J389" i="21"/>
  <c r="A390" i="21"/>
  <c r="I390" i="21"/>
  <c r="H390" i="21"/>
  <c r="G390" i="21"/>
  <c r="F390" i="21"/>
  <c r="E390" i="21"/>
  <c r="J390" i="21"/>
  <c r="A391" i="21"/>
  <c r="I391" i="21"/>
  <c r="H391" i="21"/>
  <c r="G391" i="21"/>
  <c r="F391" i="21"/>
  <c r="E391" i="21"/>
  <c r="J391" i="21"/>
  <c r="A392" i="21"/>
  <c r="I392" i="21"/>
  <c r="H392" i="21"/>
  <c r="G392" i="21"/>
  <c r="F392" i="21"/>
  <c r="E392" i="21"/>
  <c r="J392" i="21"/>
  <c r="A393" i="21"/>
  <c r="I393" i="21"/>
  <c r="H393" i="21"/>
  <c r="G393" i="21"/>
  <c r="F393" i="21"/>
  <c r="E393" i="21"/>
  <c r="J393" i="21"/>
  <c r="A394" i="21"/>
  <c r="I394" i="21"/>
  <c r="H394" i="21"/>
  <c r="G394" i="21"/>
  <c r="F394" i="21"/>
  <c r="E394" i="21"/>
  <c r="J394" i="21"/>
  <c r="A395" i="21"/>
  <c r="I395" i="21"/>
  <c r="H395" i="21"/>
  <c r="G395" i="21"/>
  <c r="F395" i="21"/>
  <c r="E395" i="21"/>
  <c r="J395" i="21"/>
  <c r="A396" i="21"/>
  <c r="I396" i="21"/>
  <c r="H396" i="21"/>
  <c r="G396" i="21"/>
  <c r="F396" i="21"/>
  <c r="E396" i="21"/>
  <c r="J396" i="21"/>
  <c r="A397" i="21"/>
  <c r="I397" i="21"/>
  <c r="H397" i="21"/>
  <c r="G397" i="21"/>
  <c r="F397" i="21"/>
  <c r="E397" i="21"/>
  <c r="J397" i="21"/>
  <c r="A398" i="21"/>
  <c r="I398" i="21"/>
  <c r="H398" i="21"/>
  <c r="G398" i="21"/>
  <c r="F398" i="21"/>
  <c r="E398" i="21"/>
  <c r="J398" i="21"/>
  <c r="A399" i="21"/>
  <c r="I399" i="21"/>
  <c r="H399" i="21"/>
  <c r="G399" i="21"/>
  <c r="F399" i="21"/>
  <c r="E399" i="21"/>
  <c r="J399" i="21"/>
  <c r="A400" i="21"/>
  <c r="I400" i="21"/>
  <c r="H400" i="21"/>
  <c r="G400" i="21"/>
  <c r="F400" i="21"/>
  <c r="E400" i="21"/>
  <c r="J400" i="21"/>
  <c r="A401" i="21"/>
  <c r="I401" i="21"/>
  <c r="H401" i="21"/>
  <c r="G401" i="21"/>
  <c r="F401" i="21"/>
  <c r="E401" i="21"/>
  <c r="J401" i="21"/>
  <c r="A402" i="21"/>
  <c r="I402" i="21"/>
  <c r="H402" i="21"/>
  <c r="G402" i="21"/>
  <c r="F402" i="21"/>
  <c r="E402" i="21"/>
  <c r="J402" i="21"/>
  <c r="A403" i="21"/>
  <c r="I403" i="21"/>
  <c r="H403" i="21"/>
  <c r="G403" i="21"/>
  <c r="F403" i="21"/>
  <c r="E403" i="21"/>
  <c r="J403" i="21"/>
  <c r="A404" i="21"/>
  <c r="I404" i="21"/>
  <c r="H404" i="21"/>
  <c r="G404" i="21"/>
  <c r="F404" i="21"/>
  <c r="E404" i="21"/>
  <c r="J404" i="21"/>
  <c r="A405" i="21"/>
  <c r="I405" i="21"/>
  <c r="H405" i="21"/>
  <c r="G405" i="21"/>
  <c r="F405" i="21"/>
  <c r="E405" i="21"/>
  <c r="J405" i="21"/>
  <c r="A406" i="21"/>
  <c r="I406" i="21"/>
  <c r="H406" i="21"/>
  <c r="G406" i="21"/>
  <c r="F406" i="21"/>
  <c r="E406" i="21"/>
  <c r="J406" i="21"/>
  <c r="A407" i="21"/>
  <c r="I407" i="21"/>
  <c r="H407" i="21"/>
  <c r="G407" i="21"/>
  <c r="F407" i="21"/>
  <c r="E407" i="21"/>
  <c r="J407" i="21"/>
  <c r="A408" i="21"/>
  <c r="I408" i="21"/>
  <c r="H408" i="21"/>
  <c r="G408" i="21"/>
  <c r="F408" i="21"/>
  <c r="E408" i="21"/>
  <c r="J408" i="21"/>
  <c r="A409" i="21"/>
  <c r="I409" i="21"/>
  <c r="H409" i="21"/>
  <c r="G409" i="21"/>
  <c r="F409" i="21"/>
  <c r="E409" i="21"/>
  <c r="J409" i="21"/>
  <c r="A410" i="21"/>
  <c r="I410" i="21"/>
  <c r="H410" i="21"/>
  <c r="G410" i="21"/>
  <c r="F410" i="21"/>
  <c r="E410" i="21"/>
  <c r="J410" i="21"/>
  <c r="A411" i="21"/>
  <c r="I411" i="21"/>
  <c r="H411" i="21"/>
  <c r="G411" i="21"/>
  <c r="F411" i="21"/>
  <c r="E411" i="21"/>
  <c r="J411" i="21"/>
  <c r="A412" i="21"/>
  <c r="I412" i="21"/>
  <c r="H412" i="21"/>
  <c r="G412" i="21"/>
  <c r="F412" i="21"/>
  <c r="E412" i="21"/>
  <c r="J412" i="21"/>
  <c r="A413" i="21"/>
  <c r="I413" i="21"/>
  <c r="H413" i="21"/>
  <c r="G413" i="21"/>
  <c r="F413" i="21"/>
  <c r="E413" i="21"/>
  <c r="J413" i="21"/>
  <c r="A414" i="21"/>
  <c r="I414" i="21"/>
  <c r="H414" i="21"/>
  <c r="G414" i="21"/>
  <c r="F414" i="21"/>
  <c r="E414" i="21"/>
  <c r="J414" i="21"/>
  <c r="A415" i="21"/>
  <c r="I415" i="21"/>
  <c r="H415" i="21"/>
  <c r="G415" i="21"/>
  <c r="F415" i="21"/>
  <c r="E415" i="21"/>
  <c r="J415" i="21"/>
  <c r="A416" i="21"/>
  <c r="I416" i="21"/>
  <c r="H416" i="21"/>
  <c r="G416" i="21"/>
  <c r="F416" i="21"/>
  <c r="E416" i="21"/>
  <c r="J416" i="21"/>
  <c r="A417" i="21"/>
  <c r="I417" i="21"/>
  <c r="H417" i="21"/>
  <c r="G417" i="21"/>
  <c r="F417" i="21"/>
  <c r="E417" i="21"/>
  <c r="J417" i="21"/>
  <c r="A418" i="21"/>
  <c r="I418" i="21"/>
  <c r="H418" i="21"/>
  <c r="G418" i="21"/>
  <c r="F418" i="21"/>
  <c r="E418" i="21"/>
  <c r="J418" i="21"/>
  <c r="A419" i="21"/>
  <c r="I419" i="21"/>
  <c r="H419" i="21"/>
  <c r="G419" i="21"/>
  <c r="F419" i="21"/>
  <c r="E419" i="21"/>
  <c r="J419" i="21"/>
  <c r="A420" i="21"/>
  <c r="I420" i="21"/>
  <c r="H420" i="21"/>
  <c r="G420" i="21"/>
  <c r="F420" i="21"/>
  <c r="E420" i="21"/>
  <c r="J420" i="21"/>
  <c r="A421" i="21"/>
  <c r="I421" i="21"/>
  <c r="H421" i="21"/>
  <c r="G421" i="21"/>
  <c r="F421" i="21"/>
  <c r="E421" i="21"/>
  <c r="J421" i="21"/>
  <c r="A422" i="21"/>
  <c r="I422" i="21"/>
  <c r="H422" i="21"/>
  <c r="G422" i="21"/>
  <c r="F422" i="21"/>
  <c r="E422" i="21"/>
  <c r="J422" i="21"/>
  <c r="A423" i="21"/>
  <c r="I423" i="21"/>
  <c r="H423" i="21"/>
  <c r="G423" i="21"/>
  <c r="F423" i="21"/>
  <c r="E423" i="21"/>
  <c r="J423" i="21"/>
  <c r="A424" i="21"/>
  <c r="I424" i="21"/>
  <c r="H424" i="21"/>
  <c r="G424" i="21"/>
  <c r="F424" i="21"/>
  <c r="E424" i="21"/>
  <c r="J424" i="21"/>
  <c r="A425" i="21"/>
  <c r="I425" i="21"/>
  <c r="H425" i="21"/>
  <c r="G425" i="21"/>
  <c r="F425" i="21"/>
  <c r="E425" i="21"/>
  <c r="J425" i="21"/>
  <c r="A426" i="21"/>
  <c r="I426" i="21"/>
  <c r="H426" i="21"/>
  <c r="G426" i="21"/>
  <c r="F426" i="21"/>
  <c r="E426" i="21"/>
  <c r="J426" i="21"/>
  <c r="A427" i="21"/>
  <c r="I427" i="21"/>
  <c r="H427" i="21"/>
  <c r="G427" i="21"/>
  <c r="F427" i="21"/>
  <c r="E427" i="21"/>
  <c r="J427" i="21"/>
  <c r="A428" i="21"/>
  <c r="I428" i="21"/>
  <c r="H428" i="21"/>
  <c r="G428" i="21"/>
  <c r="F428" i="21"/>
  <c r="E428" i="21"/>
  <c r="J428" i="21"/>
  <c r="A429" i="21"/>
  <c r="I429" i="21"/>
  <c r="H429" i="21"/>
  <c r="G429" i="21"/>
  <c r="F429" i="21"/>
  <c r="E429" i="21"/>
  <c r="J429" i="21"/>
  <c r="A430" i="21"/>
  <c r="I430" i="21"/>
  <c r="H430" i="21"/>
  <c r="G430" i="21"/>
  <c r="F430" i="21"/>
  <c r="E430" i="21"/>
  <c r="J430" i="21"/>
  <c r="A431" i="21"/>
  <c r="I431" i="21"/>
  <c r="H431" i="21"/>
  <c r="G431" i="21"/>
  <c r="F431" i="21"/>
  <c r="E431" i="21"/>
  <c r="J431" i="21"/>
  <c r="A432" i="21"/>
  <c r="I432" i="21"/>
  <c r="H432" i="21"/>
  <c r="G432" i="21"/>
  <c r="F432" i="21"/>
  <c r="E432" i="21"/>
  <c r="J432" i="21"/>
  <c r="A433" i="21"/>
  <c r="I433" i="21"/>
  <c r="H433" i="21"/>
  <c r="G433" i="21"/>
  <c r="F433" i="21"/>
  <c r="E433" i="21"/>
  <c r="J433" i="21"/>
  <c r="A434" i="21"/>
  <c r="I434" i="21"/>
  <c r="H434" i="21"/>
  <c r="G434" i="21"/>
  <c r="F434" i="21"/>
  <c r="E434" i="21"/>
  <c r="J434" i="21"/>
  <c r="A435" i="21"/>
  <c r="I435" i="21"/>
  <c r="H435" i="21"/>
  <c r="G435" i="21"/>
  <c r="F435" i="21"/>
  <c r="E435" i="21"/>
  <c r="J435" i="21"/>
  <c r="A436" i="21"/>
  <c r="I436" i="21"/>
  <c r="H436" i="21"/>
  <c r="G436" i="21"/>
  <c r="F436" i="21"/>
  <c r="E436" i="21"/>
  <c r="J436" i="21"/>
  <c r="A437" i="21"/>
  <c r="I437" i="21"/>
  <c r="H437" i="21"/>
  <c r="G437" i="21"/>
  <c r="F437" i="21"/>
  <c r="E437" i="21"/>
  <c r="J437" i="21"/>
  <c r="A438" i="21"/>
  <c r="I438" i="21"/>
  <c r="H438" i="21"/>
  <c r="G438" i="21"/>
  <c r="F438" i="21"/>
  <c r="E438" i="21"/>
  <c r="J438" i="21"/>
  <c r="A439" i="21"/>
  <c r="I439" i="21"/>
  <c r="H439" i="21"/>
  <c r="G439" i="21"/>
  <c r="F439" i="21"/>
  <c r="E439" i="21"/>
  <c r="J439" i="21"/>
  <c r="A440" i="21"/>
  <c r="I440" i="21"/>
  <c r="H440" i="21"/>
  <c r="G440" i="21"/>
  <c r="F440" i="21"/>
  <c r="E440" i="21"/>
  <c r="J440" i="21"/>
  <c r="A441" i="21"/>
  <c r="I441" i="21"/>
  <c r="H441" i="21"/>
  <c r="G441" i="21"/>
  <c r="F441" i="21"/>
  <c r="E441" i="21"/>
  <c r="J441" i="21"/>
  <c r="A442" i="21"/>
  <c r="I442" i="21"/>
  <c r="H442" i="21"/>
  <c r="G442" i="21"/>
  <c r="F442" i="21"/>
  <c r="E442" i="21"/>
  <c r="J442" i="21"/>
  <c r="A443" i="21"/>
  <c r="I443" i="21"/>
  <c r="H443" i="21"/>
  <c r="G443" i="21"/>
  <c r="F443" i="21"/>
  <c r="E443" i="21"/>
  <c r="J443" i="21"/>
  <c r="A444" i="21"/>
  <c r="I444" i="21"/>
  <c r="H444" i="21"/>
  <c r="G444" i="21"/>
  <c r="F444" i="21"/>
  <c r="E444" i="21"/>
  <c r="J444" i="21"/>
  <c r="A445" i="21"/>
  <c r="I445" i="21"/>
  <c r="H445" i="21"/>
  <c r="G445" i="21"/>
  <c r="F445" i="21"/>
  <c r="E445" i="21"/>
  <c r="J445" i="21"/>
  <c r="A446" i="21"/>
  <c r="I446" i="21"/>
  <c r="H446" i="21"/>
  <c r="G446" i="21"/>
  <c r="F446" i="21"/>
  <c r="E446" i="21"/>
  <c r="J446" i="21"/>
  <c r="A447" i="21"/>
  <c r="I447" i="21"/>
  <c r="H447" i="21"/>
  <c r="G447" i="21"/>
  <c r="F447" i="21"/>
  <c r="E447" i="21"/>
  <c r="J447" i="21"/>
  <c r="A448" i="21"/>
  <c r="I448" i="21"/>
  <c r="H448" i="21"/>
  <c r="G448" i="21"/>
  <c r="F448" i="21"/>
  <c r="E448" i="21"/>
  <c r="J448" i="21"/>
  <c r="A449" i="21"/>
  <c r="I449" i="21"/>
  <c r="H449" i="21"/>
  <c r="G449" i="21"/>
  <c r="F449" i="21"/>
  <c r="E449" i="21"/>
  <c r="J449" i="21"/>
  <c r="A450" i="21"/>
  <c r="I450" i="21"/>
  <c r="H450" i="21"/>
  <c r="G450" i="21"/>
  <c r="F450" i="21"/>
  <c r="E450" i="21"/>
  <c r="J450" i="21"/>
  <c r="A451" i="21"/>
  <c r="I451" i="21"/>
  <c r="H451" i="21"/>
  <c r="G451" i="21"/>
  <c r="F451" i="21"/>
  <c r="E451" i="21"/>
  <c r="J451" i="21"/>
  <c r="A452" i="21"/>
  <c r="I452" i="21"/>
  <c r="H452" i="21"/>
  <c r="G452" i="21"/>
  <c r="F452" i="21"/>
  <c r="E452" i="21"/>
  <c r="J452" i="21"/>
  <c r="A453" i="21"/>
  <c r="I453" i="21"/>
  <c r="H453" i="21"/>
  <c r="G453" i="21"/>
  <c r="F453" i="21"/>
  <c r="E453" i="21"/>
  <c r="J453" i="21"/>
  <c r="A454" i="21"/>
  <c r="I454" i="21"/>
  <c r="H454" i="21"/>
  <c r="G454" i="21"/>
  <c r="F454" i="21"/>
  <c r="E454" i="21"/>
  <c r="J454" i="21"/>
  <c r="A455" i="21"/>
  <c r="I455" i="21"/>
  <c r="H455" i="21"/>
  <c r="G455" i="21"/>
  <c r="F455" i="21"/>
  <c r="E455" i="21"/>
  <c r="J455" i="21"/>
  <c r="A456" i="21"/>
  <c r="I456" i="21"/>
  <c r="H456" i="21"/>
  <c r="G456" i="21"/>
  <c r="F456" i="21"/>
  <c r="E456" i="21"/>
  <c r="J456" i="21"/>
  <c r="A457" i="21"/>
  <c r="I457" i="21"/>
  <c r="H457" i="21"/>
  <c r="G457" i="21"/>
  <c r="F457" i="21"/>
  <c r="E457" i="21"/>
  <c r="J457" i="21"/>
  <c r="A458" i="21"/>
  <c r="I458" i="21"/>
  <c r="H458" i="21"/>
  <c r="G458" i="21"/>
  <c r="F458" i="21"/>
  <c r="E458" i="21"/>
  <c r="J458" i="21"/>
  <c r="A459" i="21"/>
  <c r="I459" i="21"/>
  <c r="H459" i="21"/>
  <c r="G459" i="21"/>
  <c r="F459" i="21"/>
  <c r="E459" i="21"/>
  <c r="J459" i="21"/>
  <c r="A460" i="21"/>
  <c r="I460" i="21"/>
  <c r="H460" i="21"/>
  <c r="G460" i="21"/>
  <c r="F460" i="21"/>
  <c r="E460" i="21"/>
  <c r="J460" i="21"/>
  <c r="A461" i="21"/>
  <c r="I461" i="21"/>
  <c r="H461" i="21"/>
  <c r="G461" i="21"/>
  <c r="F461" i="21"/>
  <c r="E461" i="21"/>
  <c r="J461" i="21"/>
  <c r="A462" i="21"/>
  <c r="I462" i="21"/>
  <c r="H462" i="21"/>
  <c r="G462" i="21"/>
  <c r="F462" i="21"/>
  <c r="E462" i="21"/>
  <c r="J462" i="21"/>
  <c r="A463" i="21"/>
  <c r="I463" i="21"/>
  <c r="H463" i="21"/>
  <c r="G463" i="21"/>
  <c r="F463" i="21"/>
  <c r="E463" i="21"/>
  <c r="J463" i="21"/>
  <c r="A464" i="21"/>
  <c r="I464" i="21"/>
  <c r="H464" i="21"/>
  <c r="G464" i="21"/>
  <c r="F464" i="21"/>
  <c r="E464" i="21"/>
  <c r="J464" i="21"/>
  <c r="A465" i="21"/>
  <c r="I465" i="21"/>
  <c r="H465" i="21"/>
  <c r="G465" i="21"/>
  <c r="F465" i="21"/>
  <c r="E465" i="21"/>
  <c r="J465" i="21"/>
  <c r="A466" i="21"/>
  <c r="I466" i="21"/>
  <c r="H466" i="21"/>
  <c r="G466" i="21"/>
  <c r="F466" i="21"/>
  <c r="E466" i="21"/>
  <c r="J466" i="21"/>
  <c r="A467" i="21"/>
  <c r="I467" i="21"/>
  <c r="H467" i="21"/>
  <c r="G467" i="21"/>
  <c r="F467" i="21"/>
  <c r="E467" i="21"/>
  <c r="J467" i="21"/>
  <c r="A468" i="21"/>
  <c r="I468" i="21"/>
  <c r="H468" i="21"/>
  <c r="G468" i="21"/>
  <c r="F468" i="21"/>
  <c r="E468" i="21"/>
  <c r="J468" i="21"/>
  <c r="A469" i="21"/>
  <c r="I469" i="21"/>
  <c r="H469" i="21"/>
  <c r="G469" i="21"/>
  <c r="F469" i="21"/>
  <c r="E469" i="21"/>
  <c r="J469" i="21"/>
  <c r="A470" i="21"/>
  <c r="I470" i="21"/>
  <c r="H470" i="21"/>
  <c r="G470" i="21"/>
  <c r="F470" i="21"/>
  <c r="E470" i="21"/>
  <c r="J470" i="21"/>
  <c r="A471" i="21"/>
  <c r="I471" i="21"/>
  <c r="H471" i="21"/>
  <c r="G471" i="21"/>
  <c r="F471" i="21"/>
  <c r="E471" i="21"/>
  <c r="J471" i="21"/>
  <c r="A472" i="21"/>
  <c r="I472" i="21"/>
  <c r="H472" i="21"/>
  <c r="G472" i="21"/>
  <c r="F472" i="21"/>
  <c r="E472" i="21"/>
  <c r="J472" i="21"/>
  <c r="A473" i="21"/>
  <c r="I473" i="21"/>
  <c r="H473" i="21"/>
  <c r="G473" i="21"/>
  <c r="F473" i="21"/>
  <c r="E473" i="21"/>
  <c r="J473" i="21"/>
  <c r="A474" i="21"/>
  <c r="I474" i="21"/>
  <c r="H474" i="21"/>
  <c r="G474" i="21"/>
  <c r="F474" i="21"/>
  <c r="E474" i="21"/>
  <c r="J474" i="21"/>
  <c r="A475" i="21"/>
  <c r="I475" i="21"/>
  <c r="H475" i="21"/>
  <c r="G475" i="21"/>
  <c r="F475" i="21"/>
  <c r="E475" i="21"/>
  <c r="J475" i="21"/>
  <c r="A476" i="21"/>
  <c r="I476" i="21"/>
  <c r="H476" i="21"/>
  <c r="G476" i="21"/>
  <c r="F476" i="21"/>
  <c r="E476" i="21"/>
  <c r="J476" i="21"/>
  <c r="A477" i="21"/>
  <c r="I477" i="21"/>
  <c r="H477" i="21"/>
  <c r="G477" i="21"/>
  <c r="F477" i="21"/>
  <c r="E477" i="21"/>
  <c r="J477" i="21"/>
  <c r="A478" i="21"/>
  <c r="I478" i="21"/>
  <c r="H478" i="21"/>
  <c r="G478" i="21"/>
  <c r="F478" i="21"/>
  <c r="E478" i="21"/>
  <c r="J478" i="21"/>
  <c r="A479" i="21"/>
  <c r="I479" i="21"/>
  <c r="H479" i="21"/>
  <c r="G479" i="21"/>
  <c r="F479" i="21"/>
  <c r="E479" i="21"/>
  <c r="J479" i="21"/>
  <c r="A480" i="21"/>
  <c r="I480" i="21"/>
  <c r="H480" i="21"/>
  <c r="G480" i="21"/>
  <c r="F480" i="21"/>
  <c r="E480" i="21"/>
  <c r="J480" i="21"/>
  <c r="A481" i="21"/>
  <c r="I481" i="21"/>
  <c r="H481" i="21"/>
  <c r="G481" i="21"/>
  <c r="F481" i="21"/>
  <c r="E481" i="21"/>
  <c r="J481" i="21"/>
  <c r="A482" i="21"/>
  <c r="I482" i="21"/>
  <c r="H482" i="21"/>
  <c r="G482" i="21"/>
  <c r="F482" i="21"/>
  <c r="E482" i="21"/>
  <c r="J482" i="21"/>
  <c r="A483" i="21"/>
  <c r="I483" i="21"/>
  <c r="H483" i="21"/>
  <c r="G483" i="21"/>
  <c r="F483" i="21"/>
  <c r="E483" i="21"/>
  <c r="J483" i="21"/>
  <c r="A484" i="21"/>
  <c r="I484" i="21"/>
  <c r="H484" i="21"/>
  <c r="G484" i="21"/>
  <c r="F484" i="21"/>
  <c r="E484" i="21"/>
  <c r="J484" i="21"/>
  <c r="A485" i="21"/>
  <c r="I485" i="21"/>
  <c r="H485" i="21"/>
  <c r="G485" i="21"/>
  <c r="F485" i="21"/>
  <c r="E485" i="21"/>
  <c r="J485" i="21"/>
  <c r="A486" i="21"/>
  <c r="I486" i="21"/>
  <c r="H486" i="21"/>
  <c r="G486" i="21"/>
  <c r="F486" i="21"/>
  <c r="E486" i="21"/>
  <c r="J486" i="21"/>
  <c r="A487" i="21"/>
  <c r="I487" i="21"/>
  <c r="H487" i="21"/>
  <c r="G487" i="21"/>
  <c r="F487" i="21"/>
  <c r="E487" i="21"/>
  <c r="J487" i="21"/>
  <c r="A488" i="21"/>
  <c r="I488" i="21"/>
  <c r="H488" i="21"/>
  <c r="G488" i="21"/>
  <c r="F488" i="21"/>
  <c r="E488" i="21"/>
  <c r="J488" i="21"/>
  <c r="A489" i="21"/>
  <c r="I489" i="21"/>
  <c r="H489" i="21"/>
  <c r="G489" i="21"/>
  <c r="F489" i="21"/>
  <c r="E489" i="21"/>
  <c r="J489" i="21"/>
  <c r="A490" i="21"/>
  <c r="I490" i="21"/>
  <c r="H490" i="21"/>
  <c r="G490" i="21"/>
  <c r="F490" i="21"/>
  <c r="E490" i="21"/>
  <c r="J490" i="21"/>
  <c r="A491" i="21"/>
  <c r="I491" i="21"/>
  <c r="H491" i="21"/>
  <c r="G491" i="21"/>
  <c r="F491" i="21"/>
  <c r="E491" i="21"/>
  <c r="J491" i="21"/>
  <c r="A492" i="21"/>
  <c r="I492" i="21"/>
  <c r="H492" i="21"/>
  <c r="G492" i="21"/>
  <c r="F492" i="21"/>
  <c r="E492" i="21"/>
  <c r="J492" i="21"/>
  <c r="A493" i="21"/>
  <c r="I493" i="21"/>
  <c r="H493" i="21"/>
  <c r="G493" i="21"/>
  <c r="F493" i="21"/>
  <c r="E493" i="21"/>
  <c r="J493" i="21"/>
  <c r="A494" i="21"/>
  <c r="I494" i="21"/>
  <c r="H494" i="21"/>
  <c r="G494" i="21"/>
  <c r="F494" i="21"/>
  <c r="E494" i="21"/>
  <c r="J494" i="21"/>
  <c r="A495" i="21"/>
  <c r="I495" i="21"/>
  <c r="H495" i="21"/>
  <c r="G495" i="21"/>
  <c r="F495" i="21"/>
  <c r="E495" i="21"/>
  <c r="J495" i="21"/>
  <c r="A496" i="21"/>
  <c r="I496" i="21"/>
  <c r="H496" i="21"/>
  <c r="G496" i="21"/>
  <c r="F496" i="21"/>
  <c r="E496" i="21"/>
  <c r="J496" i="21"/>
  <c r="A497" i="21"/>
  <c r="I497" i="21"/>
  <c r="H497" i="21"/>
  <c r="G497" i="21"/>
  <c r="F497" i="21"/>
  <c r="E497" i="21"/>
  <c r="J497" i="21"/>
  <c r="A498" i="21"/>
  <c r="I498" i="21"/>
  <c r="H498" i="21"/>
  <c r="G498" i="21"/>
  <c r="F498" i="21"/>
  <c r="E498" i="21"/>
  <c r="J498" i="21"/>
  <c r="A499" i="21"/>
  <c r="I499" i="21"/>
  <c r="H499" i="21"/>
  <c r="G499" i="21"/>
  <c r="F499" i="21"/>
  <c r="E499" i="21"/>
  <c r="J499" i="21"/>
  <c r="A500" i="21"/>
  <c r="I500" i="21"/>
  <c r="H500" i="21"/>
  <c r="G500" i="21"/>
  <c r="F500" i="21"/>
  <c r="E500" i="21"/>
  <c r="J500" i="21"/>
  <c r="A501" i="21"/>
  <c r="I501" i="21"/>
  <c r="H501" i="21"/>
  <c r="G501" i="21"/>
  <c r="F501" i="21"/>
  <c r="E501" i="21"/>
  <c r="J501" i="21"/>
  <c r="A502" i="21"/>
  <c r="I502" i="21"/>
  <c r="H502" i="21"/>
  <c r="G502" i="21"/>
  <c r="F502" i="21"/>
  <c r="E502" i="21"/>
  <c r="J502" i="21"/>
  <c r="A503" i="21"/>
  <c r="I503" i="21"/>
  <c r="H503" i="21"/>
  <c r="G503" i="21"/>
  <c r="F503" i="21"/>
  <c r="E503" i="21"/>
  <c r="J503" i="21"/>
  <c r="A504" i="21"/>
  <c r="I504" i="21"/>
  <c r="H504" i="21"/>
  <c r="G504" i="21"/>
  <c r="F504" i="21"/>
  <c r="E504" i="21"/>
  <c r="J504" i="21"/>
  <c r="A505" i="21"/>
  <c r="I505" i="21"/>
  <c r="H505" i="21"/>
  <c r="G505" i="21"/>
  <c r="F505" i="21"/>
  <c r="E505" i="21"/>
  <c r="J505" i="21"/>
  <c r="A506" i="21"/>
  <c r="I506" i="21"/>
  <c r="H506" i="21"/>
  <c r="G506" i="21"/>
  <c r="F506" i="21"/>
  <c r="E506" i="21"/>
  <c r="J506" i="21"/>
  <c r="A507" i="21"/>
  <c r="I507" i="21"/>
  <c r="H507" i="21"/>
  <c r="G507" i="21"/>
  <c r="F507" i="21"/>
  <c r="E507" i="21"/>
  <c r="J507" i="21"/>
  <c r="A508" i="21"/>
  <c r="I508" i="21"/>
  <c r="H508" i="21"/>
  <c r="G508" i="21"/>
  <c r="F508" i="21"/>
  <c r="E508" i="21"/>
  <c r="J508" i="21"/>
  <c r="A509" i="21"/>
  <c r="I509" i="21"/>
  <c r="H509" i="21"/>
  <c r="G509" i="21"/>
  <c r="F509" i="21"/>
  <c r="E509" i="21"/>
  <c r="J509" i="21"/>
  <c r="A510" i="21"/>
  <c r="I510" i="21"/>
  <c r="H510" i="21"/>
  <c r="G510" i="21"/>
  <c r="F510" i="21"/>
  <c r="E510" i="21"/>
  <c r="J510" i="21"/>
  <c r="A511" i="21"/>
  <c r="I511" i="21"/>
  <c r="H511" i="21"/>
  <c r="G511" i="21"/>
  <c r="F511" i="21"/>
  <c r="E511" i="21"/>
  <c r="J511" i="21"/>
  <c r="A512" i="21"/>
  <c r="I512" i="21"/>
  <c r="H512" i="21"/>
  <c r="G512" i="21"/>
  <c r="F512" i="21"/>
  <c r="E512" i="21"/>
  <c r="J512" i="21"/>
  <c r="A513" i="21"/>
  <c r="I513" i="21"/>
  <c r="H513" i="21"/>
  <c r="G513" i="21"/>
  <c r="F513" i="21"/>
  <c r="E513" i="21"/>
  <c r="J513" i="21"/>
  <c r="A514" i="21"/>
  <c r="I514" i="21"/>
  <c r="H514" i="21"/>
  <c r="G514" i="21"/>
  <c r="F514" i="21"/>
  <c r="E514" i="21"/>
  <c r="J514" i="21"/>
  <c r="A515" i="21"/>
  <c r="I515" i="21"/>
  <c r="H515" i="21"/>
  <c r="G515" i="21"/>
  <c r="F515" i="21"/>
  <c r="E515" i="21"/>
  <c r="J515" i="21"/>
  <c r="A516" i="21"/>
  <c r="I516" i="21"/>
  <c r="H516" i="21"/>
  <c r="G516" i="21"/>
  <c r="F516" i="21"/>
  <c r="E516" i="21"/>
  <c r="J516" i="21"/>
  <c r="A517" i="21"/>
  <c r="I517" i="21"/>
  <c r="H517" i="21"/>
  <c r="G517" i="21"/>
  <c r="F517" i="21"/>
  <c r="E517" i="21"/>
  <c r="J517" i="21"/>
  <c r="A518" i="21"/>
  <c r="I518" i="21"/>
  <c r="H518" i="21"/>
  <c r="G518" i="21"/>
  <c r="F518" i="21"/>
  <c r="E518" i="21"/>
  <c r="J518" i="21"/>
  <c r="A519" i="21"/>
  <c r="I519" i="21"/>
  <c r="H519" i="21"/>
  <c r="G519" i="21"/>
  <c r="F519" i="21"/>
  <c r="E519" i="21"/>
  <c r="J519" i="21"/>
  <c r="A520" i="21"/>
  <c r="I520" i="21"/>
  <c r="H520" i="21"/>
  <c r="G520" i="21"/>
  <c r="F520" i="21"/>
  <c r="E520" i="21"/>
  <c r="J520" i="21"/>
  <c r="A521" i="21"/>
  <c r="I521" i="21"/>
  <c r="H521" i="21"/>
  <c r="G521" i="21"/>
  <c r="F521" i="21"/>
  <c r="E521" i="21"/>
  <c r="J521" i="21"/>
  <c r="A522" i="21"/>
  <c r="I522" i="21"/>
  <c r="H522" i="21"/>
  <c r="G522" i="21"/>
  <c r="F522" i="21"/>
  <c r="E522" i="21"/>
  <c r="J522" i="21"/>
  <c r="A523" i="21"/>
  <c r="I523" i="21"/>
  <c r="H523" i="21"/>
  <c r="G523" i="21"/>
  <c r="F523" i="21"/>
  <c r="E523" i="21"/>
  <c r="J523" i="21"/>
  <c r="A524" i="21"/>
  <c r="I524" i="21"/>
  <c r="H524" i="21"/>
  <c r="G524" i="21"/>
  <c r="F524" i="21"/>
  <c r="E524" i="21"/>
  <c r="J524" i="21"/>
  <c r="A525" i="21"/>
  <c r="I525" i="21"/>
  <c r="H525" i="21"/>
  <c r="G525" i="21"/>
  <c r="F525" i="21"/>
  <c r="E525" i="21"/>
  <c r="J525" i="21"/>
  <c r="A526" i="21"/>
  <c r="I526" i="21"/>
  <c r="H526" i="21"/>
  <c r="G526" i="21"/>
  <c r="F526" i="21"/>
  <c r="E526" i="21"/>
  <c r="J526" i="21"/>
  <c r="A527" i="21"/>
  <c r="I527" i="21"/>
  <c r="H527" i="21"/>
  <c r="G527" i="21"/>
  <c r="F527" i="21"/>
  <c r="E527" i="21"/>
  <c r="J527" i="21"/>
  <c r="A528" i="21"/>
  <c r="I528" i="21"/>
  <c r="H528" i="21"/>
  <c r="G528" i="21"/>
  <c r="F528" i="21"/>
  <c r="E528" i="21"/>
  <c r="J528" i="21"/>
  <c r="A529" i="21"/>
  <c r="I529" i="21"/>
  <c r="H529" i="21"/>
  <c r="G529" i="21"/>
  <c r="F529" i="21"/>
  <c r="E529" i="21"/>
  <c r="J529" i="21"/>
  <c r="A530" i="21"/>
  <c r="I530" i="21"/>
  <c r="H530" i="21"/>
  <c r="G530" i="21"/>
  <c r="F530" i="21"/>
  <c r="E530" i="21"/>
  <c r="J530" i="21"/>
  <c r="A531" i="21"/>
  <c r="I531" i="21"/>
  <c r="H531" i="21"/>
  <c r="G531" i="21"/>
  <c r="F531" i="21"/>
  <c r="E531" i="21"/>
  <c r="J531" i="21"/>
  <c r="A532" i="21"/>
  <c r="I532" i="21"/>
  <c r="H532" i="21"/>
  <c r="G532" i="21"/>
  <c r="F532" i="21"/>
  <c r="E532" i="21"/>
  <c r="J532" i="21"/>
  <c r="A533" i="21"/>
  <c r="I533" i="21"/>
  <c r="H533" i="21"/>
  <c r="G533" i="21"/>
  <c r="F533" i="21"/>
  <c r="E533" i="21"/>
  <c r="J533" i="21"/>
  <c r="A534" i="21"/>
  <c r="I534" i="21"/>
  <c r="H534" i="21"/>
  <c r="G534" i="21"/>
  <c r="F534" i="21"/>
  <c r="E534" i="21"/>
  <c r="J534" i="21"/>
  <c r="A535" i="21"/>
  <c r="I535" i="21"/>
  <c r="H535" i="21"/>
  <c r="G535" i="21"/>
  <c r="F535" i="21"/>
  <c r="E535" i="21"/>
  <c r="J535" i="21"/>
  <c r="A536" i="21"/>
  <c r="I536" i="21"/>
  <c r="H536" i="21"/>
  <c r="G536" i="21"/>
  <c r="F536" i="21"/>
  <c r="E536" i="21"/>
  <c r="J536" i="21"/>
  <c r="A537" i="21"/>
  <c r="I537" i="21"/>
  <c r="H537" i="21"/>
  <c r="G537" i="21"/>
  <c r="F537" i="21"/>
  <c r="E537" i="21"/>
  <c r="J537" i="21"/>
  <c r="A538" i="21"/>
  <c r="I538" i="21"/>
  <c r="H538" i="21"/>
  <c r="G538" i="21"/>
  <c r="F538" i="21"/>
  <c r="E538" i="21"/>
  <c r="J538" i="21"/>
  <c r="A539" i="21"/>
  <c r="I539" i="21"/>
  <c r="H539" i="21"/>
  <c r="G539" i="21"/>
  <c r="F539" i="21"/>
  <c r="E539" i="21"/>
  <c r="J539" i="21"/>
  <c r="A540" i="21"/>
  <c r="I540" i="21"/>
  <c r="H540" i="21"/>
  <c r="G540" i="21"/>
  <c r="F540" i="21"/>
  <c r="E540" i="21"/>
  <c r="J540" i="21"/>
  <c r="A541" i="21"/>
  <c r="I541" i="21"/>
  <c r="H541" i="21"/>
  <c r="G541" i="21"/>
  <c r="F541" i="21"/>
  <c r="E541" i="21"/>
  <c r="J541" i="21"/>
  <c r="A542" i="21"/>
  <c r="I542" i="21"/>
  <c r="H542" i="21"/>
  <c r="G542" i="21"/>
  <c r="F542" i="21"/>
  <c r="E542" i="21"/>
  <c r="J542" i="21"/>
  <c r="A543" i="21"/>
  <c r="I543" i="21"/>
  <c r="H543" i="21"/>
  <c r="G543" i="21"/>
  <c r="F543" i="21"/>
  <c r="E543" i="21"/>
  <c r="J543" i="21"/>
  <c r="A544" i="21"/>
  <c r="I544" i="21"/>
  <c r="H544" i="21"/>
  <c r="G544" i="21"/>
  <c r="F544" i="21"/>
  <c r="E544" i="21"/>
  <c r="J544" i="21"/>
  <c r="A545" i="21"/>
  <c r="I545" i="21"/>
  <c r="H545" i="21"/>
  <c r="G545" i="21"/>
  <c r="F545" i="21"/>
  <c r="E545" i="21"/>
  <c r="J545" i="21"/>
  <c r="A546" i="21"/>
  <c r="I546" i="21"/>
  <c r="H546" i="21"/>
  <c r="G546" i="21"/>
  <c r="F546" i="21"/>
  <c r="E546" i="21"/>
  <c r="J546" i="21"/>
  <c r="A547" i="21"/>
  <c r="I547" i="21"/>
  <c r="H547" i="21"/>
  <c r="G547" i="21"/>
  <c r="F547" i="21"/>
  <c r="E547" i="21"/>
  <c r="J547" i="21"/>
  <c r="A548" i="21"/>
  <c r="I548" i="21"/>
  <c r="H548" i="21"/>
  <c r="G548" i="21"/>
  <c r="F548" i="21"/>
  <c r="E548" i="21"/>
  <c r="J548" i="21"/>
  <c r="A549" i="21"/>
  <c r="I549" i="21"/>
  <c r="H549" i="21"/>
  <c r="G549" i="21"/>
  <c r="F549" i="21"/>
  <c r="E549" i="21"/>
  <c r="J549" i="21"/>
  <c r="A550" i="21"/>
  <c r="I550" i="21"/>
  <c r="H550" i="21"/>
  <c r="G550" i="21"/>
  <c r="F550" i="21"/>
  <c r="E550" i="21"/>
  <c r="J550" i="21"/>
  <c r="A551" i="21"/>
  <c r="I551" i="21"/>
  <c r="H551" i="21"/>
  <c r="G551" i="21"/>
  <c r="F551" i="21"/>
  <c r="E551" i="21"/>
  <c r="J551" i="21"/>
  <c r="A552" i="21"/>
  <c r="I552" i="21"/>
  <c r="H552" i="21"/>
  <c r="G552" i="21"/>
  <c r="F552" i="21"/>
  <c r="E552" i="21"/>
  <c r="J552" i="21"/>
  <c r="A553" i="21"/>
  <c r="I553" i="21"/>
  <c r="H553" i="21"/>
  <c r="G553" i="21"/>
  <c r="F553" i="21"/>
  <c r="E553" i="21"/>
  <c r="J553" i="21"/>
  <c r="A554" i="21"/>
  <c r="I554" i="21"/>
  <c r="H554" i="21"/>
  <c r="G554" i="21"/>
  <c r="F554" i="21"/>
  <c r="E554" i="21"/>
  <c r="J554" i="21"/>
  <c r="A555" i="21"/>
  <c r="I555" i="21"/>
  <c r="H555" i="21"/>
  <c r="G555" i="21"/>
  <c r="F555" i="21"/>
  <c r="E555" i="21"/>
  <c r="J555" i="21"/>
  <c r="A556" i="21"/>
  <c r="I556" i="21"/>
  <c r="H556" i="21"/>
  <c r="G556" i="21"/>
  <c r="F556" i="21"/>
  <c r="E556" i="21"/>
  <c r="J556" i="21"/>
  <c r="A557" i="21"/>
  <c r="I557" i="21"/>
  <c r="H557" i="21"/>
  <c r="G557" i="21"/>
  <c r="F557" i="21"/>
  <c r="E557" i="21"/>
  <c r="J557" i="21"/>
  <c r="A558" i="21"/>
  <c r="I558" i="21"/>
  <c r="H558" i="21"/>
  <c r="G558" i="21"/>
  <c r="F558" i="21"/>
  <c r="E558" i="21"/>
  <c r="J558" i="21"/>
  <c r="A559" i="21"/>
  <c r="I559" i="21"/>
  <c r="H559" i="21"/>
  <c r="G559" i="21"/>
  <c r="F559" i="21"/>
  <c r="E559" i="21"/>
  <c r="J559" i="21"/>
  <c r="A560" i="21"/>
  <c r="I560" i="21"/>
  <c r="H560" i="21"/>
  <c r="G560" i="21"/>
  <c r="F560" i="21"/>
  <c r="E560" i="21"/>
  <c r="J560" i="21"/>
  <c r="A561" i="21"/>
  <c r="I561" i="21"/>
  <c r="H561" i="21"/>
  <c r="G561" i="21"/>
  <c r="F561" i="21"/>
  <c r="E561" i="21"/>
  <c r="J561" i="21"/>
  <c r="A562" i="21"/>
  <c r="I562" i="21"/>
  <c r="H562" i="21"/>
  <c r="G562" i="21"/>
  <c r="F562" i="21"/>
  <c r="E562" i="21"/>
  <c r="J562" i="21"/>
  <c r="A563" i="21"/>
  <c r="I563" i="21"/>
  <c r="H563" i="21"/>
  <c r="G563" i="21"/>
  <c r="F563" i="21"/>
  <c r="E563" i="21"/>
  <c r="J563" i="21"/>
  <c r="A564" i="21"/>
  <c r="I564" i="21"/>
  <c r="H564" i="21"/>
  <c r="G564" i="21"/>
  <c r="F564" i="21"/>
  <c r="E564" i="21"/>
  <c r="J564" i="21"/>
  <c r="A565" i="21"/>
  <c r="I565" i="21"/>
  <c r="H565" i="21"/>
  <c r="G565" i="21"/>
  <c r="F565" i="21"/>
  <c r="E565" i="21"/>
  <c r="J565" i="21"/>
  <c r="A566" i="21"/>
  <c r="I566" i="21"/>
  <c r="H566" i="21"/>
  <c r="G566" i="21"/>
  <c r="F566" i="21"/>
  <c r="E566" i="21"/>
  <c r="J566" i="21"/>
  <c r="A567" i="21"/>
  <c r="I567" i="21"/>
  <c r="H567" i="21"/>
  <c r="G567" i="21"/>
  <c r="F567" i="21"/>
  <c r="E567" i="21"/>
  <c r="J567" i="21"/>
  <c r="A568" i="21"/>
  <c r="I568" i="21"/>
  <c r="H568" i="21"/>
  <c r="G568" i="21"/>
  <c r="F568" i="21"/>
  <c r="E568" i="21"/>
  <c r="J568" i="21"/>
  <c r="A569" i="21"/>
  <c r="I569" i="21"/>
  <c r="H569" i="21"/>
  <c r="G569" i="21"/>
  <c r="F569" i="21"/>
  <c r="E569" i="21"/>
  <c r="J569" i="21"/>
  <c r="A570" i="21"/>
  <c r="I570" i="21"/>
  <c r="H570" i="21"/>
  <c r="G570" i="21"/>
  <c r="F570" i="21"/>
  <c r="E570" i="21"/>
  <c r="J570" i="21"/>
  <c r="A571" i="21"/>
  <c r="I571" i="21"/>
  <c r="H571" i="21"/>
  <c r="G571" i="21"/>
  <c r="F571" i="21"/>
  <c r="E571" i="21"/>
  <c r="J571" i="21"/>
  <c r="A572" i="21"/>
  <c r="I572" i="21"/>
  <c r="H572" i="21"/>
  <c r="G572" i="21"/>
  <c r="F572" i="21"/>
  <c r="E572" i="21"/>
  <c r="J572" i="21"/>
  <c r="A573" i="21"/>
  <c r="I573" i="21"/>
  <c r="H573" i="21"/>
  <c r="G573" i="21"/>
  <c r="F573" i="21"/>
  <c r="E573" i="21"/>
  <c r="J573" i="21"/>
  <c r="A574" i="21"/>
  <c r="I574" i="21"/>
  <c r="H574" i="21"/>
  <c r="G574" i="21"/>
  <c r="F574" i="21"/>
  <c r="E574" i="21"/>
  <c r="J574" i="21"/>
  <c r="A575" i="21"/>
  <c r="I575" i="21"/>
  <c r="H575" i="21"/>
  <c r="G575" i="21"/>
  <c r="F575" i="21"/>
  <c r="E575" i="21"/>
  <c r="J575" i="21"/>
  <c r="A576" i="21"/>
  <c r="I576" i="21"/>
  <c r="H576" i="21"/>
  <c r="G576" i="21"/>
  <c r="F576" i="21"/>
  <c r="E576" i="21"/>
  <c r="J576" i="21"/>
  <c r="A577" i="21"/>
  <c r="I577" i="21"/>
  <c r="H577" i="21"/>
  <c r="G577" i="21"/>
  <c r="F577" i="21"/>
  <c r="E577" i="21"/>
  <c r="J577" i="21"/>
  <c r="A578" i="21"/>
  <c r="I578" i="21"/>
  <c r="H578" i="21"/>
  <c r="G578" i="21"/>
  <c r="F578" i="21"/>
  <c r="E578" i="21"/>
  <c r="J578" i="21"/>
  <c r="A579" i="21"/>
  <c r="I579" i="21"/>
  <c r="H579" i="21"/>
  <c r="G579" i="21"/>
  <c r="F579" i="21"/>
  <c r="E579" i="21"/>
  <c r="J579" i="21"/>
  <c r="A580" i="21"/>
  <c r="I580" i="21"/>
  <c r="H580" i="21"/>
  <c r="G580" i="21"/>
  <c r="F580" i="21"/>
  <c r="E580" i="21"/>
  <c r="J580" i="21"/>
  <c r="A581" i="21"/>
  <c r="I581" i="21"/>
  <c r="H581" i="21"/>
  <c r="G581" i="21"/>
  <c r="F581" i="21"/>
  <c r="E581" i="21"/>
  <c r="J581" i="21"/>
  <c r="A582" i="21"/>
  <c r="I582" i="21"/>
  <c r="H582" i="21"/>
  <c r="G582" i="21"/>
  <c r="F582" i="21"/>
  <c r="E582" i="21"/>
  <c r="J582" i="21"/>
  <c r="A583" i="21"/>
  <c r="I583" i="21"/>
  <c r="H583" i="21"/>
  <c r="G583" i="21"/>
  <c r="F583" i="21"/>
  <c r="E583" i="21"/>
  <c r="J583" i="21"/>
  <c r="A584" i="21"/>
  <c r="I584" i="21"/>
  <c r="H584" i="21"/>
  <c r="G584" i="21"/>
  <c r="F584" i="21"/>
  <c r="E584" i="21"/>
  <c r="J584" i="21"/>
  <c r="A585" i="21"/>
  <c r="I585" i="21"/>
  <c r="H585" i="21"/>
  <c r="G585" i="21"/>
  <c r="F585" i="21"/>
  <c r="E585" i="21"/>
  <c r="J585" i="21"/>
  <c r="A586" i="21"/>
  <c r="I586" i="21"/>
  <c r="H586" i="21"/>
  <c r="G586" i="21"/>
  <c r="F586" i="21"/>
  <c r="E586" i="21"/>
  <c r="J586" i="21"/>
  <c r="A587" i="21"/>
  <c r="I587" i="21"/>
  <c r="H587" i="21"/>
  <c r="G587" i="21"/>
  <c r="F587" i="21"/>
  <c r="E587" i="21"/>
  <c r="J587" i="21"/>
  <c r="A588" i="21"/>
  <c r="I588" i="21"/>
  <c r="H588" i="21"/>
  <c r="G588" i="21"/>
  <c r="F588" i="21"/>
  <c r="E588" i="21"/>
  <c r="J588" i="21"/>
  <c r="A589" i="21"/>
  <c r="I589" i="21"/>
  <c r="H589" i="21"/>
  <c r="G589" i="21"/>
  <c r="F589" i="21"/>
  <c r="E589" i="21"/>
  <c r="J589" i="21"/>
  <c r="N3" i="19"/>
  <c r="B51" i="19"/>
  <c r="B14" i="19"/>
  <c r="B7" i="19"/>
  <c r="B21" i="19"/>
  <c r="B5" i="19"/>
  <c r="B6" i="19"/>
  <c r="B8" i="19"/>
  <c r="B9" i="19"/>
  <c r="B10" i="19"/>
  <c r="B18" i="19"/>
  <c r="B15" i="19"/>
  <c r="B16" i="19"/>
  <c r="B23" i="19"/>
  <c r="B11" i="19"/>
  <c r="B12" i="19"/>
  <c r="B13" i="19"/>
  <c r="B17" i="19"/>
  <c r="B19" i="19"/>
  <c r="B20" i="19"/>
  <c r="B22" i="19"/>
  <c r="B27" i="19"/>
  <c r="B26" i="19"/>
  <c r="B24" i="19"/>
  <c r="B30" i="19"/>
  <c r="B28" i="19"/>
  <c r="B25" i="19"/>
  <c r="B29" i="19"/>
  <c r="B70" i="19"/>
  <c r="B31" i="19"/>
  <c r="B32" i="19"/>
  <c r="B35" i="19"/>
  <c r="B33" i="19"/>
  <c r="B34" i="19"/>
  <c r="B37" i="19"/>
  <c r="B38" i="19"/>
  <c r="B48" i="19"/>
  <c r="B44" i="19"/>
  <c r="B42" i="19"/>
  <c r="B39" i="19"/>
  <c r="B49" i="19"/>
  <c r="B50" i="19"/>
  <c r="B40" i="19"/>
  <c r="B45" i="19"/>
  <c r="B46" i="19"/>
  <c r="B36" i="19"/>
  <c r="B82" i="19"/>
  <c r="B83" i="19"/>
  <c r="B85" i="19"/>
  <c r="B86" i="19"/>
  <c r="B87" i="19"/>
  <c r="B88" i="19"/>
  <c r="B89" i="19"/>
  <c r="B90" i="19"/>
  <c r="B59" i="19"/>
  <c r="B43" i="19"/>
  <c r="B47" i="19"/>
  <c r="E2" i="16"/>
  <c r="D2" i="16"/>
  <c r="E3" i="16"/>
  <c r="D3" i="16"/>
  <c r="E4" i="16"/>
  <c r="D4" i="16"/>
  <c r="E5" i="16"/>
  <c r="D5" i="16"/>
  <c r="E6" i="16"/>
  <c r="D6" i="16"/>
  <c r="E7" i="16"/>
  <c r="D7" i="16"/>
  <c r="E8" i="16"/>
  <c r="D8" i="16"/>
  <c r="E9" i="16"/>
  <c r="D9" i="16"/>
  <c r="E10" i="16"/>
  <c r="D10" i="16"/>
  <c r="E11" i="16"/>
  <c r="D11" i="16"/>
  <c r="E12" i="16"/>
  <c r="D12" i="16"/>
  <c r="E13" i="16"/>
  <c r="D13" i="16"/>
  <c r="E14" i="16"/>
  <c r="D14" i="16"/>
  <c r="E15" i="16"/>
  <c r="D15" i="16"/>
  <c r="E16" i="16"/>
  <c r="D16" i="16"/>
  <c r="E17" i="16"/>
  <c r="D17" i="16"/>
  <c r="E18" i="16"/>
  <c r="D18" i="16"/>
  <c r="E19" i="16"/>
  <c r="D19" i="16"/>
  <c r="E20" i="16"/>
  <c r="D20" i="16"/>
  <c r="E21" i="16"/>
  <c r="D21" i="16"/>
  <c r="E22" i="16"/>
  <c r="D22" i="16"/>
  <c r="E23" i="16"/>
  <c r="D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D3" i="22"/>
  <c r="P2" i="16"/>
  <c r="T2" i="16"/>
  <c r="A2" i="21"/>
  <c r="A3" i="21"/>
  <c r="A4" i="21"/>
  <c r="A5" i="21"/>
  <c r="A6" i="21"/>
  <c r="J6" i="21"/>
  <c r="J7" i="21"/>
  <c r="A7" i="21"/>
  <c r="J3" i="21"/>
  <c r="J8" i="21"/>
  <c r="A8" i="21"/>
  <c r="J5" i="21"/>
  <c r="J4" i="21"/>
  <c r="J2" i="21"/>
  <c r="A9" i="21"/>
  <c r="J9" i="21"/>
  <c r="A10" i="21"/>
  <c r="J10" i="21"/>
  <c r="A11" i="21"/>
  <c r="J11" i="21"/>
  <c r="A12" i="21"/>
  <c r="J12" i="21"/>
  <c r="J13" i="21"/>
  <c r="A13" i="21"/>
  <c r="J14" i="21"/>
  <c r="A14" i="21"/>
  <c r="A15" i="21"/>
  <c r="J15" i="21"/>
  <c r="J16" i="21"/>
  <c r="A16" i="21"/>
  <c r="J17" i="21"/>
  <c r="A17" i="21"/>
  <c r="J18" i="21"/>
  <c r="A18" i="21"/>
  <c r="A19" i="21"/>
  <c r="J19" i="21"/>
  <c r="J20" i="21"/>
  <c r="A20" i="21"/>
  <c r="J21" i="21"/>
  <c r="A21" i="21"/>
  <c r="A22" i="21"/>
  <c r="J22" i="21"/>
  <c r="A23" i="21"/>
  <c r="J23" i="21"/>
  <c r="J24" i="21"/>
  <c r="A24" i="21"/>
  <c r="J25" i="21"/>
  <c r="A25" i="21"/>
  <c r="J26" i="21"/>
  <c r="A26" i="21"/>
  <c r="A27" i="21"/>
  <c r="J27" i="21"/>
  <c r="A28" i="21"/>
  <c r="J28" i="21"/>
  <c r="J29" i="21"/>
  <c r="A29" i="21"/>
  <c r="J30" i="21"/>
  <c r="A30" i="21"/>
  <c r="J31" i="21"/>
  <c r="A31" i="21"/>
  <c r="A32" i="21"/>
  <c r="J32" i="21"/>
  <c r="J33" i="21"/>
  <c r="A33" i="21"/>
  <c r="A34" i="21"/>
  <c r="J34" i="21"/>
  <c r="A35" i="21"/>
  <c r="J35" i="21"/>
  <c r="D109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9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O3" i="19"/>
  <c r="P3" i="19"/>
  <c r="D111" i="16"/>
  <c r="D110" i="16"/>
  <c r="K2" i="21"/>
  <c r="L2" i="21"/>
  <c r="M2" i="21"/>
  <c r="N2" i="21"/>
  <c r="P2" i="21"/>
  <c r="K3" i="21"/>
  <c r="L3" i="21"/>
  <c r="M3" i="21"/>
  <c r="N3" i="21"/>
  <c r="P3" i="21"/>
  <c r="K4" i="21"/>
  <c r="L4" i="21"/>
  <c r="M4" i="21"/>
  <c r="N4" i="21"/>
  <c r="P4" i="21"/>
  <c r="K5" i="21"/>
  <c r="L5" i="21"/>
  <c r="M5" i="21"/>
  <c r="N5" i="21"/>
  <c r="P5" i="21"/>
  <c r="K6" i="21"/>
  <c r="L6" i="21"/>
  <c r="M6" i="21"/>
  <c r="N6" i="21"/>
  <c r="P6" i="21"/>
  <c r="K7" i="21"/>
  <c r="L7" i="21"/>
  <c r="M7" i="21"/>
  <c r="N7" i="21"/>
  <c r="P7" i="21"/>
  <c r="K8" i="21"/>
  <c r="L8" i="21"/>
  <c r="M8" i="21"/>
  <c r="N8" i="21"/>
  <c r="P8" i="21"/>
  <c r="K9" i="21"/>
  <c r="L9" i="21"/>
  <c r="M9" i="21"/>
  <c r="N9" i="21"/>
  <c r="P9" i="21"/>
  <c r="K10" i="21"/>
  <c r="L10" i="21"/>
  <c r="M10" i="21"/>
  <c r="N10" i="21"/>
  <c r="P10" i="21"/>
  <c r="K11" i="21"/>
  <c r="L11" i="21"/>
  <c r="M11" i="21"/>
  <c r="N11" i="21"/>
  <c r="P11" i="21"/>
  <c r="K12" i="21"/>
  <c r="L12" i="21"/>
  <c r="M12" i="21"/>
  <c r="N12" i="21"/>
  <c r="P12" i="21"/>
  <c r="K13" i="21"/>
  <c r="L13" i="21"/>
  <c r="M13" i="21"/>
  <c r="N13" i="21"/>
  <c r="P13" i="21"/>
  <c r="K14" i="21"/>
  <c r="L14" i="21"/>
  <c r="M14" i="21"/>
  <c r="N14" i="21"/>
  <c r="P14" i="21"/>
  <c r="K15" i="21"/>
  <c r="L15" i="21"/>
  <c r="M15" i="21"/>
  <c r="N15" i="21"/>
  <c r="P15" i="21"/>
  <c r="K16" i="21"/>
  <c r="L16" i="21"/>
  <c r="M16" i="21"/>
  <c r="N16" i="21"/>
  <c r="P16" i="21"/>
  <c r="K17" i="21"/>
  <c r="L17" i="21"/>
  <c r="M17" i="21"/>
  <c r="N17" i="21"/>
  <c r="P17" i="21"/>
  <c r="K18" i="21"/>
  <c r="L18" i="21"/>
  <c r="M18" i="21"/>
  <c r="N18" i="21"/>
  <c r="P18" i="21"/>
  <c r="K19" i="21"/>
  <c r="L19" i="21"/>
  <c r="M19" i="21"/>
  <c r="N19" i="21"/>
  <c r="P19" i="21"/>
  <c r="K20" i="21"/>
  <c r="L20" i="21"/>
  <c r="M20" i="21"/>
  <c r="N20" i="21"/>
  <c r="P20" i="21"/>
  <c r="K21" i="21"/>
  <c r="L21" i="21"/>
  <c r="M21" i="21"/>
  <c r="N21" i="21"/>
  <c r="P21" i="21"/>
  <c r="K22" i="21"/>
  <c r="L22" i="21"/>
  <c r="M22" i="21"/>
  <c r="N22" i="21"/>
  <c r="P22" i="21"/>
  <c r="K23" i="21"/>
  <c r="L23" i="21"/>
  <c r="M23" i="21"/>
  <c r="N23" i="21"/>
  <c r="P23" i="21"/>
  <c r="K24" i="21"/>
  <c r="L24" i="21"/>
  <c r="M24" i="21"/>
  <c r="N24" i="21"/>
  <c r="P24" i="21"/>
  <c r="K25" i="21"/>
  <c r="L25" i="21"/>
  <c r="M25" i="21"/>
  <c r="N25" i="21"/>
  <c r="P25" i="21"/>
  <c r="K26" i="21"/>
  <c r="L26" i="21"/>
  <c r="M26" i="21"/>
  <c r="N26" i="21"/>
  <c r="P26" i="21"/>
  <c r="K27" i="21"/>
  <c r="L27" i="21"/>
  <c r="M27" i="21"/>
  <c r="N27" i="21"/>
  <c r="P27" i="21"/>
  <c r="K28" i="21"/>
  <c r="L28" i="21"/>
  <c r="M28" i="21"/>
  <c r="N28" i="21"/>
  <c r="P28" i="21"/>
  <c r="K29" i="21"/>
  <c r="L29" i="21"/>
  <c r="M29" i="21"/>
  <c r="N29" i="21"/>
  <c r="P29" i="21"/>
  <c r="K30" i="21"/>
  <c r="L30" i="21"/>
  <c r="M30" i="21"/>
  <c r="N30" i="21"/>
  <c r="P30" i="21"/>
  <c r="K31" i="21"/>
  <c r="L31" i="21"/>
  <c r="M31" i="21"/>
  <c r="N31" i="21"/>
  <c r="P31" i="21"/>
  <c r="K32" i="21"/>
  <c r="L32" i="21"/>
  <c r="M32" i="21"/>
  <c r="N32" i="21"/>
  <c r="P32" i="21"/>
  <c r="K33" i="21"/>
  <c r="L33" i="21"/>
  <c r="M33" i="21"/>
  <c r="N33" i="21"/>
  <c r="P33" i="21"/>
  <c r="K34" i="21"/>
  <c r="L34" i="21"/>
  <c r="M34" i="21"/>
  <c r="N34" i="21"/>
  <c r="P34" i="21"/>
  <c r="K35" i="21"/>
  <c r="L35" i="21"/>
  <c r="M35" i="21"/>
  <c r="N35" i="21"/>
  <c r="P35" i="21"/>
  <c r="K36" i="21"/>
  <c r="L36" i="21"/>
  <c r="M36" i="21"/>
  <c r="N36" i="21"/>
  <c r="P36" i="21"/>
  <c r="K37" i="21"/>
  <c r="L37" i="21"/>
  <c r="M37" i="21"/>
  <c r="N37" i="21"/>
  <c r="P37" i="21"/>
  <c r="K38" i="21"/>
  <c r="L38" i="21"/>
  <c r="M38" i="21"/>
  <c r="N38" i="21"/>
  <c r="P38" i="21"/>
  <c r="K39" i="21"/>
  <c r="L39" i="21"/>
  <c r="M39" i="21"/>
  <c r="N39" i="21"/>
  <c r="P39" i="21"/>
  <c r="K40" i="21"/>
  <c r="L40" i="21"/>
  <c r="M40" i="21"/>
  <c r="N40" i="21"/>
  <c r="P40" i="21"/>
  <c r="K41" i="21"/>
  <c r="L41" i="21"/>
  <c r="M41" i="21"/>
  <c r="N41" i="21"/>
  <c r="P41" i="21"/>
  <c r="K42" i="21"/>
  <c r="L42" i="21"/>
  <c r="M42" i="21"/>
  <c r="N42" i="21"/>
  <c r="P42" i="21"/>
  <c r="K43" i="21"/>
  <c r="L43" i="21"/>
  <c r="M43" i="21"/>
  <c r="N43" i="21"/>
  <c r="P43" i="21"/>
  <c r="K44" i="21"/>
  <c r="L44" i="21"/>
  <c r="M44" i="21"/>
  <c r="N44" i="21"/>
  <c r="P44" i="21"/>
  <c r="K45" i="21"/>
  <c r="L45" i="21"/>
  <c r="M45" i="21"/>
  <c r="N45" i="21"/>
  <c r="P45" i="21"/>
  <c r="K46" i="21"/>
  <c r="L46" i="21"/>
  <c r="M46" i="21"/>
  <c r="N46" i="21"/>
  <c r="P46" i="21"/>
  <c r="K47" i="21"/>
  <c r="L47" i="21"/>
  <c r="M47" i="21"/>
  <c r="N47" i="21"/>
  <c r="P47" i="21"/>
  <c r="K48" i="21"/>
  <c r="L48" i="21"/>
  <c r="M48" i="21"/>
  <c r="N48" i="21"/>
  <c r="P48" i="21"/>
  <c r="K49" i="21"/>
  <c r="L49" i="21"/>
  <c r="M49" i="21"/>
  <c r="N49" i="21"/>
  <c r="P49" i="21"/>
  <c r="K50" i="21"/>
  <c r="L50" i="21"/>
  <c r="M50" i="21"/>
  <c r="N50" i="21"/>
  <c r="P50" i="21"/>
  <c r="K51" i="21"/>
  <c r="L51" i="21"/>
  <c r="M51" i="21"/>
  <c r="N51" i="21"/>
  <c r="P51" i="21"/>
  <c r="K52" i="21"/>
  <c r="L52" i="21"/>
  <c r="M52" i="21"/>
  <c r="N52" i="21"/>
  <c r="P52" i="21"/>
  <c r="K53" i="21"/>
  <c r="L53" i="21"/>
  <c r="M53" i="21"/>
  <c r="N53" i="21"/>
  <c r="P53" i="21"/>
  <c r="K54" i="21"/>
  <c r="L54" i="21"/>
  <c r="M54" i="21"/>
  <c r="N54" i="21"/>
  <c r="P54" i="21"/>
  <c r="K55" i="21"/>
  <c r="L55" i="21"/>
  <c r="M55" i="21"/>
  <c r="N55" i="21"/>
  <c r="P55" i="21"/>
  <c r="K56" i="21"/>
  <c r="L56" i="21"/>
  <c r="M56" i="21"/>
  <c r="N56" i="21"/>
  <c r="P56" i="21"/>
  <c r="K57" i="21"/>
  <c r="L57" i="21"/>
  <c r="M57" i="21"/>
  <c r="N57" i="21"/>
  <c r="P57" i="21"/>
  <c r="K58" i="21"/>
  <c r="L58" i="21"/>
  <c r="M58" i="21"/>
  <c r="N58" i="21"/>
  <c r="P58" i="21"/>
  <c r="K59" i="21"/>
  <c r="L59" i="21"/>
  <c r="M59" i="21"/>
  <c r="N59" i="21"/>
  <c r="P59" i="21"/>
  <c r="K60" i="21"/>
  <c r="L60" i="21"/>
  <c r="M60" i="21"/>
  <c r="N60" i="21"/>
  <c r="P60" i="21"/>
  <c r="K61" i="21"/>
  <c r="L61" i="21"/>
  <c r="M61" i="21"/>
  <c r="N61" i="21"/>
  <c r="P61" i="21"/>
  <c r="K62" i="21"/>
  <c r="L62" i="21"/>
  <c r="M62" i="21"/>
  <c r="N62" i="21"/>
  <c r="P62" i="21"/>
  <c r="K63" i="21"/>
  <c r="L63" i="21"/>
  <c r="M63" i="21"/>
  <c r="N63" i="21"/>
  <c r="P63" i="21"/>
  <c r="K64" i="21"/>
  <c r="L64" i="21"/>
  <c r="M64" i="21"/>
  <c r="N64" i="21"/>
  <c r="P64" i="21"/>
  <c r="K65" i="21"/>
  <c r="L65" i="21"/>
  <c r="M65" i="21"/>
  <c r="N65" i="21"/>
  <c r="P65" i="21"/>
  <c r="K66" i="21"/>
  <c r="L66" i="21"/>
  <c r="M66" i="21"/>
  <c r="N66" i="21"/>
  <c r="P66" i="21"/>
  <c r="K67" i="21"/>
  <c r="L67" i="21"/>
  <c r="M67" i="21"/>
  <c r="N67" i="21"/>
  <c r="P67" i="21"/>
  <c r="K68" i="21"/>
  <c r="L68" i="21"/>
  <c r="M68" i="21"/>
  <c r="N68" i="21"/>
  <c r="P68" i="21"/>
  <c r="K69" i="21"/>
  <c r="L69" i="21"/>
  <c r="M69" i="21"/>
  <c r="N69" i="21"/>
  <c r="P69" i="21"/>
  <c r="K70" i="21"/>
  <c r="L70" i="21"/>
  <c r="M70" i="21"/>
  <c r="N70" i="21"/>
  <c r="P70" i="21"/>
  <c r="K71" i="21"/>
  <c r="L71" i="21"/>
  <c r="M71" i="21"/>
  <c r="N71" i="21"/>
  <c r="P71" i="21"/>
  <c r="K72" i="21"/>
  <c r="L72" i="21"/>
  <c r="M72" i="21"/>
  <c r="N72" i="21"/>
  <c r="P72" i="21"/>
  <c r="K73" i="21"/>
  <c r="L73" i="21"/>
  <c r="M73" i="21"/>
  <c r="N73" i="21"/>
  <c r="P73" i="21"/>
  <c r="K74" i="21"/>
  <c r="L74" i="21"/>
  <c r="M74" i="21"/>
  <c r="N74" i="21"/>
  <c r="P74" i="21"/>
  <c r="K75" i="21"/>
  <c r="L75" i="21"/>
  <c r="M75" i="21"/>
  <c r="N75" i="21"/>
  <c r="P75" i="21"/>
  <c r="K76" i="21"/>
  <c r="L76" i="21"/>
  <c r="M76" i="21"/>
  <c r="N76" i="21"/>
  <c r="P76" i="21"/>
  <c r="K77" i="21"/>
  <c r="L77" i="21"/>
  <c r="M77" i="21"/>
  <c r="N77" i="21"/>
  <c r="P77" i="21"/>
  <c r="K78" i="21"/>
  <c r="L78" i="21"/>
  <c r="M78" i="21"/>
  <c r="N78" i="21"/>
  <c r="P78" i="21"/>
  <c r="K79" i="21"/>
  <c r="L79" i="21"/>
  <c r="M79" i="21"/>
  <c r="N79" i="21"/>
  <c r="P79" i="21"/>
  <c r="K80" i="21"/>
  <c r="L80" i="21"/>
  <c r="M80" i="21"/>
  <c r="N80" i="21"/>
  <c r="P80" i="21"/>
  <c r="K81" i="21"/>
  <c r="L81" i="21"/>
  <c r="M81" i="21"/>
  <c r="N81" i="21"/>
  <c r="P81" i="21"/>
  <c r="K82" i="21"/>
  <c r="L82" i="21"/>
  <c r="M82" i="21"/>
  <c r="N82" i="21"/>
  <c r="P82" i="21"/>
  <c r="K83" i="21"/>
  <c r="L83" i="21"/>
  <c r="M83" i="21"/>
  <c r="N83" i="21"/>
  <c r="P83" i="21"/>
  <c r="K84" i="21"/>
  <c r="L84" i="21"/>
  <c r="M84" i="21"/>
  <c r="N84" i="21"/>
  <c r="P84" i="21"/>
  <c r="K85" i="21"/>
  <c r="L85" i="21"/>
  <c r="M85" i="21"/>
  <c r="N85" i="21"/>
  <c r="P85" i="21"/>
  <c r="K86" i="21"/>
  <c r="L86" i="21"/>
  <c r="M86" i="21"/>
  <c r="N86" i="21"/>
  <c r="P86" i="21"/>
  <c r="K87" i="21"/>
  <c r="L87" i="21"/>
  <c r="M87" i="21"/>
  <c r="N87" i="21"/>
  <c r="P87" i="21"/>
  <c r="K88" i="21"/>
  <c r="L88" i="21"/>
  <c r="M88" i="21"/>
  <c r="N88" i="21"/>
  <c r="P88" i="21"/>
  <c r="K89" i="21"/>
  <c r="L89" i="21"/>
  <c r="M89" i="21"/>
  <c r="N89" i="21"/>
  <c r="P89" i="21"/>
  <c r="K90" i="21"/>
  <c r="L90" i="21"/>
  <c r="M90" i="21"/>
  <c r="N90" i="21"/>
  <c r="P90" i="21"/>
  <c r="K91" i="21"/>
  <c r="L91" i="21"/>
  <c r="M91" i="21"/>
  <c r="N91" i="21"/>
  <c r="P91" i="21"/>
  <c r="K92" i="21"/>
  <c r="L92" i="21"/>
  <c r="M92" i="21"/>
  <c r="N92" i="21"/>
  <c r="P92" i="21"/>
  <c r="K93" i="21"/>
  <c r="L93" i="21"/>
  <c r="M93" i="21"/>
  <c r="N93" i="21"/>
  <c r="P93" i="21"/>
  <c r="K94" i="21"/>
  <c r="L94" i="21"/>
  <c r="M94" i="21"/>
  <c r="N94" i="21"/>
  <c r="P94" i="21"/>
  <c r="K95" i="21"/>
  <c r="L95" i="21"/>
  <c r="M95" i="21"/>
  <c r="N95" i="21"/>
  <c r="P95" i="21"/>
  <c r="K96" i="21"/>
  <c r="L96" i="21"/>
  <c r="M96" i="21"/>
  <c r="N96" i="21"/>
  <c r="P96" i="21"/>
  <c r="K97" i="21"/>
  <c r="L97" i="21"/>
  <c r="M97" i="21"/>
  <c r="N97" i="21"/>
  <c r="P97" i="21"/>
  <c r="K98" i="21"/>
  <c r="L98" i="21"/>
  <c r="M98" i="21"/>
  <c r="N98" i="21"/>
  <c r="P98" i="21"/>
  <c r="K99" i="21"/>
  <c r="L99" i="21"/>
  <c r="M99" i="21"/>
  <c r="N99" i="21"/>
  <c r="P99" i="21"/>
  <c r="K100" i="21"/>
  <c r="L100" i="21"/>
  <c r="M100" i="21"/>
  <c r="N100" i="21"/>
  <c r="P100" i="21"/>
  <c r="K101" i="21"/>
  <c r="L101" i="21"/>
  <c r="M101" i="21"/>
  <c r="N101" i="21"/>
  <c r="P101" i="21"/>
  <c r="K102" i="21"/>
  <c r="L102" i="21"/>
  <c r="M102" i="21"/>
  <c r="N102" i="21"/>
  <c r="P102" i="21"/>
  <c r="K103" i="21"/>
  <c r="L103" i="21"/>
  <c r="M103" i="21"/>
  <c r="N103" i="21"/>
  <c r="P103" i="21"/>
  <c r="K104" i="21"/>
  <c r="L104" i="21"/>
  <c r="M104" i="21"/>
  <c r="N104" i="21"/>
  <c r="P104" i="21"/>
  <c r="K105" i="21"/>
  <c r="L105" i="21"/>
  <c r="M105" i="21"/>
  <c r="N105" i="21"/>
  <c r="P105" i="21"/>
  <c r="K106" i="21"/>
  <c r="L106" i="21"/>
  <c r="M106" i="21"/>
  <c r="N106" i="21"/>
  <c r="P106" i="21"/>
  <c r="K107" i="21"/>
  <c r="L107" i="21"/>
  <c r="M107" i="21"/>
  <c r="N107" i="21"/>
  <c r="P107" i="21"/>
  <c r="K108" i="21"/>
  <c r="L108" i="21"/>
  <c r="M108" i="21"/>
  <c r="N108" i="21"/>
  <c r="P108" i="21"/>
  <c r="K109" i="21"/>
  <c r="L109" i="21"/>
  <c r="M109" i="21"/>
  <c r="N109" i="21"/>
  <c r="P109" i="21"/>
  <c r="K110" i="21"/>
  <c r="L110" i="21"/>
  <c r="M110" i="21"/>
  <c r="N110" i="21"/>
  <c r="P110" i="21"/>
  <c r="K111" i="21"/>
  <c r="L111" i="21"/>
  <c r="M111" i="21"/>
  <c r="N111" i="21"/>
  <c r="P111" i="21"/>
  <c r="K112" i="21"/>
  <c r="L112" i="21"/>
  <c r="M112" i="21"/>
  <c r="N112" i="21"/>
  <c r="P112" i="21"/>
  <c r="K113" i="21"/>
  <c r="L113" i="21"/>
  <c r="M113" i="21"/>
  <c r="N113" i="21"/>
  <c r="P113" i="21"/>
  <c r="K114" i="21"/>
  <c r="L114" i="21"/>
  <c r="M114" i="21"/>
  <c r="N114" i="21"/>
  <c r="P114" i="21"/>
  <c r="K115" i="21"/>
  <c r="L115" i="21"/>
  <c r="M115" i="21"/>
  <c r="N115" i="21"/>
  <c r="P115" i="21"/>
  <c r="K116" i="21"/>
  <c r="L116" i="21"/>
  <c r="M116" i="21"/>
  <c r="N116" i="21"/>
  <c r="P116" i="21"/>
  <c r="K117" i="21"/>
  <c r="L117" i="21"/>
  <c r="M117" i="21"/>
  <c r="N117" i="21"/>
  <c r="P117" i="21"/>
  <c r="K118" i="21"/>
  <c r="L118" i="21"/>
  <c r="M118" i="21"/>
  <c r="N118" i="21"/>
  <c r="P118" i="21"/>
  <c r="K119" i="21"/>
  <c r="L119" i="21"/>
  <c r="M119" i="21"/>
  <c r="N119" i="21"/>
  <c r="P119" i="21"/>
  <c r="K120" i="21"/>
  <c r="L120" i="21"/>
  <c r="M120" i="21"/>
  <c r="N120" i="21"/>
  <c r="P120" i="21"/>
  <c r="K121" i="21"/>
  <c r="L121" i="21"/>
  <c r="M121" i="21"/>
  <c r="N121" i="21"/>
  <c r="P121" i="21"/>
  <c r="K122" i="21"/>
  <c r="L122" i="21"/>
  <c r="M122" i="21"/>
  <c r="N122" i="21"/>
  <c r="P122" i="21"/>
  <c r="K123" i="21"/>
  <c r="L123" i="21"/>
  <c r="M123" i="21"/>
  <c r="N123" i="21"/>
  <c r="P123" i="21"/>
  <c r="K124" i="21"/>
  <c r="L124" i="21"/>
  <c r="M124" i="21"/>
  <c r="N124" i="21"/>
  <c r="P124" i="21"/>
  <c r="K125" i="21"/>
  <c r="L125" i="21"/>
  <c r="M125" i="21"/>
  <c r="N125" i="21"/>
  <c r="P125" i="21"/>
  <c r="K126" i="21"/>
  <c r="L126" i="21"/>
  <c r="M126" i="21"/>
  <c r="N126" i="21"/>
  <c r="P126" i="21"/>
  <c r="K127" i="21"/>
  <c r="L127" i="21"/>
  <c r="M127" i="21"/>
  <c r="N127" i="21"/>
  <c r="P127" i="21"/>
  <c r="K128" i="21"/>
  <c r="L128" i="21"/>
  <c r="M128" i="21"/>
  <c r="N128" i="21"/>
  <c r="P128" i="21"/>
  <c r="K129" i="21"/>
  <c r="L129" i="21"/>
  <c r="M129" i="21"/>
  <c r="N129" i="21"/>
  <c r="P129" i="21"/>
  <c r="K130" i="21"/>
  <c r="L130" i="21"/>
  <c r="M130" i="21"/>
  <c r="N130" i="21"/>
  <c r="P130" i="21"/>
  <c r="K131" i="21"/>
  <c r="L131" i="21"/>
  <c r="M131" i="21"/>
  <c r="N131" i="21"/>
  <c r="P131" i="21"/>
  <c r="K132" i="21"/>
  <c r="L132" i="21"/>
  <c r="M132" i="21"/>
  <c r="N132" i="21"/>
  <c r="P132" i="21"/>
  <c r="K133" i="21"/>
  <c r="L133" i="21"/>
  <c r="M133" i="21"/>
  <c r="N133" i="21"/>
  <c r="P133" i="21"/>
  <c r="K134" i="21"/>
  <c r="L134" i="21"/>
  <c r="M134" i="21"/>
  <c r="N134" i="21"/>
  <c r="P134" i="21"/>
  <c r="K135" i="21"/>
  <c r="L135" i="21"/>
  <c r="M135" i="21"/>
  <c r="N135" i="21"/>
  <c r="P135" i="21"/>
  <c r="K136" i="21"/>
  <c r="L136" i="21"/>
  <c r="M136" i="21"/>
  <c r="N136" i="21"/>
  <c r="P136" i="21"/>
  <c r="K137" i="21"/>
  <c r="L137" i="21"/>
  <c r="M137" i="21"/>
  <c r="N137" i="21"/>
  <c r="P137" i="21"/>
  <c r="K138" i="21"/>
  <c r="L138" i="21"/>
  <c r="M138" i="21"/>
  <c r="N138" i="21"/>
  <c r="P138" i="21"/>
  <c r="K139" i="21"/>
  <c r="L139" i="21"/>
  <c r="M139" i="21"/>
  <c r="N139" i="21"/>
  <c r="P139" i="21"/>
  <c r="K140" i="21"/>
  <c r="L140" i="21"/>
  <c r="M140" i="21"/>
  <c r="N140" i="21"/>
  <c r="P140" i="21"/>
  <c r="K141" i="21"/>
  <c r="L141" i="21"/>
  <c r="M141" i="21"/>
  <c r="N141" i="21"/>
  <c r="P141" i="21"/>
  <c r="K142" i="21"/>
  <c r="L142" i="21"/>
  <c r="M142" i="21"/>
  <c r="N142" i="21"/>
  <c r="P142" i="21"/>
  <c r="K143" i="21"/>
  <c r="L143" i="21"/>
  <c r="M143" i="21"/>
  <c r="N143" i="21"/>
  <c r="P143" i="21"/>
  <c r="K144" i="21"/>
  <c r="L144" i="21"/>
  <c r="M144" i="21"/>
  <c r="N144" i="21"/>
  <c r="P144" i="21"/>
  <c r="K145" i="21"/>
  <c r="L145" i="21"/>
  <c r="M145" i="21"/>
  <c r="N145" i="21"/>
  <c r="P145" i="21"/>
  <c r="K146" i="21"/>
  <c r="L146" i="21"/>
  <c r="M146" i="21"/>
  <c r="N146" i="21"/>
  <c r="P146" i="21"/>
  <c r="K147" i="21"/>
  <c r="L147" i="21"/>
  <c r="M147" i="21"/>
  <c r="N147" i="21"/>
  <c r="P147" i="21"/>
  <c r="K148" i="21"/>
  <c r="L148" i="21"/>
  <c r="M148" i="21"/>
  <c r="N148" i="21"/>
  <c r="P148" i="21"/>
  <c r="K149" i="21"/>
  <c r="L149" i="21"/>
  <c r="M149" i="21"/>
  <c r="N149" i="21"/>
  <c r="P149" i="21"/>
  <c r="K150" i="21"/>
  <c r="L150" i="21"/>
  <c r="M150" i="21"/>
  <c r="N150" i="21"/>
  <c r="P150" i="21"/>
  <c r="K151" i="21"/>
  <c r="L151" i="21"/>
  <c r="M151" i="21"/>
  <c r="N151" i="21"/>
  <c r="P151" i="21"/>
  <c r="K152" i="21"/>
  <c r="L152" i="21"/>
  <c r="M152" i="21"/>
  <c r="N152" i="21"/>
  <c r="P152" i="21"/>
  <c r="K153" i="21"/>
  <c r="L153" i="21"/>
  <c r="M153" i="21"/>
  <c r="N153" i="21"/>
  <c r="P153" i="21"/>
  <c r="K154" i="21"/>
  <c r="L154" i="21"/>
  <c r="M154" i="21"/>
  <c r="N154" i="21"/>
  <c r="P154" i="21"/>
  <c r="K155" i="21"/>
  <c r="L155" i="21"/>
  <c r="M155" i="21"/>
  <c r="N155" i="21"/>
  <c r="P155" i="21"/>
  <c r="K156" i="21"/>
  <c r="L156" i="21"/>
  <c r="M156" i="21"/>
  <c r="N156" i="21"/>
  <c r="P156" i="21"/>
  <c r="K157" i="21"/>
  <c r="L157" i="21"/>
  <c r="M157" i="21"/>
  <c r="N157" i="21"/>
  <c r="P157" i="21"/>
  <c r="K158" i="21"/>
  <c r="L158" i="21"/>
  <c r="M158" i="21"/>
  <c r="N158" i="21"/>
  <c r="P158" i="21"/>
  <c r="K159" i="21"/>
  <c r="L159" i="21"/>
  <c r="M159" i="21"/>
  <c r="N159" i="21"/>
  <c r="P159" i="21"/>
  <c r="K160" i="21"/>
  <c r="L160" i="21"/>
  <c r="M160" i="21"/>
  <c r="N160" i="21"/>
  <c r="P160" i="21"/>
  <c r="K161" i="21"/>
  <c r="L161" i="21"/>
  <c r="M161" i="21"/>
  <c r="N161" i="21"/>
  <c r="P161" i="21"/>
  <c r="K162" i="21"/>
  <c r="L162" i="21"/>
  <c r="M162" i="21"/>
  <c r="N162" i="21"/>
  <c r="P162" i="21"/>
  <c r="K163" i="21"/>
  <c r="L163" i="21"/>
  <c r="M163" i="21"/>
  <c r="N163" i="21"/>
  <c r="P163" i="21"/>
  <c r="K164" i="21"/>
  <c r="L164" i="21"/>
  <c r="M164" i="21"/>
  <c r="N164" i="21"/>
  <c r="P164" i="21"/>
  <c r="K165" i="21"/>
  <c r="L165" i="21"/>
  <c r="M165" i="21"/>
  <c r="N165" i="21"/>
  <c r="P165" i="21"/>
  <c r="K166" i="21"/>
  <c r="L166" i="21"/>
  <c r="M166" i="21"/>
  <c r="N166" i="21"/>
  <c r="P166" i="21"/>
  <c r="K167" i="21"/>
  <c r="L167" i="21"/>
  <c r="M167" i="21"/>
  <c r="N167" i="21"/>
  <c r="P167" i="21"/>
  <c r="K168" i="21"/>
  <c r="L168" i="21"/>
  <c r="M168" i="21"/>
  <c r="N168" i="21"/>
  <c r="P168" i="21"/>
  <c r="K169" i="21"/>
  <c r="L169" i="21"/>
  <c r="M169" i="21"/>
  <c r="N169" i="21"/>
  <c r="P169" i="21"/>
  <c r="K170" i="21"/>
  <c r="L170" i="21"/>
  <c r="M170" i="21"/>
  <c r="N170" i="21"/>
  <c r="P170" i="21"/>
  <c r="K171" i="21"/>
  <c r="L171" i="21"/>
  <c r="M171" i="21"/>
  <c r="N171" i="21"/>
  <c r="P171" i="21"/>
  <c r="K172" i="21"/>
  <c r="L172" i="21"/>
  <c r="M172" i="21"/>
  <c r="N172" i="21"/>
  <c r="P172" i="21"/>
  <c r="K173" i="21"/>
  <c r="L173" i="21"/>
  <c r="M173" i="21"/>
  <c r="N173" i="21"/>
  <c r="P173" i="21"/>
  <c r="K174" i="21"/>
  <c r="L174" i="21"/>
  <c r="M174" i="21"/>
  <c r="N174" i="21"/>
  <c r="P174" i="21"/>
  <c r="K175" i="21"/>
  <c r="L175" i="21"/>
  <c r="M175" i="21"/>
  <c r="N175" i="21"/>
  <c r="P175" i="21"/>
  <c r="K176" i="21"/>
  <c r="L176" i="21"/>
  <c r="M176" i="21"/>
  <c r="N176" i="21"/>
  <c r="P176" i="21"/>
  <c r="K177" i="21"/>
  <c r="L177" i="21"/>
  <c r="M177" i="21"/>
  <c r="N177" i="21"/>
  <c r="P177" i="21"/>
  <c r="K178" i="21"/>
  <c r="L178" i="21"/>
  <c r="M178" i="21"/>
  <c r="N178" i="21"/>
  <c r="P178" i="21"/>
  <c r="K179" i="21"/>
  <c r="L179" i="21"/>
  <c r="M179" i="21"/>
  <c r="N179" i="21"/>
  <c r="P179" i="21"/>
  <c r="K180" i="21"/>
  <c r="L180" i="21"/>
  <c r="M180" i="21"/>
  <c r="N180" i="21"/>
  <c r="P180" i="21"/>
  <c r="K181" i="21"/>
  <c r="L181" i="21"/>
  <c r="M181" i="21"/>
  <c r="N181" i="21"/>
  <c r="P181" i="21"/>
  <c r="K182" i="21"/>
  <c r="L182" i="21"/>
  <c r="M182" i="21"/>
  <c r="N182" i="21"/>
  <c r="P182" i="21"/>
  <c r="K183" i="21"/>
  <c r="L183" i="21"/>
  <c r="M183" i="21"/>
  <c r="N183" i="21"/>
  <c r="P183" i="21"/>
  <c r="K184" i="21"/>
  <c r="L184" i="21"/>
  <c r="M184" i="21"/>
  <c r="N184" i="21"/>
  <c r="P184" i="21"/>
  <c r="K185" i="21"/>
  <c r="L185" i="21"/>
  <c r="M185" i="21"/>
  <c r="N185" i="21"/>
  <c r="P185" i="21"/>
  <c r="K186" i="21"/>
  <c r="L186" i="21"/>
  <c r="M186" i="21"/>
  <c r="N186" i="21"/>
  <c r="P186" i="21"/>
  <c r="K187" i="21"/>
  <c r="L187" i="21"/>
  <c r="M187" i="21"/>
  <c r="N187" i="21"/>
  <c r="P187" i="21"/>
  <c r="K188" i="21"/>
  <c r="L188" i="21"/>
  <c r="M188" i="21"/>
  <c r="N188" i="21"/>
  <c r="P188" i="21"/>
  <c r="K189" i="21"/>
  <c r="L189" i="21"/>
  <c r="M189" i="21"/>
  <c r="N189" i="21"/>
  <c r="P189" i="21"/>
  <c r="K190" i="21"/>
  <c r="L190" i="21"/>
  <c r="M190" i="21"/>
  <c r="N190" i="21"/>
  <c r="P190" i="21"/>
  <c r="K191" i="21"/>
  <c r="L191" i="21"/>
  <c r="M191" i="21"/>
  <c r="N191" i="21"/>
  <c r="P191" i="21"/>
  <c r="K192" i="21"/>
  <c r="L192" i="21"/>
  <c r="M192" i="21"/>
  <c r="N192" i="21"/>
  <c r="P192" i="21"/>
  <c r="K193" i="21"/>
  <c r="L193" i="21"/>
  <c r="M193" i="21"/>
  <c r="N193" i="21"/>
  <c r="P193" i="21"/>
  <c r="K194" i="21"/>
  <c r="L194" i="21"/>
  <c r="M194" i="21"/>
  <c r="N194" i="21"/>
  <c r="P194" i="21"/>
  <c r="K195" i="21"/>
  <c r="L195" i="21"/>
  <c r="M195" i="21"/>
  <c r="N195" i="21"/>
  <c r="P195" i="21"/>
  <c r="K196" i="21"/>
  <c r="L196" i="21"/>
  <c r="M196" i="21"/>
  <c r="N196" i="21"/>
  <c r="P196" i="21"/>
  <c r="K197" i="21"/>
  <c r="L197" i="21"/>
  <c r="M197" i="21"/>
  <c r="N197" i="21"/>
  <c r="P197" i="21"/>
  <c r="K198" i="21"/>
  <c r="L198" i="21"/>
  <c r="M198" i="21"/>
  <c r="N198" i="21"/>
  <c r="P198" i="21"/>
  <c r="K199" i="21"/>
  <c r="L199" i="21"/>
  <c r="M199" i="21"/>
  <c r="N199" i="21"/>
  <c r="P199" i="21"/>
  <c r="K200" i="21"/>
  <c r="L200" i="21"/>
  <c r="M200" i="21"/>
  <c r="N200" i="21"/>
  <c r="P200" i="21"/>
  <c r="K201" i="21"/>
  <c r="L201" i="21"/>
  <c r="M201" i="21"/>
  <c r="N201" i="21"/>
  <c r="P201" i="21"/>
  <c r="K202" i="21"/>
  <c r="L202" i="21"/>
  <c r="M202" i="21"/>
  <c r="N202" i="21"/>
  <c r="P202" i="21"/>
  <c r="K203" i="21"/>
  <c r="L203" i="21"/>
  <c r="M203" i="21"/>
  <c r="N203" i="21"/>
  <c r="P203" i="21"/>
  <c r="K204" i="21"/>
  <c r="L204" i="21"/>
  <c r="M204" i="21"/>
  <c r="N204" i="21"/>
  <c r="P204" i="21"/>
  <c r="K205" i="21"/>
  <c r="L205" i="21"/>
  <c r="M205" i="21"/>
  <c r="N205" i="21"/>
  <c r="P205" i="21"/>
  <c r="K206" i="21"/>
  <c r="L206" i="21"/>
  <c r="M206" i="21"/>
  <c r="N206" i="21"/>
  <c r="P206" i="21"/>
  <c r="K207" i="21"/>
  <c r="L207" i="21"/>
  <c r="M207" i="21"/>
  <c r="N207" i="21"/>
  <c r="P207" i="21"/>
  <c r="K208" i="21"/>
  <c r="L208" i="21"/>
  <c r="M208" i="21"/>
  <c r="N208" i="21"/>
  <c r="P208" i="21"/>
  <c r="K209" i="21"/>
  <c r="L209" i="21"/>
  <c r="M209" i="21"/>
  <c r="N209" i="21"/>
  <c r="P209" i="21"/>
  <c r="K210" i="21"/>
  <c r="L210" i="21"/>
  <c r="M210" i="21"/>
  <c r="N210" i="21"/>
  <c r="P210" i="21"/>
  <c r="K211" i="21"/>
  <c r="L211" i="21"/>
  <c r="M211" i="21"/>
  <c r="N211" i="21"/>
  <c r="P211" i="21"/>
  <c r="K212" i="21"/>
  <c r="L212" i="21"/>
  <c r="M212" i="21"/>
  <c r="N212" i="21"/>
  <c r="P212" i="21"/>
  <c r="K213" i="21"/>
  <c r="L213" i="21"/>
  <c r="M213" i="21"/>
  <c r="N213" i="21"/>
  <c r="P213" i="21"/>
  <c r="K214" i="21"/>
  <c r="L214" i="21"/>
  <c r="M214" i="21"/>
  <c r="N214" i="21"/>
  <c r="P214" i="21"/>
  <c r="K215" i="21"/>
  <c r="L215" i="21"/>
  <c r="M215" i="21"/>
  <c r="N215" i="21"/>
  <c r="P215" i="21"/>
  <c r="K216" i="21"/>
  <c r="L216" i="21"/>
  <c r="M216" i="21"/>
  <c r="N216" i="21"/>
  <c r="P216" i="21"/>
  <c r="K217" i="21"/>
  <c r="L217" i="21"/>
  <c r="M217" i="21"/>
  <c r="N217" i="21"/>
  <c r="P217" i="21"/>
  <c r="K218" i="21"/>
  <c r="L218" i="21"/>
  <c r="M218" i="21"/>
  <c r="N218" i="21"/>
  <c r="P218" i="21"/>
  <c r="K219" i="21"/>
  <c r="L219" i="21"/>
  <c r="M219" i="21"/>
  <c r="N219" i="21"/>
  <c r="P219" i="21"/>
  <c r="K220" i="21"/>
  <c r="L220" i="21"/>
  <c r="M220" i="21"/>
  <c r="N220" i="21"/>
  <c r="P220" i="21"/>
  <c r="K221" i="21"/>
  <c r="L221" i="21"/>
  <c r="M221" i="21"/>
  <c r="N221" i="21"/>
  <c r="P221" i="21"/>
  <c r="K222" i="21"/>
  <c r="L222" i="21"/>
  <c r="M222" i="21"/>
  <c r="N222" i="21"/>
  <c r="P222" i="21"/>
  <c r="K223" i="21"/>
  <c r="L223" i="21"/>
  <c r="M223" i="21"/>
  <c r="N223" i="21"/>
  <c r="P223" i="21"/>
  <c r="K224" i="21"/>
  <c r="L224" i="21"/>
  <c r="M224" i="21"/>
  <c r="N224" i="21"/>
  <c r="P224" i="21"/>
  <c r="K225" i="21"/>
  <c r="L225" i="21"/>
  <c r="M225" i="21"/>
  <c r="N225" i="21"/>
  <c r="P225" i="21"/>
  <c r="K226" i="21"/>
  <c r="L226" i="21"/>
  <c r="M226" i="21"/>
  <c r="N226" i="21"/>
  <c r="P226" i="21"/>
  <c r="K227" i="21"/>
  <c r="L227" i="21"/>
  <c r="M227" i="21"/>
  <c r="N227" i="21"/>
  <c r="P227" i="21"/>
  <c r="K228" i="21"/>
  <c r="L228" i="21"/>
  <c r="M228" i="21"/>
  <c r="N228" i="21"/>
  <c r="P228" i="21"/>
  <c r="K229" i="21"/>
  <c r="L229" i="21"/>
  <c r="M229" i="21"/>
  <c r="N229" i="21"/>
  <c r="P229" i="21"/>
  <c r="K230" i="21"/>
  <c r="L230" i="21"/>
  <c r="M230" i="21"/>
  <c r="N230" i="21"/>
  <c r="P230" i="21"/>
  <c r="K231" i="21"/>
  <c r="L231" i="21"/>
  <c r="M231" i="21"/>
  <c r="N231" i="21"/>
  <c r="P231" i="21"/>
  <c r="K232" i="21"/>
  <c r="L232" i="21"/>
  <c r="M232" i="21"/>
  <c r="N232" i="21"/>
  <c r="P232" i="21"/>
  <c r="K233" i="21"/>
  <c r="L233" i="21"/>
  <c r="M233" i="21"/>
  <c r="N233" i="21"/>
  <c r="P233" i="21"/>
  <c r="K234" i="21"/>
  <c r="L234" i="21"/>
  <c r="M234" i="21"/>
  <c r="N234" i="21"/>
  <c r="P234" i="21"/>
  <c r="K235" i="21"/>
  <c r="L235" i="21"/>
  <c r="M235" i="21"/>
  <c r="N235" i="21"/>
  <c r="P235" i="21"/>
  <c r="K236" i="21"/>
  <c r="L236" i="21"/>
  <c r="M236" i="21"/>
  <c r="N236" i="21"/>
  <c r="P236" i="21"/>
  <c r="K237" i="21"/>
  <c r="L237" i="21"/>
  <c r="M237" i="21"/>
  <c r="N237" i="21"/>
  <c r="P237" i="21"/>
  <c r="K238" i="21"/>
  <c r="L238" i="21"/>
  <c r="M238" i="21"/>
  <c r="N238" i="21"/>
  <c r="P238" i="21"/>
  <c r="K239" i="21"/>
  <c r="L239" i="21"/>
  <c r="M239" i="21"/>
  <c r="N239" i="21"/>
  <c r="P239" i="21"/>
  <c r="K240" i="21"/>
  <c r="L240" i="21"/>
  <c r="M240" i="21"/>
  <c r="N240" i="21"/>
  <c r="P240" i="21"/>
  <c r="K241" i="21"/>
  <c r="L241" i="21"/>
  <c r="M241" i="21"/>
  <c r="N241" i="21"/>
  <c r="P241" i="21"/>
  <c r="K242" i="21"/>
  <c r="L242" i="21"/>
  <c r="M242" i="21"/>
  <c r="N242" i="21"/>
  <c r="P242" i="21"/>
  <c r="K243" i="21"/>
  <c r="L243" i="21"/>
  <c r="M243" i="21"/>
  <c r="N243" i="21"/>
  <c r="P243" i="21"/>
  <c r="K244" i="21"/>
  <c r="L244" i="21"/>
  <c r="M244" i="21"/>
  <c r="N244" i="21"/>
  <c r="P244" i="21"/>
  <c r="K245" i="21"/>
  <c r="L245" i="21"/>
  <c r="M245" i="21"/>
  <c r="N245" i="21"/>
  <c r="P245" i="21"/>
  <c r="K246" i="21"/>
  <c r="L246" i="21"/>
  <c r="M246" i="21"/>
  <c r="N246" i="21"/>
  <c r="P246" i="21"/>
  <c r="K247" i="21"/>
  <c r="L247" i="21"/>
  <c r="M247" i="21"/>
  <c r="N247" i="21"/>
  <c r="P247" i="21"/>
  <c r="K248" i="21"/>
  <c r="L248" i="21"/>
  <c r="M248" i="21"/>
  <c r="N248" i="21"/>
  <c r="P248" i="21"/>
  <c r="K249" i="21"/>
  <c r="L249" i="21"/>
  <c r="M249" i="21"/>
  <c r="N249" i="21"/>
  <c r="P249" i="21"/>
  <c r="K250" i="21"/>
  <c r="L250" i="21"/>
  <c r="M250" i="21"/>
  <c r="N250" i="21"/>
  <c r="P250" i="21"/>
  <c r="K251" i="21"/>
  <c r="L251" i="21"/>
  <c r="M251" i="21"/>
  <c r="N251" i="21"/>
  <c r="P251" i="21"/>
  <c r="K252" i="21"/>
  <c r="L252" i="21"/>
  <c r="M252" i="21"/>
  <c r="N252" i="21"/>
  <c r="P252" i="21"/>
  <c r="K253" i="21"/>
  <c r="L253" i="21"/>
  <c r="M253" i="21"/>
  <c r="N253" i="21"/>
  <c r="P253" i="21"/>
  <c r="K254" i="21"/>
  <c r="L254" i="21"/>
  <c r="M254" i="21"/>
  <c r="N254" i="21"/>
  <c r="P254" i="21"/>
  <c r="K255" i="21"/>
  <c r="L255" i="21"/>
  <c r="M255" i="21"/>
  <c r="N255" i="21"/>
  <c r="P255" i="21"/>
  <c r="K256" i="21"/>
  <c r="L256" i="21"/>
  <c r="M256" i="21"/>
  <c r="N256" i="21"/>
  <c r="P256" i="21"/>
  <c r="K257" i="21"/>
  <c r="L257" i="21"/>
  <c r="M257" i="21"/>
  <c r="N257" i="21"/>
  <c r="P257" i="21"/>
  <c r="K258" i="21"/>
  <c r="L258" i="21"/>
  <c r="M258" i="21"/>
  <c r="N258" i="21"/>
  <c r="P258" i="21"/>
  <c r="K259" i="21"/>
  <c r="L259" i="21"/>
  <c r="M259" i="21"/>
  <c r="N259" i="21"/>
  <c r="P259" i="21"/>
  <c r="K260" i="21"/>
  <c r="L260" i="21"/>
  <c r="M260" i="21"/>
  <c r="N260" i="21"/>
  <c r="P260" i="21"/>
  <c r="K261" i="21"/>
  <c r="L261" i="21"/>
  <c r="M261" i="21"/>
  <c r="N261" i="21"/>
  <c r="P261" i="21"/>
  <c r="K262" i="21"/>
  <c r="L262" i="21"/>
  <c r="M262" i="21"/>
  <c r="N262" i="21"/>
  <c r="P262" i="21"/>
  <c r="K263" i="21"/>
  <c r="L263" i="21"/>
  <c r="M263" i="21"/>
  <c r="N263" i="21"/>
  <c r="P263" i="21"/>
  <c r="K264" i="21"/>
  <c r="L264" i="21"/>
  <c r="M264" i="21"/>
  <c r="N264" i="21"/>
  <c r="P264" i="21"/>
  <c r="K265" i="21"/>
  <c r="L265" i="21"/>
  <c r="M265" i="21"/>
  <c r="N265" i="21"/>
  <c r="P265" i="21"/>
  <c r="K266" i="21"/>
  <c r="L266" i="21"/>
  <c r="M266" i="21"/>
  <c r="N266" i="21"/>
  <c r="P266" i="21"/>
  <c r="K267" i="21"/>
  <c r="L267" i="21"/>
  <c r="M267" i="21"/>
  <c r="N267" i="21"/>
  <c r="P267" i="21"/>
  <c r="K268" i="21"/>
  <c r="L268" i="21"/>
  <c r="M268" i="21"/>
  <c r="N268" i="21"/>
  <c r="P268" i="21"/>
  <c r="K269" i="21"/>
  <c r="L269" i="21"/>
  <c r="M269" i="21"/>
  <c r="N269" i="21"/>
  <c r="P269" i="21"/>
  <c r="K270" i="21"/>
  <c r="L270" i="21"/>
  <c r="M270" i="21"/>
  <c r="N270" i="21"/>
  <c r="P270" i="21"/>
  <c r="K271" i="21"/>
  <c r="L271" i="21"/>
  <c r="M271" i="21"/>
  <c r="N271" i="21"/>
  <c r="P271" i="21"/>
  <c r="K272" i="21"/>
  <c r="L272" i="21"/>
  <c r="M272" i="21"/>
  <c r="N272" i="21"/>
  <c r="P272" i="21"/>
  <c r="K273" i="21"/>
  <c r="L273" i="21"/>
  <c r="M273" i="21"/>
  <c r="N273" i="21"/>
  <c r="P273" i="21"/>
  <c r="K274" i="21"/>
  <c r="L274" i="21"/>
  <c r="M274" i="21"/>
  <c r="N274" i="21"/>
  <c r="P274" i="21"/>
  <c r="K275" i="21"/>
  <c r="L275" i="21"/>
  <c r="M275" i="21"/>
  <c r="N275" i="21"/>
  <c r="P275" i="21"/>
  <c r="K276" i="21"/>
  <c r="L276" i="21"/>
  <c r="M276" i="21"/>
  <c r="N276" i="21"/>
  <c r="P276" i="21"/>
  <c r="K277" i="21"/>
  <c r="L277" i="21"/>
  <c r="M277" i="21"/>
  <c r="N277" i="21"/>
  <c r="P277" i="21"/>
  <c r="K278" i="21"/>
  <c r="L278" i="21"/>
  <c r="M278" i="21"/>
  <c r="N278" i="21"/>
  <c r="P278" i="21"/>
  <c r="K279" i="21"/>
  <c r="L279" i="21"/>
  <c r="M279" i="21"/>
  <c r="N279" i="21"/>
  <c r="P279" i="21"/>
  <c r="K280" i="21"/>
  <c r="L280" i="21"/>
  <c r="M280" i="21"/>
  <c r="N280" i="21"/>
  <c r="P280" i="21"/>
  <c r="K281" i="21"/>
  <c r="L281" i="21"/>
  <c r="M281" i="21"/>
  <c r="N281" i="21"/>
  <c r="P281" i="21"/>
  <c r="K282" i="21"/>
  <c r="L282" i="21"/>
  <c r="M282" i="21"/>
  <c r="N282" i="21"/>
  <c r="P282" i="21"/>
  <c r="K283" i="21"/>
  <c r="L283" i="21"/>
  <c r="M283" i="21"/>
  <c r="N283" i="21"/>
  <c r="P283" i="21"/>
  <c r="K284" i="21"/>
  <c r="L284" i="21"/>
  <c r="M284" i="21"/>
  <c r="N284" i="21"/>
  <c r="P284" i="21"/>
  <c r="K285" i="21"/>
  <c r="L285" i="21"/>
  <c r="M285" i="21"/>
  <c r="N285" i="21"/>
  <c r="P285" i="21"/>
  <c r="K286" i="21"/>
  <c r="L286" i="21"/>
  <c r="M286" i="21"/>
  <c r="N286" i="21"/>
  <c r="P286" i="21"/>
  <c r="K287" i="21"/>
  <c r="L287" i="21"/>
  <c r="M287" i="21"/>
  <c r="N287" i="21"/>
  <c r="P287" i="21"/>
  <c r="K288" i="21"/>
  <c r="L288" i="21"/>
  <c r="M288" i="21"/>
  <c r="N288" i="21"/>
  <c r="P288" i="21"/>
  <c r="K289" i="21"/>
  <c r="L289" i="21"/>
  <c r="M289" i="21"/>
  <c r="N289" i="21"/>
  <c r="P289" i="21"/>
  <c r="K290" i="21"/>
  <c r="L290" i="21"/>
  <c r="M290" i="21"/>
  <c r="N290" i="21"/>
  <c r="P290" i="21"/>
  <c r="K291" i="21"/>
  <c r="L291" i="21"/>
  <c r="M291" i="21"/>
  <c r="N291" i="21"/>
  <c r="P291" i="21"/>
  <c r="K292" i="21"/>
  <c r="L292" i="21"/>
  <c r="M292" i="21"/>
  <c r="N292" i="21"/>
  <c r="P292" i="21"/>
  <c r="K293" i="21"/>
  <c r="L293" i="21"/>
  <c r="M293" i="21"/>
  <c r="N293" i="21"/>
  <c r="P293" i="21"/>
  <c r="K294" i="21"/>
  <c r="L294" i="21"/>
  <c r="M294" i="21"/>
  <c r="N294" i="21"/>
  <c r="P294" i="21"/>
  <c r="K295" i="21"/>
  <c r="L295" i="21"/>
  <c r="M295" i="21"/>
  <c r="N295" i="21"/>
  <c r="P295" i="21"/>
  <c r="K296" i="21"/>
  <c r="L296" i="21"/>
  <c r="M296" i="21"/>
  <c r="N296" i="21"/>
  <c r="P296" i="21"/>
  <c r="K297" i="21"/>
  <c r="L297" i="21"/>
  <c r="M297" i="21"/>
  <c r="N297" i="21"/>
  <c r="P297" i="21"/>
  <c r="K298" i="21"/>
  <c r="L298" i="21"/>
  <c r="M298" i="21"/>
  <c r="N298" i="21"/>
  <c r="P298" i="21"/>
  <c r="K299" i="21"/>
  <c r="L299" i="21"/>
  <c r="M299" i="21"/>
  <c r="N299" i="21"/>
  <c r="P299" i="21"/>
  <c r="K300" i="21"/>
  <c r="L300" i="21"/>
  <c r="M300" i="21"/>
  <c r="N300" i="21"/>
  <c r="P300" i="21"/>
  <c r="K301" i="21"/>
  <c r="L301" i="21"/>
  <c r="M301" i="21"/>
  <c r="N301" i="21"/>
  <c r="P301" i="21"/>
  <c r="K302" i="21"/>
  <c r="L302" i="21"/>
  <c r="M302" i="21"/>
  <c r="N302" i="21"/>
  <c r="P302" i="21"/>
  <c r="K303" i="21"/>
  <c r="L303" i="21"/>
  <c r="M303" i="21"/>
  <c r="N303" i="21"/>
  <c r="P303" i="21"/>
  <c r="K304" i="21"/>
  <c r="L304" i="21"/>
  <c r="M304" i="21"/>
  <c r="N304" i="21"/>
  <c r="P304" i="21"/>
  <c r="K305" i="21"/>
  <c r="L305" i="21"/>
  <c r="M305" i="21"/>
  <c r="N305" i="21"/>
  <c r="P305" i="21"/>
  <c r="K306" i="21"/>
  <c r="L306" i="21"/>
  <c r="M306" i="21"/>
  <c r="N306" i="21"/>
  <c r="P306" i="21"/>
  <c r="K307" i="21"/>
  <c r="L307" i="21"/>
  <c r="M307" i="21"/>
  <c r="N307" i="21"/>
  <c r="P307" i="21"/>
  <c r="K308" i="21"/>
  <c r="L308" i="21"/>
  <c r="M308" i="21"/>
  <c r="N308" i="21"/>
  <c r="P308" i="21"/>
  <c r="K309" i="21"/>
  <c r="L309" i="21"/>
  <c r="M309" i="21"/>
  <c r="N309" i="21"/>
  <c r="P309" i="21"/>
  <c r="K310" i="21"/>
  <c r="L310" i="21"/>
  <c r="M310" i="21"/>
  <c r="N310" i="21"/>
  <c r="P310" i="21"/>
  <c r="K311" i="21"/>
  <c r="L311" i="21"/>
  <c r="M311" i="21"/>
  <c r="N311" i="21"/>
  <c r="P311" i="21"/>
  <c r="K312" i="21"/>
  <c r="L312" i="21"/>
  <c r="M312" i="21"/>
  <c r="N312" i="21"/>
  <c r="P312" i="21"/>
  <c r="K313" i="21"/>
  <c r="L313" i="21"/>
  <c r="M313" i="21"/>
  <c r="N313" i="21"/>
  <c r="P313" i="21"/>
  <c r="K314" i="21"/>
  <c r="L314" i="21"/>
  <c r="M314" i="21"/>
  <c r="N314" i="21"/>
  <c r="P314" i="21"/>
  <c r="K315" i="21"/>
  <c r="L315" i="21"/>
  <c r="M315" i="21"/>
  <c r="N315" i="21"/>
  <c r="P315" i="21"/>
  <c r="K316" i="21"/>
  <c r="L316" i="21"/>
  <c r="M316" i="21"/>
  <c r="N316" i="21"/>
  <c r="P316" i="21"/>
  <c r="K317" i="21"/>
  <c r="L317" i="21"/>
  <c r="M317" i="21"/>
  <c r="N317" i="21"/>
  <c r="P317" i="21"/>
  <c r="K318" i="21"/>
  <c r="L318" i="21"/>
  <c r="M318" i="21"/>
  <c r="N318" i="21"/>
  <c r="P318" i="21"/>
  <c r="K319" i="21"/>
  <c r="L319" i="21"/>
  <c r="M319" i="21"/>
  <c r="N319" i="21"/>
  <c r="P319" i="21"/>
  <c r="K320" i="21"/>
  <c r="L320" i="21"/>
  <c r="M320" i="21"/>
  <c r="N320" i="21"/>
  <c r="P320" i="21"/>
  <c r="K321" i="21"/>
  <c r="L321" i="21"/>
  <c r="M321" i="21"/>
  <c r="N321" i="21"/>
  <c r="P321" i="21"/>
  <c r="K322" i="21"/>
  <c r="L322" i="21"/>
  <c r="M322" i="21"/>
  <c r="N322" i="21"/>
  <c r="P322" i="21"/>
  <c r="K323" i="21"/>
  <c r="L323" i="21"/>
  <c r="M323" i="21"/>
  <c r="N323" i="21"/>
  <c r="P323" i="21"/>
  <c r="K324" i="21"/>
  <c r="L324" i="21"/>
  <c r="M324" i="21"/>
  <c r="N324" i="21"/>
  <c r="P324" i="21"/>
  <c r="K325" i="21"/>
  <c r="L325" i="21"/>
  <c r="M325" i="21"/>
  <c r="N325" i="21"/>
  <c r="P325" i="21"/>
  <c r="K326" i="21"/>
  <c r="L326" i="21"/>
  <c r="M326" i="21"/>
  <c r="N326" i="21"/>
  <c r="P326" i="21"/>
  <c r="K327" i="21"/>
  <c r="L327" i="21"/>
  <c r="M327" i="21"/>
  <c r="N327" i="21"/>
  <c r="P327" i="21"/>
  <c r="K328" i="21"/>
  <c r="L328" i="21"/>
  <c r="M328" i="21"/>
  <c r="N328" i="21"/>
  <c r="P328" i="21"/>
  <c r="K329" i="21"/>
  <c r="L329" i="21"/>
  <c r="M329" i="21"/>
  <c r="N329" i="21"/>
  <c r="P329" i="21"/>
  <c r="K330" i="21"/>
  <c r="L330" i="21"/>
  <c r="M330" i="21"/>
  <c r="N330" i="21"/>
  <c r="P330" i="21"/>
  <c r="K331" i="21"/>
  <c r="L331" i="21"/>
  <c r="M331" i="21"/>
  <c r="N331" i="21"/>
  <c r="P331" i="21"/>
  <c r="K332" i="21"/>
  <c r="L332" i="21"/>
  <c r="M332" i="21"/>
  <c r="N332" i="21"/>
  <c r="P332" i="21"/>
  <c r="K333" i="21"/>
  <c r="L333" i="21"/>
  <c r="M333" i="21"/>
  <c r="N333" i="21"/>
  <c r="P333" i="21"/>
  <c r="K334" i="21"/>
  <c r="L334" i="21"/>
  <c r="M334" i="21"/>
  <c r="N334" i="21"/>
  <c r="P334" i="21"/>
  <c r="K335" i="21"/>
  <c r="L335" i="21"/>
  <c r="M335" i="21"/>
  <c r="N335" i="21"/>
  <c r="P335" i="21"/>
  <c r="K336" i="21"/>
  <c r="L336" i="21"/>
  <c r="M336" i="21"/>
  <c r="N336" i="21"/>
  <c r="P336" i="21"/>
  <c r="K337" i="21"/>
  <c r="L337" i="21"/>
  <c r="M337" i="21"/>
  <c r="N337" i="21"/>
  <c r="P337" i="21"/>
  <c r="K338" i="21"/>
  <c r="L338" i="21"/>
  <c r="M338" i="21"/>
  <c r="N338" i="21"/>
  <c r="P338" i="21"/>
  <c r="K339" i="21"/>
  <c r="L339" i="21"/>
  <c r="M339" i="21"/>
  <c r="N339" i="21"/>
  <c r="P339" i="21"/>
  <c r="K340" i="21"/>
  <c r="L340" i="21"/>
  <c r="M340" i="21"/>
  <c r="N340" i="21"/>
  <c r="P340" i="21"/>
  <c r="K341" i="21"/>
  <c r="L341" i="21"/>
  <c r="M341" i="21"/>
  <c r="N341" i="21"/>
  <c r="P341" i="21"/>
  <c r="K342" i="21"/>
  <c r="L342" i="21"/>
  <c r="M342" i="21"/>
  <c r="N342" i="21"/>
  <c r="P342" i="21"/>
  <c r="K343" i="21"/>
  <c r="L343" i="21"/>
  <c r="M343" i="21"/>
  <c r="N343" i="21"/>
  <c r="P343" i="21"/>
  <c r="K344" i="21"/>
  <c r="L344" i="21"/>
  <c r="M344" i="21"/>
  <c r="N344" i="21"/>
  <c r="P344" i="21"/>
  <c r="K345" i="21"/>
  <c r="L345" i="21"/>
  <c r="M345" i="21"/>
  <c r="N345" i="21"/>
  <c r="P345" i="21"/>
  <c r="K346" i="21"/>
  <c r="L346" i="21"/>
  <c r="M346" i="21"/>
  <c r="N346" i="21"/>
  <c r="P346" i="21"/>
  <c r="K347" i="21"/>
  <c r="L347" i="21"/>
  <c r="M347" i="21"/>
  <c r="N347" i="21"/>
  <c r="P347" i="21"/>
  <c r="K348" i="21"/>
  <c r="L348" i="21"/>
  <c r="M348" i="21"/>
  <c r="N348" i="21"/>
  <c r="P348" i="21"/>
  <c r="K349" i="21"/>
  <c r="L349" i="21"/>
  <c r="M349" i="21"/>
  <c r="N349" i="21"/>
  <c r="P349" i="21"/>
  <c r="K350" i="21"/>
  <c r="L350" i="21"/>
  <c r="M350" i="21"/>
  <c r="N350" i="21"/>
  <c r="P350" i="21"/>
  <c r="K351" i="21"/>
  <c r="L351" i="21"/>
  <c r="M351" i="21"/>
  <c r="N351" i="21"/>
  <c r="P351" i="21"/>
  <c r="K352" i="21"/>
  <c r="L352" i="21"/>
  <c r="M352" i="21"/>
  <c r="N352" i="21"/>
  <c r="P352" i="21"/>
  <c r="K353" i="21"/>
  <c r="L353" i="21"/>
  <c r="M353" i="21"/>
  <c r="N353" i="21"/>
  <c r="P353" i="21"/>
  <c r="K354" i="21"/>
  <c r="L354" i="21"/>
  <c r="M354" i="21"/>
  <c r="N354" i="21"/>
  <c r="P354" i="21"/>
  <c r="K355" i="21"/>
  <c r="L355" i="21"/>
  <c r="M355" i="21"/>
  <c r="N355" i="21"/>
  <c r="P355" i="21"/>
  <c r="K356" i="21"/>
  <c r="L356" i="21"/>
  <c r="M356" i="21"/>
  <c r="N356" i="21"/>
  <c r="P356" i="21"/>
  <c r="K357" i="21"/>
  <c r="L357" i="21"/>
  <c r="M357" i="21"/>
  <c r="N357" i="21"/>
  <c r="P357" i="21"/>
  <c r="K358" i="21"/>
  <c r="L358" i="21"/>
  <c r="M358" i="21"/>
  <c r="N358" i="21"/>
  <c r="P358" i="21"/>
  <c r="K359" i="21"/>
  <c r="L359" i="21"/>
  <c r="M359" i="21"/>
  <c r="N359" i="21"/>
  <c r="P359" i="21"/>
  <c r="K360" i="21"/>
  <c r="L360" i="21"/>
  <c r="M360" i="21"/>
  <c r="N360" i="21"/>
  <c r="P360" i="21"/>
  <c r="K361" i="21"/>
  <c r="L361" i="21"/>
  <c r="M361" i="21"/>
  <c r="N361" i="21"/>
  <c r="P361" i="21"/>
  <c r="K362" i="21"/>
  <c r="L362" i="21"/>
  <c r="M362" i="21"/>
  <c r="N362" i="21"/>
  <c r="P362" i="21"/>
  <c r="K363" i="21"/>
  <c r="L363" i="21"/>
  <c r="M363" i="21"/>
  <c r="N363" i="21"/>
  <c r="P363" i="21"/>
  <c r="K364" i="21"/>
  <c r="L364" i="21"/>
  <c r="M364" i="21"/>
  <c r="N364" i="21"/>
  <c r="P364" i="21"/>
  <c r="K365" i="21"/>
  <c r="L365" i="21"/>
  <c r="M365" i="21"/>
  <c r="N365" i="21"/>
  <c r="P365" i="21"/>
  <c r="K366" i="21"/>
  <c r="L366" i="21"/>
  <c r="M366" i="21"/>
  <c r="N366" i="21"/>
  <c r="P366" i="21"/>
  <c r="K367" i="21"/>
  <c r="L367" i="21"/>
  <c r="M367" i="21"/>
  <c r="N367" i="21"/>
  <c r="P367" i="21"/>
  <c r="K368" i="21"/>
  <c r="L368" i="21"/>
  <c r="M368" i="21"/>
  <c r="N368" i="21"/>
  <c r="P368" i="21"/>
  <c r="K369" i="21"/>
  <c r="L369" i="21"/>
  <c r="M369" i="21"/>
  <c r="N369" i="21"/>
  <c r="P369" i="21"/>
  <c r="K370" i="21"/>
  <c r="L370" i="21"/>
  <c r="M370" i="21"/>
  <c r="N370" i="21"/>
  <c r="P370" i="21"/>
  <c r="K371" i="21"/>
  <c r="L371" i="21"/>
  <c r="M371" i="21"/>
  <c r="N371" i="21"/>
  <c r="P371" i="21"/>
  <c r="K372" i="21"/>
  <c r="L372" i="21"/>
  <c r="M372" i="21"/>
  <c r="N372" i="21"/>
  <c r="P372" i="21"/>
  <c r="K373" i="21"/>
  <c r="L373" i="21"/>
  <c r="M373" i="21"/>
  <c r="N373" i="21"/>
  <c r="P373" i="21"/>
  <c r="K374" i="21"/>
  <c r="L374" i="21"/>
  <c r="M374" i="21"/>
  <c r="N374" i="21"/>
  <c r="P374" i="21"/>
  <c r="K375" i="21"/>
  <c r="L375" i="21"/>
  <c r="M375" i="21"/>
  <c r="N375" i="21"/>
  <c r="P375" i="21"/>
  <c r="K376" i="21"/>
  <c r="L376" i="21"/>
  <c r="M376" i="21"/>
  <c r="N376" i="21"/>
  <c r="P376" i="21"/>
  <c r="K377" i="21"/>
  <c r="L377" i="21"/>
  <c r="M377" i="21"/>
  <c r="N377" i="21"/>
  <c r="P377" i="21"/>
  <c r="K378" i="21"/>
  <c r="L378" i="21"/>
  <c r="M378" i="21"/>
  <c r="N378" i="21"/>
  <c r="P378" i="21"/>
  <c r="K379" i="21"/>
  <c r="L379" i="21"/>
  <c r="M379" i="21"/>
  <c r="N379" i="21"/>
  <c r="P379" i="21"/>
  <c r="K380" i="21"/>
  <c r="L380" i="21"/>
  <c r="M380" i="21"/>
  <c r="N380" i="21"/>
  <c r="P380" i="21"/>
  <c r="K381" i="21"/>
  <c r="L381" i="21"/>
  <c r="M381" i="21"/>
  <c r="N381" i="21"/>
  <c r="P381" i="21"/>
  <c r="K382" i="21"/>
  <c r="L382" i="21"/>
  <c r="M382" i="21"/>
  <c r="N382" i="21"/>
  <c r="P382" i="21"/>
  <c r="K383" i="21"/>
  <c r="L383" i="21"/>
  <c r="M383" i="21"/>
  <c r="N383" i="21"/>
  <c r="P383" i="21"/>
  <c r="K384" i="21"/>
  <c r="L384" i="21"/>
  <c r="M384" i="21"/>
  <c r="N384" i="21"/>
  <c r="P384" i="21"/>
  <c r="K385" i="21"/>
  <c r="L385" i="21"/>
  <c r="M385" i="21"/>
  <c r="N385" i="21"/>
  <c r="P385" i="21"/>
  <c r="K386" i="21"/>
  <c r="L386" i="21"/>
  <c r="M386" i="21"/>
  <c r="N386" i="21"/>
  <c r="P386" i="21"/>
  <c r="K387" i="21"/>
  <c r="L387" i="21"/>
  <c r="M387" i="21"/>
  <c r="N387" i="21"/>
  <c r="P387" i="21"/>
  <c r="K388" i="21"/>
  <c r="L388" i="21"/>
  <c r="M388" i="21"/>
  <c r="N388" i="21"/>
  <c r="P388" i="21"/>
  <c r="K389" i="21"/>
  <c r="L389" i="21"/>
  <c r="M389" i="21"/>
  <c r="N389" i="21"/>
  <c r="P389" i="21"/>
  <c r="K390" i="21"/>
  <c r="L390" i="21"/>
  <c r="M390" i="21"/>
  <c r="N390" i="21"/>
  <c r="P390" i="21"/>
  <c r="K391" i="21"/>
  <c r="L391" i="21"/>
  <c r="M391" i="21"/>
  <c r="N391" i="21"/>
  <c r="P391" i="21"/>
  <c r="K392" i="21"/>
  <c r="L392" i="21"/>
  <c r="M392" i="21"/>
  <c r="N392" i="21"/>
  <c r="P392" i="21"/>
  <c r="K393" i="21"/>
  <c r="L393" i="21"/>
  <c r="M393" i="21"/>
  <c r="N393" i="21"/>
  <c r="P393" i="21"/>
  <c r="K394" i="21"/>
  <c r="L394" i="21"/>
  <c r="M394" i="21"/>
  <c r="N394" i="21"/>
  <c r="P394" i="21"/>
  <c r="K395" i="21"/>
  <c r="L395" i="21"/>
  <c r="M395" i="21"/>
  <c r="N395" i="21"/>
  <c r="P395" i="21"/>
  <c r="K396" i="21"/>
  <c r="L396" i="21"/>
  <c r="M396" i="21"/>
  <c r="N396" i="21"/>
  <c r="P396" i="21"/>
  <c r="K397" i="21"/>
  <c r="L397" i="21"/>
  <c r="M397" i="21"/>
  <c r="N397" i="21"/>
  <c r="P397" i="21"/>
  <c r="K398" i="21"/>
  <c r="L398" i="21"/>
  <c r="M398" i="21"/>
  <c r="N398" i="21"/>
  <c r="P398" i="21"/>
  <c r="K399" i="21"/>
  <c r="L399" i="21"/>
  <c r="M399" i="21"/>
  <c r="N399" i="21"/>
  <c r="P399" i="21"/>
  <c r="K400" i="21"/>
  <c r="L400" i="21"/>
  <c r="M400" i="21"/>
  <c r="N400" i="21"/>
  <c r="P400" i="21"/>
  <c r="K401" i="21"/>
  <c r="L401" i="21"/>
  <c r="M401" i="21"/>
  <c r="N401" i="21"/>
  <c r="P401" i="21"/>
  <c r="K402" i="21"/>
  <c r="L402" i="21"/>
  <c r="M402" i="21"/>
  <c r="N402" i="21"/>
  <c r="P402" i="21"/>
  <c r="K403" i="21"/>
  <c r="L403" i="21"/>
  <c r="M403" i="21"/>
  <c r="N403" i="21"/>
  <c r="P403" i="21"/>
  <c r="K404" i="21"/>
  <c r="L404" i="21"/>
  <c r="M404" i="21"/>
  <c r="N404" i="21"/>
  <c r="P404" i="21"/>
  <c r="K405" i="21"/>
  <c r="L405" i="21"/>
  <c r="M405" i="21"/>
  <c r="N405" i="21"/>
  <c r="P405" i="21"/>
  <c r="K406" i="21"/>
  <c r="L406" i="21"/>
  <c r="M406" i="21"/>
  <c r="N406" i="21"/>
  <c r="P406" i="21"/>
  <c r="K407" i="21"/>
  <c r="L407" i="21"/>
  <c r="M407" i="21"/>
  <c r="N407" i="21"/>
  <c r="P407" i="21"/>
  <c r="K408" i="21"/>
  <c r="L408" i="21"/>
  <c r="M408" i="21"/>
  <c r="N408" i="21"/>
  <c r="P408" i="21"/>
  <c r="K409" i="21"/>
  <c r="L409" i="21"/>
  <c r="M409" i="21"/>
  <c r="N409" i="21"/>
  <c r="P409" i="21"/>
  <c r="K410" i="21"/>
  <c r="L410" i="21"/>
  <c r="M410" i="21"/>
  <c r="N410" i="21"/>
  <c r="P410" i="21"/>
  <c r="K411" i="21"/>
  <c r="L411" i="21"/>
  <c r="M411" i="21"/>
  <c r="N411" i="21"/>
  <c r="P411" i="21"/>
  <c r="K412" i="21"/>
  <c r="L412" i="21"/>
  <c r="M412" i="21"/>
  <c r="N412" i="21"/>
  <c r="P412" i="21"/>
  <c r="K413" i="21"/>
  <c r="L413" i="21"/>
  <c r="M413" i="21"/>
  <c r="N413" i="21"/>
  <c r="P413" i="21"/>
  <c r="K414" i="21"/>
  <c r="L414" i="21"/>
  <c r="M414" i="21"/>
  <c r="N414" i="21"/>
  <c r="P414" i="21"/>
  <c r="K415" i="21"/>
  <c r="L415" i="21"/>
  <c r="M415" i="21"/>
  <c r="N415" i="21"/>
  <c r="P415" i="21"/>
  <c r="K416" i="21"/>
  <c r="L416" i="21"/>
  <c r="M416" i="21"/>
  <c r="N416" i="21"/>
  <c r="P416" i="21"/>
  <c r="K417" i="21"/>
  <c r="L417" i="21"/>
  <c r="M417" i="21"/>
  <c r="N417" i="21"/>
  <c r="P417" i="21"/>
  <c r="K418" i="21"/>
  <c r="L418" i="21"/>
  <c r="M418" i="21"/>
  <c r="N418" i="21"/>
  <c r="P418" i="21"/>
  <c r="K419" i="21"/>
  <c r="L419" i="21"/>
  <c r="M419" i="21"/>
  <c r="N419" i="21"/>
  <c r="P419" i="21"/>
  <c r="K420" i="21"/>
  <c r="L420" i="21"/>
  <c r="M420" i="21"/>
  <c r="N420" i="21"/>
  <c r="P420" i="21"/>
  <c r="K421" i="21"/>
  <c r="L421" i="21"/>
  <c r="M421" i="21"/>
  <c r="N421" i="21"/>
  <c r="P421" i="21"/>
  <c r="K422" i="21"/>
  <c r="L422" i="21"/>
  <c r="M422" i="21"/>
  <c r="N422" i="21"/>
  <c r="P422" i="21"/>
  <c r="K423" i="21"/>
  <c r="L423" i="21"/>
  <c r="M423" i="21"/>
  <c r="N423" i="21"/>
  <c r="P423" i="21"/>
  <c r="K424" i="21"/>
  <c r="L424" i="21"/>
  <c r="M424" i="21"/>
  <c r="N424" i="21"/>
  <c r="P424" i="21"/>
  <c r="K425" i="21"/>
  <c r="L425" i="21"/>
  <c r="M425" i="21"/>
  <c r="N425" i="21"/>
  <c r="P425" i="21"/>
  <c r="K426" i="21"/>
  <c r="L426" i="21"/>
  <c r="M426" i="21"/>
  <c r="N426" i="21"/>
  <c r="P426" i="21"/>
  <c r="K427" i="21"/>
  <c r="L427" i="21"/>
  <c r="M427" i="21"/>
  <c r="N427" i="21"/>
  <c r="P427" i="21"/>
  <c r="K428" i="21"/>
  <c r="L428" i="21"/>
  <c r="M428" i="21"/>
  <c r="N428" i="21"/>
  <c r="P428" i="21"/>
  <c r="K429" i="21"/>
  <c r="L429" i="21"/>
  <c r="M429" i="21"/>
  <c r="N429" i="21"/>
  <c r="P429" i="21"/>
  <c r="K430" i="21"/>
  <c r="L430" i="21"/>
  <c r="M430" i="21"/>
  <c r="N430" i="21"/>
  <c r="P430" i="21"/>
  <c r="K431" i="21"/>
  <c r="L431" i="21"/>
  <c r="M431" i="21"/>
  <c r="N431" i="21"/>
  <c r="P431" i="21"/>
  <c r="K432" i="21"/>
  <c r="L432" i="21"/>
  <c r="M432" i="21"/>
  <c r="N432" i="21"/>
  <c r="P432" i="21"/>
  <c r="K433" i="21"/>
  <c r="L433" i="21"/>
  <c r="M433" i="21"/>
  <c r="N433" i="21"/>
  <c r="P433" i="21"/>
  <c r="K434" i="21"/>
  <c r="L434" i="21"/>
  <c r="M434" i="21"/>
  <c r="N434" i="21"/>
  <c r="P434" i="21"/>
  <c r="K435" i="21"/>
  <c r="L435" i="21"/>
  <c r="M435" i="21"/>
  <c r="N435" i="21"/>
  <c r="P435" i="21"/>
  <c r="K436" i="21"/>
  <c r="L436" i="21"/>
  <c r="M436" i="21"/>
  <c r="N436" i="21"/>
  <c r="P436" i="21"/>
  <c r="K437" i="21"/>
  <c r="L437" i="21"/>
  <c r="M437" i="21"/>
  <c r="N437" i="21"/>
  <c r="P437" i="21"/>
  <c r="K438" i="21"/>
  <c r="L438" i="21"/>
  <c r="M438" i="21"/>
  <c r="N438" i="21"/>
  <c r="P438" i="21"/>
  <c r="K439" i="21"/>
  <c r="L439" i="21"/>
  <c r="M439" i="21"/>
  <c r="N439" i="21"/>
  <c r="P439" i="21"/>
  <c r="K440" i="21"/>
  <c r="L440" i="21"/>
  <c r="M440" i="21"/>
  <c r="N440" i="21"/>
  <c r="P440" i="21"/>
  <c r="K441" i="21"/>
  <c r="L441" i="21"/>
  <c r="M441" i="21"/>
  <c r="N441" i="21"/>
  <c r="P441" i="21"/>
  <c r="K442" i="21"/>
  <c r="L442" i="21"/>
  <c r="M442" i="21"/>
  <c r="N442" i="21"/>
  <c r="P442" i="21"/>
  <c r="K443" i="21"/>
  <c r="L443" i="21"/>
  <c r="M443" i="21"/>
  <c r="N443" i="21"/>
  <c r="P443" i="21"/>
  <c r="K444" i="21"/>
  <c r="L444" i="21"/>
  <c r="M444" i="21"/>
  <c r="N444" i="21"/>
  <c r="P444" i="21"/>
  <c r="K445" i="21"/>
  <c r="L445" i="21"/>
  <c r="M445" i="21"/>
  <c r="N445" i="21"/>
  <c r="P445" i="21"/>
  <c r="K446" i="21"/>
  <c r="L446" i="21"/>
  <c r="M446" i="21"/>
  <c r="N446" i="21"/>
  <c r="P446" i="21"/>
  <c r="K447" i="21"/>
  <c r="L447" i="21"/>
  <c r="M447" i="21"/>
  <c r="N447" i="21"/>
  <c r="P447" i="21"/>
  <c r="K448" i="21"/>
  <c r="L448" i="21"/>
  <c r="M448" i="21"/>
  <c r="N448" i="21"/>
  <c r="P448" i="21"/>
  <c r="K449" i="21"/>
  <c r="L449" i="21"/>
  <c r="M449" i="21"/>
  <c r="N449" i="21"/>
  <c r="P449" i="21"/>
  <c r="K450" i="21"/>
  <c r="L450" i="21"/>
  <c r="M450" i="21"/>
  <c r="N450" i="21"/>
  <c r="P450" i="21"/>
  <c r="K451" i="21"/>
  <c r="L451" i="21"/>
  <c r="M451" i="21"/>
  <c r="N451" i="21"/>
  <c r="P451" i="21"/>
  <c r="K452" i="21"/>
  <c r="L452" i="21"/>
  <c r="M452" i="21"/>
  <c r="N452" i="21"/>
  <c r="P452" i="21"/>
  <c r="K453" i="21"/>
  <c r="L453" i="21"/>
  <c r="M453" i="21"/>
  <c r="N453" i="21"/>
  <c r="P453" i="21"/>
  <c r="K454" i="21"/>
  <c r="L454" i="21"/>
  <c r="M454" i="21"/>
  <c r="N454" i="21"/>
  <c r="P454" i="21"/>
  <c r="K455" i="21"/>
  <c r="L455" i="21"/>
  <c r="M455" i="21"/>
  <c r="N455" i="21"/>
  <c r="P455" i="21"/>
  <c r="K456" i="21"/>
  <c r="L456" i="21"/>
  <c r="M456" i="21"/>
  <c r="N456" i="21"/>
  <c r="P456" i="21"/>
  <c r="K457" i="21"/>
  <c r="L457" i="21"/>
  <c r="M457" i="21"/>
  <c r="N457" i="21"/>
  <c r="P457" i="21"/>
  <c r="K458" i="21"/>
  <c r="L458" i="21"/>
  <c r="M458" i="21"/>
  <c r="N458" i="21"/>
  <c r="P458" i="21"/>
  <c r="K459" i="21"/>
  <c r="L459" i="21"/>
  <c r="M459" i="21"/>
  <c r="N459" i="21"/>
  <c r="P459" i="21"/>
  <c r="K460" i="21"/>
  <c r="L460" i="21"/>
  <c r="M460" i="21"/>
  <c r="N460" i="21"/>
  <c r="P460" i="21"/>
  <c r="K461" i="21"/>
  <c r="L461" i="21"/>
  <c r="M461" i="21"/>
  <c r="N461" i="21"/>
  <c r="P461" i="21"/>
  <c r="K462" i="21"/>
  <c r="L462" i="21"/>
  <c r="M462" i="21"/>
  <c r="N462" i="21"/>
  <c r="P462" i="21"/>
  <c r="K463" i="21"/>
  <c r="L463" i="21"/>
  <c r="M463" i="21"/>
  <c r="N463" i="21"/>
  <c r="P463" i="21"/>
  <c r="K464" i="21"/>
  <c r="L464" i="21"/>
  <c r="M464" i="21"/>
  <c r="N464" i="21"/>
  <c r="P464" i="21"/>
  <c r="K465" i="21"/>
  <c r="L465" i="21"/>
  <c r="M465" i="21"/>
  <c r="N465" i="21"/>
  <c r="P465" i="21"/>
  <c r="K466" i="21"/>
  <c r="L466" i="21"/>
  <c r="M466" i="21"/>
  <c r="N466" i="21"/>
  <c r="P466" i="21"/>
  <c r="K467" i="21"/>
  <c r="L467" i="21"/>
  <c r="M467" i="21"/>
  <c r="N467" i="21"/>
  <c r="P467" i="21"/>
  <c r="K468" i="21"/>
  <c r="L468" i="21"/>
  <c r="M468" i="21"/>
  <c r="N468" i="21"/>
  <c r="P468" i="21"/>
  <c r="K469" i="21"/>
  <c r="L469" i="21"/>
  <c r="M469" i="21"/>
  <c r="N469" i="21"/>
  <c r="P469" i="21"/>
  <c r="K470" i="21"/>
  <c r="L470" i="21"/>
  <c r="M470" i="21"/>
  <c r="N470" i="21"/>
  <c r="P470" i="21"/>
  <c r="K471" i="21"/>
  <c r="L471" i="21"/>
  <c r="M471" i="21"/>
  <c r="N471" i="21"/>
  <c r="P471" i="21"/>
  <c r="K472" i="21"/>
  <c r="L472" i="21"/>
  <c r="M472" i="21"/>
  <c r="N472" i="21"/>
  <c r="P472" i="21"/>
  <c r="K473" i="21"/>
  <c r="L473" i="21"/>
  <c r="M473" i="21"/>
  <c r="N473" i="21"/>
  <c r="P473" i="21"/>
  <c r="K474" i="21"/>
  <c r="L474" i="21"/>
  <c r="M474" i="21"/>
  <c r="N474" i="21"/>
  <c r="P474" i="21"/>
  <c r="K475" i="21"/>
  <c r="L475" i="21"/>
  <c r="M475" i="21"/>
  <c r="N475" i="21"/>
  <c r="P475" i="21"/>
  <c r="K476" i="21"/>
  <c r="L476" i="21"/>
  <c r="M476" i="21"/>
  <c r="N476" i="21"/>
  <c r="P476" i="21"/>
  <c r="K477" i="21"/>
  <c r="L477" i="21"/>
  <c r="M477" i="21"/>
  <c r="N477" i="21"/>
  <c r="P477" i="21"/>
  <c r="K478" i="21"/>
  <c r="L478" i="21"/>
  <c r="M478" i="21"/>
  <c r="N478" i="21"/>
  <c r="P478" i="21"/>
  <c r="K479" i="21"/>
  <c r="L479" i="21"/>
  <c r="M479" i="21"/>
  <c r="N479" i="21"/>
  <c r="P479" i="21"/>
  <c r="K480" i="21"/>
  <c r="L480" i="21"/>
  <c r="M480" i="21"/>
  <c r="N480" i="21"/>
  <c r="P480" i="21"/>
  <c r="K481" i="21"/>
  <c r="L481" i="21"/>
  <c r="M481" i="21"/>
  <c r="N481" i="21"/>
  <c r="P481" i="21"/>
  <c r="K482" i="21"/>
  <c r="L482" i="21"/>
  <c r="M482" i="21"/>
  <c r="N482" i="21"/>
  <c r="P482" i="21"/>
  <c r="K483" i="21"/>
  <c r="L483" i="21"/>
  <c r="M483" i="21"/>
  <c r="N483" i="21"/>
  <c r="P483" i="21"/>
  <c r="K484" i="21"/>
  <c r="L484" i="21"/>
  <c r="M484" i="21"/>
  <c r="N484" i="21"/>
  <c r="P484" i="21"/>
  <c r="K485" i="21"/>
  <c r="L485" i="21"/>
  <c r="M485" i="21"/>
  <c r="N485" i="21"/>
  <c r="P485" i="21"/>
  <c r="K486" i="21"/>
  <c r="L486" i="21"/>
  <c r="M486" i="21"/>
  <c r="N486" i="21"/>
  <c r="P486" i="21"/>
  <c r="K487" i="21"/>
  <c r="L487" i="21"/>
  <c r="M487" i="21"/>
  <c r="N487" i="21"/>
  <c r="P487" i="21"/>
  <c r="K488" i="21"/>
  <c r="L488" i="21"/>
  <c r="M488" i="21"/>
  <c r="N488" i="21"/>
  <c r="P488" i="21"/>
  <c r="K489" i="21"/>
  <c r="L489" i="21"/>
  <c r="M489" i="21"/>
  <c r="N489" i="21"/>
  <c r="P489" i="21"/>
  <c r="K490" i="21"/>
  <c r="L490" i="21"/>
  <c r="M490" i="21"/>
  <c r="N490" i="21"/>
  <c r="P490" i="21"/>
  <c r="K491" i="21"/>
  <c r="L491" i="21"/>
  <c r="M491" i="21"/>
  <c r="N491" i="21"/>
  <c r="P491" i="21"/>
  <c r="K492" i="21"/>
  <c r="L492" i="21"/>
  <c r="M492" i="21"/>
  <c r="N492" i="21"/>
  <c r="P492" i="21"/>
  <c r="K493" i="21"/>
  <c r="L493" i="21"/>
  <c r="M493" i="21"/>
  <c r="N493" i="21"/>
  <c r="P493" i="21"/>
  <c r="K494" i="21"/>
  <c r="L494" i="21"/>
  <c r="M494" i="21"/>
  <c r="N494" i="21"/>
  <c r="P494" i="21"/>
  <c r="K495" i="21"/>
  <c r="L495" i="21"/>
  <c r="M495" i="21"/>
  <c r="N495" i="21"/>
  <c r="P495" i="21"/>
  <c r="K496" i="21"/>
  <c r="L496" i="21"/>
  <c r="M496" i="21"/>
  <c r="N496" i="21"/>
  <c r="P496" i="21"/>
  <c r="K497" i="21"/>
  <c r="L497" i="21"/>
  <c r="M497" i="21"/>
  <c r="N497" i="21"/>
  <c r="P497" i="21"/>
  <c r="K498" i="21"/>
  <c r="L498" i="21"/>
  <c r="M498" i="21"/>
  <c r="N498" i="21"/>
  <c r="P498" i="21"/>
  <c r="K499" i="21"/>
  <c r="L499" i="21"/>
  <c r="M499" i="21"/>
  <c r="N499" i="21"/>
  <c r="P499" i="21"/>
  <c r="K500" i="21"/>
  <c r="L500" i="21"/>
  <c r="M500" i="21"/>
  <c r="N500" i="21"/>
  <c r="P500" i="21"/>
  <c r="K501" i="21"/>
  <c r="L501" i="21"/>
  <c r="M501" i="21"/>
  <c r="N501" i="21"/>
  <c r="P501" i="21"/>
  <c r="K502" i="21"/>
  <c r="L502" i="21"/>
  <c r="M502" i="21"/>
  <c r="N502" i="21"/>
  <c r="P502" i="21"/>
  <c r="K503" i="21"/>
  <c r="L503" i="21"/>
  <c r="M503" i="21"/>
  <c r="N503" i="21"/>
  <c r="P503" i="21"/>
  <c r="K504" i="21"/>
  <c r="L504" i="21"/>
  <c r="M504" i="21"/>
  <c r="N504" i="21"/>
  <c r="P504" i="21"/>
  <c r="K505" i="21"/>
  <c r="L505" i="21"/>
  <c r="M505" i="21"/>
  <c r="N505" i="21"/>
  <c r="P505" i="21"/>
  <c r="K506" i="21"/>
  <c r="L506" i="21"/>
  <c r="M506" i="21"/>
  <c r="N506" i="21"/>
  <c r="P506" i="21"/>
  <c r="K507" i="21"/>
  <c r="L507" i="21"/>
  <c r="M507" i="21"/>
  <c r="N507" i="21"/>
  <c r="P507" i="21"/>
  <c r="K508" i="21"/>
  <c r="L508" i="21"/>
  <c r="M508" i="21"/>
  <c r="N508" i="21"/>
  <c r="P508" i="21"/>
  <c r="K509" i="21"/>
  <c r="L509" i="21"/>
  <c r="M509" i="21"/>
  <c r="N509" i="21"/>
  <c r="P509" i="21"/>
  <c r="K510" i="21"/>
  <c r="L510" i="21"/>
  <c r="M510" i="21"/>
  <c r="N510" i="21"/>
  <c r="P510" i="21"/>
  <c r="K511" i="21"/>
  <c r="L511" i="21"/>
  <c r="M511" i="21"/>
  <c r="N511" i="21"/>
  <c r="P511" i="21"/>
  <c r="K512" i="21"/>
  <c r="L512" i="21"/>
  <c r="M512" i="21"/>
  <c r="N512" i="21"/>
  <c r="P512" i="21"/>
  <c r="K513" i="21"/>
  <c r="L513" i="21"/>
  <c r="M513" i="21"/>
  <c r="N513" i="21"/>
  <c r="P513" i="21"/>
  <c r="K514" i="21"/>
  <c r="L514" i="21"/>
  <c r="M514" i="21"/>
  <c r="N514" i="21"/>
  <c r="P514" i="21"/>
  <c r="K515" i="21"/>
  <c r="L515" i="21"/>
  <c r="M515" i="21"/>
  <c r="N515" i="21"/>
  <c r="P515" i="21"/>
  <c r="K516" i="21"/>
  <c r="L516" i="21"/>
  <c r="M516" i="21"/>
  <c r="N516" i="21"/>
  <c r="P516" i="21"/>
  <c r="K517" i="21"/>
  <c r="L517" i="21"/>
  <c r="M517" i="21"/>
  <c r="N517" i="21"/>
  <c r="P517" i="21"/>
  <c r="K518" i="21"/>
  <c r="L518" i="21"/>
  <c r="M518" i="21"/>
  <c r="N518" i="21"/>
  <c r="P518" i="21"/>
  <c r="K519" i="21"/>
  <c r="L519" i="21"/>
  <c r="M519" i="21"/>
  <c r="N519" i="21"/>
  <c r="P519" i="21"/>
  <c r="K520" i="21"/>
  <c r="L520" i="21"/>
  <c r="M520" i="21"/>
  <c r="N520" i="21"/>
  <c r="P520" i="21"/>
  <c r="K521" i="21"/>
  <c r="L521" i="21"/>
  <c r="M521" i="21"/>
  <c r="N521" i="21"/>
  <c r="P521" i="21"/>
  <c r="K522" i="21"/>
  <c r="L522" i="21"/>
  <c r="M522" i="21"/>
  <c r="N522" i="21"/>
  <c r="P522" i="21"/>
  <c r="K523" i="21"/>
  <c r="L523" i="21"/>
  <c r="M523" i="21"/>
  <c r="N523" i="21"/>
  <c r="P523" i="21"/>
  <c r="K524" i="21"/>
  <c r="L524" i="21"/>
  <c r="M524" i="21"/>
  <c r="N524" i="21"/>
  <c r="P524" i="21"/>
  <c r="K525" i="21"/>
  <c r="L525" i="21"/>
  <c r="M525" i="21"/>
  <c r="N525" i="21"/>
  <c r="P525" i="21"/>
  <c r="K526" i="21"/>
  <c r="L526" i="21"/>
  <c r="M526" i="21"/>
  <c r="N526" i="21"/>
  <c r="P526" i="21"/>
  <c r="K527" i="21"/>
  <c r="L527" i="21"/>
  <c r="M527" i="21"/>
  <c r="N527" i="21"/>
  <c r="P527" i="21"/>
  <c r="K528" i="21"/>
  <c r="L528" i="21"/>
  <c r="M528" i="21"/>
  <c r="N528" i="21"/>
  <c r="P528" i="21"/>
  <c r="K529" i="21"/>
  <c r="L529" i="21"/>
  <c r="M529" i="21"/>
  <c r="N529" i="21"/>
  <c r="P529" i="21"/>
  <c r="K530" i="21"/>
  <c r="L530" i="21"/>
  <c r="M530" i="21"/>
  <c r="N530" i="21"/>
  <c r="P530" i="21"/>
  <c r="K531" i="21"/>
  <c r="L531" i="21"/>
  <c r="M531" i="21"/>
  <c r="N531" i="21"/>
  <c r="P531" i="21"/>
  <c r="K532" i="21"/>
  <c r="L532" i="21"/>
  <c r="M532" i="21"/>
  <c r="N532" i="21"/>
  <c r="P532" i="21"/>
  <c r="K533" i="21"/>
  <c r="L533" i="21"/>
  <c r="M533" i="21"/>
  <c r="N533" i="21"/>
  <c r="P533" i="21"/>
  <c r="K534" i="21"/>
  <c r="L534" i="21"/>
  <c r="M534" i="21"/>
  <c r="N534" i="21"/>
  <c r="P534" i="21"/>
  <c r="K535" i="21"/>
  <c r="L535" i="21"/>
  <c r="M535" i="21"/>
  <c r="N535" i="21"/>
  <c r="P535" i="21"/>
  <c r="K536" i="21"/>
  <c r="L536" i="21"/>
  <c r="M536" i="21"/>
  <c r="N536" i="21"/>
  <c r="P536" i="21"/>
  <c r="K537" i="21"/>
  <c r="L537" i="21"/>
  <c r="M537" i="21"/>
  <c r="N537" i="21"/>
  <c r="P537" i="21"/>
  <c r="K538" i="21"/>
  <c r="L538" i="21"/>
  <c r="M538" i="21"/>
  <c r="N538" i="21"/>
  <c r="P538" i="21"/>
  <c r="K539" i="21"/>
  <c r="L539" i="21"/>
  <c r="M539" i="21"/>
  <c r="N539" i="21"/>
  <c r="P539" i="21"/>
  <c r="K540" i="21"/>
  <c r="L540" i="21"/>
  <c r="M540" i="21"/>
  <c r="N540" i="21"/>
  <c r="P540" i="21"/>
  <c r="K541" i="21"/>
  <c r="L541" i="21"/>
  <c r="M541" i="21"/>
  <c r="N541" i="21"/>
  <c r="P541" i="21"/>
  <c r="K542" i="21"/>
  <c r="L542" i="21"/>
  <c r="M542" i="21"/>
  <c r="N542" i="21"/>
  <c r="P542" i="21"/>
  <c r="K543" i="21"/>
  <c r="L543" i="21"/>
  <c r="M543" i="21"/>
  <c r="N543" i="21"/>
  <c r="P543" i="21"/>
  <c r="K544" i="21"/>
  <c r="L544" i="21"/>
  <c r="M544" i="21"/>
  <c r="N544" i="21"/>
  <c r="P544" i="21"/>
  <c r="K545" i="21"/>
  <c r="L545" i="21"/>
  <c r="M545" i="21"/>
  <c r="N545" i="21"/>
  <c r="P545" i="21"/>
  <c r="K546" i="21"/>
  <c r="L546" i="21"/>
  <c r="M546" i="21"/>
  <c r="N546" i="21"/>
  <c r="P546" i="21"/>
  <c r="K547" i="21"/>
  <c r="L547" i="21"/>
  <c r="M547" i="21"/>
  <c r="N547" i="21"/>
  <c r="P547" i="21"/>
  <c r="K548" i="21"/>
  <c r="L548" i="21"/>
  <c r="M548" i="21"/>
  <c r="N548" i="21"/>
  <c r="P548" i="21"/>
  <c r="K549" i="21"/>
  <c r="L549" i="21"/>
  <c r="M549" i="21"/>
  <c r="N549" i="21"/>
  <c r="P549" i="21"/>
  <c r="K550" i="21"/>
  <c r="L550" i="21"/>
  <c r="M550" i="21"/>
  <c r="N550" i="21"/>
  <c r="P550" i="21"/>
  <c r="K551" i="21"/>
  <c r="L551" i="21"/>
  <c r="M551" i="21"/>
  <c r="N551" i="21"/>
  <c r="P551" i="21"/>
  <c r="K552" i="21"/>
  <c r="L552" i="21"/>
  <c r="M552" i="21"/>
  <c r="N552" i="21"/>
  <c r="P552" i="21"/>
  <c r="K553" i="21"/>
  <c r="L553" i="21"/>
  <c r="M553" i="21"/>
  <c r="N553" i="21"/>
  <c r="P553" i="21"/>
  <c r="K554" i="21"/>
  <c r="L554" i="21"/>
  <c r="M554" i="21"/>
  <c r="N554" i="21"/>
  <c r="P554" i="21"/>
  <c r="K555" i="21"/>
  <c r="L555" i="21"/>
  <c r="M555" i="21"/>
  <c r="N555" i="21"/>
  <c r="P555" i="21"/>
  <c r="K556" i="21"/>
  <c r="L556" i="21"/>
  <c r="M556" i="21"/>
  <c r="N556" i="21"/>
  <c r="P556" i="21"/>
  <c r="K557" i="21"/>
  <c r="L557" i="21"/>
  <c r="M557" i="21"/>
  <c r="N557" i="21"/>
  <c r="P557" i="21"/>
  <c r="K558" i="21"/>
  <c r="L558" i="21"/>
  <c r="M558" i="21"/>
  <c r="N558" i="21"/>
  <c r="P558" i="21"/>
  <c r="K559" i="21"/>
  <c r="L559" i="21"/>
  <c r="M559" i="21"/>
  <c r="N559" i="21"/>
  <c r="P559" i="21"/>
  <c r="K560" i="21"/>
  <c r="L560" i="21"/>
  <c r="M560" i="21"/>
  <c r="N560" i="21"/>
  <c r="P560" i="21"/>
  <c r="K561" i="21"/>
  <c r="L561" i="21"/>
  <c r="M561" i="21"/>
  <c r="N561" i="21"/>
  <c r="P561" i="21"/>
  <c r="K562" i="21"/>
  <c r="L562" i="21"/>
  <c r="M562" i="21"/>
  <c r="N562" i="21"/>
  <c r="P562" i="21"/>
  <c r="K563" i="21"/>
  <c r="L563" i="21"/>
  <c r="M563" i="21"/>
  <c r="N563" i="21"/>
  <c r="P563" i="21"/>
  <c r="K564" i="21"/>
  <c r="L564" i="21"/>
  <c r="M564" i="21"/>
  <c r="N564" i="21"/>
  <c r="P564" i="21"/>
  <c r="K565" i="21"/>
  <c r="L565" i="21"/>
  <c r="M565" i="21"/>
  <c r="N565" i="21"/>
  <c r="P565" i="21"/>
  <c r="K566" i="21"/>
  <c r="L566" i="21"/>
  <c r="M566" i="21"/>
  <c r="N566" i="21"/>
  <c r="P566" i="21"/>
  <c r="K567" i="21"/>
  <c r="L567" i="21"/>
  <c r="M567" i="21"/>
  <c r="N567" i="21"/>
  <c r="P567" i="21"/>
  <c r="K568" i="21"/>
  <c r="L568" i="21"/>
  <c r="M568" i="21"/>
  <c r="N568" i="21"/>
  <c r="P568" i="21"/>
  <c r="K569" i="21"/>
  <c r="L569" i="21"/>
  <c r="M569" i="21"/>
  <c r="N569" i="21"/>
  <c r="P569" i="21"/>
  <c r="K570" i="21"/>
  <c r="L570" i="21"/>
  <c r="M570" i="21"/>
  <c r="N570" i="21"/>
  <c r="P570" i="21"/>
  <c r="K571" i="21"/>
  <c r="L571" i="21"/>
  <c r="M571" i="21"/>
  <c r="N571" i="21"/>
  <c r="P571" i="21"/>
  <c r="K572" i="21"/>
  <c r="L572" i="21"/>
  <c r="M572" i="21"/>
  <c r="N572" i="21"/>
  <c r="P572" i="21"/>
  <c r="K573" i="21"/>
  <c r="L573" i="21"/>
  <c r="M573" i="21"/>
  <c r="N573" i="21"/>
  <c r="P573" i="21"/>
  <c r="K574" i="21"/>
  <c r="L574" i="21"/>
  <c r="M574" i="21"/>
  <c r="N574" i="21"/>
  <c r="P574" i="21"/>
  <c r="K575" i="21"/>
  <c r="L575" i="21"/>
  <c r="M575" i="21"/>
  <c r="N575" i="21"/>
  <c r="P575" i="21"/>
  <c r="K576" i="21"/>
  <c r="L576" i="21"/>
  <c r="M576" i="21"/>
  <c r="N576" i="21"/>
  <c r="P576" i="21"/>
  <c r="K577" i="21"/>
  <c r="L577" i="21"/>
  <c r="M577" i="21"/>
  <c r="N577" i="21"/>
  <c r="P577" i="21"/>
  <c r="K578" i="21"/>
  <c r="L578" i="21"/>
  <c r="M578" i="21"/>
  <c r="N578" i="21"/>
  <c r="P578" i="21"/>
  <c r="K579" i="21"/>
  <c r="L579" i="21"/>
  <c r="M579" i="21"/>
  <c r="N579" i="21"/>
  <c r="P579" i="21"/>
  <c r="K580" i="21"/>
  <c r="L580" i="21"/>
  <c r="M580" i="21"/>
  <c r="N580" i="21"/>
  <c r="P580" i="21"/>
  <c r="K581" i="21"/>
  <c r="L581" i="21"/>
  <c r="M581" i="21"/>
  <c r="N581" i="21"/>
  <c r="P581" i="21"/>
  <c r="K582" i="21"/>
  <c r="L582" i="21"/>
  <c r="M582" i="21"/>
  <c r="N582" i="21"/>
  <c r="P582" i="21"/>
  <c r="K583" i="21"/>
  <c r="L583" i="21"/>
  <c r="M583" i="21"/>
  <c r="N583" i="21"/>
  <c r="P583" i="21"/>
  <c r="K584" i="21"/>
  <c r="L584" i="21"/>
  <c r="M584" i="21"/>
  <c r="N584" i="21"/>
  <c r="P584" i="21"/>
  <c r="K585" i="21"/>
  <c r="L585" i="21"/>
  <c r="M585" i="21"/>
  <c r="N585" i="21"/>
  <c r="P585" i="21"/>
  <c r="K586" i="21"/>
  <c r="L586" i="21"/>
  <c r="M586" i="21"/>
  <c r="N586" i="21"/>
  <c r="P586" i="21"/>
  <c r="K587" i="21"/>
  <c r="L587" i="21"/>
  <c r="M587" i="21"/>
  <c r="N587" i="21"/>
  <c r="P587" i="21"/>
  <c r="K588" i="21"/>
  <c r="L588" i="21"/>
  <c r="M588" i="21"/>
  <c r="N588" i="21"/>
  <c r="P588" i="21"/>
  <c r="K589" i="21"/>
  <c r="L589" i="21"/>
  <c r="M589" i="21"/>
  <c r="N589" i="21"/>
  <c r="P589" i="21"/>
  <c r="K590" i="21"/>
  <c r="L590" i="21"/>
  <c r="M590" i="21"/>
  <c r="N590" i="21"/>
  <c r="P590" i="21"/>
  <c r="K591" i="21"/>
  <c r="L591" i="21"/>
  <c r="M591" i="21"/>
  <c r="N591" i="21"/>
  <c r="P591" i="21"/>
  <c r="K592" i="21"/>
  <c r="L592" i="21"/>
  <c r="M592" i="21"/>
  <c r="N592" i="21"/>
  <c r="P592" i="21"/>
  <c r="K593" i="21"/>
  <c r="L593" i="21"/>
  <c r="M593" i="21"/>
  <c r="N593" i="21"/>
  <c r="P593" i="21"/>
  <c r="K594" i="21"/>
  <c r="L594" i="21"/>
  <c r="M594" i="21"/>
  <c r="N594" i="21"/>
  <c r="P594" i="21"/>
  <c r="K595" i="21"/>
  <c r="L595" i="21"/>
  <c r="M595" i="21"/>
  <c r="N595" i="21"/>
  <c r="P595" i="21"/>
  <c r="K596" i="21"/>
  <c r="L596" i="21"/>
  <c r="M596" i="21"/>
  <c r="N596" i="21"/>
  <c r="P596" i="21"/>
  <c r="K597" i="21"/>
  <c r="L597" i="21"/>
  <c r="M597" i="21"/>
  <c r="N597" i="21"/>
  <c r="P597" i="21"/>
  <c r="K598" i="21"/>
  <c r="L598" i="21"/>
  <c r="M598" i="21"/>
  <c r="N598" i="21"/>
  <c r="P598" i="21"/>
  <c r="K599" i="21"/>
  <c r="L599" i="21"/>
  <c r="M599" i="21"/>
  <c r="N599" i="21"/>
  <c r="P599" i="21"/>
  <c r="K600" i="21"/>
  <c r="L600" i="21"/>
  <c r="M600" i="21"/>
  <c r="N600" i="21"/>
  <c r="P600" i="21"/>
  <c r="R2" i="21"/>
  <c r="R3" i="21"/>
  <c r="R4" i="21"/>
  <c r="R5" i="21"/>
  <c r="R6" i="21"/>
  <c r="R7" i="21"/>
  <c r="R8" i="21"/>
  <c r="R9" i="21"/>
  <c r="R10" i="21"/>
  <c r="R11" i="21"/>
  <c r="R12" i="21"/>
  <c r="R13" i="21"/>
  <c r="R14" i="21"/>
  <c r="R15" i="21"/>
  <c r="R16" i="21"/>
  <c r="R17" i="21"/>
  <c r="R18" i="21"/>
  <c r="R19" i="21"/>
  <c r="R20" i="21"/>
  <c r="R21" i="21"/>
  <c r="R22" i="21"/>
  <c r="R23" i="21"/>
  <c r="R24" i="21"/>
  <c r="R25" i="21"/>
  <c r="R26" i="21"/>
  <c r="R27" i="21"/>
  <c r="R28" i="21"/>
  <c r="R29" i="21"/>
  <c r="R30" i="21"/>
  <c r="R31" i="21"/>
  <c r="R32" i="21"/>
  <c r="R33" i="21"/>
  <c r="R34" i="21"/>
  <c r="R35" i="21"/>
  <c r="R36" i="21"/>
  <c r="R37" i="21"/>
  <c r="R38" i="21"/>
  <c r="R39" i="21"/>
  <c r="R40" i="21"/>
  <c r="R41" i="21"/>
  <c r="R42" i="21"/>
  <c r="R43" i="21"/>
  <c r="R44" i="21"/>
  <c r="R45" i="21"/>
  <c r="R46" i="21"/>
  <c r="R47" i="21"/>
  <c r="R48" i="21"/>
  <c r="R49" i="21"/>
  <c r="R50" i="21"/>
  <c r="R51" i="21"/>
  <c r="R52" i="21"/>
  <c r="R53" i="21"/>
  <c r="R54" i="21"/>
  <c r="R55" i="21"/>
  <c r="R56" i="21"/>
  <c r="R57" i="21"/>
  <c r="R58" i="21"/>
  <c r="R59" i="21"/>
  <c r="R60" i="21"/>
  <c r="R61" i="21"/>
  <c r="R62" i="21"/>
  <c r="R63" i="21"/>
  <c r="R64" i="21"/>
  <c r="R65" i="21"/>
  <c r="R66" i="21"/>
  <c r="R67" i="21"/>
  <c r="R68" i="21"/>
  <c r="R69" i="21"/>
  <c r="R70" i="21"/>
  <c r="R71" i="21"/>
  <c r="R72" i="21"/>
  <c r="R73" i="21"/>
  <c r="R74" i="21"/>
  <c r="R75" i="21"/>
  <c r="R76" i="21"/>
  <c r="R77" i="21"/>
  <c r="R78" i="21"/>
  <c r="R79" i="21"/>
  <c r="R80" i="21"/>
  <c r="R81" i="21"/>
  <c r="R82" i="21"/>
  <c r="R83" i="21"/>
  <c r="R84" i="21"/>
  <c r="R85" i="21"/>
  <c r="R86" i="21"/>
  <c r="R87" i="21"/>
  <c r="R88" i="21"/>
  <c r="R89" i="21"/>
  <c r="R90" i="21"/>
  <c r="R91" i="21"/>
  <c r="R92" i="21"/>
  <c r="R93" i="21"/>
  <c r="R94" i="21"/>
  <c r="R95" i="21"/>
  <c r="R96" i="21"/>
  <c r="R97" i="21"/>
  <c r="R98" i="21"/>
  <c r="R99" i="21"/>
  <c r="R100" i="21"/>
  <c r="R101" i="21"/>
  <c r="R102" i="21"/>
  <c r="R103" i="21"/>
  <c r="R104" i="21"/>
  <c r="R105" i="21"/>
  <c r="R106" i="21"/>
  <c r="R107" i="21"/>
  <c r="R108" i="21"/>
  <c r="R109" i="21"/>
  <c r="R110" i="21"/>
  <c r="R111" i="21"/>
  <c r="R112" i="21"/>
  <c r="R113" i="21"/>
  <c r="R114" i="21"/>
  <c r="R115" i="21"/>
  <c r="R116" i="21"/>
  <c r="R117" i="21"/>
  <c r="R118" i="21"/>
  <c r="R119" i="21"/>
  <c r="R120" i="21"/>
  <c r="R121" i="21"/>
  <c r="R122" i="21"/>
  <c r="R123" i="21"/>
  <c r="R124" i="21"/>
  <c r="R125" i="21"/>
  <c r="R126" i="21"/>
  <c r="R127" i="21"/>
  <c r="R128" i="21"/>
  <c r="R129" i="21"/>
  <c r="R130" i="21"/>
  <c r="R131" i="21"/>
  <c r="R132" i="21"/>
  <c r="R133" i="21"/>
  <c r="R134" i="21"/>
  <c r="R135" i="21"/>
  <c r="R136" i="21"/>
  <c r="R137" i="21"/>
  <c r="R138" i="21"/>
  <c r="R139" i="21"/>
  <c r="R140" i="21"/>
  <c r="R141" i="21"/>
  <c r="R142" i="21"/>
  <c r="R143" i="21"/>
  <c r="R144" i="21"/>
  <c r="R145" i="21"/>
  <c r="R146" i="21"/>
  <c r="R147" i="21"/>
  <c r="R148" i="21"/>
  <c r="R149" i="21"/>
  <c r="R150" i="21"/>
  <c r="R151" i="21"/>
  <c r="R152" i="21"/>
  <c r="R153" i="21"/>
  <c r="R154" i="21"/>
  <c r="R155" i="21"/>
  <c r="R156" i="21"/>
  <c r="R157" i="21"/>
  <c r="R158" i="21"/>
  <c r="R159" i="21"/>
  <c r="R160" i="21"/>
  <c r="R161" i="21"/>
  <c r="R162" i="21"/>
  <c r="R163" i="21"/>
  <c r="R164" i="21"/>
  <c r="R165" i="21"/>
  <c r="R166" i="21"/>
  <c r="R167" i="21"/>
  <c r="R168" i="21"/>
  <c r="R169" i="21"/>
  <c r="R170" i="21"/>
  <c r="R171" i="21"/>
  <c r="R172" i="21"/>
  <c r="R173" i="21"/>
  <c r="R174" i="21"/>
  <c r="R175" i="21"/>
  <c r="R176" i="21"/>
  <c r="R177" i="21"/>
  <c r="R178" i="21"/>
  <c r="R179" i="21"/>
  <c r="R180" i="21"/>
  <c r="R181" i="21"/>
  <c r="R182" i="21"/>
  <c r="R183" i="21"/>
  <c r="R184" i="21"/>
  <c r="R185" i="21"/>
  <c r="R186" i="21"/>
  <c r="R187" i="21"/>
  <c r="R188" i="21"/>
  <c r="R189" i="21"/>
  <c r="R190" i="21"/>
  <c r="R191" i="21"/>
  <c r="R192" i="21"/>
  <c r="R193" i="21"/>
  <c r="R194" i="21"/>
  <c r="R195" i="21"/>
  <c r="R196" i="21"/>
  <c r="R197" i="21"/>
  <c r="R198" i="21"/>
  <c r="R199" i="21"/>
  <c r="R200" i="21"/>
  <c r="R201" i="21"/>
  <c r="R202" i="21"/>
  <c r="R203" i="21"/>
  <c r="R204" i="21"/>
  <c r="R205" i="21"/>
  <c r="R206" i="21"/>
  <c r="R207" i="21"/>
  <c r="R208" i="21"/>
  <c r="R209" i="21"/>
  <c r="R210" i="21"/>
  <c r="R211" i="21"/>
  <c r="R212" i="21"/>
  <c r="R213" i="21"/>
  <c r="R214" i="21"/>
  <c r="R215" i="21"/>
  <c r="R216" i="21"/>
  <c r="R217" i="21"/>
  <c r="R218" i="21"/>
  <c r="R219" i="21"/>
  <c r="R220" i="21"/>
  <c r="R221" i="21"/>
  <c r="R222" i="21"/>
  <c r="R223" i="21"/>
  <c r="R224" i="21"/>
  <c r="R225" i="21"/>
  <c r="R226" i="21"/>
  <c r="R227" i="21"/>
  <c r="R228" i="21"/>
  <c r="R229" i="21"/>
  <c r="R230" i="21"/>
  <c r="R231" i="21"/>
  <c r="R232" i="21"/>
  <c r="R233" i="21"/>
  <c r="R234" i="21"/>
  <c r="R235" i="21"/>
  <c r="R236" i="21"/>
  <c r="R237" i="21"/>
  <c r="R238" i="21"/>
  <c r="R239" i="21"/>
  <c r="R240" i="21"/>
  <c r="R241" i="21"/>
  <c r="R242" i="21"/>
  <c r="R243" i="21"/>
  <c r="R244" i="21"/>
  <c r="R245" i="21"/>
  <c r="R246" i="21"/>
  <c r="R247" i="21"/>
  <c r="R248" i="21"/>
  <c r="R249" i="21"/>
  <c r="R250" i="21"/>
  <c r="R251" i="21"/>
  <c r="R252" i="21"/>
  <c r="R253" i="21"/>
  <c r="R254" i="21"/>
  <c r="R255" i="21"/>
  <c r="R256" i="21"/>
  <c r="R257" i="21"/>
  <c r="R258" i="21"/>
  <c r="R259" i="21"/>
  <c r="R260" i="21"/>
  <c r="R261" i="21"/>
  <c r="R262" i="21"/>
  <c r="R263" i="21"/>
  <c r="R264" i="21"/>
  <c r="R265" i="21"/>
  <c r="R266" i="21"/>
  <c r="R267" i="21"/>
  <c r="R268" i="21"/>
  <c r="R269" i="21"/>
  <c r="R270" i="21"/>
  <c r="R271" i="21"/>
  <c r="R272" i="21"/>
  <c r="R273" i="21"/>
  <c r="R274" i="21"/>
  <c r="R275" i="21"/>
  <c r="R276" i="21"/>
  <c r="R277" i="21"/>
  <c r="R278" i="21"/>
  <c r="R279" i="21"/>
  <c r="R280" i="21"/>
  <c r="R281" i="21"/>
  <c r="R282" i="21"/>
  <c r="R283" i="21"/>
  <c r="R284" i="21"/>
  <c r="R285" i="21"/>
  <c r="R286" i="21"/>
  <c r="R287" i="21"/>
  <c r="R288" i="21"/>
  <c r="R289" i="21"/>
  <c r="R290" i="21"/>
  <c r="R291" i="21"/>
  <c r="R292" i="21"/>
  <c r="R293" i="21"/>
  <c r="R294" i="21"/>
  <c r="R295" i="21"/>
  <c r="R296" i="21"/>
  <c r="R297" i="21"/>
  <c r="R298" i="21"/>
  <c r="R299" i="21"/>
  <c r="R300" i="21"/>
  <c r="R301" i="21"/>
  <c r="R302" i="21"/>
  <c r="R303" i="21"/>
  <c r="R304" i="21"/>
  <c r="R305" i="21"/>
  <c r="R306" i="21"/>
  <c r="R307" i="21"/>
  <c r="R308" i="21"/>
  <c r="R309" i="21"/>
  <c r="R310" i="21"/>
  <c r="R311" i="21"/>
  <c r="R312" i="21"/>
  <c r="R313" i="21"/>
  <c r="R314" i="21"/>
  <c r="R315" i="21"/>
  <c r="R316" i="21"/>
  <c r="R317" i="21"/>
  <c r="R318" i="21"/>
  <c r="R319" i="21"/>
  <c r="R320" i="21"/>
  <c r="R321" i="21"/>
  <c r="R322" i="21"/>
  <c r="R323" i="21"/>
  <c r="R324" i="21"/>
  <c r="R325" i="21"/>
  <c r="R326" i="21"/>
  <c r="R327" i="21"/>
  <c r="R328" i="21"/>
  <c r="R329" i="21"/>
  <c r="R330" i="21"/>
  <c r="R331" i="21"/>
  <c r="R332" i="21"/>
  <c r="R333" i="21"/>
  <c r="R334" i="21"/>
  <c r="R335" i="21"/>
  <c r="R336" i="21"/>
  <c r="R337" i="21"/>
  <c r="R338" i="21"/>
  <c r="R339" i="21"/>
  <c r="R340" i="21"/>
  <c r="R341" i="21"/>
  <c r="R342" i="21"/>
  <c r="R343" i="21"/>
  <c r="R344" i="21"/>
  <c r="R345" i="21"/>
  <c r="R346" i="21"/>
  <c r="R347" i="21"/>
  <c r="R348" i="21"/>
  <c r="R349" i="21"/>
  <c r="R350" i="21"/>
  <c r="R351" i="21"/>
  <c r="R352" i="21"/>
  <c r="R353" i="21"/>
  <c r="R354" i="21"/>
  <c r="R355" i="21"/>
  <c r="R356" i="21"/>
  <c r="R357" i="21"/>
  <c r="R358" i="21"/>
  <c r="R359" i="21"/>
  <c r="R360" i="21"/>
  <c r="R361" i="21"/>
  <c r="R362" i="21"/>
  <c r="R363" i="21"/>
  <c r="R364" i="21"/>
  <c r="R365" i="21"/>
  <c r="R366" i="21"/>
  <c r="R367" i="21"/>
  <c r="R368" i="21"/>
  <c r="R369" i="21"/>
  <c r="R370" i="21"/>
  <c r="R371" i="21"/>
  <c r="R372" i="21"/>
  <c r="R373" i="21"/>
  <c r="R374" i="21"/>
  <c r="R375" i="21"/>
  <c r="R376" i="21"/>
  <c r="R377" i="21"/>
  <c r="R378" i="21"/>
  <c r="R379" i="21"/>
  <c r="R380" i="21"/>
  <c r="R381" i="21"/>
  <c r="R382" i="21"/>
  <c r="R383" i="21"/>
  <c r="R384" i="21"/>
  <c r="R385" i="21"/>
  <c r="R386" i="21"/>
  <c r="R387" i="21"/>
  <c r="R388" i="21"/>
  <c r="R389" i="21"/>
  <c r="R390" i="21"/>
  <c r="R391" i="21"/>
  <c r="R392" i="21"/>
  <c r="R393" i="21"/>
  <c r="R394" i="21"/>
  <c r="R395" i="21"/>
  <c r="R396" i="21"/>
  <c r="R397" i="21"/>
  <c r="R398" i="21"/>
  <c r="R399" i="21"/>
  <c r="R400" i="21"/>
  <c r="R401" i="21"/>
  <c r="R402" i="21"/>
  <c r="R403" i="21"/>
  <c r="R404" i="21"/>
  <c r="R405" i="21"/>
  <c r="R406" i="21"/>
  <c r="R407" i="21"/>
  <c r="R408" i="21"/>
  <c r="R409" i="21"/>
  <c r="R410" i="21"/>
  <c r="R411" i="21"/>
  <c r="R412" i="21"/>
  <c r="R413" i="21"/>
  <c r="R414" i="21"/>
  <c r="R415" i="21"/>
  <c r="R416" i="21"/>
  <c r="R417" i="21"/>
  <c r="R418" i="21"/>
  <c r="R419" i="21"/>
  <c r="R420" i="21"/>
  <c r="R421" i="21"/>
  <c r="R422" i="21"/>
  <c r="R423" i="21"/>
  <c r="R424" i="21"/>
  <c r="R425" i="21"/>
  <c r="R426" i="21"/>
  <c r="R427" i="21"/>
  <c r="R428" i="21"/>
  <c r="R429" i="21"/>
  <c r="R430" i="21"/>
  <c r="R431" i="21"/>
  <c r="R432" i="21"/>
  <c r="R433" i="21"/>
  <c r="R434" i="21"/>
  <c r="R435" i="21"/>
  <c r="R436" i="21"/>
  <c r="R437" i="21"/>
  <c r="R438" i="21"/>
  <c r="R439" i="21"/>
  <c r="R440" i="21"/>
  <c r="R441" i="21"/>
  <c r="R442" i="21"/>
  <c r="R443" i="21"/>
  <c r="R444" i="21"/>
  <c r="R445" i="21"/>
  <c r="R446" i="21"/>
  <c r="R447" i="21"/>
  <c r="R448" i="21"/>
  <c r="R449" i="21"/>
  <c r="R450" i="21"/>
  <c r="R451" i="21"/>
  <c r="R452" i="21"/>
  <c r="R453" i="21"/>
  <c r="R454" i="21"/>
  <c r="R455" i="21"/>
  <c r="R456" i="21"/>
  <c r="R457" i="21"/>
  <c r="R458" i="21"/>
  <c r="R459" i="21"/>
  <c r="R460" i="21"/>
  <c r="R461" i="21"/>
  <c r="R462" i="21"/>
  <c r="R463" i="21"/>
  <c r="R464" i="21"/>
  <c r="R465" i="21"/>
  <c r="R466" i="21"/>
  <c r="R467" i="21"/>
  <c r="R468" i="21"/>
  <c r="R469" i="21"/>
  <c r="R470" i="21"/>
  <c r="R471" i="21"/>
  <c r="R472" i="21"/>
  <c r="R473" i="21"/>
  <c r="R474" i="21"/>
  <c r="R475" i="21"/>
  <c r="R476" i="21"/>
  <c r="R477" i="21"/>
  <c r="R478" i="21"/>
  <c r="R479" i="21"/>
  <c r="R480" i="21"/>
  <c r="R481" i="21"/>
  <c r="R482" i="21"/>
  <c r="R483" i="21"/>
  <c r="R484" i="21"/>
  <c r="R485" i="21"/>
  <c r="R486" i="21"/>
  <c r="R487" i="21"/>
  <c r="R488" i="21"/>
  <c r="R489" i="21"/>
  <c r="R490" i="21"/>
  <c r="R491" i="21"/>
  <c r="R492" i="21"/>
  <c r="R493" i="21"/>
  <c r="R494" i="21"/>
  <c r="R495" i="21"/>
  <c r="R496" i="21"/>
  <c r="R497" i="21"/>
  <c r="R498" i="21"/>
  <c r="R499" i="21"/>
  <c r="R500" i="21"/>
  <c r="R501" i="21"/>
  <c r="R502" i="21"/>
  <c r="R503" i="21"/>
  <c r="R504" i="21"/>
  <c r="R505" i="21"/>
  <c r="R506" i="21"/>
  <c r="R507" i="21"/>
  <c r="R508" i="21"/>
  <c r="R509" i="21"/>
  <c r="R510" i="21"/>
  <c r="R511" i="21"/>
  <c r="R512" i="21"/>
  <c r="R513" i="21"/>
  <c r="R514" i="21"/>
  <c r="R515" i="21"/>
  <c r="R516" i="21"/>
  <c r="R517" i="21"/>
  <c r="R518" i="21"/>
  <c r="R519" i="21"/>
  <c r="R520" i="21"/>
  <c r="R521" i="21"/>
  <c r="R522" i="21"/>
  <c r="R523" i="21"/>
  <c r="R524" i="21"/>
  <c r="R525" i="21"/>
  <c r="R526" i="21"/>
  <c r="R527" i="21"/>
  <c r="R528" i="21"/>
  <c r="R529" i="21"/>
  <c r="R530" i="21"/>
  <c r="R531" i="21"/>
  <c r="R532" i="21"/>
  <c r="R533" i="21"/>
  <c r="R534" i="21"/>
  <c r="R535" i="21"/>
  <c r="R536" i="21"/>
  <c r="R537" i="21"/>
  <c r="R538" i="21"/>
  <c r="R539" i="21"/>
  <c r="R540" i="21"/>
  <c r="R541" i="21"/>
  <c r="R542" i="21"/>
  <c r="R543" i="21"/>
  <c r="R544" i="21"/>
  <c r="R545" i="21"/>
  <c r="R546" i="21"/>
  <c r="R547" i="21"/>
  <c r="R548" i="21"/>
  <c r="R549" i="21"/>
  <c r="R550" i="21"/>
  <c r="R551" i="21"/>
  <c r="R552" i="21"/>
  <c r="R553" i="21"/>
  <c r="R554" i="21"/>
  <c r="R555" i="21"/>
  <c r="R556" i="21"/>
  <c r="R557" i="21"/>
  <c r="R558" i="21"/>
  <c r="R559" i="21"/>
  <c r="R560" i="21"/>
  <c r="R561" i="21"/>
  <c r="R562" i="21"/>
  <c r="R563" i="21"/>
  <c r="R564" i="21"/>
  <c r="R565" i="21"/>
  <c r="R566" i="21"/>
  <c r="R567" i="21"/>
  <c r="R568" i="21"/>
  <c r="R569" i="21"/>
  <c r="R570" i="21"/>
  <c r="R571" i="21"/>
  <c r="R572" i="21"/>
  <c r="R573" i="21"/>
  <c r="R574" i="21"/>
  <c r="R575" i="21"/>
  <c r="R576" i="21"/>
  <c r="R577" i="21"/>
  <c r="R578" i="21"/>
  <c r="R579" i="21"/>
  <c r="R580" i="21"/>
  <c r="R581" i="21"/>
  <c r="R582" i="21"/>
  <c r="R583" i="21"/>
  <c r="R584" i="21"/>
  <c r="R585" i="21"/>
  <c r="R586" i="21"/>
  <c r="R587" i="21"/>
  <c r="R588" i="21"/>
  <c r="R589" i="21"/>
  <c r="R590" i="21"/>
  <c r="R591" i="21"/>
  <c r="R592" i="21"/>
  <c r="R593" i="21"/>
  <c r="R594" i="21"/>
  <c r="R595" i="21"/>
  <c r="R596" i="21"/>
  <c r="R597" i="21"/>
  <c r="R598" i="21"/>
  <c r="R599" i="21"/>
  <c r="R600" i="21"/>
  <c r="O600" i="21"/>
  <c r="O599" i="21"/>
  <c r="O598" i="21"/>
  <c r="O597" i="21"/>
  <c r="O596" i="21"/>
  <c r="O595" i="21"/>
  <c r="O594" i="21"/>
  <c r="O593" i="21"/>
  <c r="O592" i="21"/>
  <c r="O591" i="21"/>
  <c r="O590" i="21"/>
  <c r="O589" i="21"/>
  <c r="O588" i="21"/>
  <c r="O587" i="21"/>
  <c r="O586" i="21"/>
  <c r="O585" i="21"/>
  <c r="O584" i="21"/>
  <c r="O583" i="21"/>
  <c r="O582" i="21"/>
  <c r="O581" i="21"/>
  <c r="O580" i="21"/>
  <c r="O579" i="21"/>
  <c r="O578" i="21"/>
  <c r="O577" i="21"/>
  <c r="O576" i="21"/>
  <c r="O575" i="21"/>
  <c r="O574" i="21"/>
  <c r="O573" i="21"/>
  <c r="O572" i="21"/>
  <c r="O571" i="21"/>
  <c r="O570" i="21"/>
  <c r="O569" i="21"/>
  <c r="O568" i="21"/>
  <c r="O567" i="21"/>
  <c r="O566" i="21"/>
  <c r="O565" i="21"/>
  <c r="O564" i="21"/>
  <c r="O563" i="21"/>
  <c r="O562" i="21"/>
  <c r="O561" i="21"/>
  <c r="O560" i="21"/>
  <c r="O559" i="21"/>
  <c r="O558" i="21"/>
  <c r="O557" i="21"/>
  <c r="O556" i="21"/>
  <c r="O555" i="21"/>
  <c r="O554" i="21"/>
  <c r="O553" i="21"/>
  <c r="O552" i="21"/>
  <c r="O551" i="21"/>
  <c r="O550" i="21"/>
  <c r="O549" i="21"/>
  <c r="O548" i="21"/>
  <c r="O547" i="21"/>
  <c r="O546" i="21"/>
  <c r="O545" i="21"/>
  <c r="O544" i="21"/>
  <c r="O543" i="21"/>
  <c r="O542" i="21"/>
  <c r="O541" i="21"/>
  <c r="O540" i="21"/>
  <c r="O539" i="21"/>
  <c r="O538" i="21"/>
  <c r="O537" i="21"/>
  <c r="O536" i="21"/>
  <c r="O535" i="21"/>
  <c r="O534" i="21"/>
  <c r="O533" i="21"/>
  <c r="O532" i="21"/>
  <c r="O531" i="21"/>
  <c r="O530" i="21"/>
  <c r="O529" i="21"/>
  <c r="O528" i="21"/>
  <c r="O527" i="21"/>
  <c r="O526" i="21"/>
  <c r="O525" i="21"/>
  <c r="O524" i="21"/>
  <c r="O523" i="21"/>
  <c r="O522" i="21"/>
  <c r="O521" i="21"/>
  <c r="O520" i="21"/>
  <c r="O519" i="21"/>
  <c r="O518" i="21"/>
  <c r="O517" i="21"/>
  <c r="O516" i="21"/>
  <c r="O515" i="21"/>
  <c r="O514" i="21"/>
  <c r="O513" i="21"/>
  <c r="O512" i="21"/>
  <c r="O511" i="21"/>
  <c r="O510" i="21"/>
  <c r="O509" i="21"/>
  <c r="O508" i="21"/>
  <c r="O507" i="21"/>
  <c r="O506" i="21"/>
  <c r="O505" i="21"/>
  <c r="O504" i="21"/>
  <c r="O503" i="21"/>
  <c r="O502" i="21"/>
  <c r="O501" i="21"/>
  <c r="O500" i="21"/>
  <c r="O499" i="21"/>
  <c r="O498" i="21"/>
  <c r="O497" i="21"/>
  <c r="O496" i="21"/>
  <c r="O495" i="21"/>
  <c r="O494" i="21"/>
  <c r="O493" i="21"/>
  <c r="O492" i="21"/>
  <c r="O491" i="21"/>
  <c r="O490" i="21"/>
  <c r="O489" i="21"/>
  <c r="O488" i="21"/>
  <c r="O487" i="21"/>
  <c r="O486" i="21"/>
  <c r="O485" i="21"/>
  <c r="O484" i="21"/>
  <c r="O483" i="21"/>
  <c r="O482" i="21"/>
  <c r="O481" i="21"/>
  <c r="O480" i="21"/>
  <c r="O479" i="21"/>
  <c r="O478" i="21"/>
  <c r="O477" i="21"/>
  <c r="O476" i="21"/>
  <c r="O475" i="21"/>
  <c r="O474" i="21"/>
  <c r="O473" i="21"/>
  <c r="O472" i="21"/>
  <c r="O471" i="21"/>
  <c r="O470" i="21"/>
  <c r="O469" i="21"/>
  <c r="O468" i="21"/>
  <c r="O467" i="21"/>
  <c r="O466" i="21"/>
  <c r="O465" i="21"/>
  <c r="O464" i="21"/>
  <c r="O463" i="21"/>
  <c r="O462" i="21"/>
  <c r="O461" i="21"/>
  <c r="O460" i="21"/>
  <c r="O459" i="21"/>
  <c r="O458" i="21"/>
  <c r="O457" i="21"/>
  <c r="O456" i="21"/>
  <c r="O455" i="21"/>
  <c r="O454" i="21"/>
  <c r="O453" i="21"/>
  <c r="O452" i="21"/>
  <c r="O451" i="21"/>
  <c r="O450" i="21"/>
  <c r="O449" i="21"/>
  <c r="O448" i="21"/>
  <c r="O447" i="21"/>
  <c r="O446" i="21"/>
  <c r="O445" i="21"/>
  <c r="O444" i="21"/>
  <c r="O443" i="21"/>
  <c r="O442" i="21"/>
  <c r="O441" i="21"/>
  <c r="O440" i="21"/>
  <c r="O439" i="21"/>
  <c r="O438" i="21"/>
  <c r="O437" i="21"/>
  <c r="O436" i="21"/>
  <c r="O435" i="21"/>
  <c r="O434" i="21"/>
  <c r="O433" i="21"/>
  <c r="O432" i="21"/>
  <c r="O431" i="21"/>
  <c r="O430" i="21"/>
  <c r="O429" i="21"/>
  <c r="O428" i="21"/>
  <c r="O427" i="21"/>
  <c r="O426" i="21"/>
  <c r="O425" i="21"/>
  <c r="O424" i="21"/>
  <c r="O423" i="21"/>
  <c r="O422" i="21"/>
  <c r="O421" i="21"/>
  <c r="O420" i="21"/>
  <c r="O419" i="21"/>
  <c r="O418" i="21"/>
  <c r="O417" i="21"/>
  <c r="O416" i="21"/>
  <c r="O415" i="21"/>
  <c r="O414" i="21"/>
  <c r="O413" i="21"/>
  <c r="O412" i="21"/>
  <c r="O411" i="21"/>
  <c r="O410" i="21"/>
  <c r="O409" i="21"/>
  <c r="O408" i="21"/>
  <c r="O407" i="21"/>
  <c r="O406" i="21"/>
  <c r="O405" i="21"/>
  <c r="O404" i="21"/>
  <c r="O403" i="21"/>
  <c r="O402" i="21"/>
  <c r="O401" i="21"/>
  <c r="O400" i="21"/>
  <c r="O399" i="21"/>
  <c r="O398" i="21"/>
  <c r="O397" i="21"/>
  <c r="O396" i="21"/>
  <c r="O395" i="21"/>
  <c r="O394" i="21"/>
  <c r="O393" i="21"/>
  <c r="O392" i="21"/>
  <c r="O391" i="21"/>
  <c r="O390" i="21"/>
  <c r="O389" i="21"/>
  <c r="O388" i="21"/>
  <c r="O387" i="21"/>
  <c r="O386" i="21"/>
  <c r="O385" i="21"/>
  <c r="O384" i="21"/>
  <c r="O383" i="21"/>
  <c r="O382" i="21"/>
  <c r="O381" i="21"/>
  <c r="O380" i="21"/>
  <c r="O379" i="21"/>
  <c r="O378" i="21"/>
  <c r="O377" i="21"/>
  <c r="O376" i="21"/>
  <c r="O375" i="21"/>
  <c r="O374" i="21"/>
  <c r="O373" i="21"/>
  <c r="O372" i="21"/>
  <c r="O371" i="21"/>
  <c r="O370" i="21"/>
  <c r="O369" i="21"/>
  <c r="O368" i="21"/>
  <c r="O367" i="21"/>
  <c r="O366" i="21"/>
  <c r="O365" i="21"/>
  <c r="O364" i="21"/>
  <c r="O363" i="21"/>
  <c r="O362" i="21"/>
  <c r="O361" i="21"/>
  <c r="O360" i="21"/>
  <c r="O359" i="21"/>
  <c r="O358" i="21"/>
  <c r="O357" i="21"/>
  <c r="O356" i="21"/>
  <c r="O355" i="21"/>
  <c r="O354" i="21"/>
  <c r="O353" i="21"/>
  <c r="O352" i="21"/>
  <c r="O351" i="21"/>
  <c r="O350" i="21"/>
  <c r="O349" i="21"/>
  <c r="O348" i="21"/>
  <c r="O347" i="21"/>
  <c r="O346" i="21"/>
  <c r="O345" i="21"/>
  <c r="O344" i="21"/>
  <c r="O343" i="21"/>
  <c r="O342" i="21"/>
  <c r="O341" i="21"/>
  <c r="O340" i="21"/>
  <c r="O339" i="21"/>
  <c r="O338" i="21"/>
  <c r="O337" i="21"/>
  <c r="O336" i="21"/>
  <c r="O335" i="21"/>
  <c r="O334" i="21"/>
  <c r="O333" i="21"/>
  <c r="O332" i="21"/>
  <c r="O331" i="21"/>
  <c r="O330" i="21"/>
  <c r="O329" i="21"/>
  <c r="O328" i="21"/>
  <c r="O327" i="21"/>
  <c r="O326" i="21"/>
  <c r="O325" i="21"/>
  <c r="O324" i="21"/>
  <c r="O323" i="21"/>
  <c r="O322" i="21"/>
  <c r="O321" i="21"/>
  <c r="O320" i="21"/>
  <c r="O319" i="21"/>
  <c r="O318" i="21"/>
  <c r="O317" i="21"/>
  <c r="O316" i="21"/>
  <c r="O315" i="21"/>
  <c r="O314" i="21"/>
  <c r="O313" i="21"/>
  <c r="O312" i="21"/>
  <c r="O311" i="21"/>
  <c r="O310" i="21"/>
  <c r="O309" i="21"/>
  <c r="O308" i="21"/>
  <c r="O307" i="21"/>
  <c r="O306" i="21"/>
  <c r="O305" i="21"/>
  <c r="O304" i="21"/>
  <c r="O303" i="21"/>
  <c r="O302" i="21"/>
  <c r="O301" i="21"/>
  <c r="O300" i="21"/>
  <c r="O299" i="21"/>
  <c r="O298" i="21"/>
  <c r="O297" i="21"/>
  <c r="O296" i="21"/>
  <c r="O295" i="21"/>
  <c r="O294" i="21"/>
  <c r="O293" i="21"/>
  <c r="O292" i="21"/>
  <c r="O291" i="21"/>
  <c r="O290" i="21"/>
  <c r="O289" i="21"/>
  <c r="O288" i="21"/>
  <c r="O287" i="21"/>
  <c r="O286" i="21"/>
  <c r="O285" i="21"/>
  <c r="O284" i="21"/>
  <c r="O283" i="21"/>
  <c r="O282" i="21"/>
  <c r="O281" i="21"/>
  <c r="O280" i="21"/>
  <c r="O279" i="21"/>
  <c r="O278" i="21"/>
  <c r="O277" i="21"/>
  <c r="O276" i="21"/>
  <c r="O275" i="21"/>
  <c r="O274" i="21"/>
  <c r="O273" i="21"/>
  <c r="O272" i="21"/>
  <c r="O271" i="21"/>
  <c r="O270" i="21"/>
  <c r="O269" i="21"/>
  <c r="O268" i="21"/>
  <c r="O267" i="21"/>
  <c r="O266" i="21"/>
  <c r="O265" i="21"/>
  <c r="O264" i="21"/>
  <c r="O263" i="21"/>
  <c r="O262" i="21"/>
  <c r="O261" i="21"/>
  <c r="O260" i="21"/>
  <c r="O259" i="21"/>
  <c r="O258" i="21"/>
  <c r="O257" i="21"/>
  <c r="O256" i="21"/>
  <c r="O255" i="21"/>
  <c r="O254" i="21"/>
  <c r="O253" i="21"/>
  <c r="O252" i="21"/>
  <c r="O251" i="21"/>
  <c r="O250" i="21"/>
  <c r="O249" i="21"/>
  <c r="O248" i="21"/>
  <c r="O247" i="21"/>
  <c r="O246" i="21"/>
  <c r="O245" i="21"/>
  <c r="O244" i="21"/>
  <c r="O243" i="21"/>
  <c r="O242" i="21"/>
  <c r="O241" i="21"/>
  <c r="O240" i="21"/>
  <c r="O239" i="21"/>
  <c r="O238" i="21"/>
  <c r="O237" i="21"/>
  <c r="O236" i="21"/>
  <c r="O235" i="21"/>
  <c r="O234" i="21"/>
  <c r="O233" i="21"/>
  <c r="O232" i="21"/>
  <c r="O231" i="21"/>
  <c r="O230" i="21"/>
  <c r="O229" i="21"/>
  <c r="O228" i="21"/>
  <c r="O227" i="21"/>
  <c r="O226" i="21"/>
  <c r="O225" i="21"/>
  <c r="O224" i="21"/>
  <c r="O223" i="21"/>
  <c r="O222" i="21"/>
  <c r="O221" i="21"/>
  <c r="O220" i="21"/>
  <c r="O219" i="21"/>
  <c r="O218" i="21"/>
  <c r="O217" i="21"/>
  <c r="O216" i="21"/>
  <c r="O215" i="21"/>
  <c r="O214" i="21"/>
  <c r="O213" i="21"/>
  <c r="O212" i="21"/>
  <c r="O211" i="21"/>
  <c r="O210" i="21"/>
  <c r="O209" i="21"/>
  <c r="O208" i="21"/>
  <c r="O207" i="21"/>
  <c r="O206" i="21"/>
  <c r="O205" i="21"/>
  <c r="O204" i="21"/>
  <c r="O203" i="21"/>
  <c r="O202" i="21"/>
  <c r="O201" i="21"/>
  <c r="O200" i="21"/>
  <c r="O199" i="21"/>
  <c r="O198" i="21"/>
  <c r="O197" i="21"/>
  <c r="O196" i="21"/>
  <c r="O195" i="21"/>
  <c r="O194" i="21"/>
  <c r="O193" i="21"/>
  <c r="O192" i="21"/>
  <c r="O191" i="21"/>
  <c r="O190" i="21"/>
  <c r="O189" i="21"/>
  <c r="O188" i="21"/>
  <c r="O187" i="21"/>
  <c r="O186" i="21"/>
  <c r="O185" i="21"/>
  <c r="O184" i="21"/>
  <c r="O183" i="21"/>
  <c r="O182" i="21"/>
  <c r="O181" i="21"/>
  <c r="O180" i="21"/>
  <c r="O179" i="21"/>
  <c r="O178" i="21"/>
  <c r="O177" i="21"/>
  <c r="O176" i="21"/>
  <c r="O175" i="21"/>
  <c r="O174" i="21"/>
  <c r="O173" i="21"/>
  <c r="O172" i="21"/>
  <c r="O171" i="21"/>
  <c r="O170" i="21"/>
  <c r="O169" i="21"/>
  <c r="O168" i="21"/>
  <c r="O167" i="21"/>
  <c r="O166" i="21"/>
  <c r="O165" i="21"/>
  <c r="O164" i="21"/>
  <c r="O163" i="21"/>
  <c r="O162" i="21"/>
  <c r="O161" i="21"/>
  <c r="O160" i="21"/>
  <c r="O159" i="21"/>
  <c r="O158" i="21"/>
  <c r="O157" i="21"/>
  <c r="O156" i="21"/>
  <c r="O155" i="21"/>
  <c r="O154" i="21"/>
  <c r="O153" i="21"/>
  <c r="O152" i="21"/>
  <c r="O151" i="21"/>
  <c r="O150" i="21"/>
  <c r="O149" i="21"/>
  <c r="O148" i="21"/>
  <c r="O147" i="21"/>
  <c r="O146" i="21"/>
  <c r="O145" i="21"/>
  <c r="O144" i="21"/>
  <c r="O143" i="21"/>
  <c r="O142" i="21"/>
  <c r="O141" i="21"/>
  <c r="O140" i="21"/>
  <c r="O139" i="21"/>
  <c r="O138" i="21"/>
  <c r="O137" i="21"/>
  <c r="O136" i="21"/>
  <c r="O135" i="21"/>
  <c r="O134" i="21"/>
  <c r="O133" i="21"/>
  <c r="O132" i="21"/>
  <c r="O131" i="21"/>
  <c r="O130" i="21"/>
  <c r="O129" i="21"/>
  <c r="O128" i="21"/>
  <c r="O127" i="21"/>
  <c r="O126" i="21"/>
  <c r="O125" i="21"/>
  <c r="O124" i="21"/>
  <c r="O123" i="21"/>
  <c r="O122" i="21"/>
  <c r="O121" i="21"/>
  <c r="O120" i="21"/>
  <c r="O119" i="21"/>
  <c r="O118" i="21"/>
  <c r="O117" i="21"/>
  <c r="O116" i="21"/>
  <c r="O115" i="21"/>
  <c r="O114" i="21"/>
  <c r="O113" i="21"/>
  <c r="O112" i="21"/>
  <c r="O111" i="21"/>
  <c r="O110" i="21"/>
  <c r="O109" i="21"/>
  <c r="O108" i="21"/>
  <c r="O107" i="21"/>
  <c r="O106" i="21"/>
  <c r="O105" i="21"/>
  <c r="O104" i="21"/>
  <c r="O103" i="21"/>
  <c r="O102" i="21"/>
  <c r="O101" i="21"/>
  <c r="O100" i="21"/>
  <c r="O99" i="21"/>
  <c r="O98" i="21"/>
  <c r="O97" i="21"/>
  <c r="O96" i="21"/>
  <c r="O95" i="21"/>
  <c r="O94" i="21"/>
  <c r="O93" i="21"/>
  <c r="O92" i="21"/>
  <c r="O91" i="21"/>
  <c r="O90" i="21"/>
  <c r="O89" i="21"/>
  <c r="O88" i="21"/>
  <c r="O87" i="21"/>
  <c r="O86" i="21"/>
  <c r="O85" i="21"/>
  <c r="O84" i="21"/>
  <c r="O83" i="21"/>
  <c r="O82" i="21"/>
  <c r="O81" i="21"/>
  <c r="O80" i="21"/>
  <c r="O79" i="21"/>
  <c r="O78" i="21"/>
  <c r="O77" i="21"/>
  <c r="O76" i="21"/>
  <c r="O75" i="21"/>
  <c r="O74" i="21"/>
  <c r="O73" i="21"/>
  <c r="O72" i="21"/>
  <c r="O71" i="21"/>
  <c r="O70" i="21"/>
  <c r="O69" i="21"/>
  <c r="O68" i="21"/>
  <c r="O67" i="21"/>
  <c r="O66" i="21"/>
  <c r="O65" i="21"/>
  <c r="O64" i="21"/>
  <c r="O63" i="21"/>
  <c r="O62" i="21"/>
  <c r="O61" i="21"/>
  <c r="O60" i="21"/>
  <c r="O59" i="21"/>
  <c r="O58" i="21"/>
  <c r="O57" i="21"/>
  <c r="O56" i="21"/>
  <c r="O55" i="21"/>
  <c r="O54" i="21"/>
  <c r="O53" i="21"/>
  <c r="O52" i="21"/>
  <c r="O51" i="21"/>
  <c r="O50" i="21"/>
  <c r="O49" i="21"/>
  <c r="O48" i="21"/>
  <c r="O47" i="21"/>
  <c r="O46" i="21"/>
  <c r="O45" i="21"/>
  <c r="O44" i="21"/>
  <c r="O43" i="21"/>
  <c r="O42" i="21"/>
  <c r="O41" i="21"/>
  <c r="O40" i="21"/>
  <c r="O39" i="21"/>
  <c r="O38" i="21"/>
  <c r="O37" i="21"/>
  <c r="O36" i="21"/>
  <c r="O35" i="21"/>
  <c r="O34" i="21"/>
  <c r="O33" i="21"/>
  <c r="O32" i="21"/>
  <c r="O31" i="21"/>
  <c r="O30" i="21"/>
  <c r="O29" i="21"/>
  <c r="O28" i="21"/>
  <c r="O27" i="21"/>
  <c r="O26" i="21"/>
  <c r="O25" i="21"/>
  <c r="O24" i="21"/>
  <c r="O23" i="21"/>
  <c r="O22" i="21"/>
  <c r="O21" i="21"/>
  <c r="O20" i="21"/>
  <c r="O19" i="21"/>
  <c r="O18" i="21"/>
  <c r="O17" i="21"/>
  <c r="O16" i="21"/>
  <c r="O15" i="21"/>
  <c r="O14" i="21"/>
  <c r="O13" i="21"/>
  <c r="O12" i="21"/>
  <c r="O11" i="21"/>
  <c r="O10" i="21"/>
  <c r="O9" i="21"/>
  <c r="O8" i="21"/>
  <c r="O7" i="21"/>
  <c r="O6" i="21"/>
  <c r="O5" i="21"/>
  <c r="O4" i="21"/>
  <c r="O3" i="21"/>
  <c r="O2" i="21"/>
  <c r="Q11" i="21"/>
  <c r="Q10" i="21"/>
  <c r="Q9" i="21"/>
  <c r="Q8" i="21"/>
  <c r="Q7" i="21"/>
  <c r="Q6" i="21"/>
  <c r="Q5" i="21"/>
  <c r="Q4" i="21"/>
  <c r="Q3" i="21"/>
  <c r="Q2" i="21"/>
  <c r="Q14" i="21"/>
  <c r="Q13" i="21"/>
  <c r="Q12" i="21"/>
  <c r="Q15" i="21"/>
  <c r="Q600" i="21"/>
  <c r="Q599" i="21"/>
  <c r="Q598" i="21"/>
  <c r="Q597" i="21"/>
  <c r="Q596" i="21"/>
  <c r="Q595" i="21"/>
  <c r="Q594" i="21"/>
  <c r="Q593" i="21"/>
  <c r="Q592" i="21"/>
  <c r="Q591" i="21"/>
  <c r="Q590" i="21"/>
  <c r="Q589" i="21"/>
  <c r="Q588" i="21"/>
  <c r="Q587" i="21"/>
  <c r="Q586" i="21"/>
  <c r="Q585" i="21"/>
  <c r="Q584" i="21"/>
  <c r="Q583" i="21"/>
  <c r="Q582" i="21"/>
  <c r="Q581" i="21"/>
  <c r="Q580" i="21"/>
  <c r="Q579" i="21"/>
  <c r="Q578" i="21"/>
  <c r="Q577" i="21"/>
  <c r="Q576" i="21"/>
  <c r="Q575" i="21"/>
  <c r="Q574" i="21"/>
  <c r="Q573" i="21"/>
  <c r="Q572" i="21"/>
  <c r="Q571" i="21"/>
  <c r="Q570" i="21"/>
  <c r="Q569" i="21"/>
  <c r="Q568" i="21"/>
  <c r="Q567" i="21"/>
  <c r="Q566" i="21"/>
  <c r="Q565" i="21"/>
  <c r="Q564" i="21"/>
  <c r="Q563" i="21"/>
  <c r="Q562" i="21"/>
  <c r="Q561" i="21"/>
  <c r="Q560" i="21"/>
  <c r="Q559" i="21"/>
  <c r="Q558" i="21"/>
  <c r="Q557" i="21"/>
  <c r="Q556" i="21"/>
  <c r="Q555" i="21"/>
  <c r="Q554" i="21"/>
  <c r="Q553" i="21"/>
  <c r="Q552" i="21"/>
  <c r="Q551" i="21"/>
  <c r="Q550" i="21"/>
  <c r="Q549" i="21"/>
  <c r="Q548" i="21"/>
  <c r="Q547" i="21"/>
  <c r="Q546" i="21"/>
  <c r="Q545" i="21"/>
  <c r="Q544" i="21"/>
  <c r="Q543" i="21"/>
  <c r="Q542" i="21"/>
  <c r="Q541" i="21"/>
  <c r="Q540" i="21"/>
  <c r="Q539" i="21"/>
  <c r="Q538" i="21"/>
  <c r="Q537" i="21"/>
  <c r="Q536" i="21"/>
  <c r="Q535" i="21"/>
  <c r="Q534" i="21"/>
  <c r="Q533" i="21"/>
  <c r="Q532" i="21"/>
  <c r="Q531" i="21"/>
  <c r="Q530" i="21"/>
  <c r="Q529" i="21"/>
  <c r="Q528" i="21"/>
  <c r="Q527" i="21"/>
  <c r="Q526" i="21"/>
  <c r="Q525" i="21"/>
  <c r="Q524" i="21"/>
  <c r="Q523" i="21"/>
  <c r="Q522" i="21"/>
  <c r="Q521" i="21"/>
  <c r="Q520" i="21"/>
  <c r="Q519" i="21"/>
  <c r="Q518" i="21"/>
  <c r="Q517" i="21"/>
  <c r="Q516" i="21"/>
  <c r="Q515" i="21"/>
  <c r="Q514" i="21"/>
  <c r="Q513" i="21"/>
  <c r="Q512" i="21"/>
  <c r="Q511" i="21"/>
  <c r="Q510" i="21"/>
  <c r="Q509" i="21"/>
  <c r="Q508" i="21"/>
  <c r="Q507" i="21"/>
  <c r="Q506" i="21"/>
  <c r="Q505" i="21"/>
  <c r="Q504" i="21"/>
  <c r="Q503" i="21"/>
  <c r="Q502" i="21"/>
  <c r="Q501" i="21"/>
  <c r="Q500" i="21"/>
  <c r="Q499" i="21"/>
  <c r="Q498" i="21"/>
  <c r="Q497" i="21"/>
  <c r="Q496" i="21"/>
  <c r="Q495" i="21"/>
  <c r="Q494" i="21"/>
  <c r="Q493" i="21"/>
  <c r="Q492" i="21"/>
  <c r="Q491" i="21"/>
  <c r="Q490" i="21"/>
  <c r="Q489" i="21"/>
  <c r="Q488" i="21"/>
  <c r="Q487" i="21"/>
  <c r="Q486" i="21"/>
  <c r="Q485" i="21"/>
  <c r="Q484" i="21"/>
  <c r="Q483" i="21"/>
  <c r="Q482" i="21"/>
  <c r="Q481" i="21"/>
  <c r="Q480" i="21"/>
  <c r="Q479" i="21"/>
  <c r="Q478" i="21"/>
  <c r="Q477" i="21"/>
  <c r="Q476" i="21"/>
  <c r="Q475" i="21"/>
  <c r="Q474" i="21"/>
  <c r="Q473" i="21"/>
  <c r="Q472" i="21"/>
  <c r="Q471" i="21"/>
  <c r="Q470" i="21"/>
  <c r="Q469" i="21"/>
  <c r="Q468" i="21"/>
  <c r="Q467" i="21"/>
  <c r="Q466" i="21"/>
  <c r="Q465" i="21"/>
  <c r="Q464" i="21"/>
  <c r="Q463" i="21"/>
  <c r="Q462" i="21"/>
  <c r="Q461" i="21"/>
  <c r="Q460" i="21"/>
  <c r="Q459" i="21"/>
  <c r="Q458" i="21"/>
  <c r="Q457" i="21"/>
  <c r="Q456" i="21"/>
  <c r="Q455" i="21"/>
  <c r="Q454" i="21"/>
  <c r="Q453" i="21"/>
  <c r="Q452" i="21"/>
  <c r="Q451" i="21"/>
  <c r="Q450" i="21"/>
  <c r="Q449" i="21"/>
  <c r="Q448" i="21"/>
  <c r="Q447" i="21"/>
  <c r="Q446" i="21"/>
  <c r="Q445" i="21"/>
  <c r="Q444" i="21"/>
  <c r="Q443" i="21"/>
  <c r="Q442" i="21"/>
  <c r="Q441" i="21"/>
  <c r="Q440" i="21"/>
  <c r="Q439" i="21"/>
  <c r="Q438" i="21"/>
  <c r="Q437" i="21"/>
  <c r="Q436" i="21"/>
  <c r="Q435" i="21"/>
  <c r="Q434" i="21"/>
  <c r="Q433" i="21"/>
  <c r="Q432" i="21"/>
  <c r="Q431" i="21"/>
  <c r="Q430" i="21"/>
  <c r="Q429" i="21"/>
  <c r="Q428" i="21"/>
  <c r="Q427" i="21"/>
  <c r="Q426" i="21"/>
  <c r="Q425" i="21"/>
  <c r="Q424" i="21"/>
  <c r="Q423" i="21"/>
  <c r="Q422" i="21"/>
  <c r="Q421" i="21"/>
  <c r="Q420" i="21"/>
  <c r="Q419" i="21"/>
  <c r="Q418" i="21"/>
  <c r="Q417" i="21"/>
  <c r="Q416" i="21"/>
  <c r="Q415" i="21"/>
  <c r="Q414" i="21"/>
  <c r="Q413" i="21"/>
  <c r="Q412" i="21"/>
  <c r="Q411" i="21"/>
  <c r="Q410" i="21"/>
  <c r="Q409" i="21"/>
  <c r="Q408" i="21"/>
  <c r="Q407" i="21"/>
  <c r="Q406" i="21"/>
  <c r="Q405" i="21"/>
  <c r="Q404" i="21"/>
  <c r="Q403" i="21"/>
  <c r="Q402" i="21"/>
  <c r="Q401" i="21"/>
  <c r="Q400" i="21"/>
  <c r="Q399" i="21"/>
  <c r="Q398" i="21"/>
  <c r="Q397" i="21"/>
  <c r="Q396" i="21"/>
  <c r="Q395" i="21"/>
  <c r="Q394" i="21"/>
  <c r="Q393" i="21"/>
  <c r="Q392" i="21"/>
  <c r="Q391" i="21"/>
  <c r="Q390" i="21"/>
  <c r="Q389" i="21"/>
  <c r="Q388" i="21"/>
  <c r="Q387" i="21"/>
  <c r="Q386" i="21"/>
  <c r="Q385" i="21"/>
  <c r="Q384" i="21"/>
  <c r="Q383" i="21"/>
  <c r="Q382" i="21"/>
  <c r="Q381" i="21"/>
  <c r="Q380" i="21"/>
  <c r="Q379" i="21"/>
  <c r="Q378" i="21"/>
  <c r="Q377" i="21"/>
  <c r="Q376" i="21"/>
  <c r="Q375" i="21"/>
  <c r="Q374" i="21"/>
  <c r="Q373" i="21"/>
  <c r="Q372" i="21"/>
  <c r="Q371" i="21"/>
  <c r="Q370" i="21"/>
  <c r="Q369" i="21"/>
  <c r="Q368" i="21"/>
  <c r="Q367" i="21"/>
  <c r="Q366" i="21"/>
  <c r="Q365" i="21"/>
  <c r="Q364" i="21"/>
  <c r="Q363" i="21"/>
  <c r="Q362" i="21"/>
  <c r="Q361" i="21"/>
  <c r="Q360" i="21"/>
  <c r="Q359" i="21"/>
  <c r="Q358" i="21"/>
  <c r="Q357" i="21"/>
  <c r="Q356" i="21"/>
  <c r="Q355" i="21"/>
  <c r="Q354" i="21"/>
  <c r="Q353" i="21"/>
  <c r="Q352" i="21"/>
  <c r="Q351" i="21"/>
  <c r="Q350" i="21"/>
  <c r="Q349" i="21"/>
  <c r="Q348" i="21"/>
  <c r="Q347" i="21"/>
  <c r="Q346" i="21"/>
  <c r="Q345" i="21"/>
  <c r="Q344" i="21"/>
  <c r="Q343" i="21"/>
  <c r="Q342" i="21"/>
  <c r="Q341" i="21"/>
  <c r="Q340" i="21"/>
  <c r="Q339" i="21"/>
  <c r="Q338" i="21"/>
  <c r="Q337" i="21"/>
  <c r="Q336" i="21"/>
  <c r="Q335" i="21"/>
  <c r="Q334" i="21"/>
  <c r="Q333" i="21"/>
  <c r="Q332" i="21"/>
  <c r="Q331" i="21"/>
  <c r="Q330" i="21"/>
  <c r="Q329" i="21"/>
  <c r="Q328" i="21"/>
  <c r="Q327" i="21"/>
  <c r="Q326" i="21"/>
  <c r="Q325" i="21"/>
  <c r="Q324" i="21"/>
  <c r="Q323" i="21"/>
  <c r="Q322" i="21"/>
  <c r="Q321" i="21"/>
  <c r="Q320" i="21"/>
  <c r="Q319" i="21"/>
  <c r="Q318" i="21"/>
  <c r="Q317" i="21"/>
  <c r="Q316" i="21"/>
  <c r="Q315" i="21"/>
  <c r="Q314" i="21"/>
  <c r="Q313" i="21"/>
  <c r="Q312" i="21"/>
  <c r="Q311" i="21"/>
  <c r="Q310" i="21"/>
  <c r="Q309" i="21"/>
  <c r="Q308" i="21"/>
  <c r="Q307" i="21"/>
  <c r="Q306" i="21"/>
  <c r="Q305" i="21"/>
  <c r="Q304" i="21"/>
  <c r="Q303" i="21"/>
  <c r="Q302" i="21"/>
  <c r="Q301" i="21"/>
  <c r="Q300" i="21"/>
  <c r="Q299" i="21"/>
  <c r="Q298" i="21"/>
  <c r="Q297" i="21"/>
  <c r="Q296" i="21"/>
  <c r="Q295" i="21"/>
  <c r="Q294" i="21"/>
  <c r="Q293" i="21"/>
  <c r="Q292" i="21"/>
  <c r="Q291" i="21"/>
  <c r="Q290" i="21"/>
  <c r="Q289" i="21"/>
  <c r="Q288" i="21"/>
  <c r="Q287" i="21"/>
  <c r="Q286" i="21"/>
  <c r="Q285" i="21"/>
  <c r="Q284" i="21"/>
  <c r="Q283" i="21"/>
  <c r="Q282" i="21"/>
  <c r="Q281" i="21"/>
  <c r="Q280" i="21"/>
  <c r="Q279" i="21"/>
  <c r="Q278" i="21"/>
  <c r="Q277" i="21"/>
  <c r="Q276" i="21"/>
  <c r="Q275" i="21"/>
  <c r="Q274" i="21"/>
  <c r="Q273" i="21"/>
  <c r="Q272" i="21"/>
  <c r="Q271" i="21"/>
  <c r="Q270" i="21"/>
  <c r="Q269" i="21"/>
  <c r="Q268" i="21"/>
  <c r="Q267" i="21"/>
  <c r="Q266" i="21"/>
  <c r="Q265" i="21"/>
  <c r="Q264" i="21"/>
  <c r="Q263" i="21"/>
  <c r="Q262" i="21"/>
  <c r="Q261" i="21"/>
  <c r="Q260" i="21"/>
  <c r="Q259" i="21"/>
  <c r="Q258" i="21"/>
  <c r="Q257" i="21"/>
  <c r="Q256" i="21"/>
  <c r="Q255" i="21"/>
  <c r="Q254" i="21"/>
  <c r="Q253" i="21"/>
  <c r="Q252" i="21"/>
  <c r="Q251" i="21"/>
  <c r="Q250" i="21"/>
  <c r="Q249" i="21"/>
  <c r="Q248" i="21"/>
  <c r="Q247" i="21"/>
  <c r="Q246" i="21"/>
  <c r="Q245" i="21"/>
  <c r="Q244" i="21"/>
  <c r="Q243" i="21"/>
  <c r="Q242" i="21"/>
  <c r="Q241" i="21"/>
  <c r="Q240" i="21"/>
  <c r="Q239" i="21"/>
  <c r="Q238" i="21"/>
  <c r="Q237" i="21"/>
  <c r="Q236" i="21"/>
  <c r="Q235" i="21"/>
  <c r="Q234" i="21"/>
  <c r="Q233" i="21"/>
  <c r="Q232" i="21"/>
  <c r="Q231" i="21"/>
  <c r="Q230" i="21"/>
  <c r="Q229" i="21"/>
  <c r="Q228" i="21"/>
  <c r="Q227" i="21"/>
  <c r="Q226" i="21"/>
  <c r="Q225" i="21"/>
  <c r="Q224" i="21"/>
  <c r="Q223" i="21"/>
  <c r="Q222" i="21"/>
  <c r="Q221" i="21"/>
  <c r="Q220" i="21"/>
  <c r="Q219" i="21"/>
  <c r="Q218" i="21"/>
  <c r="Q217" i="21"/>
  <c r="Q216" i="21"/>
  <c r="Q215" i="21"/>
  <c r="Q214" i="21"/>
  <c r="Q213" i="21"/>
  <c r="Q212" i="21"/>
  <c r="Q211" i="21"/>
  <c r="Q210" i="21"/>
  <c r="Q209" i="21"/>
  <c r="Q208" i="21"/>
  <c r="Q207" i="21"/>
  <c r="Q206" i="21"/>
  <c r="Q205" i="21"/>
  <c r="Q204" i="21"/>
  <c r="Q203" i="21"/>
  <c r="Q202" i="21"/>
  <c r="Q201" i="21"/>
  <c r="Q200" i="21"/>
  <c r="Q199" i="21"/>
  <c r="Q198" i="21"/>
  <c r="Q197" i="21"/>
  <c r="Q196" i="21"/>
  <c r="Q195" i="21"/>
  <c r="Q194" i="21"/>
  <c r="Q193" i="21"/>
  <c r="Q192" i="21"/>
  <c r="Q191" i="21"/>
  <c r="Q190" i="21"/>
  <c r="Q189" i="21"/>
  <c r="Q188" i="21"/>
  <c r="Q187" i="21"/>
  <c r="Q186" i="21"/>
  <c r="Q185" i="21"/>
  <c r="Q184" i="21"/>
  <c r="Q183" i="21"/>
  <c r="Q182" i="21"/>
  <c r="Q181" i="21"/>
  <c r="Q180" i="21"/>
  <c r="Q179" i="21"/>
  <c r="Q178" i="21"/>
  <c r="Q177" i="21"/>
  <c r="Q176" i="21"/>
  <c r="Q175" i="21"/>
  <c r="Q174" i="21"/>
  <c r="Q173" i="21"/>
  <c r="Q172" i="21"/>
  <c r="Q171" i="21"/>
  <c r="Q170" i="21"/>
  <c r="Q169" i="21"/>
  <c r="Q168" i="21"/>
  <c r="Q167" i="21"/>
  <c r="Q166" i="21"/>
  <c r="Q165" i="21"/>
  <c r="Q164" i="21"/>
  <c r="Q163" i="21"/>
  <c r="Q162" i="21"/>
  <c r="Q161" i="21"/>
  <c r="Q160" i="21"/>
  <c r="Q159" i="21"/>
  <c r="Q158" i="21"/>
  <c r="Q157" i="21"/>
  <c r="Q156" i="21"/>
  <c r="Q155" i="21"/>
  <c r="Q154" i="21"/>
  <c r="Q153" i="21"/>
  <c r="Q152" i="21"/>
  <c r="Q151" i="21"/>
  <c r="Q150" i="21"/>
  <c r="Q149" i="21"/>
  <c r="Q148" i="21"/>
  <c r="Q147" i="21"/>
  <c r="Q146" i="21"/>
  <c r="Q145" i="21"/>
  <c r="Q144" i="21"/>
  <c r="Q143" i="21"/>
  <c r="Q142" i="21"/>
  <c r="Q141" i="21"/>
  <c r="Q140" i="21"/>
  <c r="Q139" i="21"/>
  <c r="Q138" i="21"/>
  <c r="Q137" i="21"/>
  <c r="Q136" i="21"/>
  <c r="Q135" i="21"/>
  <c r="Q134" i="21"/>
  <c r="Q133" i="21"/>
  <c r="Q132" i="21"/>
  <c r="Q131" i="21"/>
  <c r="Q130" i="21"/>
  <c r="Q129" i="21"/>
  <c r="Q128" i="21"/>
  <c r="Q127" i="21"/>
  <c r="Q126" i="21"/>
  <c r="Q125" i="21"/>
  <c r="Q124" i="21"/>
  <c r="Q123" i="21"/>
  <c r="Q122" i="21"/>
  <c r="Q121" i="21"/>
  <c r="Q120" i="21"/>
  <c r="Q119" i="21"/>
  <c r="Q118" i="21"/>
  <c r="Q117" i="21"/>
  <c r="Q116" i="21"/>
  <c r="Q115" i="21"/>
  <c r="Q114" i="21"/>
  <c r="Q113" i="21"/>
  <c r="Q112" i="21"/>
  <c r="Q111" i="21"/>
  <c r="Q110" i="21"/>
  <c r="Q109" i="21"/>
  <c r="Q108" i="21"/>
  <c r="Q107" i="21"/>
  <c r="Q106" i="21"/>
  <c r="Q105" i="21"/>
  <c r="Q104" i="21"/>
  <c r="Q103" i="21"/>
  <c r="Q102" i="21"/>
  <c r="Q101" i="21"/>
  <c r="Q100" i="21"/>
  <c r="Q99" i="21"/>
  <c r="Q98" i="21"/>
  <c r="Q97" i="21"/>
  <c r="Q96" i="21"/>
  <c r="Q95" i="21"/>
  <c r="Q94" i="21"/>
  <c r="Q93" i="21"/>
  <c r="Q92" i="21"/>
  <c r="Q91" i="21"/>
  <c r="Q90" i="21"/>
  <c r="Q89" i="21"/>
  <c r="Q88" i="21"/>
  <c r="Q87" i="21"/>
  <c r="Q86" i="21"/>
  <c r="Q85" i="21"/>
  <c r="Q84" i="21"/>
  <c r="Q83" i="21"/>
  <c r="Q82" i="21"/>
  <c r="Q81" i="21"/>
  <c r="Q80" i="21"/>
  <c r="Q79" i="21"/>
  <c r="Q78" i="21"/>
  <c r="Q77" i="21"/>
  <c r="Q76" i="21"/>
  <c r="Q75" i="21"/>
  <c r="Q74" i="21"/>
  <c r="Q73" i="21"/>
  <c r="Q72" i="21"/>
  <c r="Q71" i="21"/>
  <c r="Q70" i="21"/>
  <c r="Q69" i="21"/>
  <c r="Q68" i="21"/>
  <c r="Q67" i="21"/>
  <c r="Q66" i="21"/>
  <c r="Q65" i="21"/>
  <c r="Q64" i="21"/>
  <c r="Q63" i="21"/>
  <c r="Q62" i="21"/>
  <c r="Q61" i="21"/>
  <c r="Q60" i="21"/>
  <c r="Q59" i="21"/>
  <c r="Q58" i="21"/>
  <c r="Q57" i="21"/>
  <c r="Q56" i="21"/>
  <c r="Q55" i="21"/>
  <c r="Q54" i="21"/>
  <c r="Q53" i="21"/>
  <c r="Q52" i="21"/>
  <c r="Q51" i="21"/>
  <c r="Q50" i="21"/>
  <c r="Q49" i="21"/>
  <c r="Q48" i="21"/>
  <c r="Q47" i="21"/>
  <c r="Q46" i="21"/>
  <c r="Q45" i="21"/>
  <c r="Q44" i="21"/>
  <c r="Q43" i="21"/>
  <c r="Q42" i="21"/>
  <c r="Q41" i="21"/>
  <c r="Q40" i="21"/>
  <c r="Q39" i="21"/>
  <c r="Q38" i="21"/>
  <c r="Q37" i="21"/>
  <c r="Q36" i="21"/>
  <c r="Q35" i="21"/>
  <c r="Q34" i="21"/>
  <c r="Q33" i="21"/>
  <c r="Q32" i="21"/>
  <c r="Q31" i="21"/>
  <c r="Q30" i="21"/>
  <c r="Q29" i="21"/>
  <c r="Q28" i="21"/>
  <c r="Q27" i="21"/>
  <c r="Q26" i="21"/>
  <c r="Q25" i="21"/>
  <c r="Q24" i="21"/>
  <c r="Q23" i="21"/>
  <c r="Q22" i="21"/>
  <c r="Q21" i="21"/>
  <c r="Q20" i="21"/>
  <c r="Q19" i="21"/>
  <c r="Q18" i="21"/>
  <c r="Q17" i="21"/>
  <c r="Q16" i="21"/>
  <c r="T13" i="25"/>
  <c r="D112" i="16"/>
  <c r="D116" i="16"/>
  <c r="D115" i="16"/>
  <c r="D114" i="16"/>
  <c r="D113" i="16"/>
</calcChain>
</file>

<file path=xl/sharedStrings.xml><?xml version="1.0" encoding="utf-8"?>
<sst xmlns="http://schemas.openxmlformats.org/spreadsheetml/2006/main" count="279" uniqueCount="177">
  <si>
    <t>Worst Case</t>
  </si>
  <si>
    <t>Date</t>
  </si>
  <si>
    <t>AvgDaily</t>
  </si>
  <si>
    <t>Backlog</t>
  </si>
  <si>
    <t>Future Ready</t>
  </si>
  <si>
    <t>Comments</t>
  </si>
  <si>
    <t>First date</t>
  </si>
  <si>
    <t>Total</t>
  </si>
  <si>
    <t>Lead Start</t>
  </si>
  <si>
    <t>Lead End</t>
  </si>
  <si>
    <t>Lead Time</t>
  </si>
  <si>
    <t>Target</t>
  </si>
  <si>
    <t>Work Item ID</t>
  </si>
  <si>
    <t>Title</t>
  </si>
  <si>
    <t>Dates</t>
  </si>
  <si>
    <t>Weighting</t>
  </si>
  <si>
    <t>DaysToIgnoreOnAvg</t>
  </si>
  <si>
    <t>Best Case</t>
  </si>
  <si>
    <t>To Do</t>
  </si>
  <si>
    <t>Done</t>
  </si>
  <si>
    <t>In Progress</t>
  </si>
  <si>
    <t>Percentile High</t>
  </si>
  <si>
    <t>Deviation</t>
  </si>
  <si>
    <t xml:space="preserve"> this lets you offset the average line to start a number of days in. usefull for 'priming' a new system. Set it to the first day a work item finishes</t>
  </si>
  <si>
    <t>In case of story points or T-shirt sizes being used</t>
  </si>
  <si>
    <t>Median Prediction</t>
  </si>
  <si>
    <t>lowDaily</t>
  </si>
  <si>
    <t>highDaily</t>
  </si>
  <si>
    <t>lookupHigh</t>
  </si>
  <si>
    <t>lookupLow</t>
  </si>
  <si>
    <t>lookupMedian</t>
  </si>
  <si>
    <t>thia percentile(I suggest  85th, or  90th) affects variance on the CFD</t>
  </si>
  <si>
    <t>LeadTime</t>
  </si>
  <si>
    <t>percent</t>
  </si>
  <si>
    <t>cumulative percent</t>
  </si>
  <si>
    <t>Type</t>
  </si>
  <si>
    <t>Spike</t>
  </si>
  <si>
    <t>Work item type</t>
  </si>
  <si>
    <t>All</t>
  </si>
  <si>
    <t>spike</t>
  </si>
  <si>
    <t>WIP</t>
  </si>
  <si>
    <t>Rounded Lead Time</t>
  </si>
  <si>
    <t>Work Item types</t>
  </si>
  <si>
    <t>Story</t>
  </si>
  <si>
    <t>Ready</t>
  </si>
  <si>
    <t>TechPod</t>
  </si>
  <si>
    <t>Ready For Demo</t>
  </si>
  <si>
    <t>Demo</t>
  </si>
  <si>
    <t>Ready for Demo</t>
  </si>
  <si>
    <t>Epic</t>
  </si>
  <si>
    <t>Emergence</t>
  </si>
  <si>
    <t>Goal Done</t>
  </si>
  <si>
    <t>Sort</t>
  </si>
  <si>
    <t>Future</t>
  </si>
  <si>
    <t>AVG Lead Time</t>
  </si>
  <si>
    <t>Delivery Rate</t>
  </si>
  <si>
    <t>Avg WIP</t>
  </si>
  <si>
    <t>Bank holidays</t>
  </si>
  <si>
    <t>Avg Lead Time</t>
  </si>
  <si>
    <t>Day</t>
  </si>
  <si>
    <t>Uncommitted Future Work</t>
  </si>
  <si>
    <t>BlankLeadTime</t>
  </si>
  <si>
    <t>Basic SLA</t>
  </si>
  <si>
    <t>Moving 11D Goal</t>
  </si>
  <si>
    <t>&lt;-Future work type</t>
  </si>
  <si>
    <t>Sprint Finished</t>
  </si>
  <si>
    <t>Freq</t>
  </si>
  <si>
    <t>People</t>
  </si>
  <si>
    <t>people</t>
  </si>
  <si>
    <t>Future Work</t>
  </si>
  <si>
    <t>story</t>
  </si>
  <si>
    <t>Date override (normally empty) -&gt;</t>
  </si>
  <si>
    <t xml:space="preserve">&lt;-DO NOT CHANGE THIS CELL it is used to show the date on the CFD chart </t>
  </si>
  <si>
    <t>Deadline -&gt;</t>
  </si>
  <si>
    <t xml:space="preserve">&lt;-DO NOT CHANGE THIS CELL it is used to show the deadline date on the CFD chart </t>
  </si>
  <si>
    <t>Deadline</t>
  </si>
  <si>
    <t>mean average -&gt;</t>
  </si>
  <si>
    <t>This work is licensed under the Creative Commons Attribution-ShareAlike 4.0 International License. To view a copy of this license, visit http://creativecommons.org/licenses/by-sa/4.0/.</t>
  </si>
  <si>
    <r>
      <t>Predictive Cumulative Flow Sheet by </t>
    </r>
    <r>
      <rPr>
        <sz val="14"/>
        <color rgb="FF428BCA"/>
        <rFont val="Helvetica Neue"/>
      </rPr>
      <t>Dan Brown</t>
    </r>
    <r>
      <rPr>
        <sz val="14"/>
        <color rgb="FF000000"/>
        <rFont val="Helvetica Neue"/>
      </rPr>
      <t> is licensed under a </t>
    </r>
    <r>
      <rPr>
        <sz val="14"/>
        <color rgb="FF428BCA"/>
        <rFont val="Helvetica Neue"/>
      </rPr>
      <t>Creative Commons Attribution-ShareAlike 4.0 International License</t>
    </r>
    <r>
      <rPr>
        <sz val="14"/>
        <color rgb="FF000000"/>
        <rFont val="Helvetica Neue"/>
      </rPr>
      <t>.</t>
    </r>
  </si>
  <si>
    <t>@KanbanDan</t>
  </si>
  <si>
    <t>www.kanbandan.com</t>
  </si>
  <si>
    <t>Story 1</t>
  </si>
  <si>
    <t>Story 2</t>
  </si>
  <si>
    <t>Story 3</t>
  </si>
  <si>
    <t>Story 4</t>
  </si>
  <si>
    <t>Story 5</t>
  </si>
  <si>
    <t>Story 6</t>
  </si>
  <si>
    <t>Story 7</t>
  </si>
  <si>
    <t>Story 8</t>
  </si>
  <si>
    <t>Story 9</t>
  </si>
  <si>
    <t>Story 10</t>
  </si>
  <si>
    <t>Story 11</t>
  </si>
  <si>
    <t>Story 12</t>
  </si>
  <si>
    <t>Story 13</t>
  </si>
  <si>
    <t>Story 14</t>
  </si>
  <si>
    <t>Story 15</t>
  </si>
  <si>
    <t>Story 16</t>
  </si>
  <si>
    <t>Story 17</t>
  </si>
  <si>
    <t>Story 18</t>
  </si>
  <si>
    <t>Story 19</t>
  </si>
  <si>
    <t>Story 20</t>
  </si>
  <si>
    <t>Story 21</t>
  </si>
  <si>
    <t>Story 22</t>
  </si>
  <si>
    <t>Story 23</t>
  </si>
  <si>
    <t>Story 24</t>
  </si>
  <si>
    <t>Story 25</t>
  </si>
  <si>
    <t>Story 26</t>
  </si>
  <si>
    <t>Story 27</t>
  </si>
  <si>
    <t>Story 28</t>
  </si>
  <si>
    <t>Story 29</t>
  </si>
  <si>
    <t>Story 30</t>
  </si>
  <si>
    <t>Story 31</t>
  </si>
  <si>
    <t>Story 32</t>
  </si>
  <si>
    <t>Story 33</t>
  </si>
  <si>
    <t>Story 34</t>
  </si>
  <si>
    <t>Story 35</t>
  </si>
  <si>
    <t>Story 36</t>
  </si>
  <si>
    <t>Story 37</t>
  </si>
  <si>
    <t>Story 38</t>
  </si>
  <si>
    <t>Story 39</t>
  </si>
  <si>
    <t>Story 40</t>
  </si>
  <si>
    <t>Story 41</t>
  </si>
  <si>
    <t>Story 42</t>
  </si>
  <si>
    <t>Story 43</t>
  </si>
  <si>
    <t>Story 44</t>
  </si>
  <si>
    <t>Story 45</t>
  </si>
  <si>
    <t>Story 46</t>
  </si>
  <si>
    <t>Story 47</t>
  </si>
  <si>
    <t>Story 48</t>
  </si>
  <si>
    <t>Story 49</t>
  </si>
  <si>
    <t>Story 50</t>
  </si>
  <si>
    <t>Story 51</t>
  </si>
  <si>
    <t>Story 52</t>
  </si>
  <si>
    <t>Story 53</t>
  </si>
  <si>
    <t>Story 54</t>
  </si>
  <si>
    <t>Story 55</t>
  </si>
  <si>
    <t>Story 56</t>
  </si>
  <si>
    <t>Story 57</t>
  </si>
  <si>
    <t>Story 58</t>
  </si>
  <si>
    <t>Story 59</t>
  </si>
  <si>
    <t>Story 60</t>
  </si>
  <si>
    <t>Story 61</t>
  </si>
  <si>
    <t>Story 62</t>
  </si>
  <si>
    <t>Story 63</t>
  </si>
  <si>
    <t>Story 64</t>
  </si>
  <si>
    <t>Story 65</t>
  </si>
  <si>
    <t>Story 66</t>
  </si>
  <si>
    <t>Story 67</t>
  </si>
  <si>
    <t>Story 68</t>
  </si>
  <si>
    <t>Story 69</t>
  </si>
  <si>
    <t>Story 70</t>
  </si>
  <si>
    <t>Story 71</t>
  </si>
  <si>
    <t>Story 72</t>
  </si>
  <si>
    <t>Story 73</t>
  </si>
  <si>
    <t>Story 74</t>
  </si>
  <si>
    <t>Story 75</t>
  </si>
  <si>
    <t>Story 76</t>
  </si>
  <si>
    <t>Story 77</t>
  </si>
  <si>
    <t>Story 78</t>
  </si>
  <si>
    <t>Story 79</t>
  </si>
  <si>
    <t>Story 80</t>
  </si>
  <si>
    <t>Story 81</t>
  </si>
  <si>
    <t>Story 82</t>
  </si>
  <si>
    <t>Story 83</t>
  </si>
  <si>
    <t>Story 84</t>
  </si>
  <si>
    <t>Story 85</t>
  </si>
  <si>
    <t>Story 86</t>
  </si>
  <si>
    <t>Story 87</t>
  </si>
  <si>
    <t>Story 88</t>
  </si>
  <si>
    <t>Story 89</t>
  </si>
  <si>
    <t>Story 90</t>
  </si>
  <si>
    <t>Historic</t>
  </si>
  <si>
    <t>Historic Numbers</t>
  </si>
  <si>
    <t>AvgOffsetedTorange</t>
  </si>
  <si>
    <t>Done Today</t>
  </si>
  <si>
    <t>Old Deviation</t>
  </si>
  <si>
    <t>OLD AvgDaily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</si>
</sst>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ddd"/>
  </numFmts>
  <fonts count="2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b/>
      <i/>
      <sz val="11"/>
      <color theme="1"/>
      <name val="Calibri"/>
      <scheme val="minor"/>
    </font>
    <font>
      <sz val="14"/>
      <name val="Arial"/>
    </font>
    <font>
      <b/>
      <sz val="14"/>
      <color rgb="FF3F3F76"/>
      <name val="Calibri"/>
      <scheme val="minor"/>
    </font>
    <font>
      <sz val="8"/>
      <name val="Arial"/>
    </font>
    <font>
      <b/>
      <sz val="11"/>
      <color theme="1"/>
      <name val="Calibri"/>
      <family val="2"/>
      <scheme val="minor"/>
    </font>
    <font>
      <sz val="14"/>
      <color rgb="FF000000"/>
      <name val="Helvetica Neue"/>
    </font>
    <font>
      <sz val="14"/>
      <color rgb="FF428BCA"/>
      <name val="Helvetica Neue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C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7F7F7F"/>
      </left>
      <right style="thin">
        <color auto="1"/>
      </right>
      <top style="thin">
        <color auto="1"/>
      </top>
      <bottom style="thin">
        <color rgb="FF7F7F7F"/>
      </bottom>
      <diagonal/>
    </border>
    <border>
      <left style="thin">
        <color rgb="FF7F7F7F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auto="1"/>
      </right>
      <top style="thin">
        <color rgb="FF7F7F7F"/>
      </top>
      <bottom/>
      <diagonal/>
    </border>
    <border>
      <left style="thin">
        <color rgb="FF7F7F7F"/>
      </left>
      <right style="thin">
        <color auto="1"/>
      </right>
      <top style="thin">
        <color rgb="FF7F7F7F"/>
      </top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</borders>
  <cellStyleXfs count="189">
    <xf numFmtId="0" fontId="0" fillId="0" borderId="0"/>
    <xf numFmtId="0" fontId="4" fillId="0" borderId="0"/>
    <xf numFmtId="0" fontId="3" fillId="0" borderId="0"/>
    <xf numFmtId="0" fontId="5" fillId="0" borderId="0"/>
    <xf numFmtId="0" fontId="3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/>
    <xf numFmtId="0" fontId="10" fillId="2" borderId="1" applyNumberFormat="0" applyAlignment="0" applyProtection="0"/>
    <xf numFmtId="0" fontId="11" fillId="3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5">
    <xf numFmtId="0" fontId="0" fillId="0" borderId="0" xfId="0"/>
    <xf numFmtId="0" fontId="3" fillId="0" borderId="0" xfId="4"/>
    <xf numFmtId="0" fontId="3" fillId="0" borderId="0" xfId="4" applyFill="1"/>
    <xf numFmtId="164" fontId="8" fillId="0" borderId="0" xfId="4" applyNumberFormat="1" applyFont="1"/>
    <xf numFmtId="0" fontId="2" fillId="0" borderId="0" xfId="41"/>
    <xf numFmtId="0" fontId="2" fillId="0" borderId="0" xfId="41" applyFill="1" applyBorder="1"/>
    <xf numFmtId="14" fontId="2" fillId="0" borderId="0" xfId="41" applyNumberFormat="1" applyFill="1" applyBorder="1"/>
    <xf numFmtId="0" fontId="9" fillId="0" borderId="0" xfId="0" applyFont="1"/>
    <xf numFmtId="165" fontId="11" fillId="3" borderId="1" xfId="43" applyNumberFormat="1"/>
    <xf numFmtId="164" fontId="11" fillId="3" borderId="1" xfId="43" applyNumberFormat="1"/>
    <xf numFmtId="0" fontId="11" fillId="3" borderId="1" xfId="43"/>
    <xf numFmtId="14" fontId="11" fillId="3" borderId="1" xfId="43" applyNumberFormat="1"/>
    <xf numFmtId="0" fontId="11" fillId="3" borderId="1" xfId="43" applyNumberFormat="1"/>
    <xf numFmtId="0" fontId="10" fillId="2" borderId="1" xfId="42"/>
    <xf numFmtId="0" fontId="10" fillId="2" borderId="1" xfId="42" applyNumberFormat="1"/>
    <xf numFmtId="14" fontId="10" fillId="2" borderId="1" xfId="42" applyNumberFormat="1"/>
    <xf numFmtId="14" fontId="1" fillId="0" borderId="0" xfId="41" applyNumberFormat="1" applyFont="1" applyFill="1" applyBorder="1"/>
    <xf numFmtId="0" fontId="1" fillId="0" borderId="0" xfId="41" applyFont="1"/>
    <xf numFmtId="0" fontId="10" fillId="2" borderId="2" xfId="42" applyBorder="1"/>
    <xf numFmtId="0" fontId="1" fillId="0" borderId="0" xfId="41" applyFont="1" applyAlignment="1">
      <alignment wrapText="1"/>
    </xf>
    <xf numFmtId="0" fontId="2" fillId="0" borderId="0" xfId="41" applyAlignment="1">
      <alignment wrapText="1"/>
    </xf>
    <xf numFmtId="14" fontId="1" fillId="0" borderId="0" xfId="41" applyNumberFormat="1" applyFont="1" applyFill="1" applyBorder="1" applyAlignment="1">
      <alignment wrapText="1"/>
    </xf>
    <xf numFmtId="14" fontId="12" fillId="0" borderId="0" xfId="41" applyNumberFormat="1" applyFont="1" applyFill="1" applyBorder="1"/>
    <xf numFmtId="0" fontId="14" fillId="0" borderId="0" xfId="41" applyFont="1"/>
    <xf numFmtId="0" fontId="1" fillId="0" borderId="0" xfId="41" applyFont="1" applyAlignment="1">
      <alignment wrapText="1"/>
    </xf>
    <xf numFmtId="0" fontId="10" fillId="2" borderId="6" xfId="42" applyBorder="1"/>
    <xf numFmtId="0" fontId="10" fillId="2" borderId="1" xfId="42" applyBorder="1"/>
    <xf numFmtId="0" fontId="11" fillId="3" borderId="1" xfId="43" applyBorder="1"/>
    <xf numFmtId="0" fontId="10" fillId="2" borderId="7" xfId="42" applyBorder="1"/>
    <xf numFmtId="0" fontId="10" fillId="2" borderId="8" xfId="42" applyBorder="1"/>
    <xf numFmtId="0" fontId="10" fillId="2" borderId="9" xfId="42" applyBorder="1"/>
    <xf numFmtId="0" fontId="9" fillId="0" borderId="0" xfId="0" applyFont="1" applyAlignment="1">
      <alignment wrapText="1"/>
    </xf>
    <xf numFmtId="9" fontId="0" fillId="0" borderId="0" xfId="0" applyNumberFormat="1"/>
    <xf numFmtId="0" fontId="15" fillId="0" borderId="0" xfId="0" applyFont="1"/>
    <xf numFmtId="0" fontId="13" fillId="0" borderId="0" xfId="0" applyFont="1" applyAlignment="1">
      <alignment wrapText="1"/>
    </xf>
    <xf numFmtId="0" fontId="16" fillId="2" borderId="1" xfId="42" applyFont="1"/>
    <xf numFmtId="0" fontId="1" fillId="0" borderId="0" xfId="41" applyFont="1" applyAlignment="1">
      <alignment wrapText="1"/>
    </xf>
    <xf numFmtId="14" fontId="18" fillId="0" borderId="0" xfId="41" applyNumberFormat="1" applyFont="1" applyFill="1" applyBorder="1"/>
    <xf numFmtId="164" fontId="11" fillId="3" borderId="2" xfId="43" applyNumberFormat="1" applyBorder="1"/>
    <xf numFmtId="14" fontId="10" fillId="2" borderId="1" xfId="42" applyNumberFormat="1" applyFont="1"/>
    <xf numFmtId="0" fontId="0" fillId="0" borderId="0" xfId="0" applyNumberFormat="1"/>
    <xf numFmtId="14" fontId="10" fillId="4" borderId="1" xfId="42" applyNumberFormat="1" applyFill="1" applyBorder="1"/>
    <xf numFmtId="0" fontId="1" fillId="0" borderId="0" xfId="41" applyFont="1" applyAlignment="1">
      <alignment wrapText="1"/>
    </xf>
    <xf numFmtId="2" fontId="1" fillId="0" borderId="0" xfId="41" applyNumberFormat="1" applyFont="1"/>
    <xf numFmtId="2" fontId="11" fillId="3" borderId="1" xfId="43" applyNumberFormat="1"/>
    <xf numFmtId="14" fontId="0" fillId="0" borderId="0" xfId="0" applyNumberFormat="1"/>
    <xf numFmtId="14" fontId="11" fillId="5" borderId="1" xfId="43" applyNumberFormat="1" applyFill="1"/>
    <xf numFmtId="0" fontId="11" fillId="5" borderId="1" xfId="43" applyFill="1"/>
    <xf numFmtId="0" fontId="11" fillId="5" borderId="1" xfId="43" applyNumberFormat="1" applyFill="1"/>
    <xf numFmtId="2" fontId="11" fillId="5" borderId="1" xfId="43" applyNumberFormat="1" applyFill="1"/>
    <xf numFmtId="14" fontId="10" fillId="2" borderId="2" xfId="42" applyNumberFormat="1" applyBorder="1"/>
    <xf numFmtId="165" fontId="11" fillId="3" borderId="10" xfId="43" applyNumberFormat="1" applyBorder="1"/>
    <xf numFmtId="165" fontId="11" fillId="5" borderId="10" xfId="43" applyNumberFormat="1" applyFill="1" applyBorder="1"/>
    <xf numFmtId="2" fontId="11" fillId="3" borderId="11" xfId="43" applyNumberFormat="1" applyBorder="1"/>
    <xf numFmtId="165" fontId="11" fillId="3" borderId="12" xfId="43" applyNumberFormat="1" applyBorder="1"/>
    <xf numFmtId="14" fontId="11" fillId="3" borderId="13" xfId="43" applyNumberFormat="1" applyBorder="1"/>
    <xf numFmtId="0" fontId="11" fillId="3" borderId="13" xfId="43" applyBorder="1"/>
    <xf numFmtId="0" fontId="11" fillId="3" borderId="13" xfId="43" applyNumberFormat="1" applyBorder="1"/>
    <xf numFmtId="2" fontId="11" fillId="3" borderId="13" xfId="43" applyNumberFormat="1" applyBorder="1"/>
    <xf numFmtId="2" fontId="11" fillId="3" borderId="14" xfId="43" applyNumberFormat="1" applyBorder="1"/>
    <xf numFmtId="0" fontId="13" fillId="0" borderId="0" xfId="0" applyFont="1" applyBorder="1" applyAlignment="1">
      <alignment horizontal="center"/>
    </xf>
    <xf numFmtId="0" fontId="10" fillId="4" borderId="1" xfId="42" applyNumberFormat="1" applyFill="1" applyBorder="1"/>
    <xf numFmtId="0" fontId="10" fillId="2" borderId="1" xfId="42" applyNumberFormat="1" applyFont="1"/>
    <xf numFmtId="0" fontId="10" fillId="2" borderId="1" xfId="42" applyNumberFormat="1" applyBorder="1"/>
    <xf numFmtId="14" fontId="10" fillId="2" borderId="1" xfId="42" applyNumberFormat="1" applyBorder="1"/>
    <xf numFmtId="0" fontId="0" fillId="0" borderId="0" xfId="0" applyAlignment="1">
      <alignment horizontal="right"/>
    </xf>
    <xf numFmtId="0" fontId="3" fillId="0" borderId="0" xfId="4" applyNumberFormat="1"/>
    <xf numFmtId="0" fontId="15" fillId="0" borderId="0" xfId="0" applyFont="1" applyAlignment="1">
      <alignment horizontal="right"/>
    </xf>
    <xf numFmtId="22" fontId="10" fillId="2" borderId="1" xfId="42" applyNumberFormat="1" applyProtection="1">
      <protection locked="0"/>
    </xf>
    <xf numFmtId="0" fontId="0" fillId="6" borderId="0" xfId="0" applyFill="1" applyProtection="1">
      <protection locked="0"/>
    </xf>
    <xf numFmtId="0" fontId="10" fillId="2" borderId="0" xfId="42" applyNumberFormat="1" applyBorder="1" applyProtection="1">
      <protection locked="0"/>
    </xf>
    <xf numFmtId="0" fontId="10" fillId="2" borderId="1" xfId="42" applyNumberFormat="1" applyProtection="1">
      <protection locked="0"/>
    </xf>
    <xf numFmtId="14" fontId="10" fillId="2" borderId="1" xfId="42" applyNumberFormat="1" applyProtection="1">
      <protection locked="0"/>
    </xf>
    <xf numFmtId="0" fontId="10" fillId="2" borderId="1" xfId="42" applyProtection="1">
      <protection locked="0"/>
    </xf>
    <xf numFmtId="16" fontId="10" fillId="2" borderId="1" xfId="42" applyNumberFormat="1"/>
    <xf numFmtId="14" fontId="10" fillId="2" borderId="1" xfId="42" quotePrefix="1" applyNumberFormat="1" applyProtection="1">
      <protection locked="0"/>
    </xf>
    <xf numFmtId="14" fontId="12" fillId="0" borderId="5" xfId="41" applyNumberFormat="1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" fillId="0" borderId="0" xfId="41" applyFont="1" applyAlignment="1">
      <alignment wrapText="1"/>
    </xf>
    <xf numFmtId="0" fontId="0" fillId="0" borderId="0" xfId="0" applyAlignment="1">
      <alignment wrapText="1"/>
    </xf>
    <xf numFmtId="0" fontId="19" fillId="0" borderId="0" xfId="0" applyFont="1" applyAlignment="1"/>
    <xf numFmtId="0" fontId="0" fillId="0" borderId="0" xfId="0" applyAlignment="1"/>
    <xf numFmtId="0" fontId="6" fillId="0" borderId="0" xfId="188" applyAlignment="1"/>
    <xf numFmtId="0" fontId="6" fillId="0" borderId="0" xfId="188" quotePrefix="1" applyAlignment="1"/>
  </cellXfs>
  <cellStyles count="189">
    <cellStyle name="Calculation" xfId="43" builtinId="22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4" builtinId="9" hidden="1"/>
    <cellStyle name="Followed Hyperlink" xfId="186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5" builtinId="8" hidden="1"/>
    <cellStyle name="Hyperlink" xfId="187" builtinId="8" hidden="1"/>
    <cellStyle name="Hyperlink" xfId="188" builtinId="8"/>
    <cellStyle name="Input" xfId="42" builtinId="20"/>
    <cellStyle name="Normal" xfId="0" builtinId="0"/>
    <cellStyle name="Normal 2" xfId="1" xr:uid="{00000000-0005-0000-0000-0000B8000000}"/>
    <cellStyle name="Normal 2 2" xfId="4" xr:uid="{00000000-0005-0000-0000-0000B9000000}"/>
    <cellStyle name="Normal 3" xfId="3" xr:uid="{00000000-0005-0000-0000-0000BA000000}"/>
    <cellStyle name="Normal 4" xfId="2" xr:uid="{00000000-0005-0000-0000-0000BB000000}"/>
    <cellStyle name="Normal 5" xfId="41" xr:uid="{00000000-0005-0000-0000-0000BC000000}"/>
  </cellStyles>
  <dxfs count="61">
    <dxf>
      <numFmt numFmtId="2" formatCode="0.00"/>
    </dxf>
    <dxf>
      <numFmt numFmtId="2" formatCode="0.00"/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  <vertical/>
        <horizontal/>
      </border>
    </dxf>
    <dxf>
      <numFmt numFmtId="2" formatCode="0.00"/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  <vertical/>
        <horizontal/>
      </border>
    </dxf>
    <dxf>
      <numFmt numFmtId="2" formatCode="0.00"/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0" tint="-0.14999847407452621"/>
        </patternFill>
      </fill>
    </dxf>
    <dxf>
      <numFmt numFmtId="19" formatCode="dd/mm/yyyy"/>
    </dxf>
    <dxf>
      <numFmt numFmtId="165" formatCode="ddd"/>
      <border diagonalUp="0" diagonalDown="0">
        <left/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border outline="0">
        <top style="thin">
          <color rgb="FF7F7F7F"/>
        </top>
      </border>
    </dxf>
    <dxf>
      <border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border outline="0">
        <bottom style="thin">
          <color rgb="FF7F7F7F"/>
        </bottom>
      </border>
    </dxf>
    <dxf>
      <numFmt numFmtId="2" formatCode="0.00"/>
      <border diagonalUp="0" diagonalDown="0" outline="0">
        <left style="thin">
          <color rgb="FF7F7F7F"/>
        </left>
        <right style="thin">
          <color rgb="FF7F7F7F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;@"/>
    </dxf>
    <dxf>
      <numFmt numFmtId="165" formatCode="ddd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</font>
      <numFmt numFmtId="19" formatCode="dd/mm/yyyy"/>
    </dxf>
    <dxf>
      <font>
        <strike val="0"/>
        <outline val="0"/>
        <shadow val="0"/>
        <u val="none"/>
        <vertAlign val="baseline"/>
        <sz val="11"/>
      </font>
      <numFmt numFmtId="19" formatCode="dd/mm/yyyy"/>
    </dxf>
    <dxf>
      <font>
        <strike val="0"/>
        <outline val="0"/>
        <shadow val="0"/>
        <u val="none"/>
        <vertAlign val="baseline"/>
        <sz val="11"/>
      </font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border outline="0">
        <bottom style="thin">
          <color rgb="FF7F7F7F"/>
        </bottom>
      </border>
    </dxf>
    <dxf>
      <alignment horizontal="general" vertical="bottom" textRotation="0" wrapText="1" justifyLastLine="0" shrinkToFit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3" formatCode="0%"/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E68392"/>
      <color rgb="FFB974E4"/>
      <color rgb="FF00A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1.xml"/><Relationship Id="rId16" Type="http://schemas.openxmlformats.org/officeDocument/2006/relationships/customXml" Target="../customXml/item3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TEAM AA</a:t>
            </a:r>
            <a:r>
              <a:rPr lang="en-GB" baseline="0"/>
              <a:t>A </a:t>
            </a:r>
            <a:r>
              <a:rPr lang="en-GB"/>
              <a:t>Cumulative</a:t>
            </a:r>
            <a:r>
              <a:rPr lang="en-GB" baseline="0"/>
              <a:t> Flow - With Projections</a:t>
            </a:r>
          </a:p>
        </c:rich>
      </c:tx>
      <c:layout>
        <c:manualLayout>
          <c:xMode val="edge"/>
          <c:yMode val="edge"/>
          <c:x val="0.30740233192004801"/>
          <c:y val="4.1436464088397797E-3"/>
        </c:manualLayout>
      </c:layout>
      <c:overlay val="0"/>
    </c:title>
    <c:autoTitleDeleted val="0"/>
    <c:plotArea>
      <c:layout/>
      <c:areaChart>
        <c:grouping val="stacked"/>
        <c:varyColors val="0"/>
        <c:ser>
          <c:idx val="3"/>
          <c:order val="0"/>
          <c:tx>
            <c:strRef>
              <c:f>'On The Board'!$K$4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chemeClr val="tx1">
                <a:alpha val="95000"/>
              </a:schemeClr>
            </a:solidFill>
            <a:ln>
              <a:solidFill>
                <a:schemeClr val="tx1"/>
              </a:solidFill>
            </a:ln>
          </c:spPr>
          <c:cat>
            <c:numRef>
              <c:f>'CFD Data'!$B$2:$B$187</c:f>
              <c:numCache>
                <c:formatCode>dd/mm/yyyy;@</c:formatCode>
                <c:ptCount val="186"/>
                <c:pt idx="0">
                  <c:v>42408</c:v>
                </c:pt>
                <c:pt idx="1">
                  <c:v>42409</c:v>
                </c:pt>
                <c:pt idx="2">
                  <c:v>42410</c:v>
                </c:pt>
                <c:pt idx="3">
                  <c:v>42411</c:v>
                </c:pt>
                <c:pt idx="4">
                  <c:v>42412</c:v>
                </c:pt>
                <c:pt idx="5">
                  <c:v>42415</c:v>
                </c:pt>
                <c:pt idx="6">
                  <c:v>42416</c:v>
                </c:pt>
                <c:pt idx="7">
                  <c:v>42417</c:v>
                </c:pt>
                <c:pt idx="8">
                  <c:v>42418</c:v>
                </c:pt>
                <c:pt idx="9">
                  <c:v>42419</c:v>
                </c:pt>
                <c:pt idx="10">
                  <c:v>42422</c:v>
                </c:pt>
                <c:pt idx="11">
                  <c:v>42423</c:v>
                </c:pt>
                <c:pt idx="12">
                  <c:v>42424</c:v>
                </c:pt>
                <c:pt idx="13">
                  <c:v>42425</c:v>
                </c:pt>
                <c:pt idx="14">
                  <c:v>42426</c:v>
                </c:pt>
                <c:pt idx="15">
                  <c:v>42429</c:v>
                </c:pt>
                <c:pt idx="16">
                  <c:v>42430</c:v>
                </c:pt>
                <c:pt idx="17">
                  <c:v>42431</c:v>
                </c:pt>
                <c:pt idx="18">
                  <c:v>42432</c:v>
                </c:pt>
                <c:pt idx="19">
                  <c:v>42433</c:v>
                </c:pt>
                <c:pt idx="20">
                  <c:v>42436</c:v>
                </c:pt>
                <c:pt idx="21">
                  <c:v>42437</c:v>
                </c:pt>
                <c:pt idx="22">
                  <c:v>42438</c:v>
                </c:pt>
                <c:pt idx="23">
                  <c:v>42439</c:v>
                </c:pt>
                <c:pt idx="24">
                  <c:v>42440</c:v>
                </c:pt>
                <c:pt idx="25">
                  <c:v>42443</c:v>
                </c:pt>
                <c:pt idx="26">
                  <c:v>42444</c:v>
                </c:pt>
                <c:pt idx="27">
                  <c:v>42445</c:v>
                </c:pt>
                <c:pt idx="28">
                  <c:v>42446</c:v>
                </c:pt>
                <c:pt idx="29">
                  <c:v>42447</c:v>
                </c:pt>
                <c:pt idx="30">
                  <c:v>42450</c:v>
                </c:pt>
                <c:pt idx="31">
                  <c:v>42451</c:v>
                </c:pt>
                <c:pt idx="32">
                  <c:v>42452</c:v>
                </c:pt>
                <c:pt idx="33">
                  <c:v>42453</c:v>
                </c:pt>
                <c:pt idx="34">
                  <c:v>42458</c:v>
                </c:pt>
                <c:pt idx="35">
                  <c:v>42459</c:v>
                </c:pt>
                <c:pt idx="36">
                  <c:v>42460</c:v>
                </c:pt>
                <c:pt idx="37">
                  <c:v>42461</c:v>
                </c:pt>
                <c:pt idx="38">
                  <c:v>42464</c:v>
                </c:pt>
                <c:pt idx="39">
                  <c:v>42465</c:v>
                </c:pt>
                <c:pt idx="40">
                  <c:v>42466</c:v>
                </c:pt>
                <c:pt idx="41">
                  <c:v>42467</c:v>
                </c:pt>
                <c:pt idx="42">
                  <c:v>42468</c:v>
                </c:pt>
                <c:pt idx="43">
                  <c:v>42471</c:v>
                </c:pt>
                <c:pt idx="44">
                  <c:v>42472</c:v>
                </c:pt>
                <c:pt idx="45">
                  <c:v>42473</c:v>
                </c:pt>
                <c:pt idx="46">
                  <c:v>42474</c:v>
                </c:pt>
                <c:pt idx="47">
                  <c:v>42475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42485</c:v>
                </c:pt>
                <c:pt idx="54">
                  <c:v>42486</c:v>
                </c:pt>
                <c:pt idx="55">
                  <c:v>42487</c:v>
                </c:pt>
                <c:pt idx="56">
                  <c:v>42488</c:v>
                </c:pt>
                <c:pt idx="57">
                  <c:v>42489</c:v>
                </c:pt>
                <c:pt idx="58">
                  <c:v>42493</c:v>
                </c:pt>
                <c:pt idx="59">
                  <c:v>42494</c:v>
                </c:pt>
                <c:pt idx="60">
                  <c:v>42495</c:v>
                </c:pt>
                <c:pt idx="61">
                  <c:v>42496</c:v>
                </c:pt>
                <c:pt idx="62">
                  <c:v>42499</c:v>
                </c:pt>
                <c:pt idx="63">
                  <c:v>42500</c:v>
                </c:pt>
                <c:pt idx="64">
                  <c:v>42501</c:v>
                </c:pt>
                <c:pt idx="65">
                  <c:v>42502</c:v>
                </c:pt>
                <c:pt idx="66">
                  <c:v>42503</c:v>
                </c:pt>
                <c:pt idx="67">
                  <c:v>42506</c:v>
                </c:pt>
                <c:pt idx="68">
                  <c:v>42507</c:v>
                </c:pt>
                <c:pt idx="69">
                  <c:v>42508</c:v>
                </c:pt>
                <c:pt idx="70">
                  <c:v>42509</c:v>
                </c:pt>
                <c:pt idx="71">
                  <c:v>42510</c:v>
                </c:pt>
                <c:pt idx="72">
                  <c:v>42513</c:v>
                </c:pt>
                <c:pt idx="73">
                  <c:v>42514</c:v>
                </c:pt>
                <c:pt idx="74">
                  <c:v>42515</c:v>
                </c:pt>
                <c:pt idx="75">
                  <c:v>42516</c:v>
                </c:pt>
                <c:pt idx="76">
                  <c:v>42517</c:v>
                </c:pt>
                <c:pt idx="77">
                  <c:v>42521</c:v>
                </c:pt>
                <c:pt idx="78">
                  <c:v>42522</c:v>
                </c:pt>
                <c:pt idx="79">
                  <c:v>42523</c:v>
                </c:pt>
                <c:pt idx="80">
                  <c:v>42524</c:v>
                </c:pt>
                <c:pt idx="81">
                  <c:v>42527</c:v>
                </c:pt>
                <c:pt idx="82">
                  <c:v>42528</c:v>
                </c:pt>
                <c:pt idx="83">
                  <c:v>42529</c:v>
                </c:pt>
                <c:pt idx="84">
                  <c:v>42530</c:v>
                </c:pt>
                <c:pt idx="85">
                  <c:v>42531</c:v>
                </c:pt>
                <c:pt idx="86">
                  <c:v>42534</c:v>
                </c:pt>
                <c:pt idx="87">
                  <c:v>42535</c:v>
                </c:pt>
                <c:pt idx="88">
                  <c:v>42536</c:v>
                </c:pt>
                <c:pt idx="89">
                  <c:v>42537</c:v>
                </c:pt>
                <c:pt idx="90">
                  <c:v>42538</c:v>
                </c:pt>
                <c:pt idx="91">
                  <c:v>42541</c:v>
                </c:pt>
                <c:pt idx="92">
                  <c:v>42542</c:v>
                </c:pt>
                <c:pt idx="93">
                  <c:v>42543</c:v>
                </c:pt>
                <c:pt idx="94">
                  <c:v>42544</c:v>
                </c:pt>
                <c:pt idx="95">
                  <c:v>42545</c:v>
                </c:pt>
                <c:pt idx="96">
                  <c:v>42548</c:v>
                </c:pt>
                <c:pt idx="97">
                  <c:v>42549</c:v>
                </c:pt>
                <c:pt idx="98">
                  <c:v>42550</c:v>
                </c:pt>
                <c:pt idx="99">
                  <c:v>42551</c:v>
                </c:pt>
                <c:pt idx="100">
                  <c:v>42552</c:v>
                </c:pt>
                <c:pt idx="101">
                  <c:v>42555</c:v>
                </c:pt>
                <c:pt idx="102">
                  <c:v>42556</c:v>
                </c:pt>
                <c:pt idx="103">
                  <c:v>42557</c:v>
                </c:pt>
                <c:pt idx="104">
                  <c:v>42558</c:v>
                </c:pt>
                <c:pt idx="105">
                  <c:v>42559</c:v>
                </c:pt>
                <c:pt idx="106">
                  <c:v>42562</c:v>
                </c:pt>
                <c:pt idx="107">
                  <c:v>42563</c:v>
                </c:pt>
                <c:pt idx="108">
                  <c:v>42564</c:v>
                </c:pt>
                <c:pt idx="109">
                  <c:v>42565</c:v>
                </c:pt>
                <c:pt idx="110">
                  <c:v>42566</c:v>
                </c:pt>
                <c:pt idx="111">
                  <c:v>42569</c:v>
                </c:pt>
                <c:pt idx="112">
                  <c:v>42570</c:v>
                </c:pt>
                <c:pt idx="113">
                  <c:v>42571</c:v>
                </c:pt>
                <c:pt idx="114">
                  <c:v>42572</c:v>
                </c:pt>
                <c:pt idx="115">
                  <c:v>42573</c:v>
                </c:pt>
                <c:pt idx="116">
                  <c:v>42576</c:v>
                </c:pt>
                <c:pt idx="117">
                  <c:v>42577</c:v>
                </c:pt>
                <c:pt idx="118">
                  <c:v>42578</c:v>
                </c:pt>
                <c:pt idx="119">
                  <c:v>42579</c:v>
                </c:pt>
                <c:pt idx="120">
                  <c:v>42580</c:v>
                </c:pt>
                <c:pt idx="121">
                  <c:v>42583</c:v>
                </c:pt>
                <c:pt idx="122">
                  <c:v>42584</c:v>
                </c:pt>
                <c:pt idx="123">
                  <c:v>42585</c:v>
                </c:pt>
                <c:pt idx="124">
                  <c:v>42586</c:v>
                </c:pt>
                <c:pt idx="125">
                  <c:v>42587</c:v>
                </c:pt>
                <c:pt idx="126">
                  <c:v>42590</c:v>
                </c:pt>
                <c:pt idx="127">
                  <c:v>42591</c:v>
                </c:pt>
                <c:pt idx="128">
                  <c:v>42592</c:v>
                </c:pt>
                <c:pt idx="129">
                  <c:v>42593</c:v>
                </c:pt>
                <c:pt idx="130">
                  <c:v>42594</c:v>
                </c:pt>
                <c:pt idx="131">
                  <c:v>42597</c:v>
                </c:pt>
                <c:pt idx="132">
                  <c:v>42598</c:v>
                </c:pt>
                <c:pt idx="133">
                  <c:v>42599</c:v>
                </c:pt>
                <c:pt idx="134">
                  <c:v>42600</c:v>
                </c:pt>
                <c:pt idx="135">
                  <c:v>42601</c:v>
                </c:pt>
                <c:pt idx="136">
                  <c:v>42604</c:v>
                </c:pt>
                <c:pt idx="137">
                  <c:v>42605</c:v>
                </c:pt>
                <c:pt idx="138">
                  <c:v>42606</c:v>
                </c:pt>
                <c:pt idx="139">
                  <c:v>42607</c:v>
                </c:pt>
                <c:pt idx="140">
                  <c:v>42608</c:v>
                </c:pt>
                <c:pt idx="141">
                  <c:v>42612</c:v>
                </c:pt>
                <c:pt idx="142">
                  <c:v>42613</c:v>
                </c:pt>
                <c:pt idx="143">
                  <c:v>42614</c:v>
                </c:pt>
                <c:pt idx="144">
                  <c:v>42615</c:v>
                </c:pt>
                <c:pt idx="145">
                  <c:v>42618</c:v>
                </c:pt>
                <c:pt idx="146">
                  <c:v>42619</c:v>
                </c:pt>
                <c:pt idx="147">
                  <c:v>42620</c:v>
                </c:pt>
                <c:pt idx="148">
                  <c:v>42621</c:v>
                </c:pt>
                <c:pt idx="149">
                  <c:v>42622</c:v>
                </c:pt>
                <c:pt idx="150">
                  <c:v>42625</c:v>
                </c:pt>
                <c:pt idx="151">
                  <c:v>42626</c:v>
                </c:pt>
                <c:pt idx="152">
                  <c:v>42627</c:v>
                </c:pt>
                <c:pt idx="153">
                  <c:v>42628</c:v>
                </c:pt>
                <c:pt idx="154">
                  <c:v>42629</c:v>
                </c:pt>
                <c:pt idx="155">
                  <c:v>42632</c:v>
                </c:pt>
                <c:pt idx="156">
                  <c:v>42633</c:v>
                </c:pt>
                <c:pt idx="157">
                  <c:v>42634</c:v>
                </c:pt>
                <c:pt idx="158">
                  <c:v>42635</c:v>
                </c:pt>
                <c:pt idx="159">
                  <c:v>42636</c:v>
                </c:pt>
                <c:pt idx="160">
                  <c:v>42639</c:v>
                </c:pt>
                <c:pt idx="161">
                  <c:v>42640</c:v>
                </c:pt>
                <c:pt idx="162">
                  <c:v>42641</c:v>
                </c:pt>
                <c:pt idx="163">
                  <c:v>42642</c:v>
                </c:pt>
                <c:pt idx="164">
                  <c:v>42643</c:v>
                </c:pt>
                <c:pt idx="165">
                  <c:v>42646</c:v>
                </c:pt>
                <c:pt idx="166">
                  <c:v>42647</c:v>
                </c:pt>
                <c:pt idx="167">
                  <c:v>42648</c:v>
                </c:pt>
                <c:pt idx="168">
                  <c:v>42649</c:v>
                </c:pt>
                <c:pt idx="169">
                  <c:v>42650</c:v>
                </c:pt>
                <c:pt idx="170">
                  <c:v>42653</c:v>
                </c:pt>
                <c:pt idx="171">
                  <c:v>42654</c:v>
                </c:pt>
                <c:pt idx="172">
                  <c:v>42655</c:v>
                </c:pt>
                <c:pt idx="173">
                  <c:v>42656</c:v>
                </c:pt>
                <c:pt idx="174">
                  <c:v>42657</c:v>
                </c:pt>
                <c:pt idx="175">
                  <c:v>42660</c:v>
                </c:pt>
                <c:pt idx="176">
                  <c:v>42661</c:v>
                </c:pt>
                <c:pt idx="177">
                  <c:v>42662</c:v>
                </c:pt>
                <c:pt idx="178">
                  <c:v>42663</c:v>
                </c:pt>
                <c:pt idx="179">
                  <c:v>42664</c:v>
                </c:pt>
                <c:pt idx="180">
                  <c:v>42667</c:v>
                </c:pt>
                <c:pt idx="181">
                  <c:v>42668</c:v>
                </c:pt>
                <c:pt idx="182">
                  <c:v>42669</c:v>
                </c:pt>
                <c:pt idx="183">
                  <c:v>42670</c:v>
                </c:pt>
                <c:pt idx="184">
                  <c:v>42671</c:v>
                </c:pt>
                <c:pt idx="185">
                  <c:v>42674</c:v>
                </c:pt>
              </c:numCache>
            </c:numRef>
          </c:cat>
          <c:val>
            <c:numRef>
              <c:f>'CFD Data'!$K$2:$K$187</c:f>
              <c:numCache>
                <c:formatCode>General</c:formatCode>
                <c:ptCount val="18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13</c:v>
                </c:pt>
                <c:pt idx="17">
                  <c:v>13</c:v>
                </c:pt>
                <c:pt idx="18">
                  <c:v>16</c:v>
                </c:pt>
                <c:pt idx="19">
                  <c:v>16</c:v>
                </c:pt>
                <c:pt idx="20">
                  <c:v>18</c:v>
                </c:pt>
                <c:pt idx="21">
                  <c:v>19</c:v>
                </c:pt>
                <c:pt idx="22">
                  <c:v>19</c:v>
                </c:pt>
                <c:pt idx="23">
                  <c:v>20</c:v>
                </c:pt>
                <c:pt idx="24">
                  <c:v>20</c:v>
                </c:pt>
                <c:pt idx="25">
                  <c:v>21</c:v>
                </c:pt>
                <c:pt idx="26">
                  <c:v>21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27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32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48</c:v>
                </c:pt>
                <c:pt idx="53">
                  <c:v>48</c:v>
                </c:pt>
                <c:pt idx="54">
                  <c:v>49</c:v>
                </c:pt>
                <c:pt idx="55">
                  <c:v>49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54</c:v>
                </c:pt>
                <c:pt idx="62">
                  <c:v>56</c:v>
                </c:pt>
                <c:pt idx="63">
                  <c:v>56</c:v>
                </c:pt>
                <c:pt idx="64">
                  <c:v>59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61</c:v>
                </c:pt>
                <c:pt idx="69">
                  <c:v>61</c:v>
                </c:pt>
                <c:pt idx="70">
                  <c:v>62</c:v>
                </c:pt>
                <c:pt idx="71">
                  <c:v>65</c:v>
                </c:pt>
                <c:pt idx="72">
                  <c:v>66</c:v>
                </c:pt>
                <c:pt idx="73">
                  <c:v>66</c:v>
                </c:pt>
                <c:pt idx="74">
                  <c:v>67</c:v>
                </c:pt>
                <c:pt idx="75">
                  <c:v>68</c:v>
                </c:pt>
                <c:pt idx="76">
                  <c:v>69</c:v>
                </c:pt>
                <c:pt idx="77">
                  <c:v>69</c:v>
                </c:pt>
                <c:pt idx="78">
                  <c:v>70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0-4617-8F43-B5F7B1149700}"/>
            </c:ext>
          </c:extLst>
        </c:ser>
        <c:ser>
          <c:idx val="2"/>
          <c:order val="4"/>
          <c:tx>
            <c:strRef>
              <c:f>'On The Board'!$J$4</c:f>
              <c:strCache>
                <c:ptCount val="1"/>
                <c:pt idx="0">
                  <c:v>Demo</c:v>
                </c:pt>
              </c:strCache>
            </c:strRef>
          </c:tx>
          <c:spPr>
            <a:solidFill>
              <a:srgbClr val="00AA00">
                <a:alpha val="95000"/>
              </a:srgbClr>
            </a:solidFill>
          </c:spPr>
          <c:cat>
            <c:numRef>
              <c:f>'CFD Data'!$B$2:$B$187</c:f>
              <c:numCache>
                <c:formatCode>dd/mm/yyyy;@</c:formatCode>
                <c:ptCount val="186"/>
                <c:pt idx="0">
                  <c:v>42408</c:v>
                </c:pt>
                <c:pt idx="1">
                  <c:v>42409</c:v>
                </c:pt>
                <c:pt idx="2">
                  <c:v>42410</c:v>
                </c:pt>
                <c:pt idx="3">
                  <c:v>42411</c:v>
                </c:pt>
                <c:pt idx="4">
                  <c:v>42412</c:v>
                </c:pt>
                <c:pt idx="5">
                  <c:v>42415</c:v>
                </c:pt>
                <c:pt idx="6">
                  <c:v>42416</c:v>
                </c:pt>
                <c:pt idx="7">
                  <c:v>42417</c:v>
                </c:pt>
                <c:pt idx="8">
                  <c:v>42418</c:v>
                </c:pt>
                <c:pt idx="9">
                  <c:v>42419</c:v>
                </c:pt>
                <c:pt idx="10">
                  <c:v>42422</c:v>
                </c:pt>
                <c:pt idx="11">
                  <c:v>42423</c:v>
                </c:pt>
                <c:pt idx="12">
                  <c:v>42424</c:v>
                </c:pt>
                <c:pt idx="13">
                  <c:v>42425</c:v>
                </c:pt>
                <c:pt idx="14">
                  <c:v>42426</c:v>
                </c:pt>
                <c:pt idx="15">
                  <c:v>42429</c:v>
                </c:pt>
                <c:pt idx="16">
                  <c:v>42430</c:v>
                </c:pt>
                <c:pt idx="17">
                  <c:v>42431</c:v>
                </c:pt>
                <c:pt idx="18">
                  <c:v>42432</c:v>
                </c:pt>
                <c:pt idx="19">
                  <c:v>42433</c:v>
                </c:pt>
                <c:pt idx="20">
                  <c:v>42436</c:v>
                </c:pt>
                <c:pt idx="21">
                  <c:v>42437</c:v>
                </c:pt>
                <c:pt idx="22">
                  <c:v>42438</c:v>
                </c:pt>
                <c:pt idx="23">
                  <c:v>42439</c:v>
                </c:pt>
                <c:pt idx="24">
                  <c:v>42440</c:v>
                </c:pt>
                <c:pt idx="25">
                  <c:v>42443</c:v>
                </c:pt>
                <c:pt idx="26">
                  <c:v>42444</c:v>
                </c:pt>
                <c:pt idx="27">
                  <c:v>42445</c:v>
                </c:pt>
                <c:pt idx="28">
                  <c:v>42446</c:v>
                </c:pt>
                <c:pt idx="29">
                  <c:v>42447</c:v>
                </c:pt>
                <c:pt idx="30">
                  <c:v>42450</c:v>
                </c:pt>
                <c:pt idx="31">
                  <c:v>42451</c:v>
                </c:pt>
                <c:pt idx="32">
                  <c:v>42452</c:v>
                </c:pt>
                <c:pt idx="33">
                  <c:v>42453</c:v>
                </c:pt>
                <c:pt idx="34">
                  <c:v>42458</c:v>
                </c:pt>
                <c:pt idx="35">
                  <c:v>42459</c:v>
                </c:pt>
                <c:pt idx="36">
                  <c:v>42460</c:v>
                </c:pt>
                <c:pt idx="37">
                  <c:v>42461</c:v>
                </c:pt>
                <c:pt idx="38">
                  <c:v>42464</c:v>
                </c:pt>
                <c:pt idx="39">
                  <c:v>42465</c:v>
                </c:pt>
                <c:pt idx="40">
                  <c:v>42466</c:v>
                </c:pt>
                <c:pt idx="41">
                  <c:v>42467</c:v>
                </c:pt>
                <c:pt idx="42">
                  <c:v>42468</c:v>
                </c:pt>
                <c:pt idx="43">
                  <c:v>42471</c:v>
                </c:pt>
                <c:pt idx="44">
                  <c:v>42472</c:v>
                </c:pt>
                <c:pt idx="45">
                  <c:v>42473</c:v>
                </c:pt>
                <c:pt idx="46">
                  <c:v>42474</c:v>
                </c:pt>
                <c:pt idx="47">
                  <c:v>42475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42485</c:v>
                </c:pt>
                <c:pt idx="54">
                  <c:v>42486</c:v>
                </c:pt>
                <c:pt idx="55">
                  <c:v>42487</c:v>
                </c:pt>
                <c:pt idx="56">
                  <c:v>42488</c:v>
                </c:pt>
                <c:pt idx="57">
                  <c:v>42489</c:v>
                </c:pt>
                <c:pt idx="58">
                  <c:v>42493</c:v>
                </c:pt>
                <c:pt idx="59">
                  <c:v>42494</c:v>
                </c:pt>
                <c:pt idx="60">
                  <c:v>42495</c:v>
                </c:pt>
                <c:pt idx="61">
                  <c:v>42496</c:v>
                </c:pt>
                <c:pt idx="62">
                  <c:v>42499</c:v>
                </c:pt>
                <c:pt idx="63">
                  <c:v>42500</c:v>
                </c:pt>
                <c:pt idx="64">
                  <c:v>42501</c:v>
                </c:pt>
                <c:pt idx="65">
                  <c:v>42502</c:v>
                </c:pt>
                <c:pt idx="66">
                  <c:v>42503</c:v>
                </c:pt>
                <c:pt idx="67">
                  <c:v>42506</c:v>
                </c:pt>
                <c:pt idx="68">
                  <c:v>42507</c:v>
                </c:pt>
                <c:pt idx="69">
                  <c:v>42508</c:v>
                </c:pt>
                <c:pt idx="70">
                  <c:v>42509</c:v>
                </c:pt>
                <c:pt idx="71">
                  <c:v>42510</c:v>
                </c:pt>
                <c:pt idx="72">
                  <c:v>42513</c:v>
                </c:pt>
                <c:pt idx="73">
                  <c:v>42514</c:v>
                </c:pt>
                <c:pt idx="74">
                  <c:v>42515</c:v>
                </c:pt>
                <c:pt idx="75">
                  <c:v>42516</c:v>
                </c:pt>
                <c:pt idx="76">
                  <c:v>42517</c:v>
                </c:pt>
                <c:pt idx="77">
                  <c:v>42521</c:v>
                </c:pt>
                <c:pt idx="78">
                  <c:v>42522</c:v>
                </c:pt>
                <c:pt idx="79">
                  <c:v>42523</c:v>
                </c:pt>
                <c:pt idx="80">
                  <c:v>42524</c:v>
                </c:pt>
                <c:pt idx="81">
                  <c:v>42527</c:v>
                </c:pt>
                <c:pt idx="82">
                  <c:v>42528</c:v>
                </c:pt>
                <c:pt idx="83">
                  <c:v>42529</c:v>
                </c:pt>
                <c:pt idx="84">
                  <c:v>42530</c:v>
                </c:pt>
                <c:pt idx="85">
                  <c:v>42531</c:v>
                </c:pt>
                <c:pt idx="86">
                  <c:v>42534</c:v>
                </c:pt>
                <c:pt idx="87">
                  <c:v>42535</c:v>
                </c:pt>
                <c:pt idx="88">
                  <c:v>42536</c:v>
                </c:pt>
                <c:pt idx="89">
                  <c:v>42537</c:v>
                </c:pt>
                <c:pt idx="90">
                  <c:v>42538</c:v>
                </c:pt>
                <c:pt idx="91">
                  <c:v>42541</c:v>
                </c:pt>
                <c:pt idx="92">
                  <c:v>42542</c:v>
                </c:pt>
                <c:pt idx="93">
                  <c:v>42543</c:v>
                </c:pt>
                <c:pt idx="94">
                  <c:v>42544</c:v>
                </c:pt>
                <c:pt idx="95">
                  <c:v>42545</c:v>
                </c:pt>
                <c:pt idx="96">
                  <c:v>42548</c:v>
                </c:pt>
                <c:pt idx="97">
                  <c:v>42549</c:v>
                </c:pt>
                <c:pt idx="98">
                  <c:v>42550</c:v>
                </c:pt>
                <c:pt idx="99">
                  <c:v>42551</c:v>
                </c:pt>
                <c:pt idx="100">
                  <c:v>42552</c:v>
                </c:pt>
                <c:pt idx="101">
                  <c:v>42555</c:v>
                </c:pt>
                <c:pt idx="102">
                  <c:v>42556</c:v>
                </c:pt>
                <c:pt idx="103">
                  <c:v>42557</c:v>
                </c:pt>
                <c:pt idx="104">
                  <c:v>42558</c:v>
                </c:pt>
                <c:pt idx="105">
                  <c:v>42559</c:v>
                </c:pt>
                <c:pt idx="106">
                  <c:v>42562</c:v>
                </c:pt>
                <c:pt idx="107">
                  <c:v>42563</c:v>
                </c:pt>
                <c:pt idx="108">
                  <c:v>42564</c:v>
                </c:pt>
                <c:pt idx="109">
                  <c:v>42565</c:v>
                </c:pt>
                <c:pt idx="110">
                  <c:v>42566</c:v>
                </c:pt>
                <c:pt idx="111">
                  <c:v>42569</c:v>
                </c:pt>
                <c:pt idx="112">
                  <c:v>42570</c:v>
                </c:pt>
                <c:pt idx="113">
                  <c:v>42571</c:v>
                </c:pt>
                <c:pt idx="114">
                  <c:v>42572</c:v>
                </c:pt>
                <c:pt idx="115">
                  <c:v>42573</c:v>
                </c:pt>
                <c:pt idx="116">
                  <c:v>42576</c:v>
                </c:pt>
                <c:pt idx="117">
                  <c:v>42577</c:v>
                </c:pt>
                <c:pt idx="118">
                  <c:v>42578</c:v>
                </c:pt>
                <c:pt idx="119">
                  <c:v>42579</c:v>
                </c:pt>
                <c:pt idx="120">
                  <c:v>42580</c:v>
                </c:pt>
                <c:pt idx="121">
                  <c:v>42583</c:v>
                </c:pt>
                <c:pt idx="122">
                  <c:v>42584</c:v>
                </c:pt>
                <c:pt idx="123">
                  <c:v>42585</c:v>
                </c:pt>
                <c:pt idx="124">
                  <c:v>42586</c:v>
                </c:pt>
                <c:pt idx="125">
                  <c:v>42587</c:v>
                </c:pt>
                <c:pt idx="126">
                  <c:v>42590</c:v>
                </c:pt>
                <c:pt idx="127">
                  <c:v>42591</c:v>
                </c:pt>
                <c:pt idx="128">
                  <c:v>42592</c:v>
                </c:pt>
                <c:pt idx="129">
                  <c:v>42593</c:v>
                </c:pt>
                <c:pt idx="130">
                  <c:v>42594</c:v>
                </c:pt>
                <c:pt idx="131">
                  <c:v>42597</c:v>
                </c:pt>
                <c:pt idx="132">
                  <c:v>42598</c:v>
                </c:pt>
                <c:pt idx="133">
                  <c:v>42599</c:v>
                </c:pt>
                <c:pt idx="134">
                  <c:v>42600</c:v>
                </c:pt>
                <c:pt idx="135">
                  <c:v>42601</c:v>
                </c:pt>
                <c:pt idx="136">
                  <c:v>42604</c:v>
                </c:pt>
                <c:pt idx="137">
                  <c:v>42605</c:v>
                </c:pt>
                <c:pt idx="138">
                  <c:v>42606</c:v>
                </c:pt>
                <c:pt idx="139">
                  <c:v>42607</c:v>
                </c:pt>
                <c:pt idx="140">
                  <c:v>42608</c:v>
                </c:pt>
                <c:pt idx="141">
                  <c:v>42612</c:v>
                </c:pt>
                <c:pt idx="142">
                  <c:v>42613</c:v>
                </c:pt>
                <c:pt idx="143">
                  <c:v>42614</c:v>
                </c:pt>
                <c:pt idx="144">
                  <c:v>42615</c:v>
                </c:pt>
                <c:pt idx="145">
                  <c:v>42618</c:v>
                </c:pt>
                <c:pt idx="146">
                  <c:v>42619</c:v>
                </c:pt>
                <c:pt idx="147">
                  <c:v>42620</c:v>
                </c:pt>
                <c:pt idx="148">
                  <c:v>42621</c:v>
                </c:pt>
                <c:pt idx="149">
                  <c:v>42622</c:v>
                </c:pt>
                <c:pt idx="150">
                  <c:v>42625</c:v>
                </c:pt>
                <c:pt idx="151">
                  <c:v>42626</c:v>
                </c:pt>
                <c:pt idx="152">
                  <c:v>42627</c:v>
                </c:pt>
                <c:pt idx="153">
                  <c:v>42628</c:v>
                </c:pt>
                <c:pt idx="154">
                  <c:v>42629</c:v>
                </c:pt>
                <c:pt idx="155">
                  <c:v>42632</c:v>
                </c:pt>
                <c:pt idx="156">
                  <c:v>42633</c:v>
                </c:pt>
                <c:pt idx="157">
                  <c:v>42634</c:v>
                </c:pt>
                <c:pt idx="158">
                  <c:v>42635</c:v>
                </c:pt>
                <c:pt idx="159">
                  <c:v>42636</c:v>
                </c:pt>
                <c:pt idx="160">
                  <c:v>42639</c:v>
                </c:pt>
                <c:pt idx="161">
                  <c:v>42640</c:v>
                </c:pt>
                <c:pt idx="162">
                  <c:v>42641</c:v>
                </c:pt>
                <c:pt idx="163">
                  <c:v>42642</c:v>
                </c:pt>
                <c:pt idx="164">
                  <c:v>42643</c:v>
                </c:pt>
                <c:pt idx="165">
                  <c:v>42646</c:v>
                </c:pt>
                <c:pt idx="166">
                  <c:v>42647</c:v>
                </c:pt>
                <c:pt idx="167">
                  <c:v>42648</c:v>
                </c:pt>
                <c:pt idx="168">
                  <c:v>42649</c:v>
                </c:pt>
                <c:pt idx="169">
                  <c:v>42650</c:v>
                </c:pt>
                <c:pt idx="170">
                  <c:v>42653</c:v>
                </c:pt>
                <c:pt idx="171">
                  <c:v>42654</c:v>
                </c:pt>
                <c:pt idx="172">
                  <c:v>42655</c:v>
                </c:pt>
                <c:pt idx="173">
                  <c:v>42656</c:v>
                </c:pt>
                <c:pt idx="174">
                  <c:v>42657</c:v>
                </c:pt>
                <c:pt idx="175">
                  <c:v>42660</c:v>
                </c:pt>
                <c:pt idx="176">
                  <c:v>42661</c:v>
                </c:pt>
                <c:pt idx="177">
                  <c:v>42662</c:v>
                </c:pt>
                <c:pt idx="178">
                  <c:v>42663</c:v>
                </c:pt>
                <c:pt idx="179">
                  <c:v>42664</c:v>
                </c:pt>
                <c:pt idx="180">
                  <c:v>42667</c:v>
                </c:pt>
                <c:pt idx="181">
                  <c:v>42668</c:v>
                </c:pt>
                <c:pt idx="182">
                  <c:v>42669</c:v>
                </c:pt>
                <c:pt idx="183">
                  <c:v>42670</c:v>
                </c:pt>
                <c:pt idx="184">
                  <c:v>42671</c:v>
                </c:pt>
                <c:pt idx="185">
                  <c:v>42674</c:v>
                </c:pt>
              </c:numCache>
            </c:numRef>
          </c:cat>
          <c:val>
            <c:numRef>
              <c:f>'CFD Data'!$J$2:$J$187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50-4617-8F43-B5F7B1149700}"/>
            </c:ext>
          </c:extLst>
        </c:ser>
        <c:ser>
          <c:idx val="10"/>
          <c:order val="5"/>
          <c:tx>
            <c:strRef>
              <c:f>'On The Board'!$I$4</c:f>
              <c:strCache>
                <c:ptCount val="1"/>
                <c:pt idx="0">
                  <c:v>Ready For Demo</c:v>
                </c:pt>
              </c:strCache>
            </c:strRef>
          </c:tx>
          <c:spPr>
            <a:solidFill>
              <a:srgbClr val="0000FF">
                <a:alpha val="95000"/>
              </a:srgbClr>
            </a:solidFill>
          </c:spPr>
          <c:cat>
            <c:numRef>
              <c:f>'CFD Data'!$B$2:$B$187</c:f>
              <c:numCache>
                <c:formatCode>dd/mm/yyyy;@</c:formatCode>
                <c:ptCount val="186"/>
                <c:pt idx="0">
                  <c:v>42408</c:v>
                </c:pt>
                <c:pt idx="1">
                  <c:v>42409</c:v>
                </c:pt>
                <c:pt idx="2">
                  <c:v>42410</c:v>
                </c:pt>
                <c:pt idx="3">
                  <c:v>42411</c:v>
                </c:pt>
                <c:pt idx="4">
                  <c:v>42412</c:v>
                </c:pt>
                <c:pt idx="5">
                  <c:v>42415</c:v>
                </c:pt>
                <c:pt idx="6">
                  <c:v>42416</c:v>
                </c:pt>
                <c:pt idx="7">
                  <c:v>42417</c:v>
                </c:pt>
                <c:pt idx="8">
                  <c:v>42418</c:v>
                </c:pt>
                <c:pt idx="9">
                  <c:v>42419</c:v>
                </c:pt>
                <c:pt idx="10">
                  <c:v>42422</c:v>
                </c:pt>
                <c:pt idx="11">
                  <c:v>42423</c:v>
                </c:pt>
                <c:pt idx="12">
                  <c:v>42424</c:v>
                </c:pt>
                <c:pt idx="13">
                  <c:v>42425</c:v>
                </c:pt>
                <c:pt idx="14">
                  <c:v>42426</c:v>
                </c:pt>
                <c:pt idx="15">
                  <c:v>42429</c:v>
                </c:pt>
                <c:pt idx="16">
                  <c:v>42430</c:v>
                </c:pt>
                <c:pt idx="17">
                  <c:v>42431</c:v>
                </c:pt>
                <c:pt idx="18">
                  <c:v>42432</c:v>
                </c:pt>
                <c:pt idx="19">
                  <c:v>42433</c:v>
                </c:pt>
                <c:pt idx="20">
                  <c:v>42436</c:v>
                </c:pt>
                <c:pt idx="21">
                  <c:v>42437</c:v>
                </c:pt>
                <c:pt idx="22">
                  <c:v>42438</c:v>
                </c:pt>
                <c:pt idx="23">
                  <c:v>42439</c:v>
                </c:pt>
                <c:pt idx="24">
                  <c:v>42440</c:v>
                </c:pt>
                <c:pt idx="25">
                  <c:v>42443</c:v>
                </c:pt>
                <c:pt idx="26">
                  <c:v>42444</c:v>
                </c:pt>
                <c:pt idx="27">
                  <c:v>42445</c:v>
                </c:pt>
                <c:pt idx="28">
                  <c:v>42446</c:v>
                </c:pt>
                <c:pt idx="29">
                  <c:v>42447</c:v>
                </c:pt>
                <c:pt idx="30">
                  <c:v>42450</c:v>
                </c:pt>
                <c:pt idx="31">
                  <c:v>42451</c:v>
                </c:pt>
                <c:pt idx="32">
                  <c:v>42452</c:v>
                </c:pt>
                <c:pt idx="33">
                  <c:v>42453</c:v>
                </c:pt>
                <c:pt idx="34">
                  <c:v>42458</c:v>
                </c:pt>
                <c:pt idx="35">
                  <c:v>42459</c:v>
                </c:pt>
                <c:pt idx="36">
                  <c:v>42460</c:v>
                </c:pt>
                <c:pt idx="37">
                  <c:v>42461</c:v>
                </c:pt>
                <c:pt idx="38">
                  <c:v>42464</c:v>
                </c:pt>
                <c:pt idx="39">
                  <c:v>42465</c:v>
                </c:pt>
                <c:pt idx="40">
                  <c:v>42466</c:v>
                </c:pt>
                <c:pt idx="41">
                  <c:v>42467</c:v>
                </c:pt>
                <c:pt idx="42">
                  <c:v>42468</c:v>
                </c:pt>
                <c:pt idx="43">
                  <c:v>42471</c:v>
                </c:pt>
                <c:pt idx="44">
                  <c:v>42472</c:v>
                </c:pt>
                <c:pt idx="45">
                  <c:v>42473</c:v>
                </c:pt>
                <c:pt idx="46">
                  <c:v>42474</c:v>
                </c:pt>
                <c:pt idx="47">
                  <c:v>42475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42485</c:v>
                </c:pt>
                <c:pt idx="54">
                  <c:v>42486</c:v>
                </c:pt>
                <c:pt idx="55">
                  <c:v>42487</c:v>
                </c:pt>
                <c:pt idx="56">
                  <c:v>42488</c:v>
                </c:pt>
                <c:pt idx="57">
                  <c:v>42489</c:v>
                </c:pt>
                <c:pt idx="58">
                  <c:v>42493</c:v>
                </c:pt>
                <c:pt idx="59">
                  <c:v>42494</c:v>
                </c:pt>
                <c:pt idx="60">
                  <c:v>42495</c:v>
                </c:pt>
                <c:pt idx="61">
                  <c:v>42496</c:v>
                </c:pt>
                <c:pt idx="62">
                  <c:v>42499</c:v>
                </c:pt>
                <c:pt idx="63">
                  <c:v>42500</c:v>
                </c:pt>
                <c:pt idx="64">
                  <c:v>42501</c:v>
                </c:pt>
                <c:pt idx="65">
                  <c:v>42502</c:v>
                </c:pt>
                <c:pt idx="66">
                  <c:v>42503</c:v>
                </c:pt>
                <c:pt idx="67">
                  <c:v>42506</c:v>
                </c:pt>
                <c:pt idx="68">
                  <c:v>42507</c:v>
                </c:pt>
                <c:pt idx="69">
                  <c:v>42508</c:v>
                </c:pt>
                <c:pt idx="70">
                  <c:v>42509</c:v>
                </c:pt>
                <c:pt idx="71">
                  <c:v>42510</c:v>
                </c:pt>
                <c:pt idx="72">
                  <c:v>42513</c:v>
                </c:pt>
                <c:pt idx="73">
                  <c:v>42514</c:v>
                </c:pt>
                <c:pt idx="74">
                  <c:v>42515</c:v>
                </c:pt>
                <c:pt idx="75">
                  <c:v>42516</c:v>
                </c:pt>
                <c:pt idx="76">
                  <c:v>42517</c:v>
                </c:pt>
                <c:pt idx="77">
                  <c:v>42521</c:v>
                </c:pt>
                <c:pt idx="78">
                  <c:v>42522</c:v>
                </c:pt>
                <c:pt idx="79">
                  <c:v>42523</c:v>
                </c:pt>
                <c:pt idx="80">
                  <c:v>42524</c:v>
                </c:pt>
                <c:pt idx="81">
                  <c:v>42527</c:v>
                </c:pt>
                <c:pt idx="82">
                  <c:v>42528</c:v>
                </c:pt>
                <c:pt idx="83">
                  <c:v>42529</c:v>
                </c:pt>
                <c:pt idx="84">
                  <c:v>42530</c:v>
                </c:pt>
                <c:pt idx="85">
                  <c:v>42531</c:v>
                </c:pt>
                <c:pt idx="86">
                  <c:v>42534</c:v>
                </c:pt>
                <c:pt idx="87">
                  <c:v>42535</c:v>
                </c:pt>
                <c:pt idx="88">
                  <c:v>42536</c:v>
                </c:pt>
                <c:pt idx="89">
                  <c:v>42537</c:v>
                </c:pt>
                <c:pt idx="90">
                  <c:v>42538</c:v>
                </c:pt>
                <c:pt idx="91">
                  <c:v>42541</c:v>
                </c:pt>
                <c:pt idx="92">
                  <c:v>42542</c:v>
                </c:pt>
                <c:pt idx="93">
                  <c:v>42543</c:v>
                </c:pt>
                <c:pt idx="94">
                  <c:v>42544</c:v>
                </c:pt>
                <c:pt idx="95">
                  <c:v>42545</c:v>
                </c:pt>
                <c:pt idx="96">
                  <c:v>42548</c:v>
                </c:pt>
                <c:pt idx="97">
                  <c:v>42549</c:v>
                </c:pt>
                <c:pt idx="98">
                  <c:v>42550</c:v>
                </c:pt>
                <c:pt idx="99">
                  <c:v>42551</c:v>
                </c:pt>
                <c:pt idx="100">
                  <c:v>42552</c:v>
                </c:pt>
                <c:pt idx="101">
                  <c:v>42555</c:v>
                </c:pt>
                <c:pt idx="102">
                  <c:v>42556</c:v>
                </c:pt>
                <c:pt idx="103">
                  <c:v>42557</c:v>
                </c:pt>
                <c:pt idx="104">
                  <c:v>42558</c:v>
                </c:pt>
                <c:pt idx="105">
                  <c:v>42559</c:v>
                </c:pt>
                <c:pt idx="106">
                  <c:v>42562</c:v>
                </c:pt>
                <c:pt idx="107">
                  <c:v>42563</c:v>
                </c:pt>
                <c:pt idx="108">
                  <c:v>42564</c:v>
                </c:pt>
                <c:pt idx="109">
                  <c:v>42565</c:v>
                </c:pt>
                <c:pt idx="110">
                  <c:v>42566</c:v>
                </c:pt>
                <c:pt idx="111">
                  <c:v>42569</c:v>
                </c:pt>
                <c:pt idx="112">
                  <c:v>42570</c:v>
                </c:pt>
                <c:pt idx="113">
                  <c:v>42571</c:v>
                </c:pt>
                <c:pt idx="114">
                  <c:v>42572</c:v>
                </c:pt>
                <c:pt idx="115">
                  <c:v>42573</c:v>
                </c:pt>
                <c:pt idx="116">
                  <c:v>42576</c:v>
                </c:pt>
                <c:pt idx="117">
                  <c:v>42577</c:v>
                </c:pt>
                <c:pt idx="118">
                  <c:v>42578</c:v>
                </c:pt>
                <c:pt idx="119">
                  <c:v>42579</c:v>
                </c:pt>
                <c:pt idx="120">
                  <c:v>42580</c:v>
                </c:pt>
                <c:pt idx="121">
                  <c:v>42583</c:v>
                </c:pt>
                <c:pt idx="122">
                  <c:v>42584</c:v>
                </c:pt>
                <c:pt idx="123">
                  <c:v>42585</c:v>
                </c:pt>
                <c:pt idx="124">
                  <c:v>42586</c:v>
                </c:pt>
                <c:pt idx="125">
                  <c:v>42587</c:v>
                </c:pt>
                <c:pt idx="126">
                  <c:v>42590</c:v>
                </c:pt>
                <c:pt idx="127">
                  <c:v>42591</c:v>
                </c:pt>
                <c:pt idx="128">
                  <c:v>42592</c:v>
                </c:pt>
                <c:pt idx="129">
                  <c:v>42593</c:v>
                </c:pt>
                <c:pt idx="130">
                  <c:v>42594</c:v>
                </c:pt>
                <c:pt idx="131">
                  <c:v>42597</c:v>
                </c:pt>
                <c:pt idx="132">
                  <c:v>42598</c:v>
                </c:pt>
                <c:pt idx="133">
                  <c:v>42599</c:v>
                </c:pt>
                <c:pt idx="134">
                  <c:v>42600</c:v>
                </c:pt>
                <c:pt idx="135">
                  <c:v>42601</c:v>
                </c:pt>
                <c:pt idx="136">
                  <c:v>42604</c:v>
                </c:pt>
                <c:pt idx="137">
                  <c:v>42605</c:v>
                </c:pt>
                <c:pt idx="138">
                  <c:v>42606</c:v>
                </c:pt>
                <c:pt idx="139">
                  <c:v>42607</c:v>
                </c:pt>
                <c:pt idx="140">
                  <c:v>42608</c:v>
                </c:pt>
                <c:pt idx="141">
                  <c:v>42612</c:v>
                </c:pt>
                <c:pt idx="142">
                  <c:v>42613</c:v>
                </c:pt>
                <c:pt idx="143">
                  <c:v>42614</c:v>
                </c:pt>
                <c:pt idx="144">
                  <c:v>42615</c:v>
                </c:pt>
                <c:pt idx="145">
                  <c:v>42618</c:v>
                </c:pt>
                <c:pt idx="146">
                  <c:v>42619</c:v>
                </c:pt>
                <c:pt idx="147">
                  <c:v>42620</c:v>
                </c:pt>
                <c:pt idx="148">
                  <c:v>42621</c:v>
                </c:pt>
                <c:pt idx="149">
                  <c:v>42622</c:v>
                </c:pt>
                <c:pt idx="150">
                  <c:v>42625</c:v>
                </c:pt>
                <c:pt idx="151">
                  <c:v>42626</c:v>
                </c:pt>
                <c:pt idx="152">
                  <c:v>42627</c:v>
                </c:pt>
                <c:pt idx="153">
                  <c:v>42628</c:v>
                </c:pt>
                <c:pt idx="154">
                  <c:v>42629</c:v>
                </c:pt>
                <c:pt idx="155">
                  <c:v>42632</c:v>
                </c:pt>
                <c:pt idx="156">
                  <c:v>42633</c:v>
                </c:pt>
                <c:pt idx="157">
                  <c:v>42634</c:v>
                </c:pt>
                <c:pt idx="158">
                  <c:v>42635</c:v>
                </c:pt>
                <c:pt idx="159">
                  <c:v>42636</c:v>
                </c:pt>
                <c:pt idx="160">
                  <c:v>42639</c:v>
                </c:pt>
                <c:pt idx="161">
                  <c:v>42640</c:v>
                </c:pt>
                <c:pt idx="162">
                  <c:v>42641</c:v>
                </c:pt>
                <c:pt idx="163">
                  <c:v>42642</c:v>
                </c:pt>
                <c:pt idx="164">
                  <c:v>42643</c:v>
                </c:pt>
                <c:pt idx="165">
                  <c:v>42646</c:v>
                </c:pt>
                <c:pt idx="166">
                  <c:v>42647</c:v>
                </c:pt>
                <c:pt idx="167">
                  <c:v>42648</c:v>
                </c:pt>
                <c:pt idx="168">
                  <c:v>42649</c:v>
                </c:pt>
                <c:pt idx="169">
                  <c:v>42650</c:v>
                </c:pt>
                <c:pt idx="170">
                  <c:v>42653</c:v>
                </c:pt>
                <c:pt idx="171">
                  <c:v>42654</c:v>
                </c:pt>
                <c:pt idx="172">
                  <c:v>42655</c:v>
                </c:pt>
                <c:pt idx="173">
                  <c:v>42656</c:v>
                </c:pt>
                <c:pt idx="174">
                  <c:v>42657</c:v>
                </c:pt>
                <c:pt idx="175">
                  <c:v>42660</c:v>
                </c:pt>
                <c:pt idx="176">
                  <c:v>42661</c:v>
                </c:pt>
                <c:pt idx="177">
                  <c:v>42662</c:v>
                </c:pt>
                <c:pt idx="178">
                  <c:v>42663</c:v>
                </c:pt>
                <c:pt idx="179">
                  <c:v>42664</c:v>
                </c:pt>
                <c:pt idx="180">
                  <c:v>42667</c:v>
                </c:pt>
                <c:pt idx="181">
                  <c:v>42668</c:v>
                </c:pt>
                <c:pt idx="182">
                  <c:v>42669</c:v>
                </c:pt>
                <c:pt idx="183">
                  <c:v>42670</c:v>
                </c:pt>
                <c:pt idx="184">
                  <c:v>42671</c:v>
                </c:pt>
                <c:pt idx="185">
                  <c:v>42674</c:v>
                </c:pt>
              </c:numCache>
            </c:numRef>
          </c:cat>
          <c:val>
            <c:numRef>
              <c:f>'CFD Data'!$I$2:$I$187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50-4617-8F43-B5F7B1149700}"/>
            </c:ext>
          </c:extLst>
        </c:ser>
        <c:ser>
          <c:idx val="1"/>
          <c:order val="6"/>
          <c:tx>
            <c:strRef>
              <c:f>'On The Board'!$H$4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rgbClr val="B974E4"/>
            </a:solidFill>
          </c:spPr>
          <c:cat>
            <c:numRef>
              <c:f>'CFD Data'!$B$2:$B$187</c:f>
              <c:numCache>
                <c:formatCode>dd/mm/yyyy;@</c:formatCode>
                <c:ptCount val="186"/>
                <c:pt idx="0">
                  <c:v>42408</c:v>
                </c:pt>
                <c:pt idx="1">
                  <c:v>42409</c:v>
                </c:pt>
                <c:pt idx="2">
                  <c:v>42410</c:v>
                </c:pt>
                <c:pt idx="3">
                  <c:v>42411</c:v>
                </c:pt>
                <c:pt idx="4">
                  <c:v>42412</c:v>
                </c:pt>
                <c:pt idx="5">
                  <c:v>42415</c:v>
                </c:pt>
                <c:pt idx="6">
                  <c:v>42416</c:v>
                </c:pt>
                <c:pt idx="7">
                  <c:v>42417</c:v>
                </c:pt>
                <c:pt idx="8">
                  <c:v>42418</c:v>
                </c:pt>
                <c:pt idx="9">
                  <c:v>42419</c:v>
                </c:pt>
                <c:pt idx="10">
                  <c:v>42422</c:v>
                </c:pt>
                <c:pt idx="11">
                  <c:v>42423</c:v>
                </c:pt>
                <c:pt idx="12">
                  <c:v>42424</c:v>
                </c:pt>
                <c:pt idx="13">
                  <c:v>42425</c:v>
                </c:pt>
                <c:pt idx="14">
                  <c:v>42426</c:v>
                </c:pt>
                <c:pt idx="15">
                  <c:v>42429</c:v>
                </c:pt>
                <c:pt idx="16">
                  <c:v>42430</c:v>
                </c:pt>
                <c:pt idx="17">
                  <c:v>42431</c:v>
                </c:pt>
                <c:pt idx="18">
                  <c:v>42432</c:v>
                </c:pt>
                <c:pt idx="19">
                  <c:v>42433</c:v>
                </c:pt>
                <c:pt idx="20">
                  <c:v>42436</c:v>
                </c:pt>
                <c:pt idx="21">
                  <c:v>42437</c:v>
                </c:pt>
                <c:pt idx="22">
                  <c:v>42438</c:v>
                </c:pt>
                <c:pt idx="23">
                  <c:v>42439</c:v>
                </c:pt>
                <c:pt idx="24">
                  <c:v>42440</c:v>
                </c:pt>
                <c:pt idx="25">
                  <c:v>42443</c:v>
                </c:pt>
                <c:pt idx="26">
                  <c:v>42444</c:v>
                </c:pt>
                <c:pt idx="27">
                  <c:v>42445</c:v>
                </c:pt>
                <c:pt idx="28">
                  <c:v>42446</c:v>
                </c:pt>
                <c:pt idx="29">
                  <c:v>42447</c:v>
                </c:pt>
                <c:pt idx="30">
                  <c:v>42450</c:v>
                </c:pt>
                <c:pt idx="31">
                  <c:v>42451</c:v>
                </c:pt>
                <c:pt idx="32">
                  <c:v>42452</c:v>
                </c:pt>
                <c:pt idx="33">
                  <c:v>42453</c:v>
                </c:pt>
                <c:pt idx="34">
                  <c:v>42458</c:v>
                </c:pt>
                <c:pt idx="35">
                  <c:v>42459</c:v>
                </c:pt>
                <c:pt idx="36">
                  <c:v>42460</c:v>
                </c:pt>
                <c:pt idx="37">
                  <c:v>42461</c:v>
                </c:pt>
                <c:pt idx="38">
                  <c:v>42464</c:v>
                </c:pt>
                <c:pt idx="39">
                  <c:v>42465</c:v>
                </c:pt>
                <c:pt idx="40">
                  <c:v>42466</c:v>
                </c:pt>
                <c:pt idx="41">
                  <c:v>42467</c:v>
                </c:pt>
                <c:pt idx="42">
                  <c:v>42468</c:v>
                </c:pt>
                <c:pt idx="43">
                  <c:v>42471</c:v>
                </c:pt>
                <c:pt idx="44">
                  <c:v>42472</c:v>
                </c:pt>
                <c:pt idx="45">
                  <c:v>42473</c:v>
                </c:pt>
                <c:pt idx="46">
                  <c:v>42474</c:v>
                </c:pt>
                <c:pt idx="47">
                  <c:v>42475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42485</c:v>
                </c:pt>
                <c:pt idx="54">
                  <c:v>42486</c:v>
                </c:pt>
                <c:pt idx="55">
                  <c:v>42487</c:v>
                </c:pt>
                <c:pt idx="56">
                  <c:v>42488</c:v>
                </c:pt>
                <c:pt idx="57">
                  <c:v>42489</c:v>
                </c:pt>
                <c:pt idx="58">
                  <c:v>42493</c:v>
                </c:pt>
                <c:pt idx="59">
                  <c:v>42494</c:v>
                </c:pt>
                <c:pt idx="60">
                  <c:v>42495</c:v>
                </c:pt>
                <c:pt idx="61">
                  <c:v>42496</c:v>
                </c:pt>
                <c:pt idx="62">
                  <c:v>42499</c:v>
                </c:pt>
                <c:pt idx="63">
                  <c:v>42500</c:v>
                </c:pt>
                <c:pt idx="64">
                  <c:v>42501</c:v>
                </c:pt>
                <c:pt idx="65">
                  <c:v>42502</c:v>
                </c:pt>
                <c:pt idx="66">
                  <c:v>42503</c:v>
                </c:pt>
                <c:pt idx="67">
                  <c:v>42506</c:v>
                </c:pt>
                <c:pt idx="68">
                  <c:v>42507</c:v>
                </c:pt>
                <c:pt idx="69">
                  <c:v>42508</c:v>
                </c:pt>
                <c:pt idx="70">
                  <c:v>42509</c:v>
                </c:pt>
                <c:pt idx="71">
                  <c:v>42510</c:v>
                </c:pt>
                <c:pt idx="72">
                  <c:v>42513</c:v>
                </c:pt>
                <c:pt idx="73">
                  <c:v>42514</c:v>
                </c:pt>
                <c:pt idx="74">
                  <c:v>42515</c:v>
                </c:pt>
                <c:pt idx="75">
                  <c:v>42516</c:v>
                </c:pt>
                <c:pt idx="76">
                  <c:v>42517</c:v>
                </c:pt>
                <c:pt idx="77">
                  <c:v>42521</c:v>
                </c:pt>
                <c:pt idx="78">
                  <c:v>42522</c:v>
                </c:pt>
                <c:pt idx="79">
                  <c:v>42523</c:v>
                </c:pt>
                <c:pt idx="80">
                  <c:v>42524</c:v>
                </c:pt>
                <c:pt idx="81">
                  <c:v>42527</c:v>
                </c:pt>
                <c:pt idx="82">
                  <c:v>42528</c:v>
                </c:pt>
                <c:pt idx="83">
                  <c:v>42529</c:v>
                </c:pt>
                <c:pt idx="84">
                  <c:v>42530</c:v>
                </c:pt>
                <c:pt idx="85">
                  <c:v>42531</c:v>
                </c:pt>
                <c:pt idx="86">
                  <c:v>42534</c:v>
                </c:pt>
                <c:pt idx="87">
                  <c:v>42535</c:v>
                </c:pt>
                <c:pt idx="88">
                  <c:v>42536</c:v>
                </c:pt>
                <c:pt idx="89">
                  <c:v>42537</c:v>
                </c:pt>
                <c:pt idx="90">
                  <c:v>42538</c:v>
                </c:pt>
                <c:pt idx="91">
                  <c:v>42541</c:v>
                </c:pt>
                <c:pt idx="92">
                  <c:v>42542</c:v>
                </c:pt>
                <c:pt idx="93">
                  <c:v>42543</c:v>
                </c:pt>
                <c:pt idx="94">
                  <c:v>42544</c:v>
                </c:pt>
                <c:pt idx="95">
                  <c:v>42545</c:v>
                </c:pt>
                <c:pt idx="96">
                  <c:v>42548</c:v>
                </c:pt>
                <c:pt idx="97">
                  <c:v>42549</c:v>
                </c:pt>
                <c:pt idx="98">
                  <c:v>42550</c:v>
                </c:pt>
                <c:pt idx="99">
                  <c:v>42551</c:v>
                </c:pt>
                <c:pt idx="100">
                  <c:v>42552</c:v>
                </c:pt>
                <c:pt idx="101">
                  <c:v>42555</c:v>
                </c:pt>
                <c:pt idx="102">
                  <c:v>42556</c:v>
                </c:pt>
                <c:pt idx="103">
                  <c:v>42557</c:v>
                </c:pt>
                <c:pt idx="104">
                  <c:v>42558</c:v>
                </c:pt>
                <c:pt idx="105">
                  <c:v>42559</c:v>
                </c:pt>
                <c:pt idx="106">
                  <c:v>42562</c:v>
                </c:pt>
                <c:pt idx="107">
                  <c:v>42563</c:v>
                </c:pt>
                <c:pt idx="108">
                  <c:v>42564</c:v>
                </c:pt>
                <c:pt idx="109">
                  <c:v>42565</c:v>
                </c:pt>
                <c:pt idx="110">
                  <c:v>42566</c:v>
                </c:pt>
                <c:pt idx="111">
                  <c:v>42569</c:v>
                </c:pt>
                <c:pt idx="112">
                  <c:v>42570</c:v>
                </c:pt>
                <c:pt idx="113">
                  <c:v>42571</c:v>
                </c:pt>
                <c:pt idx="114">
                  <c:v>42572</c:v>
                </c:pt>
                <c:pt idx="115">
                  <c:v>42573</c:v>
                </c:pt>
                <c:pt idx="116">
                  <c:v>42576</c:v>
                </c:pt>
                <c:pt idx="117">
                  <c:v>42577</c:v>
                </c:pt>
                <c:pt idx="118">
                  <c:v>42578</c:v>
                </c:pt>
                <c:pt idx="119">
                  <c:v>42579</c:v>
                </c:pt>
                <c:pt idx="120">
                  <c:v>42580</c:v>
                </c:pt>
                <c:pt idx="121">
                  <c:v>42583</c:v>
                </c:pt>
                <c:pt idx="122">
                  <c:v>42584</c:v>
                </c:pt>
                <c:pt idx="123">
                  <c:v>42585</c:v>
                </c:pt>
                <c:pt idx="124">
                  <c:v>42586</c:v>
                </c:pt>
                <c:pt idx="125">
                  <c:v>42587</c:v>
                </c:pt>
                <c:pt idx="126">
                  <c:v>42590</c:v>
                </c:pt>
                <c:pt idx="127">
                  <c:v>42591</c:v>
                </c:pt>
                <c:pt idx="128">
                  <c:v>42592</c:v>
                </c:pt>
                <c:pt idx="129">
                  <c:v>42593</c:v>
                </c:pt>
                <c:pt idx="130">
                  <c:v>42594</c:v>
                </c:pt>
                <c:pt idx="131">
                  <c:v>42597</c:v>
                </c:pt>
                <c:pt idx="132">
                  <c:v>42598</c:v>
                </c:pt>
                <c:pt idx="133">
                  <c:v>42599</c:v>
                </c:pt>
                <c:pt idx="134">
                  <c:v>42600</c:v>
                </c:pt>
                <c:pt idx="135">
                  <c:v>42601</c:v>
                </c:pt>
                <c:pt idx="136">
                  <c:v>42604</c:v>
                </c:pt>
                <c:pt idx="137">
                  <c:v>42605</c:v>
                </c:pt>
                <c:pt idx="138">
                  <c:v>42606</c:v>
                </c:pt>
                <c:pt idx="139">
                  <c:v>42607</c:v>
                </c:pt>
                <c:pt idx="140">
                  <c:v>42608</c:v>
                </c:pt>
                <c:pt idx="141">
                  <c:v>42612</c:v>
                </c:pt>
                <c:pt idx="142">
                  <c:v>42613</c:v>
                </c:pt>
                <c:pt idx="143">
                  <c:v>42614</c:v>
                </c:pt>
                <c:pt idx="144">
                  <c:v>42615</c:v>
                </c:pt>
                <c:pt idx="145">
                  <c:v>42618</c:v>
                </c:pt>
                <c:pt idx="146">
                  <c:v>42619</c:v>
                </c:pt>
                <c:pt idx="147">
                  <c:v>42620</c:v>
                </c:pt>
                <c:pt idx="148">
                  <c:v>42621</c:v>
                </c:pt>
                <c:pt idx="149">
                  <c:v>42622</c:v>
                </c:pt>
                <c:pt idx="150">
                  <c:v>42625</c:v>
                </c:pt>
                <c:pt idx="151">
                  <c:v>42626</c:v>
                </c:pt>
                <c:pt idx="152">
                  <c:v>42627</c:v>
                </c:pt>
                <c:pt idx="153">
                  <c:v>42628</c:v>
                </c:pt>
                <c:pt idx="154">
                  <c:v>42629</c:v>
                </c:pt>
                <c:pt idx="155">
                  <c:v>42632</c:v>
                </c:pt>
                <c:pt idx="156">
                  <c:v>42633</c:v>
                </c:pt>
                <c:pt idx="157">
                  <c:v>42634</c:v>
                </c:pt>
                <c:pt idx="158">
                  <c:v>42635</c:v>
                </c:pt>
                <c:pt idx="159">
                  <c:v>42636</c:v>
                </c:pt>
                <c:pt idx="160">
                  <c:v>42639</c:v>
                </c:pt>
                <c:pt idx="161">
                  <c:v>42640</c:v>
                </c:pt>
                <c:pt idx="162">
                  <c:v>42641</c:v>
                </c:pt>
                <c:pt idx="163">
                  <c:v>42642</c:v>
                </c:pt>
                <c:pt idx="164">
                  <c:v>42643</c:v>
                </c:pt>
                <c:pt idx="165">
                  <c:v>42646</c:v>
                </c:pt>
                <c:pt idx="166">
                  <c:v>42647</c:v>
                </c:pt>
                <c:pt idx="167">
                  <c:v>42648</c:v>
                </c:pt>
                <c:pt idx="168">
                  <c:v>42649</c:v>
                </c:pt>
                <c:pt idx="169">
                  <c:v>42650</c:v>
                </c:pt>
                <c:pt idx="170">
                  <c:v>42653</c:v>
                </c:pt>
                <c:pt idx="171">
                  <c:v>42654</c:v>
                </c:pt>
                <c:pt idx="172">
                  <c:v>42655</c:v>
                </c:pt>
                <c:pt idx="173">
                  <c:v>42656</c:v>
                </c:pt>
                <c:pt idx="174">
                  <c:v>42657</c:v>
                </c:pt>
                <c:pt idx="175">
                  <c:v>42660</c:v>
                </c:pt>
                <c:pt idx="176">
                  <c:v>42661</c:v>
                </c:pt>
                <c:pt idx="177">
                  <c:v>42662</c:v>
                </c:pt>
                <c:pt idx="178">
                  <c:v>42663</c:v>
                </c:pt>
                <c:pt idx="179">
                  <c:v>42664</c:v>
                </c:pt>
                <c:pt idx="180">
                  <c:v>42667</c:v>
                </c:pt>
                <c:pt idx="181">
                  <c:v>42668</c:v>
                </c:pt>
                <c:pt idx="182">
                  <c:v>42669</c:v>
                </c:pt>
                <c:pt idx="183">
                  <c:v>42670</c:v>
                </c:pt>
                <c:pt idx="184">
                  <c:v>42671</c:v>
                </c:pt>
                <c:pt idx="185">
                  <c:v>42674</c:v>
                </c:pt>
              </c:numCache>
            </c:numRef>
          </c:cat>
          <c:val>
            <c:numRef>
              <c:f>'CFD Data'!$H$2:$H$187</c:f>
              <c:numCache>
                <c:formatCode>General</c:formatCode>
                <c:ptCount val="186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3</c:v>
                </c:pt>
                <c:pt idx="31">
                  <c:v>2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8</c:v>
                </c:pt>
                <c:pt idx="45">
                  <c:v>7</c:v>
                </c:pt>
                <c:pt idx="46">
                  <c:v>9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6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7</c:v>
                </c:pt>
                <c:pt idx="60">
                  <c:v>8</c:v>
                </c:pt>
                <c:pt idx="61">
                  <c:v>4</c:v>
                </c:pt>
                <c:pt idx="62">
                  <c:v>2</c:v>
                </c:pt>
                <c:pt idx="63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  <c:pt idx="67">
                  <c:v>6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6</c:v>
                </c:pt>
                <c:pt idx="72">
                  <c:v>5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50-4617-8F43-B5F7B1149700}"/>
            </c:ext>
          </c:extLst>
        </c:ser>
        <c:ser>
          <c:idx val="8"/>
          <c:order val="7"/>
          <c:tx>
            <c:strRef>
              <c:f>'On The Board'!$G$4</c:f>
              <c:strCache>
                <c:ptCount val="1"/>
                <c:pt idx="0">
                  <c:v>Ready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cat>
            <c:numRef>
              <c:f>'CFD Data'!$B$2:$B$187</c:f>
              <c:numCache>
                <c:formatCode>dd/mm/yyyy;@</c:formatCode>
                <c:ptCount val="186"/>
                <c:pt idx="0">
                  <c:v>42408</c:v>
                </c:pt>
                <c:pt idx="1">
                  <c:v>42409</c:v>
                </c:pt>
                <c:pt idx="2">
                  <c:v>42410</c:v>
                </c:pt>
                <c:pt idx="3">
                  <c:v>42411</c:v>
                </c:pt>
                <c:pt idx="4">
                  <c:v>42412</c:v>
                </c:pt>
                <c:pt idx="5">
                  <c:v>42415</c:v>
                </c:pt>
                <c:pt idx="6">
                  <c:v>42416</c:v>
                </c:pt>
                <c:pt idx="7">
                  <c:v>42417</c:v>
                </c:pt>
                <c:pt idx="8">
                  <c:v>42418</c:v>
                </c:pt>
                <c:pt idx="9">
                  <c:v>42419</c:v>
                </c:pt>
                <c:pt idx="10">
                  <c:v>42422</c:v>
                </c:pt>
                <c:pt idx="11">
                  <c:v>42423</c:v>
                </c:pt>
                <c:pt idx="12">
                  <c:v>42424</c:v>
                </c:pt>
                <c:pt idx="13">
                  <c:v>42425</c:v>
                </c:pt>
                <c:pt idx="14">
                  <c:v>42426</c:v>
                </c:pt>
                <c:pt idx="15">
                  <c:v>42429</c:v>
                </c:pt>
                <c:pt idx="16">
                  <c:v>42430</c:v>
                </c:pt>
                <c:pt idx="17">
                  <c:v>42431</c:v>
                </c:pt>
                <c:pt idx="18">
                  <c:v>42432</c:v>
                </c:pt>
                <c:pt idx="19">
                  <c:v>42433</c:v>
                </c:pt>
                <c:pt idx="20">
                  <c:v>42436</c:v>
                </c:pt>
                <c:pt idx="21">
                  <c:v>42437</c:v>
                </c:pt>
                <c:pt idx="22">
                  <c:v>42438</c:v>
                </c:pt>
                <c:pt idx="23">
                  <c:v>42439</c:v>
                </c:pt>
                <c:pt idx="24">
                  <c:v>42440</c:v>
                </c:pt>
                <c:pt idx="25">
                  <c:v>42443</c:v>
                </c:pt>
                <c:pt idx="26">
                  <c:v>42444</c:v>
                </c:pt>
                <c:pt idx="27">
                  <c:v>42445</c:v>
                </c:pt>
                <c:pt idx="28">
                  <c:v>42446</c:v>
                </c:pt>
                <c:pt idx="29">
                  <c:v>42447</c:v>
                </c:pt>
                <c:pt idx="30">
                  <c:v>42450</c:v>
                </c:pt>
                <c:pt idx="31">
                  <c:v>42451</c:v>
                </c:pt>
                <c:pt idx="32">
                  <c:v>42452</c:v>
                </c:pt>
                <c:pt idx="33">
                  <c:v>42453</c:v>
                </c:pt>
                <c:pt idx="34">
                  <c:v>42458</c:v>
                </c:pt>
                <c:pt idx="35">
                  <c:v>42459</c:v>
                </c:pt>
                <c:pt idx="36">
                  <c:v>42460</c:v>
                </c:pt>
                <c:pt idx="37">
                  <c:v>42461</c:v>
                </c:pt>
                <c:pt idx="38">
                  <c:v>42464</c:v>
                </c:pt>
                <c:pt idx="39">
                  <c:v>42465</c:v>
                </c:pt>
                <c:pt idx="40">
                  <c:v>42466</c:v>
                </c:pt>
                <c:pt idx="41">
                  <c:v>42467</c:v>
                </c:pt>
                <c:pt idx="42">
                  <c:v>42468</c:v>
                </c:pt>
                <c:pt idx="43">
                  <c:v>42471</c:v>
                </c:pt>
                <c:pt idx="44">
                  <c:v>42472</c:v>
                </c:pt>
                <c:pt idx="45">
                  <c:v>42473</c:v>
                </c:pt>
                <c:pt idx="46">
                  <c:v>42474</c:v>
                </c:pt>
                <c:pt idx="47">
                  <c:v>42475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42485</c:v>
                </c:pt>
                <c:pt idx="54">
                  <c:v>42486</c:v>
                </c:pt>
                <c:pt idx="55">
                  <c:v>42487</c:v>
                </c:pt>
                <c:pt idx="56">
                  <c:v>42488</c:v>
                </c:pt>
                <c:pt idx="57">
                  <c:v>42489</c:v>
                </c:pt>
                <c:pt idx="58">
                  <c:v>42493</c:v>
                </c:pt>
                <c:pt idx="59">
                  <c:v>42494</c:v>
                </c:pt>
                <c:pt idx="60">
                  <c:v>42495</c:v>
                </c:pt>
                <c:pt idx="61">
                  <c:v>42496</c:v>
                </c:pt>
                <c:pt idx="62">
                  <c:v>42499</c:v>
                </c:pt>
                <c:pt idx="63">
                  <c:v>42500</c:v>
                </c:pt>
                <c:pt idx="64">
                  <c:v>42501</c:v>
                </c:pt>
                <c:pt idx="65">
                  <c:v>42502</c:v>
                </c:pt>
                <c:pt idx="66">
                  <c:v>42503</c:v>
                </c:pt>
                <c:pt idx="67">
                  <c:v>42506</c:v>
                </c:pt>
                <c:pt idx="68">
                  <c:v>42507</c:v>
                </c:pt>
                <c:pt idx="69">
                  <c:v>42508</c:v>
                </c:pt>
                <c:pt idx="70">
                  <c:v>42509</c:v>
                </c:pt>
                <c:pt idx="71">
                  <c:v>42510</c:v>
                </c:pt>
                <c:pt idx="72">
                  <c:v>42513</c:v>
                </c:pt>
                <c:pt idx="73">
                  <c:v>42514</c:v>
                </c:pt>
                <c:pt idx="74">
                  <c:v>42515</c:v>
                </c:pt>
                <c:pt idx="75">
                  <c:v>42516</c:v>
                </c:pt>
                <c:pt idx="76">
                  <c:v>42517</c:v>
                </c:pt>
                <c:pt idx="77">
                  <c:v>42521</c:v>
                </c:pt>
                <c:pt idx="78">
                  <c:v>42522</c:v>
                </c:pt>
                <c:pt idx="79">
                  <c:v>42523</c:v>
                </c:pt>
                <c:pt idx="80">
                  <c:v>42524</c:v>
                </c:pt>
                <c:pt idx="81">
                  <c:v>42527</c:v>
                </c:pt>
                <c:pt idx="82">
                  <c:v>42528</c:v>
                </c:pt>
                <c:pt idx="83">
                  <c:v>42529</c:v>
                </c:pt>
                <c:pt idx="84">
                  <c:v>42530</c:v>
                </c:pt>
                <c:pt idx="85">
                  <c:v>42531</c:v>
                </c:pt>
                <c:pt idx="86">
                  <c:v>42534</c:v>
                </c:pt>
                <c:pt idx="87">
                  <c:v>42535</c:v>
                </c:pt>
                <c:pt idx="88">
                  <c:v>42536</c:v>
                </c:pt>
                <c:pt idx="89">
                  <c:v>42537</c:v>
                </c:pt>
                <c:pt idx="90">
                  <c:v>42538</c:v>
                </c:pt>
                <c:pt idx="91">
                  <c:v>42541</c:v>
                </c:pt>
                <c:pt idx="92">
                  <c:v>42542</c:v>
                </c:pt>
                <c:pt idx="93">
                  <c:v>42543</c:v>
                </c:pt>
                <c:pt idx="94">
                  <c:v>42544</c:v>
                </c:pt>
                <c:pt idx="95">
                  <c:v>42545</c:v>
                </c:pt>
                <c:pt idx="96">
                  <c:v>42548</c:v>
                </c:pt>
                <c:pt idx="97">
                  <c:v>42549</c:v>
                </c:pt>
                <c:pt idx="98">
                  <c:v>42550</c:v>
                </c:pt>
                <c:pt idx="99">
                  <c:v>42551</c:v>
                </c:pt>
                <c:pt idx="100">
                  <c:v>42552</c:v>
                </c:pt>
                <c:pt idx="101">
                  <c:v>42555</c:v>
                </c:pt>
                <c:pt idx="102">
                  <c:v>42556</c:v>
                </c:pt>
                <c:pt idx="103">
                  <c:v>42557</c:v>
                </c:pt>
                <c:pt idx="104">
                  <c:v>42558</c:v>
                </c:pt>
                <c:pt idx="105">
                  <c:v>42559</c:v>
                </c:pt>
                <c:pt idx="106">
                  <c:v>42562</c:v>
                </c:pt>
                <c:pt idx="107">
                  <c:v>42563</c:v>
                </c:pt>
                <c:pt idx="108">
                  <c:v>42564</c:v>
                </c:pt>
                <c:pt idx="109">
                  <c:v>42565</c:v>
                </c:pt>
                <c:pt idx="110">
                  <c:v>42566</c:v>
                </c:pt>
                <c:pt idx="111">
                  <c:v>42569</c:v>
                </c:pt>
                <c:pt idx="112">
                  <c:v>42570</c:v>
                </c:pt>
                <c:pt idx="113">
                  <c:v>42571</c:v>
                </c:pt>
                <c:pt idx="114">
                  <c:v>42572</c:v>
                </c:pt>
                <c:pt idx="115">
                  <c:v>42573</c:v>
                </c:pt>
                <c:pt idx="116">
                  <c:v>42576</c:v>
                </c:pt>
                <c:pt idx="117">
                  <c:v>42577</c:v>
                </c:pt>
                <c:pt idx="118">
                  <c:v>42578</c:v>
                </c:pt>
                <c:pt idx="119">
                  <c:v>42579</c:v>
                </c:pt>
                <c:pt idx="120">
                  <c:v>42580</c:v>
                </c:pt>
                <c:pt idx="121">
                  <c:v>42583</c:v>
                </c:pt>
                <c:pt idx="122">
                  <c:v>42584</c:v>
                </c:pt>
                <c:pt idx="123">
                  <c:v>42585</c:v>
                </c:pt>
                <c:pt idx="124">
                  <c:v>42586</c:v>
                </c:pt>
                <c:pt idx="125">
                  <c:v>42587</c:v>
                </c:pt>
                <c:pt idx="126">
                  <c:v>42590</c:v>
                </c:pt>
                <c:pt idx="127">
                  <c:v>42591</c:v>
                </c:pt>
                <c:pt idx="128">
                  <c:v>42592</c:v>
                </c:pt>
                <c:pt idx="129">
                  <c:v>42593</c:v>
                </c:pt>
                <c:pt idx="130">
                  <c:v>42594</c:v>
                </c:pt>
                <c:pt idx="131">
                  <c:v>42597</c:v>
                </c:pt>
                <c:pt idx="132">
                  <c:v>42598</c:v>
                </c:pt>
                <c:pt idx="133">
                  <c:v>42599</c:v>
                </c:pt>
                <c:pt idx="134">
                  <c:v>42600</c:v>
                </c:pt>
                <c:pt idx="135">
                  <c:v>42601</c:v>
                </c:pt>
                <c:pt idx="136">
                  <c:v>42604</c:v>
                </c:pt>
                <c:pt idx="137">
                  <c:v>42605</c:v>
                </c:pt>
                <c:pt idx="138">
                  <c:v>42606</c:v>
                </c:pt>
                <c:pt idx="139">
                  <c:v>42607</c:v>
                </c:pt>
                <c:pt idx="140">
                  <c:v>42608</c:v>
                </c:pt>
                <c:pt idx="141">
                  <c:v>42612</c:v>
                </c:pt>
                <c:pt idx="142">
                  <c:v>42613</c:v>
                </c:pt>
                <c:pt idx="143">
                  <c:v>42614</c:v>
                </c:pt>
                <c:pt idx="144">
                  <c:v>42615</c:v>
                </c:pt>
                <c:pt idx="145">
                  <c:v>42618</c:v>
                </c:pt>
                <c:pt idx="146">
                  <c:v>42619</c:v>
                </c:pt>
                <c:pt idx="147">
                  <c:v>42620</c:v>
                </c:pt>
                <c:pt idx="148">
                  <c:v>42621</c:v>
                </c:pt>
                <c:pt idx="149">
                  <c:v>42622</c:v>
                </c:pt>
                <c:pt idx="150">
                  <c:v>42625</c:v>
                </c:pt>
                <c:pt idx="151">
                  <c:v>42626</c:v>
                </c:pt>
                <c:pt idx="152">
                  <c:v>42627</c:v>
                </c:pt>
                <c:pt idx="153">
                  <c:v>42628</c:v>
                </c:pt>
                <c:pt idx="154">
                  <c:v>42629</c:v>
                </c:pt>
                <c:pt idx="155">
                  <c:v>42632</c:v>
                </c:pt>
                <c:pt idx="156">
                  <c:v>42633</c:v>
                </c:pt>
                <c:pt idx="157">
                  <c:v>42634</c:v>
                </c:pt>
                <c:pt idx="158">
                  <c:v>42635</c:v>
                </c:pt>
                <c:pt idx="159">
                  <c:v>42636</c:v>
                </c:pt>
                <c:pt idx="160">
                  <c:v>42639</c:v>
                </c:pt>
                <c:pt idx="161">
                  <c:v>42640</c:v>
                </c:pt>
                <c:pt idx="162">
                  <c:v>42641</c:v>
                </c:pt>
                <c:pt idx="163">
                  <c:v>42642</c:v>
                </c:pt>
                <c:pt idx="164">
                  <c:v>42643</c:v>
                </c:pt>
                <c:pt idx="165">
                  <c:v>42646</c:v>
                </c:pt>
                <c:pt idx="166">
                  <c:v>42647</c:v>
                </c:pt>
                <c:pt idx="167">
                  <c:v>42648</c:v>
                </c:pt>
                <c:pt idx="168">
                  <c:v>42649</c:v>
                </c:pt>
                <c:pt idx="169">
                  <c:v>42650</c:v>
                </c:pt>
                <c:pt idx="170">
                  <c:v>42653</c:v>
                </c:pt>
                <c:pt idx="171">
                  <c:v>42654</c:v>
                </c:pt>
                <c:pt idx="172">
                  <c:v>42655</c:v>
                </c:pt>
                <c:pt idx="173">
                  <c:v>42656</c:v>
                </c:pt>
                <c:pt idx="174">
                  <c:v>42657</c:v>
                </c:pt>
                <c:pt idx="175">
                  <c:v>42660</c:v>
                </c:pt>
                <c:pt idx="176">
                  <c:v>42661</c:v>
                </c:pt>
                <c:pt idx="177">
                  <c:v>42662</c:v>
                </c:pt>
                <c:pt idx="178">
                  <c:v>42663</c:v>
                </c:pt>
                <c:pt idx="179">
                  <c:v>42664</c:v>
                </c:pt>
                <c:pt idx="180">
                  <c:v>42667</c:v>
                </c:pt>
                <c:pt idx="181">
                  <c:v>42668</c:v>
                </c:pt>
                <c:pt idx="182">
                  <c:v>42669</c:v>
                </c:pt>
                <c:pt idx="183">
                  <c:v>42670</c:v>
                </c:pt>
                <c:pt idx="184">
                  <c:v>42671</c:v>
                </c:pt>
                <c:pt idx="185">
                  <c:v>42674</c:v>
                </c:pt>
              </c:numCache>
            </c:numRef>
          </c:cat>
          <c:val>
            <c:numRef>
              <c:f>'CFD Data'!$G$2:$G$187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50-4617-8F43-B5F7B1149700}"/>
            </c:ext>
          </c:extLst>
        </c:ser>
        <c:ser>
          <c:idx val="9"/>
          <c:order val="8"/>
          <c:tx>
            <c:strRef>
              <c:f>'CFD Data'!$C$1</c:f>
              <c:strCache>
                <c:ptCount val="1"/>
                <c:pt idx="0">
                  <c:v>Future Ready</c:v>
                </c:pt>
              </c:strCache>
            </c:strRef>
          </c:tx>
          <c:spPr>
            <a:noFill/>
          </c:spPr>
          <c:cat>
            <c:numRef>
              <c:f>'CFD Data'!$B$2:$B$187</c:f>
              <c:numCache>
                <c:formatCode>dd/mm/yyyy;@</c:formatCode>
                <c:ptCount val="186"/>
                <c:pt idx="0">
                  <c:v>42408</c:v>
                </c:pt>
                <c:pt idx="1">
                  <c:v>42409</c:v>
                </c:pt>
                <c:pt idx="2">
                  <c:v>42410</c:v>
                </c:pt>
                <c:pt idx="3">
                  <c:v>42411</c:v>
                </c:pt>
                <c:pt idx="4">
                  <c:v>42412</c:v>
                </c:pt>
                <c:pt idx="5">
                  <c:v>42415</c:v>
                </c:pt>
                <c:pt idx="6">
                  <c:v>42416</c:v>
                </c:pt>
                <c:pt idx="7">
                  <c:v>42417</c:v>
                </c:pt>
                <c:pt idx="8">
                  <c:v>42418</c:v>
                </c:pt>
                <c:pt idx="9">
                  <c:v>42419</c:v>
                </c:pt>
                <c:pt idx="10">
                  <c:v>42422</c:v>
                </c:pt>
                <c:pt idx="11">
                  <c:v>42423</c:v>
                </c:pt>
                <c:pt idx="12">
                  <c:v>42424</c:v>
                </c:pt>
                <c:pt idx="13">
                  <c:v>42425</c:v>
                </c:pt>
                <c:pt idx="14">
                  <c:v>42426</c:v>
                </c:pt>
                <c:pt idx="15">
                  <c:v>42429</c:v>
                </c:pt>
                <c:pt idx="16">
                  <c:v>42430</c:v>
                </c:pt>
                <c:pt idx="17">
                  <c:v>42431</c:v>
                </c:pt>
                <c:pt idx="18">
                  <c:v>42432</c:v>
                </c:pt>
                <c:pt idx="19">
                  <c:v>42433</c:v>
                </c:pt>
                <c:pt idx="20">
                  <c:v>42436</c:v>
                </c:pt>
                <c:pt idx="21">
                  <c:v>42437</c:v>
                </c:pt>
                <c:pt idx="22">
                  <c:v>42438</c:v>
                </c:pt>
                <c:pt idx="23">
                  <c:v>42439</c:v>
                </c:pt>
                <c:pt idx="24">
                  <c:v>42440</c:v>
                </c:pt>
                <c:pt idx="25">
                  <c:v>42443</c:v>
                </c:pt>
                <c:pt idx="26">
                  <c:v>42444</c:v>
                </c:pt>
                <c:pt idx="27">
                  <c:v>42445</c:v>
                </c:pt>
                <c:pt idx="28">
                  <c:v>42446</c:v>
                </c:pt>
                <c:pt idx="29">
                  <c:v>42447</c:v>
                </c:pt>
                <c:pt idx="30">
                  <c:v>42450</c:v>
                </c:pt>
                <c:pt idx="31">
                  <c:v>42451</c:v>
                </c:pt>
                <c:pt idx="32">
                  <c:v>42452</c:v>
                </c:pt>
                <c:pt idx="33">
                  <c:v>42453</c:v>
                </c:pt>
                <c:pt idx="34">
                  <c:v>42458</c:v>
                </c:pt>
                <c:pt idx="35">
                  <c:v>42459</c:v>
                </c:pt>
                <c:pt idx="36">
                  <c:v>42460</c:v>
                </c:pt>
                <c:pt idx="37">
                  <c:v>42461</c:v>
                </c:pt>
                <c:pt idx="38">
                  <c:v>42464</c:v>
                </c:pt>
                <c:pt idx="39">
                  <c:v>42465</c:v>
                </c:pt>
                <c:pt idx="40">
                  <c:v>42466</c:v>
                </c:pt>
                <c:pt idx="41">
                  <c:v>42467</c:v>
                </c:pt>
                <c:pt idx="42">
                  <c:v>42468</c:v>
                </c:pt>
                <c:pt idx="43">
                  <c:v>42471</c:v>
                </c:pt>
                <c:pt idx="44">
                  <c:v>42472</c:v>
                </c:pt>
                <c:pt idx="45">
                  <c:v>42473</c:v>
                </c:pt>
                <c:pt idx="46">
                  <c:v>42474</c:v>
                </c:pt>
                <c:pt idx="47">
                  <c:v>42475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42485</c:v>
                </c:pt>
                <c:pt idx="54">
                  <c:v>42486</c:v>
                </c:pt>
                <c:pt idx="55">
                  <c:v>42487</c:v>
                </c:pt>
                <c:pt idx="56">
                  <c:v>42488</c:v>
                </c:pt>
                <c:pt idx="57">
                  <c:v>42489</c:v>
                </c:pt>
                <c:pt idx="58">
                  <c:v>42493</c:v>
                </c:pt>
                <c:pt idx="59">
                  <c:v>42494</c:v>
                </c:pt>
                <c:pt idx="60">
                  <c:v>42495</c:v>
                </c:pt>
                <c:pt idx="61">
                  <c:v>42496</c:v>
                </c:pt>
                <c:pt idx="62">
                  <c:v>42499</c:v>
                </c:pt>
                <c:pt idx="63">
                  <c:v>42500</c:v>
                </c:pt>
                <c:pt idx="64">
                  <c:v>42501</c:v>
                </c:pt>
                <c:pt idx="65">
                  <c:v>42502</c:v>
                </c:pt>
                <c:pt idx="66">
                  <c:v>42503</c:v>
                </c:pt>
                <c:pt idx="67">
                  <c:v>42506</c:v>
                </c:pt>
                <c:pt idx="68">
                  <c:v>42507</c:v>
                </c:pt>
                <c:pt idx="69">
                  <c:v>42508</c:v>
                </c:pt>
                <c:pt idx="70">
                  <c:v>42509</c:v>
                </c:pt>
                <c:pt idx="71">
                  <c:v>42510</c:v>
                </c:pt>
                <c:pt idx="72">
                  <c:v>42513</c:v>
                </c:pt>
                <c:pt idx="73">
                  <c:v>42514</c:v>
                </c:pt>
                <c:pt idx="74">
                  <c:v>42515</c:v>
                </c:pt>
                <c:pt idx="75">
                  <c:v>42516</c:v>
                </c:pt>
                <c:pt idx="76">
                  <c:v>42517</c:v>
                </c:pt>
                <c:pt idx="77">
                  <c:v>42521</c:v>
                </c:pt>
                <c:pt idx="78">
                  <c:v>42522</c:v>
                </c:pt>
                <c:pt idx="79">
                  <c:v>42523</c:v>
                </c:pt>
                <c:pt idx="80">
                  <c:v>42524</c:v>
                </c:pt>
                <c:pt idx="81">
                  <c:v>42527</c:v>
                </c:pt>
                <c:pt idx="82">
                  <c:v>42528</c:v>
                </c:pt>
                <c:pt idx="83">
                  <c:v>42529</c:v>
                </c:pt>
                <c:pt idx="84">
                  <c:v>42530</c:v>
                </c:pt>
                <c:pt idx="85">
                  <c:v>42531</c:v>
                </c:pt>
                <c:pt idx="86">
                  <c:v>42534</c:v>
                </c:pt>
                <c:pt idx="87">
                  <c:v>42535</c:v>
                </c:pt>
                <c:pt idx="88">
                  <c:v>42536</c:v>
                </c:pt>
                <c:pt idx="89">
                  <c:v>42537</c:v>
                </c:pt>
                <c:pt idx="90">
                  <c:v>42538</c:v>
                </c:pt>
                <c:pt idx="91">
                  <c:v>42541</c:v>
                </c:pt>
                <c:pt idx="92">
                  <c:v>42542</c:v>
                </c:pt>
                <c:pt idx="93">
                  <c:v>42543</c:v>
                </c:pt>
                <c:pt idx="94">
                  <c:v>42544</c:v>
                </c:pt>
                <c:pt idx="95">
                  <c:v>42545</c:v>
                </c:pt>
                <c:pt idx="96">
                  <c:v>42548</c:v>
                </c:pt>
                <c:pt idx="97">
                  <c:v>42549</c:v>
                </c:pt>
                <c:pt idx="98">
                  <c:v>42550</c:v>
                </c:pt>
                <c:pt idx="99">
                  <c:v>42551</c:v>
                </c:pt>
                <c:pt idx="100">
                  <c:v>42552</c:v>
                </c:pt>
                <c:pt idx="101">
                  <c:v>42555</c:v>
                </c:pt>
                <c:pt idx="102">
                  <c:v>42556</c:v>
                </c:pt>
                <c:pt idx="103">
                  <c:v>42557</c:v>
                </c:pt>
                <c:pt idx="104">
                  <c:v>42558</c:v>
                </c:pt>
                <c:pt idx="105">
                  <c:v>42559</c:v>
                </c:pt>
                <c:pt idx="106">
                  <c:v>42562</c:v>
                </c:pt>
                <c:pt idx="107">
                  <c:v>42563</c:v>
                </c:pt>
                <c:pt idx="108">
                  <c:v>42564</c:v>
                </c:pt>
                <c:pt idx="109">
                  <c:v>42565</c:v>
                </c:pt>
                <c:pt idx="110">
                  <c:v>42566</c:v>
                </c:pt>
                <c:pt idx="111">
                  <c:v>42569</c:v>
                </c:pt>
                <c:pt idx="112">
                  <c:v>42570</c:v>
                </c:pt>
                <c:pt idx="113">
                  <c:v>42571</c:v>
                </c:pt>
                <c:pt idx="114">
                  <c:v>42572</c:v>
                </c:pt>
                <c:pt idx="115">
                  <c:v>42573</c:v>
                </c:pt>
                <c:pt idx="116">
                  <c:v>42576</c:v>
                </c:pt>
                <c:pt idx="117">
                  <c:v>42577</c:v>
                </c:pt>
                <c:pt idx="118">
                  <c:v>42578</c:v>
                </c:pt>
                <c:pt idx="119">
                  <c:v>42579</c:v>
                </c:pt>
                <c:pt idx="120">
                  <c:v>42580</c:v>
                </c:pt>
                <c:pt idx="121">
                  <c:v>42583</c:v>
                </c:pt>
                <c:pt idx="122">
                  <c:v>42584</c:v>
                </c:pt>
                <c:pt idx="123">
                  <c:v>42585</c:v>
                </c:pt>
                <c:pt idx="124">
                  <c:v>42586</c:v>
                </c:pt>
                <c:pt idx="125">
                  <c:v>42587</c:v>
                </c:pt>
                <c:pt idx="126">
                  <c:v>42590</c:v>
                </c:pt>
                <c:pt idx="127">
                  <c:v>42591</c:v>
                </c:pt>
                <c:pt idx="128">
                  <c:v>42592</c:v>
                </c:pt>
                <c:pt idx="129">
                  <c:v>42593</c:v>
                </c:pt>
                <c:pt idx="130">
                  <c:v>42594</c:v>
                </c:pt>
                <c:pt idx="131">
                  <c:v>42597</c:v>
                </c:pt>
                <c:pt idx="132">
                  <c:v>42598</c:v>
                </c:pt>
                <c:pt idx="133">
                  <c:v>42599</c:v>
                </c:pt>
                <c:pt idx="134">
                  <c:v>42600</c:v>
                </c:pt>
                <c:pt idx="135">
                  <c:v>42601</c:v>
                </c:pt>
                <c:pt idx="136">
                  <c:v>42604</c:v>
                </c:pt>
                <c:pt idx="137">
                  <c:v>42605</c:v>
                </c:pt>
                <c:pt idx="138">
                  <c:v>42606</c:v>
                </c:pt>
                <c:pt idx="139">
                  <c:v>42607</c:v>
                </c:pt>
                <c:pt idx="140">
                  <c:v>42608</c:v>
                </c:pt>
                <c:pt idx="141">
                  <c:v>42612</c:v>
                </c:pt>
                <c:pt idx="142">
                  <c:v>42613</c:v>
                </c:pt>
                <c:pt idx="143">
                  <c:v>42614</c:v>
                </c:pt>
                <c:pt idx="144">
                  <c:v>42615</c:v>
                </c:pt>
                <c:pt idx="145">
                  <c:v>42618</c:v>
                </c:pt>
                <c:pt idx="146">
                  <c:v>42619</c:v>
                </c:pt>
                <c:pt idx="147">
                  <c:v>42620</c:v>
                </c:pt>
                <c:pt idx="148">
                  <c:v>42621</c:v>
                </c:pt>
                <c:pt idx="149">
                  <c:v>42622</c:v>
                </c:pt>
                <c:pt idx="150">
                  <c:v>42625</c:v>
                </c:pt>
                <c:pt idx="151">
                  <c:v>42626</c:v>
                </c:pt>
                <c:pt idx="152">
                  <c:v>42627</c:v>
                </c:pt>
                <c:pt idx="153">
                  <c:v>42628</c:v>
                </c:pt>
                <c:pt idx="154">
                  <c:v>42629</c:v>
                </c:pt>
                <c:pt idx="155">
                  <c:v>42632</c:v>
                </c:pt>
                <c:pt idx="156">
                  <c:v>42633</c:v>
                </c:pt>
                <c:pt idx="157">
                  <c:v>42634</c:v>
                </c:pt>
                <c:pt idx="158">
                  <c:v>42635</c:v>
                </c:pt>
                <c:pt idx="159">
                  <c:v>42636</c:v>
                </c:pt>
                <c:pt idx="160">
                  <c:v>42639</c:v>
                </c:pt>
                <c:pt idx="161">
                  <c:v>42640</c:v>
                </c:pt>
                <c:pt idx="162">
                  <c:v>42641</c:v>
                </c:pt>
                <c:pt idx="163">
                  <c:v>42642</c:v>
                </c:pt>
                <c:pt idx="164">
                  <c:v>42643</c:v>
                </c:pt>
                <c:pt idx="165">
                  <c:v>42646</c:v>
                </c:pt>
                <c:pt idx="166">
                  <c:v>42647</c:v>
                </c:pt>
                <c:pt idx="167">
                  <c:v>42648</c:v>
                </c:pt>
                <c:pt idx="168">
                  <c:v>42649</c:v>
                </c:pt>
                <c:pt idx="169">
                  <c:v>42650</c:v>
                </c:pt>
                <c:pt idx="170">
                  <c:v>42653</c:v>
                </c:pt>
                <c:pt idx="171">
                  <c:v>42654</c:v>
                </c:pt>
                <c:pt idx="172">
                  <c:v>42655</c:v>
                </c:pt>
                <c:pt idx="173">
                  <c:v>42656</c:v>
                </c:pt>
                <c:pt idx="174">
                  <c:v>42657</c:v>
                </c:pt>
                <c:pt idx="175">
                  <c:v>42660</c:v>
                </c:pt>
                <c:pt idx="176">
                  <c:v>42661</c:v>
                </c:pt>
                <c:pt idx="177">
                  <c:v>42662</c:v>
                </c:pt>
                <c:pt idx="178">
                  <c:v>42663</c:v>
                </c:pt>
                <c:pt idx="179">
                  <c:v>42664</c:v>
                </c:pt>
                <c:pt idx="180">
                  <c:v>42667</c:v>
                </c:pt>
                <c:pt idx="181">
                  <c:v>42668</c:v>
                </c:pt>
                <c:pt idx="182">
                  <c:v>42669</c:v>
                </c:pt>
                <c:pt idx="183">
                  <c:v>42670</c:v>
                </c:pt>
                <c:pt idx="184">
                  <c:v>42671</c:v>
                </c:pt>
                <c:pt idx="185">
                  <c:v>42674</c:v>
                </c:pt>
              </c:numCache>
            </c:numRef>
          </c:cat>
          <c:val>
            <c:numRef>
              <c:f>'CFD Data'!$C$2:$C$187</c:f>
              <c:numCache>
                <c:formatCode>General</c:formatCode>
                <c:ptCount val="18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77</c:v>
                </c:pt>
                <c:pt idx="80">
                  <c:v>77</c:v>
                </c:pt>
                <c:pt idx="81">
                  <c:v>77</c:v>
                </c:pt>
                <c:pt idx="82">
                  <c:v>77</c:v>
                </c:pt>
                <c:pt idx="83">
                  <c:v>77</c:v>
                </c:pt>
                <c:pt idx="84">
                  <c:v>77</c:v>
                </c:pt>
                <c:pt idx="85">
                  <c:v>77</c:v>
                </c:pt>
                <c:pt idx="86">
                  <c:v>77</c:v>
                </c:pt>
                <c:pt idx="87">
                  <c:v>77</c:v>
                </c:pt>
                <c:pt idx="88">
                  <c:v>77</c:v>
                </c:pt>
                <c:pt idx="89">
                  <c:v>77</c:v>
                </c:pt>
                <c:pt idx="90">
                  <c:v>77</c:v>
                </c:pt>
                <c:pt idx="91">
                  <c:v>77</c:v>
                </c:pt>
                <c:pt idx="92">
                  <c:v>77</c:v>
                </c:pt>
                <c:pt idx="93">
                  <c:v>77</c:v>
                </c:pt>
                <c:pt idx="94">
                  <c:v>77</c:v>
                </c:pt>
                <c:pt idx="95">
                  <c:v>77</c:v>
                </c:pt>
                <c:pt idx="96">
                  <c:v>77</c:v>
                </c:pt>
                <c:pt idx="97">
                  <c:v>77</c:v>
                </c:pt>
                <c:pt idx="98">
                  <c:v>77</c:v>
                </c:pt>
                <c:pt idx="99">
                  <c:v>77</c:v>
                </c:pt>
                <c:pt idx="100">
                  <c:v>77</c:v>
                </c:pt>
                <c:pt idx="101">
                  <c:v>77</c:v>
                </c:pt>
                <c:pt idx="102">
                  <c:v>77</c:v>
                </c:pt>
                <c:pt idx="103">
                  <c:v>77</c:v>
                </c:pt>
                <c:pt idx="104">
                  <c:v>77</c:v>
                </c:pt>
                <c:pt idx="105">
                  <c:v>77</c:v>
                </c:pt>
                <c:pt idx="106">
                  <c:v>77</c:v>
                </c:pt>
                <c:pt idx="107">
                  <c:v>77</c:v>
                </c:pt>
                <c:pt idx="108">
                  <c:v>77</c:v>
                </c:pt>
                <c:pt idx="109">
                  <c:v>77</c:v>
                </c:pt>
                <c:pt idx="110">
                  <c:v>77</c:v>
                </c:pt>
                <c:pt idx="111">
                  <c:v>77</c:v>
                </c:pt>
                <c:pt idx="112">
                  <c:v>77</c:v>
                </c:pt>
                <c:pt idx="113">
                  <c:v>77</c:v>
                </c:pt>
                <c:pt idx="114">
                  <c:v>77</c:v>
                </c:pt>
                <c:pt idx="115">
                  <c:v>77</c:v>
                </c:pt>
                <c:pt idx="116">
                  <c:v>77</c:v>
                </c:pt>
                <c:pt idx="117">
                  <c:v>77</c:v>
                </c:pt>
                <c:pt idx="118">
                  <c:v>77</c:v>
                </c:pt>
                <c:pt idx="119">
                  <c:v>77</c:v>
                </c:pt>
                <c:pt idx="120">
                  <c:v>77</c:v>
                </c:pt>
                <c:pt idx="121">
                  <c:v>77</c:v>
                </c:pt>
                <c:pt idx="122">
                  <c:v>77</c:v>
                </c:pt>
                <c:pt idx="123">
                  <c:v>77</c:v>
                </c:pt>
                <c:pt idx="124">
                  <c:v>77</c:v>
                </c:pt>
                <c:pt idx="125">
                  <c:v>77</c:v>
                </c:pt>
                <c:pt idx="126">
                  <c:v>77</c:v>
                </c:pt>
                <c:pt idx="127">
                  <c:v>77</c:v>
                </c:pt>
                <c:pt idx="128">
                  <c:v>77</c:v>
                </c:pt>
                <c:pt idx="129">
                  <c:v>77</c:v>
                </c:pt>
                <c:pt idx="130">
                  <c:v>77</c:v>
                </c:pt>
                <c:pt idx="131">
                  <c:v>77</c:v>
                </c:pt>
                <c:pt idx="132">
                  <c:v>77</c:v>
                </c:pt>
                <c:pt idx="133">
                  <c:v>77</c:v>
                </c:pt>
                <c:pt idx="134">
                  <c:v>77</c:v>
                </c:pt>
                <c:pt idx="135">
                  <c:v>77</c:v>
                </c:pt>
                <c:pt idx="136">
                  <c:v>77</c:v>
                </c:pt>
                <c:pt idx="137">
                  <c:v>77</c:v>
                </c:pt>
                <c:pt idx="138">
                  <c:v>77</c:v>
                </c:pt>
                <c:pt idx="139">
                  <c:v>77</c:v>
                </c:pt>
                <c:pt idx="140">
                  <c:v>77</c:v>
                </c:pt>
                <c:pt idx="141">
                  <c:v>77</c:v>
                </c:pt>
                <c:pt idx="142">
                  <c:v>77</c:v>
                </c:pt>
                <c:pt idx="143">
                  <c:v>77</c:v>
                </c:pt>
                <c:pt idx="144">
                  <c:v>77</c:v>
                </c:pt>
                <c:pt idx="145">
                  <c:v>77</c:v>
                </c:pt>
                <c:pt idx="146">
                  <c:v>77</c:v>
                </c:pt>
                <c:pt idx="147">
                  <c:v>77</c:v>
                </c:pt>
                <c:pt idx="148">
                  <c:v>77</c:v>
                </c:pt>
                <c:pt idx="149">
                  <c:v>77</c:v>
                </c:pt>
                <c:pt idx="150">
                  <c:v>77</c:v>
                </c:pt>
                <c:pt idx="151">
                  <c:v>77</c:v>
                </c:pt>
                <c:pt idx="152">
                  <c:v>77</c:v>
                </c:pt>
                <c:pt idx="153">
                  <c:v>77</c:v>
                </c:pt>
                <c:pt idx="154">
                  <c:v>77</c:v>
                </c:pt>
                <c:pt idx="155">
                  <c:v>77</c:v>
                </c:pt>
                <c:pt idx="156">
                  <c:v>77</c:v>
                </c:pt>
                <c:pt idx="157">
                  <c:v>77</c:v>
                </c:pt>
                <c:pt idx="158">
                  <c:v>77</c:v>
                </c:pt>
                <c:pt idx="159">
                  <c:v>77</c:v>
                </c:pt>
                <c:pt idx="160">
                  <c:v>77</c:v>
                </c:pt>
                <c:pt idx="161">
                  <c:v>77</c:v>
                </c:pt>
                <c:pt idx="162">
                  <c:v>77</c:v>
                </c:pt>
                <c:pt idx="163">
                  <c:v>77</c:v>
                </c:pt>
                <c:pt idx="164">
                  <c:v>77</c:v>
                </c:pt>
                <c:pt idx="165">
                  <c:v>77</c:v>
                </c:pt>
                <c:pt idx="166">
                  <c:v>77</c:v>
                </c:pt>
                <c:pt idx="167">
                  <c:v>77</c:v>
                </c:pt>
                <c:pt idx="168">
                  <c:v>77</c:v>
                </c:pt>
                <c:pt idx="169">
                  <c:v>77</c:v>
                </c:pt>
                <c:pt idx="170">
                  <c:v>77</c:v>
                </c:pt>
                <c:pt idx="171">
                  <c:v>77</c:v>
                </c:pt>
                <c:pt idx="172">
                  <c:v>77</c:v>
                </c:pt>
                <c:pt idx="173">
                  <c:v>77</c:v>
                </c:pt>
                <c:pt idx="174">
                  <c:v>77</c:v>
                </c:pt>
                <c:pt idx="175">
                  <c:v>77</c:v>
                </c:pt>
                <c:pt idx="176">
                  <c:v>77</c:v>
                </c:pt>
                <c:pt idx="177">
                  <c:v>77</c:v>
                </c:pt>
                <c:pt idx="178">
                  <c:v>77</c:v>
                </c:pt>
                <c:pt idx="179">
                  <c:v>77</c:v>
                </c:pt>
                <c:pt idx="180">
                  <c:v>77</c:v>
                </c:pt>
                <c:pt idx="181">
                  <c:v>77</c:v>
                </c:pt>
                <c:pt idx="182">
                  <c:v>77</c:v>
                </c:pt>
                <c:pt idx="183">
                  <c:v>77</c:v>
                </c:pt>
                <c:pt idx="184">
                  <c:v>77</c:v>
                </c:pt>
                <c:pt idx="18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50-4617-8F43-B5F7B1149700}"/>
            </c:ext>
          </c:extLst>
        </c:ser>
        <c:ser>
          <c:idx val="0"/>
          <c:order val="9"/>
          <c:tx>
            <c:strRef>
              <c:f>'On The Board'!$F$4</c:f>
              <c:strCache>
                <c:ptCount val="1"/>
                <c:pt idx="0">
                  <c:v>Backlog</c:v>
                </c:pt>
              </c:strCache>
            </c:strRef>
          </c:tx>
          <c:spPr>
            <a:solidFill>
              <a:schemeClr val="tx2">
                <a:lumMod val="40000"/>
                <a:lumOff val="60000"/>
                <a:alpha val="40000"/>
              </a:schemeClr>
            </a:solidFill>
          </c:spPr>
          <c:cat>
            <c:numRef>
              <c:f>'CFD Data'!$B$2:$B$187</c:f>
              <c:numCache>
                <c:formatCode>dd/mm/yyyy;@</c:formatCode>
                <c:ptCount val="186"/>
                <c:pt idx="0">
                  <c:v>42408</c:v>
                </c:pt>
                <c:pt idx="1">
                  <c:v>42409</c:v>
                </c:pt>
                <c:pt idx="2">
                  <c:v>42410</c:v>
                </c:pt>
                <c:pt idx="3">
                  <c:v>42411</c:v>
                </c:pt>
                <c:pt idx="4">
                  <c:v>42412</c:v>
                </c:pt>
                <c:pt idx="5">
                  <c:v>42415</c:v>
                </c:pt>
                <c:pt idx="6">
                  <c:v>42416</c:v>
                </c:pt>
                <c:pt idx="7">
                  <c:v>42417</c:v>
                </c:pt>
                <c:pt idx="8">
                  <c:v>42418</c:v>
                </c:pt>
                <c:pt idx="9">
                  <c:v>42419</c:v>
                </c:pt>
                <c:pt idx="10">
                  <c:v>42422</c:v>
                </c:pt>
                <c:pt idx="11">
                  <c:v>42423</c:v>
                </c:pt>
                <c:pt idx="12">
                  <c:v>42424</c:v>
                </c:pt>
                <c:pt idx="13">
                  <c:v>42425</c:v>
                </c:pt>
                <c:pt idx="14">
                  <c:v>42426</c:v>
                </c:pt>
                <c:pt idx="15">
                  <c:v>42429</c:v>
                </c:pt>
                <c:pt idx="16">
                  <c:v>42430</c:v>
                </c:pt>
                <c:pt idx="17">
                  <c:v>42431</c:v>
                </c:pt>
                <c:pt idx="18">
                  <c:v>42432</c:v>
                </c:pt>
                <c:pt idx="19">
                  <c:v>42433</c:v>
                </c:pt>
                <c:pt idx="20">
                  <c:v>42436</c:v>
                </c:pt>
                <c:pt idx="21">
                  <c:v>42437</c:v>
                </c:pt>
                <c:pt idx="22">
                  <c:v>42438</c:v>
                </c:pt>
                <c:pt idx="23">
                  <c:v>42439</c:v>
                </c:pt>
                <c:pt idx="24">
                  <c:v>42440</c:v>
                </c:pt>
                <c:pt idx="25">
                  <c:v>42443</c:v>
                </c:pt>
                <c:pt idx="26">
                  <c:v>42444</c:v>
                </c:pt>
                <c:pt idx="27">
                  <c:v>42445</c:v>
                </c:pt>
                <c:pt idx="28">
                  <c:v>42446</c:v>
                </c:pt>
                <c:pt idx="29">
                  <c:v>42447</c:v>
                </c:pt>
                <c:pt idx="30">
                  <c:v>42450</c:v>
                </c:pt>
                <c:pt idx="31">
                  <c:v>42451</c:v>
                </c:pt>
                <c:pt idx="32">
                  <c:v>42452</c:v>
                </c:pt>
                <c:pt idx="33">
                  <c:v>42453</c:v>
                </c:pt>
                <c:pt idx="34">
                  <c:v>42458</c:v>
                </c:pt>
                <c:pt idx="35">
                  <c:v>42459</c:v>
                </c:pt>
                <c:pt idx="36">
                  <c:v>42460</c:v>
                </c:pt>
                <c:pt idx="37">
                  <c:v>42461</c:v>
                </c:pt>
                <c:pt idx="38">
                  <c:v>42464</c:v>
                </c:pt>
                <c:pt idx="39">
                  <c:v>42465</c:v>
                </c:pt>
                <c:pt idx="40">
                  <c:v>42466</c:v>
                </c:pt>
                <c:pt idx="41">
                  <c:v>42467</c:v>
                </c:pt>
                <c:pt idx="42">
                  <c:v>42468</c:v>
                </c:pt>
                <c:pt idx="43">
                  <c:v>42471</c:v>
                </c:pt>
                <c:pt idx="44">
                  <c:v>42472</c:v>
                </c:pt>
                <c:pt idx="45">
                  <c:v>42473</c:v>
                </c:pt>
                <c:pt idx="46">
                  <c:v>42474</c:v>
                </c:pt>
                <c:pt idx="47">
                  <c:v>42475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42485</c:v>
                </c:pt>
                <c:pt idx="54">
                  <c:v>42486</c:v>
                </c:pt>
                <c:pt idx="55">
                  <c:v>42487</c:v>
                </c:pt>
                <c:pt idx="56">
                  <c:v>42488</c:v>
                </c:pt>
                <c:pt idx="57">
                  <c:v>42489</c:v>
                </c:pt>
                <c:pt idx="58">
                  <c:v>42493</c:v>
                </c:pt>
                <c:pt idx="59">
                  <c:v>42494</c:v>
                </c:pt>
                <c:pt idx="60">
                  <c:v>42495</c:v>
                </c:pt>
                <c:pt idx="61">
                  <c:v>42496</c:v>
                </c:pt>
                <c:pt idx="62">
                  <c:v>42499</c:v>
                </c:pt>
                <c:pt idx="63">
                  <c:v>42500</c:v>
                </c:pt>
                <c:pt idx="64">
                  <c:v>42501</c:v>
                </c:pt>
                <c:pt idx="65">
                  <c:v>42502</c:v>
                </c:pt>
                <c:pt idx="66">
                  <c:v>42503</c:v>
                </c:pt>
                <c:pt idx="67">
                  <c:v>42506</c:v>
                </c:pt>
                <c:pt idx="68">
                  <c:v>42507</c:v>
                </c:pt>
                <c:pt idx="69">
                  <c:v>42508</c:v>
                </c:pt>
                <c:pt idx="70">
                  <c:v>42509</c:v>
                </c:pt>
                <c:pt idx="71">
                  <c:v>42510</c:v>
                </c:pt>
                <c:pt idx="72">
                  <c:v>42513</c:v>
                </c:pt>
                <c:pt idx="73">
                  <c:v>42514</c:v>
                </c:pt>
                <c:pt idx="74">
                  <c:v>42515</c:v>
                </c:pt>
                <c:pt idx="75">
                  <c:v>42516</c:v>
                </c:pt>
                <c:pt idx="76">
                  <c:v>42517</c:v>
                </c:pt>
                <c:pt idx="77">
                  <c:v>42521</c:v>
                </c:pt>
                <c:pt idx="78">
                  <c:v>42522</c:v>
                </c:pt>
                <c:pt idx="79">
                  <c:v>42523</c:v>
                </c:pt>
                <c:pt idx="80">
                  <c:v>42524</c:v>
                </c:pt>
                <c:pt idx="81">
                  <c:v>42527</c:v>
                </c:pt>
                <c:pt idx="82">
                  <c:v>42528</c:v>
                </c:pt>
                <c:pt idx="83">
                  <c:v>42529</c:v>
                </c:pt>
                <c:pt idx="84">
                  <c:v>42530</c:v>
                </c:pt>
                <c:pt idx="85">
                  <c:v>42531</c:v>
                </c:pt>
                <c:pt idx="86">
                  <c:v>42534</c:v>
                </c:pt>
                <c:pt idx="87">
                  <c:v>42535</c:v>
                </c:pt>
                <c:pt idx="88">
                  <c:v>42536</c:v>
                </c:pt>
                <c:pt idx="89">
                  <c:v>42537</c:v>
                </c:pt>
                <c:pt idx="90">
                  <c:v>42538</c:v>
                </c:pt>
                <c:pt idx="91">
                  <c:v>42541</c:v>
                </c:pt>
                <c:pt idx="92">
                  <c:v>42542</c:v>
                </c:pt>
                <c:pt idx="93">
                  <c:v>42543</c:v>
                </c:pt>
                <c:pt idx="94">
                  <c:v>42544</c:v>
                </c:pt>
                <c:pt idx="95">
                  <c:v>42545</c:v>
                </c:pt>
                <c:pt idx="96">
                  <c:v>42548</c:v>
                </c:pt>
                <c:pt idx="97">
                  <c:v>42549</c:v>
                </c:pt>
                <c:pt idx="98">
                  <c:v>42550</c:v>
                </c:pt>
                <c:pt idx="99">
                  <c:v>42551</c:v>
                </c:pt>
                <c:pt idx="100">
                  <c:v>42552</c:v>
                </c:pt>
                <c:pt idx="101">
                  <c:v>42555</c:v>
                </c:pt>
                <c:pt idx="102">
                  <c:v>42556</c:v>
                </c:pt>
                <c:pt idx="103">
                  <c:v>42557</c:v>
                </c:pt>
                <c:pt idx="104">
                  <c:v>42558</c:v>
                </c:pt>
                <c:pt idx="105">
                  <c:v>42559</c:v>
                </c:pt>
                <c:pt idx="106">
                  <c:v>42562</c:v>
                </c:pt>
                <c:pt idx="107">
                  <c:v>42563</c:v>
                </c:pt>
                <c:pt idx="108">
                  <c:v>42564</c:v>
                </c:pt>
                <c:pt idx="109">
                  <c:v>42565</c:v>
                </c:pt>
                <c:pt idx="110">
                  <c:v>42566</c:v>
                </c:pt>
                <c:pt idx="111">
                  <c:v>42569</c:v>
                </c:pt>
                <c:pt idx="112">
                  <c:v>42570</c:v>
                </c:pt>
                <c:pt idx="113">
                  <c:v>42571</c:v>
                </c:pt>
                <c:pt idx="114">
                  <c:v>42572</c:v>
                </c:pt>
                <c:pt idx="115">
                  <c:v>42573</c:v>
                </c:pt>
                <c:pt idx="116">
                  <c:v>42576</c:v>
                </c:pt>
                <c:pt idx="117">
                  <c:v>42577</c:v>
                </c:pt>
                <c:pt idx="118">
                  <c:v>42578</c:v>
                </c:pt>
                <c:pt idx="119">
                  <c:v>42579</c:v>
                </c:pt>
                <c:pt idx="120">
                  <c:v>42580</c:v>
                </c:pt>
                <c:pt idx="121">
                  <c:v>42583</c:v>
                </c:pt>
                <c:pt idx="122">
                  <c:v>42584</c:v>
                </c:pt>
                <c:pt idx="123">
                  <c:v>42585</c:v>
                </c:pt>
                <c:pt idx="124">
                  <c:v>42586</c:v>
                </c:pt>
                <c:pt idx="125">
                  <c:v>42587</c:v>
                </c:pt>
                <c:pt idx="126">
                  <c:v>42590</c:v>
                </c:pt>
                <c:pt idx="127">
                  <c:v>42591</c:v>
                </c:pt>
                <c:pt idx="128">
                  <c:v>42592</c:v>
                </c:pt>
                <c:pt idx="129">
                  <c:v>42593</c:v>
                </c:pt>
                <c:pt idx="130">
                  <c:v>42594</c:v>
                </c:pt>
                <c:pt idx="131">
                  <c:v>42597</c:v>
                </c:pt>
                <c:pt idx="132">
                  <c:v>42598</c:v>
                </c:pt>
                <c:pt idx="133">
                  <c:v>42599</c:v>
                </c:pt>
                <c:pt idx="134">
                  <c:v>42600</c:v>
                </c:pt>
                <c:pt idx="135">
                  <c:v>42601</c:v>
                </c:pt>
                <c:pt idx="136">
                  <c:v>42604</c:v>
                </c:pt>
                <c:pt idx="137">
                  <c:v>42605</c:v>
                </c:pt>
                <c:pt idx="138">
                  <c:v>42606</c:v>
                </c:pt>
                <c:pt idx="139">
                  <c:v>42607</c:v>
                </c:pt>
                <c:pt idx="140">
                  <c:v>42608</c:v>
                </c:pt>
                <c:pt idx="141">
                  <c:v>42612</c:v>
                </c:pt>
                <c:pt idx="142">
                  <c:v>42613</c:v>
                </c:pt>
                <c:pt idx="143">
                  <c:v>42614</c:v>
                </c:pt>
                <c:pt idx="144">
                  <c:v>42615</c:v>
                </c:pt>
                <c:pt idx="145">
                  <c:v>42618</c:v>
                </c:pt>
                <c:pt idx="146">
                  <c:v>42619</c:v>
                </c:pt>
                <c:pt idx="147">
                  <c:v>42620</c:v>
                </c:pt>
                <c:pt idx="148">
                  <c:v>42621</c:v>
                </c:pt>
                <c:pt idx="149">
                  <c:v>42622</c:v>
                </c:pt>
                <c:pt idx="150">
                  <c:v>42625</c:v>
                </c:pt>
                <c:pt idx="151">
                  <c:v>42626</c:v>
                </c:pt>
                <c:pt idx="152">
                  <c:v>42627</c:v>
                </c:pt>
                <c:pt idx="153">
                  <c:v>42628</c:v>
                </c:pt>
                <c:pt idx="154">
                  <c:v>42629</c:v>
                </c:pt>
                <c:pt idx="155">
                  <c:v>42632</c:v>
                </c:pt>
                <c:pt idx="156">
                  <c:v>42633</c:v>
                </c:pt>
                <c:pt idx="157">
                  <c:v>42634</c:v>
                </c:pt>
                <c:pt idx="158">
                  <c:v>42635</c:v>
                </c:pt>
                <c:pt idx="159">
                  <c:v>42636</c:v>
                </c:pt>
                <c:pt idx="160">
                  <c:v>42639</c:v>
                </c:pt>
                <c:pt idx="161">
                  <c:v>42640</c:v>
                </c:pt>
                <c:pt idx="162">
                  <c:v>42641</c:v>
                </c:pt>
                <c:pt idx="163">
                  <c:v>42642</c:v>
                </c:pt>
                <c:pt idx="164">
                  <c:v>42643</c:v>
                </c:pt>
                <c:pt idx="165">
                  <c:v>42646</c:v>
                </c:pt>
                <c:pt idx="166">
                  <c:v>42647</c:v>
                </c:pt>
                <c:pt idx="167">
                  <c:v>42648</c:v>
                </c:pt>
                <c:pt idx="168">
                  <c:v>42649</c:v>
                </c:pt>
                <c:pt idx="169">
                  <c:v>42650</c:v>
                </c:pt>
                <c:pt idx="170">
                  <c:v>42653</c:v>
                </c:pt>
                <c:pt idx="171">
                  <c:v>42654</c:v>
                </c:pt>
                <c:pt idx="172">
                  <c:v>42655</c:v>
                </c:pt>
                <c:pt idx="173">
                  <c:v>42656</c:v>
                </c:pt>
                <c:pt idx="174">
                  <c:v>42657</c:v>
                </c:pt>
                <c:pt idx="175">
                  <c:v>42660</c:v>
                </c:pt>
                <c:pt idx="176">
                  <c:v>42661</c:v>
                </c:pt>
                <c:pt idx="177">
                  <c:v>42662</c:v>
                </c:pt>
                <c:pt idx="178">
                  <c:v>42663</c:v>
                </c:pt>
                <c:pt idx="179">
                  <c:v>42664</c:v>
                </c:pt>
                <c:pt idx="180">
                  <c:v>42667</c:v>
                </c:pt>
                <c:pt idx="181">
                  <c:v>42668</c:v>
                </c:pt>
                <c:pt idx="182">
                  <c:v>42669</c:v>
                </c:pt>
                <c:pt idx="183">
                  <c:v>42670</c:v>
                </c:pt>
                <c:pt idx="184">
                  <c:v>42671</c:v>
                </c:pt>
                <c:pt idx="185">
                  <c:v>42674</c:v>
                </c:pt>
              </c:numCache>
            </c:numRef>
          </c:cat>
          <c:val>
            <c:numRef>
              <c:f>'CFD Data'!$F$2:$F$187</c:f>
              <c:numCache>
                <c:formatCode>General</c:formatCode>
                <c:ptCount val="186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1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56</c:v>
                </c:pt>
                <c:pt idx="23">
                  <c:v>59</c:v>
                </c:pt>
                <c:pt idx="24">
                  <c:v>59</c:v>
                </c:pt>
                <c:pt idx="25">
                  <c:v>58</c:v>
                </c:pt>
                <c:pt idx="26">
                  <c:v>57</c:v>
                </c:pt>
                <c:pt idx="27">
                  <c:v>56</c:v>
                </c:pt>
                <c:pt idx="28">
                  <c:v>56</c:v>
                </c:pt>
                <c:pt idx="29">
                  <c:v>56</c:v>
                </c:pt>
                <c:pt idx="30">
                  <c:v>56</c:v>
                </c:pt>
                <c:pt idx="31">
                  <c:v>58</c:v>
                </c:pt>
                <c:pt idx="32">
                  <c:v>54</c:v>
                </c:pt>
                <c:pt idx="33">
                  <c:v>53</c:v>
                </c:pt>
                <c:pt idx="34">
                  <c:v>52</c:v>
                </c:pt>
                <c:pt idx="35">
                  <c:v>51</c:v>
                </c:pt>
                <c:pt idx="36">
                  <c:v>51</c:v>
                </c:pt>
                <c:pt idx="37">
                  <c:v>51</c:v>
                </c:pt>
                <c:pt idx="38">
                  <c:v>51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49</c:v>
                </c:pt>
                <c:pt idx="43">
                  <c:v>48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44</c:v>
                </c:pt>
                <c:pt idx="51">
                  <c:v>45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</c:v>
                </c:pt>
                <c:pt idx="60">
                  <c:v>44</c:v>
                </c:pt>
                <c:pt idx="61">
                  <c:v>44</c:v>
                </c:pt>
                <c:pt idx="62">
                  <c:v>49</c:v>
                </c:pt>
                <c:pt idx="63">
                  <c:v>48</c:v>
                </c:pt>
                <c:pt idx="64">
                  <c:v>47</c:v>
                </c:pt>
                <c:pt idx="65">
                  <c:v>47</c:v>
                </c:pt>
                <c:pt idx="66">
                  <c:v>48</c:v>
                </c:pt>
                <c:pt idx="67">
                  <c:v>47</c:v>
                </c:pt>
                <c:pt idx="68">
                  <c:v>47</c:v>
                </c:pt>
                <c:pt idx="69">
                  <c:v>47</c:v>
                </c:pt>
                <c:pt idx="70">
                  <c:v>47</c:v>
                </c:pt>
                <c:pt idx="71">
                  <c:v>48</c:v>
                </c:pt>
                <c:pt idx="72">
                  <c:v>48</c:v>
                </c:pt>
                <c:pt idx="73">
                  <c:v>47</c:v>
                </c:pt>
                <c:pt idx="74">
                  <c:v>48</c:v>
                </c:pt>
                <c:pt idx="75">
                  <c:v>47</c:v>
                </c:pt>
                <c:pt idx="76">
                  <c:v>47</c:v>
                </c:pt>
                <c:pt idx="77">
                  <c:v>47</c:v>
                </c:pt>
                <c:pt idx="78">
                  <c:v>47</c:v>
                </c:pt>
                <c:pt idx="79">
                  <c:v>47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47</c:v>
                </c:pt>
                <c:pt idx="87">
                  <c:v>47</c:v>
                </c:pt>
                <c:pt idx="88">
                  <c:v>47</c:v>
                </c:pt>
                <c:pt idx="89">
                  <c:v>47</c:v>
                </c:pt>
                <c:pt idx="90">
                  <c:v>47</c:v>
                </c:pt>
                <c:pt idx="91">
                  <c:v>47</c:v>
                </c:pt>
                <c:pt idx="92">
                  <c:v>47</c:v>
                </c:pt>
                <c:pt idx="93">
                  <c:v>47</c:v>
                </c:pt>
                <c:pt idx="94">
                  <c:v>47</c:v>
                </c:pt>
                <c:pt idx="95">
                  <c:v>47</c:v>
                </c:pt>
                <c:pt idx="96">
                  <c:v>47</c:v>
                </c:pt>
                <c:pt idx="97">
                  <c:v>47</c:v>
                </c:pt>
                <c:pt idx="98">
                  <c:v>47</c:v>
                </c:pt>
                <c:pt idx="99">
                  <c:v>47</c:v>
                </c:pt>
                <c:pt idx="100">
                  <c:v>47</c:v>
                </c:pt>
                <c:pt idx="101">
                  <c:v>47</c:v>
                </c:pt>
                <c:pt idx="102">
                  <c:v>47</c:v>
                </c:pt>
                <c:pt idx="103">
                  <c:v>47</c:v>
                </c:pt>
                <c:pt idx="104">
                  <c:v>47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47</c:v>
                </c:pt>
                <c:pt idx="111">
                  <c:v>47</c:v>
                </c:pt>
                <c:pt idx="112">
                  <c:v>47</c:v>
                </c:pt>
                <c:pt idx="113">
                  <c:v>47</c:v>
                </c:pt>
                <c:pt idx="114">
                  <c:v>47</c:v>
                </c:pt>
                <c:pt idx="115">
                  <c:v>47</c:v>
                </c:pt>
                <c:pt idx="116">
                  <c:v>47</c:v>
                </c:pt>
                <c:pt idx="117">
                  <c:v>47</c:v>
                </c:pt>
                <c:pt idx="118">
                  <c:v>47</c:v>
                </c:pt>
                <c:pt idx="119">
                  <c:v>47</c:v>
                </c:pt>
                <c:pt idx="120">
                  <c:v>47</c:v>
                </c:pt>
                <c:pt idx="121">
                  <c:v>47</c:v>
                </c:pt>
                <c:pt idx="122">
                  <c:v>47</c:v>
                </c:pt>
                <c:pt idx="123">
                  <c:v>47</c:v>
                </c:pt>
                <c:pt idx="124">
                  <c:v>47</c:v>
                </c:pt>
                <c:pt idx="125">
                  <c:v>47</c:v>
                </c:pt>
                <c:pt idx="126">
                  <c:v>47</c:v>
                </c:pt>
                <c:pt idx="127">
                  <c:v>47</c:v>
                </c:pt>
                <c:pt idx="128">
                  <c:v>47</c:v>
                </c:pt>
                <c:pt idx="129">
                  <c:v>47</c:v>
                </c:pt>
                <c:pt idx="130">
                  <c:v>47</c:v>
                </c:pt>
                <c:pt idx="131">
                  <c:v>47</c:v>
                </c:pt>
                <c:pt idx="132">
                  <c:v>47</c:v>
                </c:pt>
                <c:pt idx="133">
                  <c:v>47</c:v>
                </c:pt>
                <c:pt idx="134">
                  <c:v>47</c:v>
                </c:pt>
                <c:pt idx="135">
                  <c:v>47</c:v>
                </c:pt>
                <c:pt idx="136">
                  <c:v>47</c:v>
                </c:pt>
                <c:pt idx="137">
                  <c:v>47</c:v>
                </c:pt>
                <c:pt idx="138">
                  <c:v>47</c:v>
                </c:pt>
                <c:pt idx="139">
                  <c:v>47</c:v>
                </c:pt>
                <c:pt idx="140">
                  <c:v>47</c:v>
                </c:pt>
                <c:pt idx="141">
                  <c:v>47</c:v>
                </c:pt>
                <c:pt idx="142">
                  <c:v>47</c:v>
                </c:pt>
                <c:pt idx="143">
                  <c:v>47</c:v>
                </c:pt>
                <c:pt idx="144">
                  <c:v>47</c:v>
                </c:pt>
                <c:pt idx="145">
                  <c:v>47</c:v>
                </c:pt>
                <c:pt idx="146">
                  <c:v>47</c:v>
                </c:pt>
                <c:pt idx="147">
                  <c:v>47</c:v>
                </c:pt>
                <c:pt idx="148">
                  <c:v>47</c:v>
                </c:pt>
                <c:pt idx="149">
                  <c:v>47</c:v>
                </c:pt>
                <c:pt idx="150">
                  <c:v>47</c:v>
                </c:pt>
                <c:pt idx="151">
                  <c:v>47</c:v>
                </c:pt>
                <c:pt idx="152">
                  <c:v>47</c:v>
                </c:pt>
                <c:pt idx="153">
                  <c:v>47</c:v>
                </c:pt>
                <c:pt idx="154">
                  <c:v>47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47</c:v>
                </c:pt>
                <c:pt idx="161">
                  <c:v>47</c:v>
                </c:pt>
                <c:pt idx="162">
                  <c:v>47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47</c:v>
                </c:pt>
                <c:pt idx="183">
                  <c:v>47</c:v>
                </c:pt>
                <c:pt idx="184">
                  <c:v>47</c:v>
                </c:pt>
                <c:pt idx="185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50-4617-8F43-B5F7B1149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638992"/>
        <c:axId val="1795200496"/>
      </c:areaChart>
      <c:barChart>
        <c:barDir val="col"/>
        <c:grouping val="clustered"/>
        <c:varyColors val="0"/>
        <c:ser>
          <c:idx val="12"/>
          <c:order val="12"/>
          <c:tx>
            <c:strRef>
              <c:f>'CFD Data'!$AB$1</c:f>
              <c:strCache>
                <c:ptCount val="1"/>
                <c:pt idx="0">
                  <c:v>Deadline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Pt>
            <c:idx val="9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6750-4617-8F43-B5F7B1149700}"/>
              </c:ext>
            </c:extLst>
          </c:dPt>
          <c:cat>
            <c:numRef>
              <c:f>'CFD Data'!$B$2:$B$187</c:f>
              <c:numCache>
                <c:formatCode>dd/mm/yyyy;@</c:formatCode>
                <c:ptCount val="186"/>
                <c:pt idx="0">
                  <c:v>42408</c:v>
                </c:pt>
                <c:pt idx="1">
                  <c:v>42409</c:v>
                </c:pt>
                <c:pt idx="2">
                  <c:v>42410</c:v>
                </c:pt>
                <c:pt idx="3">
                  <c:v>42411</c:v>
                </c:pt>
                <c:pt idx="4">
                  <c:v>42412</c:v>
                </c:pt>
                <c:pt idx="5">
                  <c:v>42415</c:v>
                </c:pt>
                <c:pt idx="6">
                  <c:v>42416</c:v>
                </c:pt>
                <c:pt idx="7">
                  <c:v>42417</c:v>
                </c:pt>
                <c:pt idx="8">
                  <c:v>42418</c:v>
                </c:pt>
                <c:pt idx="9">
                  <c:v>42419</c:v>
                </c:pt>
                <c:pt idx="10">
                  <c:v>42422</c:v>
                </c:pt>
                <c:pt idx="11">
                  <c:v>42423</c:v>
                </c:pt>
                <c:pt idx="12">
                  <c:v>42424</c:v>
                </c:pt>
                <c:pt idx="13">
                  <c:v>42425</c:v>
                </c:pt>
                <c:pt idx="14">
                  <c:v>42426</c:v>
                </c:pt>
                <c:pt idx="15">
                  <c:v>42429</c:v>
                </c:pt>
                <c:pt idx="16">
                  <c:v>42430</c:v>
                </c:pt>
                <c:pt idx="17">
                  <c:v>42431</c:v>
                </c:pt>
                <c:pt idx="18">
                  <c:v>42432</c:v>
                </c:pt>
                <c:pt idx="19">
                  <c:v>42433</c:v>
                </c:pt>
                <c:pt idx="20">
                  <c:v>42436</c:v>
                </c:pt>
                <c:pt idx="21">
                  <c:v>42437</c:v>
                </c:pt>
                <c:pt idx="22">
                  <c:v>42438</c:v>
                </c:pt>
                <c:pt idx="23">
                  <c:v>42439</c:v>
                </c:pt>
                <c:pt idx="24">
                  <c:v>42440</c:v>
                </c:pt>
                <c:pt idx="25">
                  <c:v>42443</c:v>
                </c:pt>
                <c:pt idx="26">
                  <c:v>42444</c:v>
                </c:pt>
                <c:pt idx="27">
                  <c:v>42445</c:v>
                </c:pt>
                <c:pt idx="28">
                  <c:v>42446</c:v>
                </c:pt>
                <c:pt idx="29">
                  <c:v>42447</c:v>
                </c:pt>
                <c:pt idx="30">
                  <c:v>42450</c:v>
                </c:pt>
                <c:pt idx="31">
                  <c:v>42451</c:v>
                </c:pt>
                <c:pt idx="32">
                  <c:v>42452</c:v>
                </c:pt>
                <c:pt idx="33">
                  <c:v>42453</c:v>
                </c:pt>
                <c:pt idx="34">
                  <c:v>42458</c:v>
                </c:pt>
                <c:pt idx="35">
                  <c:v>42459</c:v>
                </c:pt>
                <c:pt idx="36">
                  <c:v>42460</c:v>
                </c:pt>
                <c:pt idx="37">
                  <c:v>42461</c:v>
                </c:pt>
                <c:pt idx="38">
                  <c:v>42464</c:v>
                </c:pt>
                <c:pt idx="39">
                  <c:v>42465</c:v>
                </c:pt>
                <c:pt idx="40">
                  <c:v>42466</c:v>
                </c:pt>
                <c:pt idx="41">
                  <c:v>42467</c:v>
                </c:pt>
                <c:pt idx="42">
                  <c:v>42468</c:v>
                </c:pt>
                <c:pt idx="43">
                  <c:v>42471</c:v>
                </c:pt>
                <c:pt idx="44">
                  <c:v>42472</c:v>
                </c:pt>
                <c:pt idx="45">
                  <c:v>42473</c:v>
                </c:pt>
                <c:pt idx="46">
                  <c:v>42474</c:v>
                </c:pt>
                <c:pt idx="47">
                  <c:v>42475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42485</c:v>
                </c:pt>
                <c:pt idx="54">
                  <c:v>42486</c:v>
                </c:pt>
                <c:pt idx="55">
                  <c:v>42487</c:v>
                </c:pt>
                <c:pt idx="56">
                  <c:v>42488</c:v>
                </c:pt>
                <c:pt idx="57">
                  <c:v>42489</c:v>
                </c:pt>
                <c:pt idx="58">
                  <c:v>42493</c:v>
                </c:pt>
                <c:pt idx="59">
                  <c:v>42494</c:v>
                </c:pt>
                <c:pt idx="60">
                  <c:v>42495</c:v>
                </c:pt>
                <c:pt idx="61">
                  <c:v>42496</c:v>
                </c:pt>
                <c:pt idx="62">
                  <c:v>42499</c:v>
                </c:pt>
                <c:pt idx="63">
                  <c:v>42500</c:v>
                </c:pt>
                <c:pt idx="64">
                  <c:v>42501</c:v>
                </c:pt>
                <c:pt idx="65">
                  <c:v>42502</c:v>
                </c:pt>
                <c:pt idx="66">
                  <c:v>42503</c:v>
                </c:pt>
                <c:pt idx="67">
                  <c:v>42506</c:v>
                </c:pt>
                <c:pt idx="68">
                  <c:v>42507</c:v>
                </c:pt>
                <c:pt idx="69">
                  <c:v>42508</c:v>
                </c:pt>
                <c:pt idx="70">
                  <c:v>42509</c:v>
                </c:pt>
                <c:pt idx="71">
                  <c:v>42510</c:v>
                </c:pt>
                <c:pt idx="72">
                  <c:v>42513</c:v>
                </c:pt>
                <c:pt idx="73">
                  <c:v>42514</c:v>
                </c:pt>
                <c:pt idx="74">
                  <c:v>42515</c:v>
                </c:pt>
                <c:pt idx="75">
                  <c:v>42516</c:v>
                </c:pt>
                <c:pt idx="76">
                  <c:v>42517</c:v>
                </c:pt>
                <c:pt idx="77">
                  <c:v>42521</c:v>
                </c:pt>
                <c:pt idx="78">
                  <c:v>42522</c:v>
                </c:pt>
                <c:pt idx="79">
                  <c:v>42523</c:v>
                </c:pt>
                <c:pt idx="80">
                  <c:v>42524</c:v>
                </c:pt>
                <c:pt idx="81">
                  <c:v>42527</c:v>
                </c:pt>
                <c:pt idx="82">
                  <c:v>42528</c:v>
                </c:pt>
                <c:pt idx="83">
                  <c:v>42529</c:v>
                </c:pt>
                <c:pt idx="84">
                  <c:v>42530</c:v>
                </c:pt>
                <c:pt idx="85">
                  <c:v>42531</c:v>
                </c:pt>
                <c:pt idx="86">
                  <c:v>42534</c:v>
                </c:pt>
                <c:pt idx="87">
                  <c:v>42535</c:v>
                </c:pt>
                <c:pt idx="88">
                  <c:v>42536</c:v>
                </c:pt>
                <c:pt idx="89">
                  <c:v>42537</c:v>
                </c:pt>
                <c:pt idx="90">
                  <c:v>42538</c:v>
                </c:pt>
                <c:pt idx="91">
                  <c:v>42541</c:v>
                </c:pt>
                <c:pt idx="92">
                  <c:v>42542</c:v>
                </c:pt>
                <c:pt idx="93">
                  <c:v>42543</c:v>
                </c:pt>
                <c:pt idx="94">
                  <c:v>42544</c:v>
                </c:pt>
                <c:pt idx="95">
                  <c:v>42545</c:v>
                </c:pt>
                <c:pt idx="96">
                  <c:v>42548</c:v>
                </c:pt>
                <c:pt idx="97">
                  <c:v>42549</c:v>
                </c:pt>
                <c:pt idx="98">
                  <c:v>42550</c:v>
                </c:pt>
                <c:pt idx="99">
                  <c:v>42551</c:v>
                </c:pt>
                <c:pt idx="100">
                  <c:v>42552</c:v>
                </c:pt>
                <c:pt idx="101">
                  <c:v>42555</c:v>
                </c:pt>
                <c:pt idx="102">
                  <c:v>42556</c:v>
                </c:pt>
                <c:pt idx="103">
                  <c:v>42557</c:v>
                </c:pt>
                <c:pt idx="104">
                  <c:v>42558</c:v>
                </c:pt>
                <c:pt idx="105">
                  <c:v>42559</c:v>
                </c:pt>
                <c:pt idx="106">
                  <c:v>42562</c:v>
                </c:pt>
                <c:pt idx="107">
                  <c:v>42563</c:v>
                </c:pt>
                <c:pt idx="108">
                  <c:v>42564</c:v>
                </c:pt>
                <c:pt idx="109">
                  <c:v>42565</c:v>
                </c:pt>
                <c:pt idx="110">
                  <c:v>42566</c:v>
                </c:pt>
                <c:pt idx="111">
                  <c:v>42569</c:v>
                </c:pt>
                <c:pt idx="112">
                  <c:v>42570</c:v>
                </c:pt>
                <c:pt idx="113">
                  <c:v>42571</c:v>
                </c:pt>
                <c:pt idx="114">
                  <c:v>42572</c:v>
                </c:pt>
                <c:pt idx="115">
                  <c:v>42573</c:v>
                </c:pt>
                <c:pt idx="116">
                  <c:v>42576</c:v>
                </c:pt>
                <c:pt idx="117">
                  <c:v>42577</c:v>
                </c:pt>
                <c:pt idx="118">
                  <c:v>42578</c:v>
                </c:pt>
                <c:pt idx="119">
                  <c:v>42579</c:v>
                </c:pt>
                <c:pt idx="120">
                  <c:v>42580</c:v>
                </c:pt>
                <c:pt idx="121">
                  <c:v>42583</c:v>
                </c:pt>
                <c:pt idx="122">
                  <c:v>42584</c:v>
                </c:pt>
                <c:pt idx="123">
                  <c:v>42585</c:v>
                </c:pt>
                <c:pt idx="124">
                  <c:v>42586</c:v>
                </c:pt>
                <c:pt idx="125">
                  <c:v>42587</c:v>
                </c:pt>
                <c:pt idx="126">
                  <c:v>42590</c:v>
                </c:pt>
                <c:pt idx="127">
                  <c:v>42591</c:v>
                </c:pt>
                <c:pt idx="128">
                  <c:v>42592</c:v>
                </c:pt>
                <c:pt idx="129">
                  <c:v>42593</c:v>
                </c:pt>
                <c:pt idx="130">
                  <c:v>42594</c:v>
                </c:pt>
                <c:pt idx="131">
                  <c:v>42597</c:v>
                </c:pt>
                <c:pt idx="132">
                  <c:v>42598</c:v>
                </c:pt>
                <c:pt idx="133">
                  <c:v>42599</c:v>
                </c:pt>
                <c:pt idx="134">
                  <c:v>42600</c:v>
                </c:pt>
                <c:pt idx="135">
                  <c:v>42601</c:v>
                </c:pt>
                <c:pt idx="136">
                  <c:v>42604</c:v>
                </c:pt>
                <c:pt idx="137">
                  <c:v>42605</c:v>
                </c:pt>
                <c:pt idx="138">
                  <c:v>42606</c:v>
                </c:pt>
                <c:pt idx="139">
                  <c:v>42607</c:v>
                </c:pt>
                <c:pt idx="140">
                  <c:v>42608</c:v>
                </c:pt>
                <c:pt idx="141">
                  <c:v>42612</c:v>
                </c:pt>
                <c:pt idx="142">
                  <c:v>42613</c:v>
                </c:pt>
                <c:pt idx="143">
                  <c:v>42614</c:v>
                </c:pt>
                <c:pt idx="144">
                  <c:v>42615</c:v>
                </c:pt>
                <c:pt idx="145">
                  <c:v>42618</c:v>
                </c:pt>
                <c:pt idx="146">
                  <c:v>42619</c:v>
                </c:pt>
                <c:pt idx="147">
                  <c:v>42620</c:v>
                </c:pt>
                <c:pt idx="148">
                  <c:v>42621</c:v>
                </c:pt>
                <c:pt idx="149">
                  <c:v>42622</c:v>
                </c:pt>
                <c:pt idx="150">
                  <c:v>42625</c:v>
                </c:pt>
                <c:pt idx="151">
                  <c:v>42626</c:v>
                </c:pt>
                <c:pt idx="152">
                  <c:v>42627</c:v>
                </c:pt>
                <c:pt idx="153">
                  <c:v>42628</c:v>
                </c:pt>
                <c:pt idx="154">
                  <c:v>42629</c:v>
                </c:pt>
                <c:pt idx="155">
                  <c:v>42632</c:v>
                </c:pt>
                <c:pt idx="156">
                  <c:v>42633</c:v>
                </c:pt>
                <c:pt idx="157">
                  <c:v>42634</c:v>
                </c:pt>
                <c:pt idx="158">
                  <c:v>42635</c:v>
                </c:pt>
                <c:pt idx="159">
                  <c:v>42636</c:v>
                </c:pt>
                <c:pt idx="160">
                  <c:v>42639</c:v>
                </c:pt>
                <c:pt idx="161">
                  <c:v>42640</c:v>
                </c:pt>
                <c:pt idx="162">
                  <c:v>42641</c:v>
                </c:pt>
                <c:pt idx="163">
                  <c:v>42642</c:v>
                </c:pt>
                <c:pt idx="164">
                  <c:v>42643</c:v>
                </c:pt>
                <c:pt idx="165">
                  <c:v>42646</c:v>
                </c:pt>
                <c:pt idx="166">
                  <c:v>42647</c:v>
                </c:pt>
                <c:pt idx="167">
                  <c:v>42648</c:v>
                </c:pt>
                <c:pt idx="168">
                  <c:v>42649</c:v>
                </c:pt>
                <c:pt idx="169">
                  <c:v>42650</c:v>
                </c:pt>
                <c:pt idx="170">
                  <c:v>42653</c:v>
                </c:pt>
                <c:pt idx="171">
                  <c:v>42654</c:v>
                </c:pt>
                <c:pt idx="172">
                  <c:v>42655</c:v>
                </c:pt>
                <c:pt idx="173">
                  <c:v>42656</c:v>
                </c:pt>
                <c:pt idx="174">
                  <c:v>42657</c:v>
                </c:pt>
                <c:pt idx="175">
                  <c:v>42660</c:v>
                </c:pt>
                <c:pt idx="176">
                  <c:v>42661</c:v>
                </c:pt>
                <c:pt idx="177">
                  <c:v>42662</c:v>
                </c:pt>
                <c:pt idx="178">
                  <c:v>42663</c:v>
                </c:pt>
                <c:pt idx="179">
                  <c:v>42664</c:v>
                </c:pt>
                <c:pt idx="180">
                  <c:v>42667</c:v>
                </c:pt>
                <c:pt idx="181">
                  <c:v>42668</c:v>
                </c:pt>
                <c:pt idx="182">
                  <c:v>42669</c:v>
                </c:pt>
                <c:pt idx="183">
                  <c:v>42670</c:v>
                </c:pt>
                <c:pt idx="184">
                  <c:v>42671</c:v>
                </c:pt>
                <c:pt idx="185">
                  <c:v>42674</c:v>
                </c:pt>
              </c:numCache>
            </c:numRef>
          </c:cat>
          <c:val>
            <c:numRef>
              <c:f>'CFD Data'!$AB$2:$AB$187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124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50-4617-8F43-B5F7B1149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5"/>
        <c:axId val="1796638992"/>
        <c:axId val="1795200496"/>
      </c:barChart>
      <c:lineChart>
        <c:grouping val="standard"/>
        <c:varyColors val="0"/>
        <c:ser>
          <c:idx val="7"/>
          <c:order val="1"/>
          <c:tx>
            <c:strRef>
              <c:f>'CFD Data'!$M$1</c:f>
              <c:strCache>
                <c:ptCount val="1"/>
                <c:pt idx="0">
                  <c:v>Worst Case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'CFD Data'!$B$2:$B$187</c:f>
              <c:numCache>
                <c:formatCode>dd/mm/yyyy;@</c:formatCode>
                <c:ptCount val="186"/>
                <c:pt idx="0">
                  <c:v>42408</c:v>
                </c:pt>
                <c:pt idx="1">
                  <c:v>42409</c:v>
                </c:pt>
                <c:pt idx="2">
                  <c:v>42410</c:v>
                </c:pt>
                <c:pt idx="3">
                  <c:v>42411</c:v>
                </c:pt>
                <c:pt idx="4">
                  <c:v>42412</c:v>
                </c:pt>
                <c:pt idx="5">
                  <c:v>42415</c:v>
                </c:pt>
                <c:pt idx="6">
                  <c:v>42416</c:v>
                </c:pt>
                <c:pt idx="7">
                  <c:v>42417</c:v>
                </c:pt>
                <c:pt idx="8">
                  <c:v>42418</c:v>
                </c:pt>
                <c:pt idx="9">
                  <c:v>42419</c:v>
                </c:pt>
                <c:pt idx="10">
                  <c:v>42422</c:v>
                </c:pt>
                <c:pt idx="11">
                  <c:v>42423</c:v>
                </c:pt>
                <c:pt idx="12">
                  <c:v>42424</c:v>
                </c:pt>
                <c:pt idx="13">
                  <c:v>42425</c:v>
                </c:pt>
                <c:pt idx="14">
                  <c:v>42426</c:v>
                </c:pt>
                <c:pt idx="15">
                  <c:v>42429</c:v>
                </c:pt>
                <c:pt idx="16">
                  <c:v>42430</c:v>
                </c:pt>
                <c:pt idx="17">
                  <c:v>42431</c:v>
                </c:pt>
                <c:pt idx="18">
                  <c:v>42432</c:v>
                </c:pt>
                <c:pt idx="19">
                  <c:v>42433</c:v>
                </c:pt>
                <c:pt idx="20">
                  <c:v>42436</c:v>
                </c:pt>
                <c:pt idx="21">
                  <c:v>42437</c:v>
                </c:pt>
                <c:pt idx="22">
                  <c:v>42438</c:v>
                </c:pt>
                <c:pt idx="23">
                  <c:v>42439</c:v>
                </c:pt>
                <c:pt idx="24">
                  <c:v>42440</c:v>
                </c:pt>
                <c:pt idx="25">
                  <c:v>42443</c:v>
                </c:pt>
                <c:pt idx="26">
                  <c:v>42444</c:v>
                </c:pt>
                <c:pt idx="27">
                  <c:v>42445</c:v>
                </c:pt>
                <c:pt idx="28">
                  <c:v>42446</c:v>
                </c:pt>
                <c:pt idx="29">
                  <c:v>42447</c:v>
                </c:pt>
                <c:pt idx="30">
                  <c:v>42450</c:v>
                </c:pt>
                <c:pt idx="31">
                  <c:v>42451</c:v>
                </c:pt>
                <c:pt idx="32">
                  <c:v>42452</c:v>
                </c:pt>
                <c:pt idx="33">
                  <c:v>42453</c:v>
                </c:pt>
                <c:pt idx="34">
                  <c:v>42458</c:v>
                </c:pt>
                <c:pt idx="35">
                  <c:v>42459</c:v>
                </c:pt>
                <c:pt idx="36">
                  <c:v>42460</c:v>
                </c:pt>
                <c:pt idx="37">
                  <c:v>42461</c:v>
                </c:pt>
                <c:pt idx="38">
                  <c:v>42464</c:v>
                </c:pt>
                <c:pt idx="39">
                  <c:v>42465</c:v>
                </c:pt>
                <c:pt idx="40">
                  <c:v>42466</c:v>
                </c:pt>
                <c:pt idx="41">
                  <c:v>42467</c:v>
                </c:pt>
                <c:pt idx="42">
                  <c:v>42468</c:v>
                </c:pt>
                <c:pt idx="43">
                  <c:v>42471</c:v>
                </c:pt>
                <c:pt idx="44">
                  <c:v>42472</c:v>
                </c:pt>
                <c:pt idx="45">
                  <c:v>42473</c:v>
                </c:pt>
                <c:pt idx="46">
                  <c:v>42474</c:v>
                </c:pt>
                <c:pt idx="47">
                  <c:v>42475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42485</c:v>
                </c:pt>
                <c:pt idx="54">
                  <c:v>42486</c:v>
                </c:pt>
                <c:pt idx="55">
                  <c:v>42487</c:v>
                </c:pt>
                <c:pt idx="56">
                  <c:v>42488</c:v>
                </c:pt>
                <c:pt idx="57">
                  <c:v>42489</c:v>
                </c:pt>
                <c:pt idx="58">
                  <c:v>42493</c:v>
                </c:pt>
                <c:pt idx="59">
                  <c:v>42494</c:v>
                </c:pt>
                <c:pt idx="60">
                  <c:v>42495</c:v>
                </c:pt>
                <c:pt idx="61">
                  <c:v>42496</c:v>
                </c:pt>
                <c:pt idx="62">
                  <c:v>42499</c:v>
                </c:pt>
                <c:pt idx="63">
                  <c:v>42500</c:v>
                </c:pt>
                <c:pt idx="64">
                  <c:v>42501</c:v>
                </c:pt>
                <c:pt idx="65">
                  <c:v>42502</c:v>
                </c:pt>
                <c:pt idx="66">
                  <c:v>42503</c:v>
                </c:pt>
                <c:pt idx="67">
                  <c:v>42506</c:v>
                </c:pt>
                <c:pt idx="68">
                  <c:v>42507</c:v>
                </c:pt>
                <c:pt idx="69">
                  <c:v>42508</c:v>
                </c:pt>
                <c:pt idx="70">
                  <c:v>42509</c:v>
                </c:pt>
                <c:pt idx="71">
                  <c:v>42510</c:v>
                </c:pt>
                <c:pt idx="72">
                  <c:v>42513</c:v>
                </c:pt>
                <c:pt idx="73">
                  <c:v>42514</c:v>
                </c:pt>
                <c:pt idx="74">
                  <c:v>42515</c:v>
                </c:pt>
                <c:pt idx="75">
                  <c:v>42516</c:v>
                </c:pt>
                <c:pt idx="76">
                  <c:v>42517</c:v>
                </c:pt>
                <c:pt idx="77">
                  <c:v>42521</c:v>
                </c:pt>
                <c:pt idx="78">
                  <c:v>42522</c:v>
                </c:pt>
                <c:pt idx="79">
                  <c:v>42523</c:v>
                </c:pt>
                <c:pt idx="80">
                  <c:v>42524</c:v>
                </c:pt>
                <c:pt idx="81">
                  <c:v>42527</c:v>
                </c:pt>
                <c:pt idx="82">
                  <c:v>42528</c:v>
                </c:pt>
                <c:pt idx="83">
                  <c:v>42529</c:v>
                </c:pt>
                <c:pt idx="84">
                  <c:v>42530</c:v>
                </c:pt>
                <c:pt idx="85">
                  <c:v>42531</c:v>
                </c:pt>
                <c:pt idx="86">
                  <c:v>42534</c:v>
                </c:pt>
                <c:pt idx="87">
                  <c:v>42535</c:v>
                </c:pt>
                <c:pt idx="88">
                  <c:v>42536</c:v>
                </c:pt>
                <c:pt idx="89">
                  <c:v>42537</c:v>
                </c:pt>
                <c:pt idx="90">
                  <c:v>42538</c:v>
                </c:pt>
                <c:pt idx="91">
                  <c:v>42541</c:v>
                </c:pt>
                <c:pt idx="92">
                  <c:v>42542</c:v>
                </c:pt>
                <c:pt idx="93">
                  <c:v>42543</c:v>
                </c:pt>
                <c:pt idx="94">
                  <c:v>42544</c:v>
                </c:pt>
                <c:pt idx="95">
                  <c:v>42545</c:v>
                </c:pt>
                <c:pt idx="96">
                  <c:v>42548</c:v>
                </c:pt>
                <c:pt idx="97">
                  <c:v>42549</c:v>
                </c:pt>
                <c:pt idx="98">
                  <c:v>42550</c:v>
                </c:pt>
                <c:pt idx="99">
                  <c:v>42551</c:v>
                </c:pt>
                <c:pt idx="100">
                  <c:v>42552</c:v>
                </c:pt>
                <c:pt idx="101">
                  <c:v>42555</c:v>
                </c:pt>
                <c:pt idx="102">
                  <c:v>42556</c:v>
                </c:pt>
                <c:pt idx="103">
                  <c:v>42557</c:v>
                </c:pt>
                <c:pt idx="104">
                  <c:v>42558</c:v>
                </c:pt>
                <c:pt idx="105">
                  <c:v>42559</c:v>
                </c:pt>
                <c:pt idx="106">
                  <c:v>42562</c:v>
                </c:pt>
                <c:pt idx="107">
                  <c:v>42563</c:v>
                </c:pt>
                <c:pt idx="108">
                  <c:v>42564</c:v>
                </c:pt>
                <c:pt idx="109">
                  <c:v>42565</c:v>
                </c:pt>
                <c:pt idx="110">
                  <c:v>42566</c:v>
                </c:pt>
                <c:pt idx="111">
                  <c:v>42569</c:v>
                </c:pt>
                <c:pt idx="112">
                  <c:v>42570</c:v>
                </c:pt>
                <c:pt idx="113">
                  <c:v>42571</c:v>
                </c:pt>
                <c:pt idx="114">
                  <c:v>42572</c:v>
                </c:pt>
                <c:pt idx="115">
                  <c:v>42573</c:v>
                </c:pt>
                <c:pt idx="116">
                  <c:v>42576</c:v>
                </c:pt>
                <c:pt idx="117">
                  <c:v>42577</c:v>
                </c:pt>
                <c:pt idx="118">
                  <c:v>42578</c:v>
                </c:pt>
                <c:pt idx="119">
                  <c:v>42579</c:v>
                </c:pt>
                <c:pt idx="120">
                  <c:v>42580</c:v>
                </c:pt>
                <c:pt idx="121">
                  <c:v>42583</c:v>
                </c:pt>
                <c:pt idx="122">
                  <c:v>42584</c:v>
                </c:pt>
                <c:pt idx="123">
                  <c:v>42585</c:v>
                </c:pt>
                <c:pt idx="124">
                  <c:v>42586</c:v>
                </c:pt>
                <c:pt idx="125">
                  <c:v>42587</c:v>
                </c:pt>
                <c:pt idx="126">
                  <c:v>42590</c:v>
                </c:pt>
                <c:pt idx="127">
                  <c:v>42591</c:v>
                </c:pt>
                <c:pt idx="128">
                  <c:v>42592</c:v>
                </c:pt>
                <c:pt idx="129">
                  <c:v>42593</c:v>
                </c:pt>
                <c:pt idx="130">
                  <c:v>42594</c:v>
                </c:pt>
                <c:pt idx="131">
                  <c:v>42597</c:v>
                </c:pt>
                <c:pt idx="132">
                  <c:v>42598</c:v>
                </c:pt>
                <c:pt idx="133">
                  <c:v>42599</c:v>
                </c:pt>
                <c:pt idx="134">
                  <c:v>42600</c:v>
                </c:pt>
                <c:pt idx="135">
                  <c:v>42601</c:v>
                </c:pt>
                <c:pt idx="136">
                  <c:v>42604</c:v>
                </c:pt>
                <c:pt idx="137">
                  <c:v>42605</c:v>
                </c:pt>
                <c:pt idx="138">
                  <c:v>42606</c:v>
                </c:pt>
                <c:pt idx="139">
                  <c:v>42607</c:v>
                </c:pt>
                <c:pt idx="140">
                  <c:v>42608</c:v>
                </c:pt>
                <c:pt idx="141">
                  <c:v>42612</c:v>
                </c:pt>
                <c:pt idx="142">
                  <c:v>42613</c:v>
                </c:pt>
                <c:pt idx="143">
                  <c:v>42614</c:v>
                </c:pt>
                <c:pt idx="144">
                  <c:v>42615</c:v>
                </c:pt>
                <c:pt idx="145">
                  <c:v>42618</c:v>
                </c:pt>
                <c:pt idx="146">
                  <c:v>42619</c:v>
                </c:pt>
                <c:pt idx="147">
                  <c:v>42620</c:v>
                </c:pt>
                <c:pt idx="148">
                  <c:v>42621</c:v>
                </c:pt>
                <c:pt idx="149">
                  <c:v>42622</c:v>
                </c:pt>
                <c:pt idx="150">
                  <c:v>42625</c:v>
                </c:pt>
                <c:pt idx="151">
                  <c:v>42626</c:v>
                </c:pt>
                <c:pt idx="152">
                  <c:v>42627</c:v>
                </c:pt>
                <c:pt idx="153">
                  <c:v>42628</c:v>
                </c:pt>
                <c:pt idx="154">
                  <c:v>42629</c:v>
                </c:pt>
                <c:pt idx="155">
                  <c:v>42632</c:v>
                </c:pt>
                <c:pt idx="156">
                  <c:v>42633</c:v>
                </c:pt>
                <c:pt idx="157">
                  <c:v>42634</c:v>
                </c:pt>
                <c:pt idx="158">
                  <c:v>42635</c:v>
                </c:pt>
                <c:pt idx="159">
                  <c:v>42636</c:v>
                </c:pt>
                <c:pt idx="160">
                  <c:v>42639</c:v>
                </c:pt>
                <c:pt idx="161">
                  <c:v>42640</c:v>
                </c:pt>
                <c:pt idx="162">
                  <c:v>42641</c:v>
                </c:pt>
                <c:pt idx="163">
                  <c:v>42642</c:v>
                </c:pt>
                <c:pt idx="164">
                  <c:v>42643</c:v>
                </c:pt>
                <c:pt idx="165">
                  <c:v>42646</c:v>
                </c:pt>
                <c:pt idx="166">
                  <c:v>42647</c:v>
                </c:pt>
                <c:pt idx="167">
                  <c:v>42648</c:v>
                </c:pt>
                <c:pt idx="168">
                  <c:v>42649</c:v>
                </c:pt>
                <c:pt idx="169">
                  <c:v>42650</c:v>
                </c:pt>
                <c:pt idx="170">
                  <c:v>42653</c:v>
                </c:pt>
                <c:pt idx="171">
                  <c:v>42654</c:v>
                </c:pt>
                <c:pt idx="172">
                  <c:v>42655</c:v>
                </c:pt>
                <c:pt idx="173">
                  <c:v>42656</c:v>
                </c:pt>
                <c:pt idx="174">
                  <c:v>42657</c:v>
                </c:pt>
                <c:pt idx="175">
                  <c:v>42660</c:v>
                </c:pt>
                <c:pt idx="176">
                  <c:v>42661</c:v>
                </c:pt>
                <c:pt idx="177">
                  <c:v>42662</c:v>
                </c:pt>
                <c:pt idx="178">
                  <c:v>42663</c:v>
                </c:pt>
                <c:pt idx="179">
                  <c:v>42664</c:v>
                </c:pt>
                <c:pt idx="180">
                  <c:v>42667</c:v>
                </c:pt>
                <c:pt idx="181">
                  <c:v>42668</c:v>
                </c:pt>
                <c:pt idx="182">
                  <c:v>42669</c:v>
                </c:pt>
                <c:pt idx="183">
                  <c:v>42670</c:v>
                </c:pt>
                <c:pt idx="184">
                  <c:v>42671</c:v>
                </c:pt>
                <c:pt idx="185">
                  <c:v>42674</c:v>
                </c:pt>
              </c:numCache>
            </c:numRef>
          </c:cat>
          <c:val>
            <c:numRef>
              <c:f>'CFD Data'!$M$2:$M$187</c:f>
              <c:numCache>
                <c:formatCode>General</c:formatCode>
                <c:ptCount val="18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13</c:v>
                </c:pt>
                <c:pt idx="17">
                  <c:v>13</c:v>
                </c:pt>
                <c:pt idx="18">
                  <c:v>16</c:v>
                </c:pt>
                <c:pt idx="19">
                  <c:v>16</c:v>
                </c:pt>
                <c:pt idx="20">
                  <c:v>18</c:v>
                </c:pt>
                <c:pt idx="21">
                  <c:v>19</c:v>
                </c:pt>
                <c:pt idx="22">
                  <c:v>19</c:v>
                </c:pt>
                <c:pt idx="23">
                  <c:v>20</c:v>
                </c:pt>
                <c:pt idx="24">
                  <c:v>20</c:v>
                </c:pt>
                <c:pt idx="25">
                  <c:v>21</c:v>
                </c:pt>
                <c:pt idx="26">
                  <c:v>21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27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32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48</c:v>
                </c:pt>
                <c:pt idx="53">
                  <c:v>48</c:v>
                </c:pt>
                <c:pt idx="54">
                  <c:v>49</c:v>
                </c:pt>
                <c:pt idx="55">
                  <c:v>49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54</c:v>
                </c:pt>
                <c:pt idx="62">
                  <c:v>56</c:v>
                </c:pt>
                <c:pt idx="63">
                  <c:v>56</c:v>
                </c:pt>
                <c:pt idx="64">
                  <c:v>59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61</c:v>
                </c:pt>
                <c:pt idx="69">
                  <c:v>61</c:v>
                </c:pt>
                <c:pt idx="70">
                  <c:v>62</c:v>
                </c:pt>
                <c:pt idx="71">
                  <c:v>65</c:v>
                </c:pt>
                <c:pt idx="72">
                  <c:v>66</c:v>
                </c:pt>
                <c:pt idx="73">
                  <c:v>66</c:v>
                </c:pt>
                <c:pt idx="74">
                  <c:v>67</c:v>
                </c:pt>
                <c:pt idx="75">
                  <c:v>68</c:v>
                </c:pt>
                <c:pt idx="76">
                  <c:v>69</c:v>
                </c:pt>
                <c:pt idx="77">
                  <c:v>69</c:v>
                </c:pt>
                <c:pt idx="78">
                  <c:v>70</c:v>
                </c:pt>
                <c:pt idx="79">
                  <c:v>70.80952380952381</c:v>
                </c:pt>
                <c:pt idx="80">
                  <c:v>71.61904761904762</c:v>
                </c:pt>
                <c:pt idx="81">
                  <c:v>72.428571428571431</c:v>
                </c:pt>
                <c:pt idx="82">
                  <c:v>73.238095238095241</c:v>
                </c:pt>
                <c:pt idx="83">
                  <c:v>74.047619047619051</c:v>
                </c:pt>
                <c:pt idx="84">
                  <c:v>74.857142857142861</c:v>
                </c:pt>
                <c:pt idx="85">
                  <c:v>75.666666666666671</c:v>
                </c:pt>
                <c:pt idx="86">
                  <c:v>76.476190476190482</c:v>
                </c:pt>
                <c:pt idx="87">
                  <c:v>77.285714285714292</c:v>
                </c:pt>
                <c:pt idx="88">
                  <c:v>78.095238095238102</c:v>
                </c:pt>
                <c:pt idx="89">
                  <c:v>78.904761904761912</c:v>
                </c:pt>
                <c:pt idx="90">
                  <c:v>79.714285714285722</c:v>
                </c:pt>
                <c:pt idx="91">
                  <c:v>80.523809523809533</c:v>
                </c:pt>
                <c:pt idx="92">
                  <c:v>81.333333333333343</c:v>
                </c:pt>
                <c:pt idx="93">
                  <c:v>82.142857142857153</c:v>
                </c:pt>
                <c:pt idx="94">
                  <c:v>82.952380952380963</c:v>
                </c:pt>
                <c:pt idx="95">
                  <c:v>83.761904761904773</c:v>
                </c:pt>
                <c:pt idx="96">
                  <c:v>84.571428571428584</c:v>
                </c:pt>
                <c:pt idx="97">
                  <c:v>85.380952380952394</c:v>
                </c:pt>
                <c:pt idx="98">
                  <c:v>86.190476190476204</c:v>
                </c:pt>
                <c:pt idx="99">
                  <c:v>87.000000000000014</c:v>
                </c:pt>
                <c:pt idx="100">
                  <c:v>87.809523809523824</c:v>
                </c:pt>
                <c:pt idx="101">
                  <c:v>88.619047619047635</c:v>
                </c:pt>
                <c:pt idx="102">
                  <c:v>89.428571428571445</c:v>
                </c:pt>
                <c:pt idx="103">
                  <c:v>90.238095238095255</c:v>
                </c:pt>
                <c:pt idx="104">
                  <c:v>91.047619047619065</c:v>
                </c:pt>
                <c:pt idx="105">
                  <c:v>91.857142857142875</c:v>
                </c:pt>
                <c:pt idx="106">
                  <c:v>92.666666666666686</c:v>
                </c:pt>
                <c:pt idx="107">
                  <c:v>93.476190476190496</c:v>
                </c:pt>
                <c:pt idx="108">
                  <c:v>94.285714285714306</c:v>
                </c:pt>
                <c:pt idx="109">
                  <c:v>95.095238095238116</c:v>
                </c:pt>
                <c:pt idx="110">
                  <c:v>95.904761904761926</c:v>
                </c:pt>
                <c:pt idx="111">
                  <c:v>96.714285714285737</c:v>
                </c:pt>
                <c:pt idx="112">
                  <c:v>97.523809523809547</c:v>
                </c:pt>
                <c:pt idx="113">
                  <c:v>98.333333333333357</c:v>
                </c:pt>
                <c:pt idx="114">
                  <c:v>99.142857142857167</c:v>
                </c:pt>
                <c:pt idx="115">
                  <c:v>99.952380952380977</c:v>
                </c:pt>
                <c:pt idx="116">
                  <c:v>100.76190476190479</c:v>
                </c:pt>
                <c:pt idx="117">
                  <c:v>101.5714285714286</c:v>
                </c:pt>
                <c:pt idx="118">
                  <c:v>102.38095238095241</c:v>
                </c:pt>
                <c:pt idx="119">
                  <c:v>103.19047619047622</c:v>
                </c:pt>
                <c:pt idx="120">
                  <c:v>104.00000000000003</c:v>
                </c:pt>
                <c:pt idx="121">
                  <c:v>104.80952380952384</c:v>
                </c:pt>
                <c:pt idx="122">
                  <c:v>105.61904761904765</c:v>
                </c:pt>
                <c:pt idx="123">
                  <c:v>106.42857142857146</c:v>
                </c:pt>
                <c:pt idx="124">
                  <c:v>107.23809523809527</c:v>
                </c:pt>
                <c:pt idx="125">
                  <c:v>108.04761904761908</c:v>
                </c:pt>
                <c:pt idx="126">
                  <c:v>108.85714285714289</c:v>
                </c:pt>
                <c:pt idx="127">
                  <c:v>109.6666666666667</c:v>
                </c:pt>
                <c:pt idx="128">
                  <c:v>110.47619047619051</c:v>
                </c:pt>
                <c:pt idx="129">
                  <c:v>111.28571428571432</c:v>
                </c:pt>
                <c:pt idx="130">
                  <c:v>112.09523809523813</c:v>
                </c:pt>
                <c:pt idx="131">
                  <c:v>112.90476190476194</c:v>
                </c:pt>
                <c:pt idx="132">
                  <c:v>113.71428571428575</c:v>
                </c:pt>
                <c:pt idx="133">
                  <c:v>114.52380952380956</c:v>
                </c:pt>
                <c:pt idx="134">
                  <c:v>115.33333333333337</c:v>
                </c:pt>
                <c:pt idx="135">
                  <c:v>116.14285714285718</c:v>
                </c:pt>
                <c:pt idx="136">
                  <c:v>116.95238095238099</c:v>
                </c:pt>
                <c:pt idx="137">
                  <c:v>117.7619047619048</c:v>
                </c:pt>
                <c:pt idx="138">
                  <c:v>118.57142857142861</c:v>
                </c:pt>
                <c:pt idx="139">
                  <c:v>119.38095238095242</c:v>
                </c:pt>
                <c:pt idx="140">
                  <c:v>120.19047619047623</c:v>
                </c:pt>
                <c:pt idx="141">
                  <c:v>121.00000000000004</c:v>
                </c:pt>
                <c:pt idx="142">
                  <c:v>121.80952380952385</c:v>
                </c:pt>
                <c:pt idx="143">
                  <c:v>122.61904761904766</c:v>
                </c:pt>
                <c:pt idx="144">
                  <c:v>123.42857142857147</c:v>
                </c:pt>
                <c:pt idx="145">
                  <c:v>124.23809523809528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750-4617-8F43-B5F7B1149700}"/>
            </c:ext>
          </c:extLst>
        </c:ser>
        <c:ser>
          <c:idx val="6"/>
          <c:order val="2"/>
          <c:tx>
            <c:strRef>
              <c:f>'CFD Data'!$N$1</c:f>
              <c:strCache>
                <c:ptCount val="1"/>
                <c:pt idx="0">
                  <c:v>Median Prediction</c:v>
                </c:pt>
              </c:strCache>
            </c:strRef>
          </c:tx>
          <c:spPr>
            <a:ln>
              <a:solidFill>
                <a:schemeClr val="tx1"/>
              </a:solidFill>
              <a:prstDash val="dashDot"/>
            </a:ln>
          </c:spPr>
          <c:marker>
            <c:symbol val="none"/>
          </c:marker>
          <c:cat>
            <c:numRef>
              <c:f>'CFD Data'!$B$2:$B$187</c:f>
              <c:numCache>
                <c:formatCode>dd/mm/yyyy;@</c:formatCode>
                <c:ptCount val="186"/>
                <c:pt idx="0">
                  <c:v>42408</c:v>
                </c:pt>
                <c:pt idx="1">
                  <c:v>42409</c:v>
                </c:pt>
                <c:pt idx="2">
                  <c:v>42410</c:v>
                </c:pt>
                <c:pt idx="3">
                  <c:v>42411</c:v>
                </c:pt>
                <c:pt idx="4">
                  <c:v>42412</c:v>
                </c:pt>
                <c:pt idx="5">
                  <c:v>42415</c:v>
                </c:pt>
                <c:pt idx="6">
                  <c:v>42416</c:v>
                </c:pt>
                <c:pt idx="7">
                  <c:v>42417</c:v>
                </c:pt>
                <c:pt idx="8">
                  <c:v>42418</c:v>
                </c:pt>
                <c:pt idx="9">
                  <c:v>42419</c:v>
                </c:pt>
                <c:pt idx="10">
                  <c:v>42422</c:v>
                </c:pt>
                <c:pt idx="11">
                  <c:v>42423</c:v>
                </c:pt>
                <c:pt idx="12">
                  <c:v>42424</c:v>
                </c:pt>
                <c:pt idx="13">
                  <c:v>42425</c:v>
                </c:pt>
                <c:pt idx="14">
                  <c:v>42426</c:v>
                </c:pt>
                <c:pt idx="15">
                  <c:v>42429</c:v>
                </c:pt>
                <c:pt idx="16">
                  <c:v>42430</c:v>
                </c:pt>
                <c:pt idx="17">
                  <c:v>42431</c:v>
                </c:pt>
                <c:pt idx="18">
                  <c:v>42432</c:v>
                </c:pt>
                <c:pt idx="19">
                  <c:v>42433</c:v>
                </c:pt>
                <c:pt idx="20">
                  <c:v>42436</c:v>
                </c:pt>
                <c:pt idx="21">
                  <c:v>42437</c:v>
                </c:pt>
                <c:pt idx="22">
                  <c:v>42438</c:v>
                </c:pt>
                <c:pt idx="23">
                  <c:v>42439</c:v>
                </c:pt>
                <c:pt idx="24">
                  <c:v>42440</c:v>
                </c:pt>
                <c:pt idx="25">
                  <c:v>42443</c:v>
                </c:pt>
                <c:pt idx="26">
                  <c:v>42444</c:v>
                </c:pt>
                <c:pt idx="27">
                  <c:v>42445</c:v>
                </c:pt>
                <c:pt idx="28">
                  <c:v>42446</c:v>
                </c:pt>
                <c:pt idx="29">
                  <c:v>42447</c:v>
                </c:pt>
                <c:pt idx="30">
                  <c:v>42450</c:v>
                </c:pt>
                <c:pt idx="31">
                  <c:v>42451</c:v>
                </c:pt>
                <c:pt idx="32">
                  <c:v>42452</c:v>
                </c:pt>
                <c:pt idx="33">
                  <c:v>42453</c:v>
                </c:pt>
                <c:pt idx="34">
                  <c:v>42458</c:v>
                </c:pt>
                <c:pt idx="35">
                  <c:v>42459</c:v>
                </c:pt>
                <c:pt idx="36">
                  <c:v>42460</c:v>
                </c:pt>
                <c:pt idx="37">
                  <c:v>42461</c:v>
                </c:pt>
                <c:pt idx="38">
                  <c:v>42464</c:v>
                </c:pt>
                <c:pt idx="39">
                  <c:v>42465</c:v>
                </c:pt>
                <c:pt idx="40">
                  <c:v>42466</c:v>
                </c:pt>
                <c:pt idx="41">
                  <c:v>42467</c:v>
                </c:pt>
                <c:pt idx="42">
                  <c:v>42468</c:v>
                </c:pt>
                <c:pt idx="43">
                  <c:v>42471</c:v>
                </c:pt>
                <c:pt idx="44">
                  <c:v>42472</c:v>
                </c:pt>
                <c:pt idx="45">
                  <c:v>42473</c:v>
                </c:pt>
                <c:pt idx="46">
                  <c:v>42474</c:v>
                </c:pt>
                <c:pt idx="47">
                  <c:v>42475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42485</c:v>
                </c:pt>
                <c:pt idx="54">
                  <c:v>42486</c:v>
                </c:pt>
                <c:pt idx="55">
                  <c:v>42487</c:v>
                </c:pt>
                <c:pt idx="56">
                  <c:v>42488</c:v>
                </c:pt>
                <c:pt idx="57">
                  <c:v>42489</c:v>
                </c:pt>
                <c:pt idx="58">
                  <c:v>42493</c:v>
                </c:pt>
                <c:pt idx="59">
                  <c:v>42494</c:v>
                </c:pt>
                <c:pt idx="60">
                  <c:v>42495</c:v>
                </c:pt>
                <c:pt idx="61">
                  <c:v>42496</c:v>
                </c:pt>
                <c:pt idx="62">
                  <c:v>42499</c:v>
                </c:pt>
                <c:pt idx="63">
                  <c:v>42500</c:v>
                </c:pt>
                <c:pt idx="64">
                  <c:v>42501</c:v>
                </c:pt>
                <c:pt idx="65">
                  <c:v>42502</c:v>
                </c:pt>
                <c:pt idx="66">
                  <c:v>42503</c:v>
                </c:pt>
                <c:pt idx="67">
                  <c:v>42506</c:v>
                </c:pt>
                <c:pt idx="68">
                  <c:v>42507</c:v>
                </c:pt>
                <c:pt idx="69">
                  <c:v>42508</c:v>
                </c:pt>
                <c:pt idx="70">
                  <c:v>42509</c:v>
                </c:pt>
                <c:pt idx="71">
                  <c:v>42510</c:v>
                </c:pt>
                <c:pt idx="72">
                  <c:v>42513</c:v>
                </c:pt>
                <c:pt idx="73">
                  <c:v>42514</c:v>
                </c:pt>
                <c:pt idx="74">
                  <c:v>42515</c:v>
                </c:pt>
                <c:pt idx="75">
                  <c:v>42516</c:v>
                </c:pt>
                <c:pt idx="76">
                  <c:v>42517</c:v>
                </c:pt>
                <c:pt idx="77">
                  <c:v>42521</c:v>
                </c:pt>
                <c:pt idx="78">
                  <c:v>42522</c:v>
                </c:pt>
                <c:pt idx="79">
                  <c:v>42523</c:v>
                </c:pt>
                <c:pt idx="80">
                  <c:v>42524</c:v>
                </c:pt>
                <c:pt idx="81">
                  <c:v>42527</c:v>
                </c:pt>
                <c:pt idx="82">
                  <c:v>42528</c:v>
                </c:pt>
                <c:pt idx="83">
                  <c:v>42529</c:v>
                </c:pt>
                <c:pt idx="84">
                  <c:v>42530</c:v>
                </c:pt>
                <c:pt idx="85">
                  <c:v>42531</c:v>
                </c:pt>
                <c:pt idx="86">
                  <c:v>42534</c:v>
                </c:pt>
                <c:pt idx="87">
                  <c:v>42535</c:v>
                </c:pt>
                <c:pt idx="88">
                  <c:v>42536</c:v>
                </c:pt>
                <c:pt idx="89">
                  <c:v>42537</c:v>
                </c:pt>
                <c:pt idx="90">
                  <c:v>42538</c:v>
                </c:pt>
                <c:pt idx="91">
                  <c:v>42541</c:v>
                </c:pt>
                <c:pt idx="92">
                  <c:v>42542</c:v>
                </c:pt>
                <c:pt idx="93">
                  <c:v>42543</c:v>
                </c:pt>
                <c:pt idx="94">
                  <c:v>42544</c:v>
                </c:pt>
                <c:pt idx="95">
                  <c:v>42545</c:v>
                </c:pt>
                <c:pt idx="96">
                  <c:v>42548</c:v>
                </c:pt>
                <c:pt idx="97">
                  <c:v>42549</c:v>
                </c:pt>
                <c:pt idx="98">
                  <c:v>42550</c:v>
                </c:pt>
                <c:pt idx="99">
                  <c:v>42551</c:v>
                </c:pt>
                <c:pt idx="100">
                  <c:v>42552</c:v>
                </c:pt>
                <c:pt idx="101">
                  <c:v>42555</c:v>
                </c:pt>
                <c:pt idx="102">
                  <c:v>42556</c:v>
                </c:pt>
                <c:pt idx="103">
                  <c:v>42557</c:v>
                </c:pt>
                <c:pt idx="104">
                  <c:v>42558</c:v>
                </c:pt>
                <c:pt idx="105">
                  <c:v>42559</c:v>
                </c:pt>
                <c:pt idx="106">
                  <c:v>42562</c:v>
                </c:pt>
                <c:pt idx="107">
                  <c:v>42563</c:v>
                </c:pt>
                <c:pt idx="108">
                  <c:v>42564</c:v>
                </c:pt>
                <c:pt idx="109">
                  <c:v>42565</c:v>
                </c:pt>
                <c:pt idx="110">
                  <c:v>42566</c:v>
                </c:pt>
                <c:pt idx="111">
                  <c:v>42569</c:v>
                </c:pt>
                <c:pt idx="112">
                  <c:v>42570</c:v>
                </c:pt>
                <c:pt idx="113">
                  <c:v>42571</c:v>
                </c:pt>
                <c:pt idx="114">
                  <c:v>42572</c:v>
                </c:pt>
                <c:pt idx="115">
                  <c:v>42573</c:v>
                </c:pt>
                <c:pt idx="116">
                  <c:v>42576</c:v>
                </c:pt>
                <c:pt idx="117">
                  <c:v>42577</c:v>
                </c:pt>
                <c:pt idx="118">
                  <c:v>42578</c:v>
                </c:pt>
                <c:pt idx="119">
                  <c:v>42579</c:v>
                </c:pt>
                <c:pt idx="120">
                  <c:v>42580</c:v>
                </c:pt>
                <c:pt idx="121">
                  <c:v>42583</c:v>
                </c:pt>
                <c:pt idx="122">
                  <c:v>42584</c:v>
                </c:pt>
                <c:pt idx="123">
                  <c:v>42585</c:v>
                </c:pt>
                <c:pt idx="124">
                  <c:v>42586</c:v>
                </c:pt>
                <c:pt idx="125">
                  <c:v>42587</c:v>
                </c:pt>
                <c:pt idx="126">
                  <c:v>42590</c:v>
                </c:pt>
                <c:pt idx="127">
                  <c:v>42591</c:v>
                </c:pt>
                <c:pt idx="128">
                  <c:v>42592</c:v>
                </c:pt>
                <c:pt idx="129">
                  <c:v>42593</c:v>
                </c:pt>
                <c:pt idx="130">
                  <c:v>42594</c:v>
                </c:pt>
                <c:pt idx="131">
                  <c:v>42597</c:v>
                </c:pt>
                <c:pt idx="132">
                  <c:v>42598</c:v>
                </c:pt>
                <c:pt idx="133">
                  <c:v>42599</c:v>
                </c:pt>
                <c:pt idx="134">
                  <c:v>42600</c:v>
                </c:pt>
                <c:pt idx="135">
                  <c:v>42601</c:v>
                </c:pt>
                <c:pt idx="136">
                  <c:v>42604</c:v>
                </c:pt>
                <c:pt idx="137">
                  <c:v>42605</c:v>
                </c:pt>
                <c:pt idx="138">
                  <c:v>42606</c:v>
                </c:pt>
                <c:pt idx="139">
                  <c:v>42607</c:v>
                </c:pt>
                <c:pt idx="140">
                  <c:v>42608</c:v>
                </c:pt>
                <c:pt idx="141">
                  <c:v>42612</c:v>
                </c:pt>
                <c:pt idx="142">
                  <c:v>42613</c:v>
                </c:pt>
                <c:pt idx="143">
                  <c:v>42614</c:v>
                </c:pt>
                <c:pt idx="144">
                  <c:v>42615</c:v>
                </c:pt>
                <c:pt idx="145">
                  <c:v>42618</c:v>
                </c:pt>
                <c:pt idx="146">
                  <c:v>42619</c:v>
                </c:pt>
                <c:pt idx="147">
                  <c:v>42620</c:v>
                </c:pt>
                <c:pt idx="148">
                  <c:v>42621</c:v>
                </c:pt>
                <c:pt idx="149">
                  <c:v>42622</c:v>
                </c:pt>
                <c:pt idx="150">
                  <c:v>42625</c:v>
                </c:pt>
                <c:pt idx="151">
                  <c:v>42626</c:v>
                </c:pt>
                <c:pt idx="152">
                  <c:v>42627</c:v>
                </c:pt>
                <c:pt idx="153">
                  <c:v>42628</c:v>
                </c:pt>
                <c:pt idx="154">
                  <c:v>42629</c:v>
                </c:pt>
                <c:pt idx="155">
                  <c:v>42632</c:v>
                </c:pt>
                <c:pt idx="156">
                  <c:v>42633</c:v>
                </c:pt>
                <c:pt idx="157">
                  <c:v>42634</c:v>
                </c:pt>
                <c:pt idx="158">
                  <c:v>42635</c:v>
                </c:pt>
                <c:pt idx="159">
                  <c:v>42636</c:v>
                </c:pt>
                <c:pt idx="160">
                  <c:v>42639</c:v>
                </c:pt>
                <c:pt idx="161">
                  <c:v>42640</c:v>
                </c:pt>
                <c:pt idx="162">
                  <c:v>42641</c:v>
                </c:pt>
                <c:pt idx="163">
                  <c:v>42642</c:v>
                </c:pt>
                <c:pt idx="164">
                  <c:v>42643</c:v>
                </c:pt>
                <c:pt idx="165">
                  <c:v>42646</c:v>
                </c:pt>
                <c:pt idx="166">
                  <c:v>42647</c:v>
                </c:pt>
                <c:pt idx="167">
                  <c:v>42648</c:v>
                </c:pt>
                <c:pt idx="168">
                  <c:v>42649</c:v>
                </c:pt>
                <c:pt idx="169">
                  <c:v>42650</c:v>
                </c:pt>
                <c:pt idx="170">
                  <c:v>42653</c:v>
                </c:pt>
                <c:pt idx="171">
                  <c:v>42654</c:v>
                </c:pt>
                <c:pt idx="172">
                  <c:v>42655</c:v>
                </c:pt>
                <c:pt idx="173">
                  <c:v>42656</c:v>
                </c:pt>
                <c:pt idx="174">
                  <c:v>42657</c:v>
                </c:pt>
                <c:pt idx="175">
                  <c:v>42660</c:v>
                </c:pt>
                <c:pt idx="176">
                  <c:v>42661</c:v>
                </c:pt>
                <c:pt idx="177">
                  <c:v>42662</c:v>
                </c:pt>
                <c:pt idx="178">
                  <c:v>42663</c:v>
                </c:pt>
                <c:pt idx="179">
                  <c:v>42664</c:v>
                </c:pt>
                <c:pt idx="180">
                  <c:v>42667</c:v>
                </c:pt>
                <c:pt idx="181">
                  <c:v>42668</c:v>
                </c:pt>
                <c:pt idx="182">
                  <c:v>42669</c:v>
                </c:pt>
                <c:pt idx="183">
                  <c:v>42670</c:v>
                </c:pt>
                <c:pt idx="184">
                  <c:v>42671</c:v>
                </c:pt>
                <c:pt idx="185">
                  <c:v>42674</c:v>
                </c:pt>
              </c:numCache>
            </c:numRef>
          </c:cat>
          <c:val>
            <c:numRef>
              <c:f>'CFD Data'!$N$2:$N$187</c:f>
              <c:numCache>
                <c:formatCode>General</c:formatCode>
                <c:ptCount val="18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13</c:v>
                </c:pt>
                <c:pt idx="17">
                  <c:v>13</c:v>
                </c:pt>
                <c:pt idx="18">
                  <c:v>16</c:v>
                </c:pt>
                <c:pt idx="19">
                  <c:v>16</c:v>
                </c:pt>
                <c:pt idx="20">
                  <c:v>18</c:v>
                </c:pt>
                <c:pt idx="21">
                  <c:v>19</c:v>
                </c:pt>
                <c:pt idx="22">
                  <c:v>19</c:v>
                </c:pt>
                <c:pt idx="23">
                  <c:v>20</c:v>
                </c:pt>
                <c:pt idx="24">
                  <c:v>20</c:v>
                </c:pt>
                <c:pt idx="25">
                  <c:v>21</c:v>
                </c:pt>
                <c:pt idx="26">
                  <c:v>21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27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32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48</c:v>
                </c:pt>
                <c:pt idx="53">
                  <c:v>48</c:v>
                </c:pt>
                <c:pt idx="54">
                  <c:v>49</c:v>
                </c:pt>
                <c:pt idx="55">
                  <c:v>49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54</c:v>
                </c:pt>
                <c:pt idx="62">
                  <c:v>56</c:v>
                </c:pt>
                <c:pt idx="63">
                  <c:v>56</c:v>
                </c:pt>
                <c:pt idx="64">
                  <c:v>59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61</c:v>
                </c:pt>
                <c:pt idx="69">
                  <c:v>61</c:v>
                </c:pt>
                <c:pt idx="70">
                  <c:v>62</c:v>
                </c:pt>
                <c:pt idx="71">
                  <c:v>65</c:v>
                </c:pt>
                <c:pt idx="72">
                  <c:v>66</c:v>
                </c:pt>
                <c:pt idx="73">
                  <c:v>66</c:v>
                </c:pt>
                <c:pt idx="74">
                  <c:v>67</c:v>
                </c:pt>
                <c:pt idx="75">
                  <c:v>68</c:v>
                </c:pt>
                <c:pt idx="76">
                  <c:v>69</c:v>
                </c:pt>
                <c:pt idx="77">
                  <c:v>69</c:v>
                </c:pt>
                <c:pt idx="78">
                  <c:v>70</c:v>
                </c:pt>
                <c:pt idx="79">
                  <c:v>70.952380952380949</c:v>
                </c:pt>
                <c:pt idx="80">
                  <c:v>71.904761904761898</c:v>
                </c:pt>
                <c:pt idx="81">
                  <c:v>72.857142857142847</c:v>
                </c:pt>
                <c:pt idx="82">
                  <c:v>73.809523809523796</c:v>
                </c:pt>
                <c:pt idx="83">
                  <c:v>74.761904761904745</c:v>
                </c:pt>
                <c:pt idx="84">
                  <c:v>75.714285714285694</c:v>
                </c:pt>
                <c:pt idx="85">
                  <c:v>76.666666666666643</c:v>
                </c:pt>
                <c:pt idx="86">
                  <c:v>77.619047619047592</c:v>
                </c:pt>
                <c:pt idx="87">
                  <c:v>78.571428571428541</c:v>
                </c:pt>
                <c:pt idx="88">
                  <c:v>79.52380952380949</c:v>
                </c:pt>
                <c:pt idx="89">
                  <c:v>80.476190476190439</c:v>
                </c:pt>
                <c:pt idx="90">
                  <c:v>81.428571428571388</c:v>
                </c:pt>
                <c:pt idx="91">
                  <c:v>82.380952380952337</c:v>
                </c:pt>
                <c:pt idx="92">
                  <c:v>83.333333333333286</c:v>
                </c:pt>
                <c:pt idx="93">
                  <c:v>84.285714285714235</c:v>
                </c:pt>
                <c:pt idx="94">
                  <c:v>85.238095238095184</c:v>
                </c:pt>
                <c:pt idx="95">
                  <c:v>86.190476190476133</c:v>
                </c:pt>
                <c:pt idx="96">
                  <c:v>87.142857142857082</c:v>
                </c:pt>
                <c:pt idx="97">
                  <c:v>88.095238095238031</c:v>
                </c:pt>
                <c:pt idx="98">
                  <c:v>89.04761904761898</c:v>
                </c:pt>
                <c:pt idx="99">
                  <c:v>89.999999999999929</c:v>
                </c:pt>
                <c:pt idx="100">
                  <c:v>90.952380952380878</c:v>
                </c:pt>
                <c:pt idx="101">
                  <c:v>91.904761904761827</c:v>
                </c:pt>
                <c:pt idx="102">
                  <c:v>92.857142857142776</c:v>
                </c:pt>
                <c:pt idx="103">
                  <c:v>93.809523809523725</c:v>
                </c:pt>
                <c:pt idx="104">
                  <c:v>94.761904761904674</c:v>
                </c:pt>
                <c:pt idx="105">
                  <c:v>95.714285714285623</c:v>
                </c:pt>
                <c:pt idx="106">
                  <c:v>96.666666666666572</c:v>
                </c:pt>
                <c:pt idx="107">
                  <c:v>97.619047619047521</c:v>
                </c:pt>
                <c:pt idx="108">
                  <c:v>98.57142857142847</c:v>
                </c:pt>
                <c:pt idx="109">
                  <c:v>99.523809523809419</c:v>
                </c:pt>
                <c:pt idx="110">
                  <c:v>100.47619047619037</c:v>
                </c:pt>
                <c:pt idx="111">
                  <c:v>101.42857142857132</c:v>
                </c:pt>
                <c:pt idx="112">
                  <c:v>102.38095238095227</c:v>
                </c:pt>
                <c:pt idx="113">
                  <c:v>103.33333333333321</c:v>
                </c:pt>
                <c:pt idx="114">
                  <c:v>104.28571428571416</c:v>
                </c:pt>
                <c:pt idx="115">
                  <c:v>105.23809523809511</c:v>
                </c:pt>
                <c:pt idx="116">
                  <c:v>106.19047619047606</c:v>
                </c:pt>
                <c:pt idx="117">
                  <c:v>107.14285714285701</c:v>
                </c:pt>
                <c:pt idx="118">
                  <c:v>108.09523809523796</c:v>
                </c:pt>
                <c:pt idx="119">
                  <c:v>109.04761904761891</c:v>
                </c:pt>
                <c:pt idx="120">
                  <c:v>109.99999999999986</c:v>
                </c:pt>
                <c:pt idx="121">
                  <c:v>110.95238095238081</c:v>
                </c:pt>
                <c:pt idx="122">
                  <c:v>111.90476190476176</c:v>
                </c:pt>
                <c:pt idx="123">
                  <c:v>112.8571428571427</c:v>
                </c:pt>
                <c:pt idx="124">
                  <c:v>113.80952380952365</c:v>
                </c:pt>
                <c:pt idx="125">
                  <c:v>114.7619047619046</c:v>
                </c:pt>
                <c:pt idx="126">
                  <c:v>115.71428571428555</c:v>
                </c:pt>
                <c:pt idx="127">
                  <c:v>116.6666666666665</c:v>
                </c:pt>
                <c:pt idx="128">
                  <c:v>117.61904761904745</c:v>
                </c:pt>
                <c:pt idx="129">
                  <c:v>118.5714285714284</c:v>
                </c:pt>
                <c:pt idx="130">
                  <c:v>119.52380952380935</c:v>
                </c:pt>
                <c:pt idx="131">
                  <c:v>120.4761904761903</c:v>
                </c:pt>
                <c:pt idx="132">
                  <c:v>121.42857142857125</c:v>
                </c:pt>
                <c:pt idx="133">
                  <c:v>122.38095238095219</c:v>
                </c:pt>
                <c:pt idx="134">
                  <c:v>123.33333333333314</c:v>
                </c:pt>
                <c:pt idx="135">
                  <c:v>124.28571428571409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750-4617-8F43-B5F7B1149700}"/>
            </c:ext>
          </c:extLst>
        </c:ser>
        <c:ser>
          <c:idx val="4"/>
          <c:order val="3"/>
          <c:tx>
            <c:strRef>
              <c:f>'CFD Data'!$O$1</c:f>
              <c:strCache>
                <c:ptCount val="1"/>
                <c:pt idx="0">
                  <c:v>Best Case</c:v>
                </c:pt>
              </c:strCache>
            </c:strRef>
          </c:tx>
          <c:spPr>
            <a:ln cap="rnd">
              <a:prstDash val="sysDot"/>
            </a:ln>
          </c:spPr>
          <c:marker>
            <c:symbol val="none"/>
          </c:marker>
          <c:cat>
            <c:numRef>
              <c:f>'CFD Data'!$B$2:$B$187</c:f>
              <c:numCache>
                <c:formatCode>dd/mm/yyyy;@</c:formatCode>
                <c:ptCount val="186"/>
                <c:pt idx="0">
                  <c:v>42408</c:v>
                </c:pt>
                <c:pt idx="1">
                  <c:v>42409</c:v>
                </c:pt>
                <c:pt idx="2">
                  <c:v>42410</c:v>
                </c:pt>
                <c:pt idx="3">
                  <c:v>42411</c:v>
                </c:pt>
                <c:pt idx="4">
                  <c:v>42412</c:v>
                </c:pt>
                <c:pt idx="5">
                  <c:v>42415</c:v>
                </c:pt>
                <c:pt idx="6">
                  <c:v>42416</c:v>
                </c:pt>
                <c:pt idx="7">
                  <c:v>42417</c:v>
                </c:pt>
                <c:pt idx="8">
                  <c:v>42418</c:v>
                </c:pt>
                <c:pt idx="9">
                  <c:v>42419</c:v>
                </c:pt>
                <c:pt idx="10">
                  <c:v>42422</c:v>
                </c:pt>
                <c:pt idx="11">
                  <c:v>42423</c:v>
                </c:pt>
                <c:pt idx="12">
                  <c:v>42424</c:v>
                </c:pt>
                <c:pt idx="13">
                  <c:v>42425</c:v>
                </c:pt>
                <c:pt idx="14">
                  <c:v>42426</c:v>
                </c:pt>
                <c:pt idx="15">
                  <c:v>42429</c:v>
                </c:pt>
                <c:pt idx="16">
                  <c:v>42430</c:v>
                </c:pt>
                <c:pt idx="17">
                  <c:v>42431</c:v>
                </c:pt>
                <c:pt idx="18">
                  <c:v>42432</c:v>
                </c:pt>
                <c:pt idx="19">
                  <c:v>42433</c:v>
                </c:pt>
                <c:pt idx="20">
                  <c:v>42436</c:v>
                </c:pt>
                <c:pt idx="21">
                  <c:v>42437</c:v>
                </c:pt>
                <c:pt idx="22">
                  <c:v>42438</c:v>
                </c:pt>
                <c:pt idx="23">
                  <c:v>42439</c:v>
                </c:pt>
                <c:pt idx="24">
                  <c:v>42440</c:v>
                </c:pt>
                <c:pt idx="25">
                  <c:v>42443</c:v>
                </c:pt>
                <c:pt idx="26">
                  <c:v>42444</c:v>
                </c:pt>
                <c:pt idx="27">
                  <c:v>42445</c:v>
                </c:pt>
                <c:pt idx="28">
                  <c:v>42446</c:v>
                </c:pt>
                <c:pt idx="29">
                  <c:v>42447</c:v>
                </c:pt>
                <c:pt idx="30">
                  <c:v>42450</c:v>
                </c:pt>
                <c:pt idx="31">
                  <c:v>42451</c:v>
                </c:pt>
                <c:pt idx="32">
                  <c:v>42452</c:v>
                </c:pt>
                <c:pt idx="33">
                  <c:v>42453</c:v>
                </c:pt>
                <c:pt idx="34">
                  <c:v>42458</c:v>
                </c:pt>
                <c:pt idx="35">
                  <c:v>42459</c:v>
                </c:pt>
                <c:pt idx="36">
                  <c:v>42460</c:v>
                </c:pt>
                <c:pt idx="37">
                  <c:v>42461</c:v>
                </c:pt>
                <c:pt idx="38">
                  <c:v>42464</c:v>
                </c:pt>
                <c:pt idx="39">
                  <c:v>42465</c:v>
                </c:pt>
                <c:pt idx="40">
                  <c:v>42466</c:v>
                </c:pt>
                <c:pt idx="41">
                  <c:v>42467</c:v>
                </c:pt>
                <c:pt idx="42">
                  <c:v>42468</c:v>
                </c:pt>
                <c:pt idx="43">
                  <c:v>42471</c:v>
                </c:pt>
                <c:pt idx="44">
                  <c:v>42472</c:v>
                </c:pt>
                <c:pt idx="45">
                  <c:v>42473</c:v>
                </c:pt>
                <c:pt idx="46">
                  <c:v>42474</c:v>
                </c:pt>
                <c:pt idx="47">
                  <c:v>42475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42485</c:v>
                </c:pt>
                <c:pt idx="54">
                  <c:v>42486</c:v>
                </c:pt>
                <c:pt idx="55">
                  <c:v>42487</c:v>
                </c:pt>
                <c:pt idx="56">
                  <c:v>42488</c:v>
                </c:pt>
                <c:pt idx="57">
                  <c:v>42489</c:v>
                </c:pt>
                <c:pt idx="58">
                  <c:v>42493</c:v>
                </c:pt>
                <c:pt idx="59">
                  <c:v>42494</c:v>
                </c:pt>
                <c:pt idx="60">
                  <c:v>42495</c:v>
                </c:pt>
                <c:pt idx="61">
                  <c:v>42496</c:v>
                </c:pt>
                <c:pt idx="62">
                  <c:v>42499</c:v>
                </c:pt>
                <c:pt idx="63">
                  <c:v>42500</c:v>
                </c:pt>
                <c:pt idx="64">
                  <c:v>42501</c:v>
                </c:pt>
                <c:pt idx="65">
                  <c:v>42502</c:v>
                </c:pt>
                <c:pt idx="66">
                  <c:v>42503</c:v>
                </c:pt>
                <c:pt idx="67">
                  <c:v>42506</c:v>
                </c:pt>
                <c:pt idx="68">
                  <c:v>42507</c:v>
                </c:pt>
                <c:pt idx="69">
                  <c:v>42508</c:v>
                </c:pt>
                <c:pt idx="70">
                  <c:v>42509</c:v>
                </c:pt>
                <c:pt idx="71">
                  <c:v>42510</c:v>
                </c:pt>
                <c:pt idx="72">
                  <c:v>42513</c:v>
                </c:pt>
                <c:pt idx="73">
                  <c:v>42514</c:v>
                </c:pt>
                <c:pt idx="74">
                  <c:v>42515</c:v>
                </c:pt>
                <c:pt idx="75">
                  <c:v>42516</c:v>
                </c:pt>
                <c:pt idx="76">
                  <c:v>42517</c:v>
                </c:pt>
                <c:pt idx="77">
                  <c:v>42521</c:v>
                </c:pt>
                <c:pt idx="78">
                  <c:v>42522</c:v>
                </c:pt>
                <c:pt idx="79">
                  <c:v>42523</c:v>
                </c:pt>
                <c:pt idx="80">
                  <c:v>42524</c:v>
                </c:pt>
                <c:pt idx="81">
                  <c:v>42527</c:v>
                </c:pt>
                <c:pt idx="82">
                  <c:v>42528</c:v>
                </c:pt>
                <c:pt idx="83">
                  <c:v>42529</c:v>
                </c:pt>
                <c:pt idx="84">
                  <c:v>42530</c:v>
                </c:pt>
                <c:pt idx="85">
                  <c:v>42531</c:v>
                </c:pt>
                <c:pt idx="86">
                  <c:v>42534</c:v>
                </c:pt>
                <c:pt idx="87">
                  <c:v>42535</c:v>
                </c:pt>
                <c:pt idx="88">
                  <c:v>42536</c:v>
                </c:pt>
                <c:pt idx="89">
                  <c:v>42537</c:v>
                </c:pt>
                <c:pt idx="90">
                  <c:v>42538</c:v>
                </c:pt>
                <c:pt idx="91">
                  <c:v>42541</c:v>
                </c:pt>
                <c:pt idx="92">
                  <c:v>42542</c:v>
                </c:pt>
                <c:pt idx="93">
                  <c:v>42543</c:v>
                </c:pt>
                <c:pt idx="94">
                  <c:v>42544</c:v>
                </c:pt>
                <c:pt idx="95">
                  <c:v>42545</c:v>
                </c:pt>
                <c:pt idx="96">
                  <c:v>42548</c:v>
                </c:pt>
                <c:pt idx="97">
                  <c:v>42549</c:v>
                </c:pt>
                <c:pt idx="98">
                  <c:v>42550</c:v>
                </c:pt>
                <c:pt idx="99">
                  <c:v>42551</c:v>
                </c:pt>
                <c:pt idx="100">
                  <c:v>42552</c:v>
                </c:pt>
                <c:pt idx="101">
                  <c:v>42555</c:v>
                </c:pt>
                <c:pt idx="102">
                  <c:v>42556</c:v>
                </c:pt>
                <c:pt idx="103">
                  <c:v>42557</c:v>
                </c:pt>
                <c:pt idx="104">
                  <c:v>42558</c:v>
                </c:pt>
                <c:pt idx="105">
                  <c:v>42559</c:v>
                </c:pt>
                <c:pt idx="106">
                  <c:v>42562</c:v>
                </c:pt>
                <c:pt idx="107">
                  <c:v>42563</c:v>
                </c:pt>
                <c:pt idx="108">
                  <c:v>42564</c:v>
                </c:pt>
                <c:pt idx="109">
                  <c:v>42565</c:v>
                </c:pt>
                <c:pt idx="110">
                  <c:v>42566</c:v>
                </c:pt>
                <c:pt idx="111">
                  <c:v>42569</c:v>
                </c:pt>
                <c:pt idx="112">
                  <c:v>42570</c:v>
                </c:pt>
                <c:pt idx="113">
                  <c:v>42571</c:v>
                </c:pt>
                <c:pt idx="114">
                  <c:v>42572</c:v>
                </c:pt>
                <c:pt idx="115">
                  <c:v>42573</c:v>
                </c:pt>
                <c:pt idx="116">
                  <c:v>42576</c:v>
                </c:pt>
                <c:pt idx="117">
                  <c:v>42577</c:v>
                </c:pt>
                <c:pt idx="118">
                  <c:v>42578</c:v>
                </c:pt>
                <c:pt idx="119">
                  <c:v>42579</c:v>
                </c:pt>
                <c:pt idx="120">
                  <c:v>42580</c:v>
                </c:pt>
                <c:pt idx="121">
                  <c:v>42583</c:v>
                </c:pt>
                <c:pt idx="122">
                  <c:v>42584</c:v>
                </c:pt>
                <c:pt idx="123">
                  <c:v>42585</c:v>
                </c:pt>
                <c:pt idx="124">
                  <c:v>42586</c:v>
                </c:pt>
                <c:pt idx="125">
                  <c:v>42587</c:v>
                </c:pt>
                <c:pt idx="126">
                  <c:v>42590</c:v>
                </c:pt>
                <c:pt idx="127">
                  <c:v>42591</c:v>
                </c:pt>
                <c:pt idx="128">
                  <c:v>42592</c:v>
                </c:pt>
                <c:pt idx="129">
                  <c:v>42593</c:v>
                </c:pt>
                <c:pt idx="130">
                  <c:v>42594</c:v>
                </c:pt>
                <c:pt idx="131">
                  <c:v>42597</c:v>
                </c:pt>
                <c:pt idx="132">
                  <c:v>42598</c:v>
                </c:pt>
                <c:pt idx="133">
                  <c:v>42599</c:v>
                </c:pt>
                <c:pt idx="134">
                  <c:v>42600</c:v>
                </c:pt>
                <c:pt idx="135">
                  <c:v>42601</c:v>
                </c:pt>
                <c:pt idx="136">
                  <c:v>42604</c:v>
                </c:pt>
                <c:pt idx="137">
                  <c:v>42605</c:v>
                </c:pt>
                <c:pt idx="138">
                  <c:v>42606</c:v>
                </c:pt>
                <c:pt idx="139">
                  <c:v>42607</c:v>
                </c:pt>
                <c:pt idx="140">
                  <c:v>42608</c:v>
                </c:pt>
                <c:pt idx="141">
                  <c:v>42612</c:v>
                </c:pt>
                <c:pt idx="142">
                  <c:v>42613</c:v>
                </c:pt>
                <c:pt idx="143">
                  <c:v>42614</c:v>
                </c:pt>
                <c:pt idx="144">
                  <c:v>42615</c:v>
                </c:pt>
                <c:pt idx="145">
                  <c:v>42618</c:v>
                </c:pt>
                <c:pt idx="146">
                  <c:v>42619</c:v>
                </c:pt>
                <c:pt idx="147">
                  <c:v>42620</c:v>
                </c:pt>
                <c:pt idx="148">
                  <c:v>42621</c:v>
                </c:pt>
                <c:pt idx="149">
                  <c:v>42622</c:v>
                </c:pt>
                <c:pt idx="150">
                  <c:v>42625</c:v>
                </c:pt>
                <c:pt idx="151">
                  <c:v>42626</c:v>
                </c:pt>
                <c:pt idx="152">
                  <c:v>42627</c:v>
                </c:pt>
                <c:pt idx="153">
                  <c:v>42628</c:v>
                </c:pt>
                <c:pt idx="154">
                  <c:v>42629</c:v>
                </c:pt>
                <c:pt idx="155">
                  <c:v>42632</c:v>
                </c:pt>
                <c:pt idx="156">
                  <c:v>42633</c:v>
                </c:pt>
                <c:pt idx="157">
                  <c:v>42634</c:v>
                </c:pt>
                <c:pt idx="158">
                  <c:v>42635</c:v>
                </c:pt>
                <c:pt idx="159">
                  <c:v>42636</c:v>
                </c:pt>
                <c:pt idx="160">
                  <c:v>42639</c:v>
                </c:pt>
                <c:pt idx="161">
                  <c:v>42640</c:v>
                </c:pt>
                <c:pt idx="162">
                  <c:v>42641</c:v>
                </c:pt>
                <c:pt idx="163">
                  <c:v>42642</c:v>
                </c:pt>
                <c:pt idx="164">
                  <c:v>42643</c:v>
                </c:pt>
                <c:pt idx="165">
                  <c:v>42646</c:v>
                </c:pt>
                <c:pt idx="166">
                  <c:v>42647</c:v>
                </c:pt>
                <c:pt idx="167">
                  <c:v>42648</c:v>
                </c:pt>
                <c:pt idx="168">
                  <c:v>42649</c:v>
                </c:pt>
                <c:pt idx="169">
                  <c:v>42650</c:v>
                </c:pt>
                <c:pt idx="170">
                  <c:v>42653</c:v>
                </c:pt>
                <c:pt idx="171">
                  <c:v>42654</c:v>
                </c:pt>
                <c:pt idx="172">
                  <c:v>42655</c:v>
                </c:pt>
                <c:pt idx="173">
                  <c:v>42656</c:v>
                </c:pt>
                <c:pt idx="174">
                  <c:v>42657</c:v>
                </c:pt>
                <c:pt idx="175">
                  <c:v>42660</c:v>
                </c:pt>
                <c:pt idx="176">
                  <c:v>42661</c:v>
                </c:pt>
                <c:pt idx="177">
                  <c:v>42662</c:v>
                </c:pt>
                <c:pt idx="178">
                  <c:v>42663</c:v>
                </c:pt>
                <c:pt idx="179">
                  <c:v>42664</c:v>
                </c:pt>
                <c:pt idx="180">
                  <c:v>42667</c:v>
                </c:pt>
                <c:pt idx="181">
                  <c:v>42668</c:v>
                </c:pt>
                <c:pt idx="182">
                  <c:v>42669</c:v>
                </c:pt>
                <c:pt idx="183">
                  <c:v>42670</c:v>
                </c:pt>
                <c:pt idx="184">
                  <c:v>42671</c:v>
                </c:pt>
                <c:pt idx="185">
                  <c:v>42674</c:v>
                </c:pt>
              </c:numCache>
            </c:numRef>
          </c:cat>
          <c:val>
            <c:numRef>
              <c:f>'CFD Data'!$O$2:$O$187</c:f>
              <c:numCache>
                <c:formatCode>General</c:formatCode>
                <c:ptCount val="18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13</c:v>
                </c:pt>
                <c:pt idx="17">
                  <c:v>13</c:v>
                </c:pt>
                <c:pt idx="18">
                  <c:v>16</c:v>
                </c:pt>
                <c:pt idx="19">
                  <c:v>16</c:v>
                </c:pt>
                <c:pt idx="20">
                  <c:v>18</c:v>
                </c:pt>
                <c:pt idx="21">
                  <c:v>19</c:v>
                </c:pt>
                <c:pt idx="22">
                  <c:v>19</c:v>
                </c:pt>
                <c:pt idx="23">
                  <c:v>20</c:v>
                </c:pt>
                <c:pt idx="24">
                  <c:v>20</c:v>
                </c:pt>
                <c:pt idx="25">
                  <c:v>21</c:v>
                </c:pt>
                <c:pt idx="26">
                  <c:v>21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27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32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48</c:v>
                </c:pt>
                <c:pt idx="53">
                  <c:v>48</c:v>
                </c:pt>
                <c:pt idx="54">
                  <c:v>49</c:v>
                </c:pt>
                <c:pt idx="55">
                  <c:v>49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54</c:v>
                </c:pt>
                <c:pt idx="62">
                  <c:v>56</c:v>
                </c:pt>
                <c:pt idx="63">
                  <c:v>56</c:v>
                </c:pt>
                <c:pt idx="64">
                  <c:v>59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61</c:v>
                </c:pt>
                <c:pt idx="69">
                  <c:v>61</c:v>
                </c:pt>
                <c:pt idx="70">
                  <c:v>62</c:v>
                </c:pt>
                <c:pt idx="71">
                  <c:v>65</c:v>
                </c:pt>
                <c:pt idx="72">
                  <c:v>66</c:v>
                </c:pt>
                <c:pt idx="73">
                  <c:v>66</c:v>
                </c:pt>
                <c:pt idx="74">
                  <c:v>67</c:v>
                </c:pt>
                <c:pt idx="75">
                  <c:v>68</c:v>
                </c:pt>
                <c:pt idx="76">
                  <c:v>69</c:v>
                </c:pt>
                <c:pt idx="77">
                  <c:v>69</c:v>
                </c:pt>
                <c:pt idx="78">
                  <c:v>70</c:v>
                </c:pt>
                <c:pt idx="79">
                  <c:v>71.095238095238102</c:v>
                </c:pt>
                <c:pt idx="80">
                  <c:v>72.190476190476204</c:v>
                </c:pt>
                <c:pt idx="81">
                  <c:v>73.285714285714306</c:v>
                </c:pt>
                <c:pt idx="82">
                  <c:v>74.380952380952408</c:v>
                </c:pt>
                <c:pt idx="83">
                  <c:v>75.47619047619051</c:v>
                </c:pt>
                <c:pt idx="84">
                  <c:v>76.571428571428612</c:v>
                </c:pt>
                <c:pt idx="85">
                  <c:v>77.666666666666714</c:v>
                </c:pt>
                <c:pt idx="86">
                  <c:v>78.761904761904816</c:v>
                </c:pt>
                <c:pt idx="87">
                  <c:v>79.857142857142918</c:v>
                </c:pt>
                <c:pt idx="88">
                  <c:v>80.95238095238102</c:v>
                </c:pt>
                <c:pt idx="89">
                  <c:v>82.047619047619122</c:v>
                </c:pt>
                <c:pt idx="90">
                  <c:v>83.142857142857224</c:v>
                </c:pt>
                <c:pt idx="91">
                  <c:v>84.238095238095326</c:v>
                </c:pt>
                <c:pt idx="92">
                  <c:v>85.333333333333428</c:v>
                </c:pt>
                <c:pt idx="93">
                  <c:v>86.42857142857153</c:v>
                </c:pt>
                <c:pt idx="94">
                  <c:v>87.523809523809632</c:v>
                </c:pt>
                <c:pt idx="95">
                  <c:v>88.619047619047734</c:v>
                </c:pt>
                <c:pt idx="96">
                  <c:v>89.714285714285836</c:v>
                </c:pt>
                <c:pt idx="97">
                  <c:v>90.809523809523938</c:v>
                </c:pt>
                <c:pt idx="98">
                  <c:v>91.90476190476204</c:v>
                </c:pt>
                <c:pt idx="99">
                  <c:v>93.000000000000142</c:v>
                </c:pt>
                <c:pt idx="100">
                  <c:v>94.095238095238244</c:v>
                </c:pt>
                <c:pt idx="101">
                  <c:v>95.190476190476346</c:v>
                </c:pt>
                <c:pt idx="102">
                  <c:v>96.285714285714448</c:v>
                </c:pt>
                <c:pt idx="103">
                  <c:v>97.38095238095255</c:v>
                </c:pt>
                <c:pt idx="104">
                  <c:v>98.476190476190652</c:v>
                </c:pt>
                <c:pt idx="105">
                  <c:v>99.571428571428754</c:v>
                </c:pt>
                <c:pt idx="106">
                  <c:v>100.66666666666686</c:v>
                </c:pt>
                <c:pt idx="107">
                  <c:v>101.76190476190496</c:v>
                </c:pt>
                <c:pt idx="108">
                  <c:v>102.85714285714306</c:v>
                </c:pt>
                <c:pt idx="109">
                  <c:v>103.95238095238116</c:v>
                </c:pt>
                <c:pt idx="110">
                  <c:v>105.04761904761926</c:v>
                </c:pt>
                <c:pt idx="111">
                  <c:v>106.14285714285737</c:v>
                </c:pt>
                <c:pt idx="112">
                  <c:v>107.23809523809547</c:v>
                </c:pt>
                <c:pt idx="113">
                  <c:v>108.33333333333357</c:v>
                </c:pt>
                <c:pt idx="114">
                  <c:v>109.42857142857167</c:v>
                </c:pt>
                <c:pt idx="115">
                  <c:v>110.52380952380977</c:v>
                </c:pt>
                <c:pt idx="116">
                  <c:v>111.61904761904788</c:v>
                </c:pt>
                <c:pt idx="117">
                  <c:v>112.71428571428598</c:v>
                </c:pt>
                <c:pt idx="118">
                  <c:v>113.80952380952408</c:v>
                </c:pt>
                <c:pt idx="119">
                  <c:v>114.90476190476218</c:v>
                </c:pt>
                <c:pt idx="120">
                  <c:v>116.00000000000028</c:v>
                </c:pt>
                <c:pt idx="121">
                  <c:v>117.09523809523839</c:v>
                </c:pt>
                <c:pt idx="122">
                  <c:v>118.19047619047649</c:v>
                </c:pt>
                <c:pt idx="123">
                  <c:v>119.28571428571459</c:v>
                </c:pt>
                <c:pt idx="124">
                  <c:v>120.38095238095269</c:v>
                </c:pt>
                <c:pt idx="125">
                  <c:v>121.47619047619079</c:v>
                </c:pt>
                <c:pt idx="126">
                  <c:v>122.5714285714289</c:v>
                </c:pt>
                <c:pt idx="127">
                  <c:v>123.666666666667</c:v>
                </c:pt>
                <c:pt idx="128">
                  <c:v>124.7619047619051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750-4617-8F43-B5F7B1149700}"/>
            </c:ext>
          </c:extLst>
        </c:ser>
        <c:ser>
          <c:idx val="5"/>
          <c:order val="10"/>
          <c:tx>
            <c:strRef>
              <c:f>'CFD Data'!$W$1</c:f>
              <c:strCache>
                <c:ptCount val="1"/>
                <c:pt idx="0">
                  <c:v>Future Work</c:v>
                </c:pt>
              </c:strCache>
            </c:strRef>
          </c:tx>
          <c:spPr>
            <a:ln w="254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numRef>
              <c:f>'CFD Data'!$B$2:$B$187</c:f>
              <c:numCache>
                <c:formatCode>dd/mm/yyyy;@</c:formatCode>
                <c:ptCount val="186"/>
                <c:pt idx="0">
                  <c:v>42408</c:v>
                </c:pt>
                <c:pt idx="1">
                  <c:v>42409</c:v>
                </c:pt>
                <c:pt idx="2">
                  <c:v>42410</c:v>
                </c:pt>
                <c:pt idx="3">
                  <c:v>42411</c:v>
                </c:pt>
                <c:pt idx="4">
                  <c:v>42412</c:v>
                </c:pt>
                <c:pt idx="5">
                  <c:v>42415</c:v>
                </c:pt>
                <c:pt idx="6">
                  <c:v>42416</c:v>
                </c:pt>
                <c:pt idx="7">
                  <c:v>42417</c:v>
                </c:pt>
                <c:pt idx="8">
                  <c:v>42418</c:v>
                </c:pt>
                <c:pt idx="9">
                  <c:v>42419</c:v>
                </c:pt>
                <c:pt idx="10">
                  <c:v>42422</c:v>
                </c:pt>
                <c:pt idx="11">
                  <c:v>42423</c:v>
                </c:pt>
                <c:pt idx="12">
                  <c:v>42424</c:v>
                </c:pt>
                <c:pt idx="13">
                  <c:v>42425</c:v>
                </c:pt>
                <c:pt idx="14">
                  <c:v>42426</c:v>
                </c:pt>
                <c:pt idx="15">
                  <c:v>42429</c:v>
                </c:pt>
                <c:pt idx="16">
                  <c:v>42430</c:v>
                </c:pt>
                <c:pt idx="17">
                  <c:v>42431</c:v>
                </c:pt>
                <c:pt idx="18">
                  <c:v>42432</c:v>
                </c:pt>
                <c:pt idx="19">
                  <c:v>42433</c:v>
                </c:pt>
                <c:pt idx="20">
                  <c:v>42436</c:v>
                </c:pt>
                <c:pt idx="21">
                  <c:v>42437</c:v>
                </c:pt>
                <c:pt idx="22">
                  <c:v>42438</c:v>
                </c:pt>
                <c:pt idx="23">
                  <c:v>42439</c:v>
                </c:pt>
                <c:pt idx="24">
                  <c:v>42440</c:v>
                </c:pt>
                <c:pt idx="25">
                  <c:v>42443</c:v>
                </c:pt>
                <c:pt idx="26">
                  <c:v>42444</c:v>
                </c:pt>
                <c:pt idx="27">
                  <c:v>42445</c:v>
                </c:pt>
                <c:pt idx="28">
                  <c:v>42446</c:v>
                </c:pt>
                <c:pt idx="29">
                  <c:v>42447</c:v>
                </c:pt>
                <c:pt idx="30">
                  <c:v>42450</c:v>
                </c:pt>
                <c:pt idx="31">
                  <c:v>42451</c:v>
                </c:pt>
                <c:pt idx="32">
                  <c:v>42452</c:v>
                </c:pt>
                <c:pt idx="33">
                  <c:v>42453</c:v>
                </c:pt>
                <c:pt idx="34">
                  <c:v>42458</c:v>
                </c:pt>
                <c:pt idx="35">
                  <c:v>42459</c:v>
                </c:pt>
                <c:pt idx="36">
                  <c:v>42460</c:v>
                </c:pt>
                <c:pt idx="37">
                  <c:v>42461</c:v>
                </c:pt>
                <c:pt idx="38">
                  <c:v>42464</c:v>
                </c:pt>
                <c:pt idx="39">
                  <c:v>42465</c:v>
                </c:pt>
                <c:pt idx="40">
                  <c:v>42466</c:v>
                </c:pt>
                <c:pt idx="41">
                  <c:v>42467</c:v>
                </c:pt>
                <c:pt idx="42">
                  <c:v>42468</c:v>
                </c:pt>
                <c:pt idx="43">
                  <c:v>42471</c:v>
                </c:pt>
                <c:pt idx="44">
                  <c:v>42472</c:v>
                </c:pt>
                <c:pt idx="45">
                  <c:v>42473</c:v>
                </c:pt>
                <c:pt idx="46">
                  <c:v>42474</c:v>
                </c:pt>
                <c:pt idx="47">
                  <c:v>42475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42485</c:v>
                </c:pt>
                <c:pt idx="54">
                  <c:v>42486</c:v>
                </c:pt>
                <c:pt idx="55">
                  <c:v>42487</c:v>
                </c:pt>
                <c:pt idx="56">
                  <c:v>42488</c:v>
                </c:pt>
                <c:pt idx="57">
                  <c:v>42489</c:v>
                </c:pt>
                <c:pt idx="58">
                  <c:v>42493</c:v>
                </c:pt>
                <c:pt idx="59">
                  <c:v>42494</c:v>
                </c:pt>
                <c:pt idx="60">
                  <c:v>42495</c:v>
                </c:pt>
                <c:pt idx="61">
                  <c:v>42496</c:v>
                </c:pt>
                <c:pt idx="62">
                  <c:v>42499</c:v>
                </c:pt>
                <c:pt idx="63">
                  <c:v>42500</c:v>
                </c:pt>
                <c:pt idx="64">
                  <c:v>42501</c:v>
                </c:pt>
                <c:pt idx="65">
                  <c:v>42502</c:v>
                </c:pt>
                <c:pt idx="66">
                  <c:v>42503</c:v>
                </c:pt>
                <c:pt idx="67">
                  <c:v>42506</c:v>
                </c:pt>
                <c:pt idx="68">
                  <c:v>42507</c:v>
                </c:pt>
                <c:pt idx="69">
                  <c:v>42508</c:v>
                </c:pt>
                <c:pt idx="70">
                  <c:v>42509</c:v>
                </c:pt>
                <c:pt idx="71">
                  <c:v>42510</c:v>
                </c:pt>
                <c:pt idx="72">
                  <c:v>42513</c:v>
                </c:pt>
                <c:pt idx="73">
                  <c:v>42514</c:v>
                </c:pt>
                <c:pt idx="74">
                  <c:v>42515</c:v>
                </c:pt>
                <c:pt idx="75">
                  <c:v>42516</c:v>
                </c:pt>
                <c:pt idx="76">
                  <c:v>42517</c:v>
                </c:pt>
                <c:pt idx="77">
                  <c:v>42521</c:v>
                </c:pt>
                <c:pt idx="78">
                  <c:v>42522</c:v>
                </c:pt>
                <c:pt idx="79">
                  <c:v>42523</c:v>
                </c:pt>
                <c:pt idx="80">
                  <c:v>42524</c:v>
                </c:pt>
                <c:pt idx="81">
                  <c:v>42527</c:v>
                </c:pt>
                <c:pt idx="82">
                  <c:v>42528</c:v>
                </c:pt>
                <c:pt idx="83">
                  <c:v>42529</c:v>
                </c:pt>
                <c:pt idx="84">
                  <c:v>42530</c:v>
                </c:pt>
                <c:pt idx="85">
                  <c:v>42531</c:v>
                </c:pt>
                <c:pt idx="86">
                  <c:v>42534</c:v>
                </c:pt>
                <c:pt idx="87">
                  <c:v>42535</c:v>
                </c:pt>
                <c:pt idx="88">
                  <c:v>42536</c:v>
                </c:pt>
                <c:pt idx="89">
                  <c:v>42537</c:v>
                </c:pt>
                <c:pt idx="90">
                  <c:v>42538</c:v>
                </c:pt>
                <c:pt idx="91">
                  <c:v>42541</c:v>
                </c:pt>
                <c:pt idx="92">
                  <c:v>42542</c:v>
                </c:pt>
                <c:pt idx="93">
                  <c:v>42543</c:v>
                </c:pt>
                <c:pt idx="94">
                  <c:v>42544</c:v>
                </c:pt>
                <c:pt idx="95">
                  <c:v>42545</c:v>
                </c:pt>
                <c:pt idx="96">
                  <c:v>42548</c:v>
                </c:pt>
                <c:pt idx="97">
                  <c:v>42549</c:v>
                </c:pt>
                <c:pt idx="98">
                  <c:v>42550</c:v>
                </c:pt>
                <c:pt idx="99">
                  <c:v>42551</c:v>
                </c:pt>
                <c:pt idx="100">
                  <c:v>42552</c:v>
                </c:pt>
                <c:pt idx="101">
                  <c:v>42555</c:v>
                </c:pt>
                <c:pt idx="102">
                  <c:v>42556</c:v>
                </c:pt>
                <c:pt idx="103">
                  <c:v>42557</c:v>
                </c:pt>
                <c:pt idx="104">
                  <c:v>42558</c:v>
                </c:pt>
                <c:pt idx="105">
                  <c:v>42559</c:v>
                </c:pt>
                <c:pt idx="106">
                  <c:v>42562</c:v>
                </c:pt>
                <c:pt idx="107">
                  <c:v>42563</c:v>
                </c:pt>
                <c:pt idx="108">
                  <c:v>42564</c:v>
                </c:pt>
                <c:pt idx="109">
                  <c:v>42565</c:v>
                </c:pt>
                <c:pt idx="110">
                  <c:v>42566</c:v>
                </c:pt>
                <c:pt idx="111">
                  <c:v>42569</c:v>
                </c:pt>
                <c:pt idx="112">
                  <c:v>42570</c:v>
                </c:pt>
                <c:pt idx="113">
                  <c:v>42571</c:v>
                </c:pt>
                <c:pt idx="114">
                  <c:v>42572</c:v>
                </c:pt>
                <c:pt idx="115">
                  <c:v>42573</c:v>
                </c:pt>
                <c:pt idx="116">
                  <c:v>42576</c:v>
                </c:pt>
                <c:pt idx="117">
                  <c:v>42577</c:v>
                </c:pt>
                <c:pt idx="118">
                  <c:v>42578</c:v>
                </c:pt>
                <c:pt idx="119">
                  <c:v>42579</c:v>
                </c:pt>
                <c:pt idx="120">
                  <c:v>42580</c:v>
                </c:pt>
                <c:pt idx="121">
                  <c:v>42583</c:v>
                </c:pt>
                <c:pt idx="122">
                  <c:v>42584</c:v>
                </c:pt>
                <c:pt idx="123">
                  <c:v>42585</c:v>
                </c:pt>
                <c:pt idx="124">
                  <c:v>42586</c:v>
                </c:pt>
                <c:pt idx="125">
                  <c:v>42587</c:v>
                </c:pt>
                <c:pt idx="126">
                  <c:v>42590</c:v>
                </c:pt>
                <c:pt idx="127">
                  <c:v>42591</c:v>
                </c:pt>
                <c:pt idx="128">
                  <c:v>42592</c:v>
                </c:pt>
                <c:pt idx="129">
                  <c:v>42593</c:v>
                </c:pt>
                <c:pt idx="130">
                  <c:v>42594</c:v>
                </c:pt>
                <c:pt idx="131">
                  <c:v>42597</c:v>
                </c:pt>
                <c:pt idx="132">
                  <c:v>42598</c:v>
                </c:pt>
                <c:pt idx="133">
                  <c:v>42599</c:v>
                </c:pt>
                <c:pt idx="134">
                  <c:v>42600</c:v>
                </c:pt>
                <c:pt idx="135">
                  <c:v>42601</c:v>
                </c:pt>
                <c:pt idx="136">
                  <c:v>42604</c:v>
                </c:pt>
                <c:pt idx="137">
                  <c:v>42605</c:v>
                </c:pt>
                <c:pt idx="138">
                  <c:v>42606</c:v>
                </c:pt>
                <c:pt idx="139">
                  <c:v>42607</c:v>
                </c:pt>
                <c:pt idx="140">
                  <c:v>42608</c:v>
                </c:pt>
                <c:pt idx="141">
                  <c:v>42612</c:v>
                </c:pt>
                <c:pt idx="142">
                  <c:v>42613</c:v>
                </c:pt>
                <c:pt idx="143">
                  <c:v>42614</c:v>
                </c:pt>
                <c:pt idx="144">
                  <c:v>42615</c:v>
                </c:pt>
                <c:pt idx="145">
                  <c:v>42618</c:v>
                </c:pt>
                <c:pt idx="146">
                  <c:v>42619</c:v>
                </c:pt>
                <c:pt idx="147">
                  <c:v>42620</c:v>
                </c:pt>
                <c:pt idx="148">
                  <c:v>42621</c:v>
                </c:pt>
                <c:pt idx="149">
                  <c:v>42622</c:v>
                </c:pt>
                <c:pt idx="150">
                  <c:v>42625</c:v>
                </c:pt>
                <c:pt idx="151">
                  <c:v>42626</c:v>
                </c:pt>
                <c:pt idx="152">
                  <c:v>42627</c:v>
                </c:pt>
                <c:pt idx="153">
                  <c:v>42628</c:v>
                </c:pt>
                <c:pt idx="154">
                  <c:v>42629</c:v>
                </c:pt>
                <c:pt idx="155">
                  <c:v>42632</c:v>
                </c:pt>
                <c:pt idx="156">
                  <c:v>42633</c:v>
                </c:pt>
                <c:pt idx="157">
                  <c:v>42634</c:v>
                </c:pt>
                <c:pt idx="158">
                  <c:v>42635</c:v>
                </c:pt>
                <c:pt idx="159">
                  <c:v>42636</c:v>
                </c:pt>
                <c:pt idx="160">
                  <c:v>42639</c:v>
                </c:pt>
                <c:pt idx="161">
                  <c:v>42640</c:v>
                </c:pt>
                <c:pt idx="162">
                  <c:v>42641</c:v>
                </c:pt>
                <c:pt idx="163">
                  <c:v>42642</c:v>
                </c:pt>
                <c:pt idx="164">
                  <c:v>42643</c:v>
                </c:pt>
                <c:pt idx="165">
                  <c:v>42646</c:v>
                </c:pt>
                <c:pt idx="166">
                  <c:v>42647</c:v>
                </c:pt>
                <c:pt idx="167">
                  <c:v>42648</c:v>
                </c:pt>
                <c:pt idx="168">
                  <c:v>42649</c:v>
                </c:pt>
                <c:pt idx="169">
                  <c:v>42650</c:v>
                </c:pt>
                <c:pt idx="170">
                  <c:v>42653</c:v>
                </c:pt>
                <c:pt idx="171">
                  <c:v>42654</c:v>
                </c:pt>
                <c:pt idx="172">
                  <c:v>42655</c:v>
                </c:pt>
                <c:pt idx="173">
                  <c:v>42656</c:v>
                </c:pt>
                <c:pt idx="174">
                  <c:v>42657</c:v>
                </c:pt>
                <c:pt idx="175">
                  <c:v>42660</c:v>
                </c:pt>
                <c:pt idx="176">
                  <c:v>42661</c:v>
                </c:pt>
                <c:pt idx="177">
                  <c:v>42662</c:v>
                </c:pt>
                <c:pt idx="178">
                  <c:v>42663</c:v>
                </c:pt>
                <c:pt idx="179">
                  <c:v>42664</c:v>
                </c:pt>
                <c:pt idx="180">
                  <c:v>42667</c:v>
                </c:pt>
                <c:pt idx="181">
                  <c:v>42668</c:v>
                </c:pt>
                <c:pt idx="182">
                  <c:v>42669</c:v>
                </c:pt>
                <c:pt idx="183">
                  <c:v>42670</c:v>
                </c:pt>
                <c:pt idx="184">
                  <c:v>42671</c:v>
                </c:pt>
                <c:pt idx="185">
                  <c:v>42674</c:v>
                </c:pt>
              </c:numCache>
            </c:numRef>
          </c:cat>
          <c:val>
            <c:numRef>
              <c:f>'CFD Data'!$W$2:$W$187</c:f>
              <c:numCache>
                <c:formatCode>General</c:formatCode>
                <c:ptCount val="18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10</c:v>
                </c:pt>
                <c:pt idx="10">
                  <c:v>12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15</c:v>
                </c:pt>
                <c:pt idx="15">
                  <c:v>21</c:v>
                </c:pt>
                <c:pt idx="16">
                  <c:v>21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79</c:v>
                </c:pt>
                <c:pt idx="23">
                  <c:v>82</c:v>
                </c:pt>
                <c:pt idx="24">
                  <c:v>82</c:v>
                </c:pt>
                <c:pt idx="25">
                  <c:v>82</c:v>
                </c:pt>
                <c:pt idx="26">
                  <c:v>84</c:v>
                </c:pt>
                <c:pt idx="27">
                  <c:v>84</c:v>
                </c:pt>
                <c:pt idx="28">
                  <c:v>84</c:v>
                </c:pt>
                <c:pt idx="29">
                  <c:v>84</c:v>
                </c:pt>
                <c:pt idx="30">
                  <c:v>84</c:v>
                </c:pt>
                <c:pt idx="31">
                  <c:v>86</c:v>
                </c:pt>
                <c:pt idx="32">
                  <c:v>86</c:v>
                </c:pt>
                <c:pt idx="33">
                  <c:v>86</c:v>
                </c:pt>
                <c:pt idx="34">
                  <c:v>86</c:v>
                </c:pt>
                <c:pt idx="35">
                  <c:v>86</c:v>
                </c:pt>
                <c:pt idx="36">
                  <c:v>86</c:v>
                </c:pt>
                <c:pt idx="37">
                  <c:v>87</c:v>
                </c:pt>
                <c:pt idx="38">
                  <c:v>87</c:v>
                </c:pt>
                <c:pt idx="39">
                  <c:v>87</c:v>
                </c:pt>
                <c:pt idx="40">
                  <c:v>87</c:v>
                </c:pt>
                <c:pt idx="41">
                  <c:v>87</c:v>
                </c:pt>
                <c:pt idx="42">
                  <c:v>87</c:v>
                </c:pt>
                <c:pt idx="43">
                  <c:v>89</c:v>
                </c:pt>
                <c:pt idx="44">
                  <c:v>89</c:v>
                </c:pt>
                <c:pt idx="45">
                  <c:v>89</c:v>
                </c:pt>
                <c:pt idx="46">
                  <c:v>91</c:v>
                </c:pt>
                <c:pt idx="47">
                  <c:v>91</c:v>
                </c:pt>
                <c:pt idx="48">
                  <c:v>91</c:v>
                </c:pt>
                <c:pt idx="49">
                  <c:v>91</c:v>
                </c:pt>
                <c:pt idx="50">
                  <c:v>91</c:v>
                </c:pt>
                <c:pt idx="51">
                  <c:v>94</c:v>
                </c:pt>
                <c:pt idx="52">
                  <c:v>96</c:v>
                </c:pt>
                <c:pt idx="53">
                  <c:v>96</c:v>
                </c:pt>
                <c:pt idx="54">
                  <c:v>97</c:v>
                </c:pt>
                <c:pt idx="55">
                  <c:v>99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101</c:v>
                </c:pt>
                <c:pt idx="60">
                  <c:v>102</c:v>
                </c:pt>
                <c:pt idx="61">
                  <c:v>102</c:v>
                </c:pt>
                <c:pt idx="62">
                  <c:v>107</c:v>
                </c:pt>
                <c:pt idx="63">
                  <c:v>109</c:v>
                </c:pt>
                <c:pt idx="64">
                  <c:v>112</c:v>
                </c:pt>
                <c:pt idx="65">
                  <c:v>113</c:v>
                </c:pt>
                <c:pt idx="66">
                  <c:v>114</c:v>
                </c:pt>
                <c:pt idx="67">
                  <c:v>115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119</c:v>
                </c:pt>
                <c:pt idx="72">
                  <c:v>119</c:v>
                </c:pt>
                <c:pt idx="73">
                  <c:v>119</c:v>
                </c:pt>
                <c:pt idx="74">
                  <c:v>121</c:v>
                </c:pt>
                <c:pt idx="75">
                  <c:v>122</c:v>
                </c:pt>
                <c:pt idx="76">
                  <c:v>123</c:v>
                </c:pt>
                <c:pt idx="77">
                  <c:v>123</c:v>
                </c:pt>
                <c:pt idx="78">
                  <c:v>124</c:v>
                </c:pt>
                <c:pt idx="79">
                  <c:v>124</c:v>
                </c:pt>
                <c:pt idx="80">
                  <c:v>124</c:v>
                </c:pt>
                <c:pt idx="81">
                  <c:v>124</c:v>
                </c:pt>
                <c:pt idx="82">
                  <c:v>124</c:v>
                </c:pt>
                <c:pt idx="83">
                  <c:v>124</c:v>
                </c:pt>
                <c:pt idx="84">
                  <c:v>124</c:v>
                </c:pt>
                <c:pt idx="85">
                  <c:v>124</c:v>
                </c:pt>
                <c:pt idx="86">
                  <c:v>124</c:v>
                </c:pt>
                <c:pt idx="87">
                  <c:v>124</c:v>
                </c:pt>
                <c:pt idx="88">
                  <c:v>124</c:v>
                </c:pt>
                <c:pt idx="89">
                  <c:v>124</c:v>
                </c:pt>
                <c:pt idx="90">
                  <c:v>124</c:v>
                </c:pt>
                <c:pt idx="91">
                  <c:v>124</c:v>
                </c:pt>
                <c:pt idx="92">
                  <c:v>124</c:v>
                </c:pt>
                <c:pt idx="93">
                  <c:v>124</c:v>
                </c:pt>
                <c:pt idx="94">
                  <c:v>124</c:v>
                </c:pt>
                <c:pt idx="95">
                  <c:v>124</c:v>
                </c:pt>
                <c:pt idx="96">
                  <c:v>124</c:v>
                </c:pt>
                <c:pt idx="97">
                  <c:v>124</c:v>
                </c:pt>
                <c:pt idx="98">
                  <c:v>124</c:v>
                </c:pt>
                <c:pt idx="99">
                  <c:v>124</c:v>
                </c:pt>
                <c:pt idx="100">
                  <c:v>124</c:v>
                </c:pt>
                <c:pt idx="101">
                  <c:v>124</c:v>
                </c:pt>
                <c:pt idx="102">
                  <c:v>124</c:v>
                </c:pt>
                <c:pt idx="103">
                  <c:v>124</c:v>
                </c:pt>
                <c:pt idx="104">
                  <c:v>124</c:v>
                </c:pt>
                <c:pt idx="105">
                  <c:v>124</c:v>
                </c:pt>
                <c:pt idx="106">
                  <c:v>124</c:v>
                </c:pt>
                <c:pt idx="107">
                  <c:v>124</c:v>
                </c:pt>
                <c:pt idx="108">
                  <c:v>124</c:v>
                </c:pt>
                <c:pt idx="109">
                  <c:v>124</c:v>
                </c:pt>
                <c:pt idx="110">
                  <c:v>124</c:v>
                </c:pt>
                <c:pt idx="111">
                  <c:v>124</c:v>
                </c:pt>
                <c:pt idx="112">
                  <c:v>124</c:v>
                </c:pt>
                <c:pt idx="113">
                  <c:v>124</c:v>
                </c:pt>
                <c:pt idx="114">
                  <c:v>124</c:v>
                </c:pt>
                <c:pt idx="115">
                  <c:v>124</c:v>
                </c:pt>
                <c:pt idx="116">
                  <c:v>124</c:v>
                </c:pt>
                <c:pt idx="117">
                  <c:v>124</c:v>
                </c:pt>
                <c:pt idx="118">
                  <c:v>124</c:v>
                </c:pt>
                <c:pt idx="119">
                  <c:v>124</c:v>
                </c:pt>
                <c:pt idx="120">
                  <c:v>124</c:v>
                </c:pt>
                <c:pt idx="121">
                  <c:v>124</c:v>
                </c:pt>
                <c:pt idx="122">
                  <c:v>124</c:v>
                </c:pt>
                <c:pt idx="123">
                  <c:v>124</c:v>
                </c:pt>
                <c:pt idx="124">
                  <c:v>124</c:v>
                </c:pt>
                <c:pt idx="125">
                  <c:v>124</c:v>
                </c:pt>
                <c:pt idx="126">
                  <c:v>124</c:v>
                </c:pt>
                <c:pt idx="127">
                  <c:v>124</c:v>
                </c:pt>
                <c:pt idx="128">
                  <c:v>124</c:v>
                </c:pt>
                <c:pt idx="129">
                  <c:v>124</c:v>
                </c:pt>
                <c:pt idx="130">
                  <c:v>124</c:v>
                </c:pt>
                <c:pt idx="131">
                  <c:v>124</c:v>
                </c:pt>
                <c:pt idx="132">
                  <c:v>124</c:v>
                </c:pt>
                <c:pt idx="133">
                  <c:v>124</c:v>
                </c:pt>
                <c:pt idx="134">
                  <c:v>124</c:v>
                </c:pt>
                <c:pt idx="135">
                  <c:v>124</c:v>
                </c:pt>
                <c:pt idx="136">
                  <c:v>124</c:v>
                </c:pt>
                <c:pt idx="137">
                  <c:v>124</c:v>
                </c:pt>
                <c:pt idx="138">
                  <c:v>124</c:v>
                </c:pt>
                <c:pt idx="139">
                  <c:v>124</c:v>
                </c:pt>
                <c:pt idx="140">
                  <c:v>124</c:v>
                </c:pt>
                <c:pt idx="141">
                  <c:v>124</c:v>
                </c:pt>
                <c:pt idx="142">
                  <c:v>124</c:v>
                </c:pt>
                <c:pt idx="143">
                  <c:v>124</c:v>
                </c:pt>
                <c:pt idx="144">
                  <c:v>124</c:v>
                </c:pt>
                <c:pt idx="145">
                  <c:v>124</c:v>
                </c:pt>
                <c:pt idx="146">
                  <c:v>124</c:v>
                </c:pt>
                <c:pt idx="147">
                  <c:v>124</c:v>
                </c:pt>
                <c:pt idx="148">
                  <c:v>124</c:v>
                </c:pt>
                <c:pt idx="149">
                  <c:v>124</c:v>
                </c:pt>
                <c:pt idx="150">
                  <c:v>124</c:v>
                </c:pt>
                <c:pt idx="151">
                  <c:v>124</c:v>
                </c:pt>
                <c:pt idx="152">
                  <c:v>124</c:v>
                </c:pt>
                <c:pt idx="153">
                  <c:v>124</c:v>
                </c:pt>
                <c:pt idx="154">
                  <c:v>124</c:v>
                </c:pt>
                <c:pt idx="155">
                  <c:v>124</c:v>
                </c:pt>
                <c:pt idx="156">
                  <c:v>124</c:v>
                </c:pt>
                <c:pt idx="157">
                  <c:v>124</c:v>
                </c:pt>
                <c:pt idx="158">
                  <c:v>124</c:v>
                </c:pt>
                <c:pt idx="159">
                  <c:v>124</c:v>
                </c:pt>
                <c:pt idx="160">
                  <c:v>124</c:v>
                </c:pt>
                <c:pt idx="161">
                  <c:v>124</c:v>
                </c:pt>
                <c:pt idx="162">
                  <c:v>124</c:v>
                </c:pt>
                <c:pt idx="163">
                  <c:v>124</c:v>
                </c:pt>
                <c:pt idx="164">
                  <c:v>124</c:v>
                </c:pt>
                <c:pt idx="165">
                  <c:v>124</c:v>
                </c:pt>
                <c:pt idx="166">
                  <c:v>124</c:v>
                </c:pt>
                <c:pt idx="167">
                  <c:v>124</c:v>
                </c:pt>
                <c:pt idx="168">
                  <c:v>124</c:v>
                </c:pt>
                <c:pt idx="169">
                  <c:v>124</c:v>
                </c:pt>
                <c:pt idx="170">
                  <c:v>124</c:v>
                </c:pt>
                <c:pt idx="171">
                  <c:v>124</c:v>
                </c:pt>
                <c:pt idx="172">
                  <c:v>124</c:v>
                </c:pt>
                <c:pt idx="173">
                  <c:v>124</c:v>
                </c:pt>
                <c:pt idx="174">
                  <c:v>124</c:v>
                </c:pt>
                <c:pt idx="175">
                  <c:v>124</c:v>
                </c:pt>
                <c:pt idx="176">
                  <c:v>124</c:v>
                </c:pt>
                <c:pt idx="177">
                  <c:v>124</c:v>
                </c:pt>
                <c:pt idx="178">
                  <c:v>124</c:v>
                </c:pt>
                <c:pt idx="179">
                  <c:v>124</c:v>
                </c:pt>
                <c:pt idx="180">
                  <c:v>124</c:v>
                </c:pt>
                <c:pt idx="181">
                  <c:v>124</c:v>
                </c:pt>
                <c:pt idx="182">
                  <c:v>124</c:v>
                </c:pt>
                <c:pt idx="183">
                  <c:v>124</c:v>
                </c:pt>
                <c:pt idx="184">
                  <c:v>124</c:v>
                </c:pt>
                <c:pt idx="185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750-4617-8F43-B5F7B1149700}"/>
            </c:ext>
          </c:extLst>
        </c:ser>
        <c:ser>
          <c:idx val="11"/>
          <c:order val="11"/>
          <c:tx>
            <c:strRef>
              <c:f>'CFD Data'!$D$1</c:f>
              <c:strCache>
                <c:ptCount val="1"/>
                <c:pt idx="0">
                  <c:v>Goal Done</c:v>
                </c:pt>
              </c:strCache>
            </c:strRef>
          </c:tx>
          <c:marker>
            <c:symbol val="none"/>
          </c:marker>
          <c:cat>
            <c:numRef>
              <c:f>'CFD Data'!$B$2:$B$187</c:f>
              <c:numCache>
                <c:formatCode>dd/mm/yyyy;@</c:formatCode>
                <c:ptCount val="186"/>
                <c:pt idx="0">
                  <c:v>42408</c:v>
                </c:pt>
                <c:pt idx="1">
                  <c:v>42409</c:v>
                </c:pt>
                <c:pt idx="2">
                  <c:v>42410</c:v>
                </c:pt>
                <c:pt idx="3">
                  <c:v>42411</c:v>
                </c:pt>
                <c:pt idx="4">
                  <c:v>42412</c:v>
                </c:pt>
                <c:pt idx="5">
                  <c:v>42415</c:v>
                </c:pt>
                <c:pt idx="6">
                  <c:v>42416</c:v>
                </c:pt>
                <c:pt idx="7">
                  <c:v>42417</c:v>
                </c:pt>
                <c:pt idx="8">
                  <c:v>42418</c:v>
                </c:pt>
                <c:pt idx="9">
                  <c:v>42419</c:v>
                </c:pt>
                <c:pt idx="10">
                  <c:v>42422</c:v>
                </c:pt>
                <c:pt idx="11">
                  <c:v>42423</c:v>
                </c:pt>
                <c:pt idx="12">
                  <c:v>42424</c:v>
                </c:pt>
                <c:pt idx="13">
                  <c:v>42425</c:v>
                </c:pt>
                <c:pt idx="14">
                  <c:v>42426</c:v>
                </c:pt>
                <c:pt idx="15">
                  <c:v>42429</c:v>
                </c:pt>
                <c:pt idx="16">
                  <c:v>42430</c:v>
                </c:pt>
                <c:pt idx="17">
                  <c:v>42431</c:v>
                </c:pt>
                <c:pt idx="18">
                  <c:v>42432</c:v>
                </c:pt>
                <c:pt idx="19">
                  <c:v>42433</c:v>
                </c:pt>
                <c:pt idx="20">
                  <c:v>42436</c:v>
                </c:pt>
                <c:pt idx="21">
                  <c:v>42437</c:v>
                </c:pt>
                <c:pt idx="22">
                  <c:v>42438</c:v>
                </c:pt>
                <c:pt idx="23">
                  <c:v>42439</c:v>
                </c:pt>
                <c:pt idx="24">
                  <c:v>42440</c:v>
                </c:pt>
                <c:pt idx="25">
                  <c:v>42443</c:v>
                </c:pt>
                <c:pt idx="26">
                  <c:v>42444</c:v>
                </c:pt>
                <c:pt idx="27">
                  <c:v>42445</c:v>
                </c:pt>
                <c:pt idx="28">
                  <c:v>42446</c:v>
                </c:pt>
                <c:pt idx="29">
                  <c:v>42447</c:v>
                </c:pt>
                <c:pt idx="30">
                  <c:v>42450</c:v>
                </c:pt>
                <c:pt idx="31">
                  <c:v>42451</c:v>
                </c:pt>
                <c:pt idx="32">
                  <c:v>42452</c:v>
                </c:pt>
                <c:pt idx="33">
                  <c:v>42453</c:v>
                </c:pt>
                <c:pt idx="34">
                  <c:v>42458</c:v>
                </c:pt>
                <c:pt idx="35">
                  <c:v>42459</c:v>
                </c:pt>
                <c:pt idx="36">
                  <c:v>42460</c:v>
                </c:pt>
                <c:pt idx="37">
                  <c:v>42461</c:v>
                </c:pt>
                <c:pt idx="38">
                  <c:v>42464</c:v>
                </c:pt>
                <c:pt idx="39">
                  <c:v>42465</c:v>
                </c:pt>
                <c:pt idx="40">
                  <c:v>42466</c:v>
                </c:pt>
                <c:pt idx="41">
                  <c:v>42467</c:v>
                </c:pt>
                <c:pt idx="42">
                  <c:v>42468</c:v>
                </c:pt>
                <c:pt idx="43">
                  <c:v>42471</c:v>
                </c:pt>
                <c:pt idx="44">
                  <c:v>42472</c:v>
                </c:pt>
                <c:pt idx="45">
                  <c:v>42473</c:v>
                </c:pt>
                <c:pt idx="46">
                  <c:v>42474</c:v>
                </c:pt>
                <c:pt idx="47">
                  <c:v>42475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42485</c:v>
                </c:pt>
                <c:pt idx="54">
                  <c:v>42486</c:v>
                </c:pt>
                <c:pt idx="55">
                  <c:v>42487</c:v>
                </c:pt>
                <c:pt idx="56">
                  <c:v>42488</c:v>
                </c:pt>
                <c:pt idx="57">
                  <c:v>42489</c:v>
                </c:pt>
                <c:pt idx="58">
                  <c:v>42493</c:v>
                </c:pt>
                <c:pt idx="59">
                  <c:v>42494</c:v>
                </c:pt>
                <c:pt idx="60">
                  <c:v>42495</c:v>
                </c:pt>
                <c:pt idx="61">
                  <c:v>42496</c:v>
                </c:pt>
                <c:pt idx="62">
                  <c:v>42499</c:v>
                </c:pt>
                <c:pt idx="63">
                  <c:v>42500</c:v>
                </c:pt>
                <c:pt idx="64">
                  <c:v>42501</c:v>
                </c:pt>
                <c:pt idx="65">
                  <c:v>42502</c:v>
                </c:pt>
                <c:pt idx="66">
                  <c:v>42503</c:v>
                </c:pt>
                <c:pt idx="67">
                  <c:v>42506</c:v>
                </c:pt>
                <c:pt idx="68">
                  <c:v>42507</c:v>
                </c:pt>
                <c:pt idx="69">
                  <c:v>42508</c:v>
                </c:pt>
                <c:pt idx="70">
                  <c:v>42509</c:v>
                </c:pt>
                <c:pt idx="71">
                  <c:v>42510</c:v>
                </c:pt>
                <c:pt idx="72">
                  <c:v>42513</c:v>
                </c:pt>
                <c:pt idx="73">
                  <c:v>42514</c:v>
                </c:pt>
                <c:pt idx="74">
                  <c:v>42515</c:v>
                </c:pt>
                <c:pt idx="75">
                  <c:v>42516</c:v>
                </c:pt>
                <c:pt idx="76">
                  <c:v>42517</c:v>
                </c:pt>
                <c:pt idx="77">
                  <c:v>42521</c:v>
                </c:pt>
                <c:pt idx="78">
                  <c:v>42522</c:v>
                </c:pt>
                <c:pt idx="79">
                  <c:v>42523</c:v>
                </c:pt>
                <c:pt idx="80">
                  <c:v>42524</c:v>
                </c:pt>
                <c:pt idx="81">
                  <c:v>42527</c:v>
                </c:pt>
                <c:pt idx="82">
                  <c:v>42528</c:v>
                </c:pt>
                <c:pt idx="83">
                  <c:v>42529</c:v>
                </c:pt>
                <c:pt idx="84">
                  <c:v>42530</c:v>
                </c:pt>
                <c:pt idx="85">
                  <c:v>42531</c:v>
                </c:pt>
                <c:pt idx="86">
                  <c:v>42534</c:v>
                </c:pt>
                <c:pt idx="87">
                  <c:v>42535</c:v>
                </c:pt>
                <c:pt idx="88">
                  <c:v>42536</c:v>
                </c:pt>
                <c:pt idx="89">
                  <c:v>42537</c:v>
                </c:pt>
                <c:pt idx="90">
                  <c:v>42538</c:v>
                </c:pt>
                <c:pt idx="91">
                  <c:v>42541</c:v>
                </c:pt>
                <c:pt idx="92">
                  <c:v>42542</c:v>
                </c:pt>
                <c:pt idx="93">
                  <c:v>42543</c:v>
                </c:pt>
                <c:pt idx="94">
                  <c:v>42544</c:v>
                </c:pt>
                <c:pt idx="95">
                  <c:v>42545</c:v>
                </c:pt>
                <c:pt idx="96">
                  <c:v>42548</c:v>
                </c:pt>
                <c:pt idx="97">
                  <c:v>42549</c:v>
                </c:pt>
                <c:pt idx="98">
                  <c:v>42550</c:v>
                </c:pt>
                <c:pt idx="99">
                  <c:v>42551</c:v>
                </c:pt>
                <c:pt idx="100">
                  <c:v>42552</c:v>
                </c:pt>
                <c:pt idx="101">
                  <c:v>42555</c:v>
                </c:pt>
                <c:pt idx="102">
                  <c:v>42556</c:v>
                </c:pt>
                <c:pt idx="103">
                  <c:v>42557</c:v>
                </c:pt>
                <c:pt idx="104">
                  <c:v>42558</c:v>
                </c:pt>
                <c:pt idx="105">
                  <c:v>42559</c:v>
                </c:pt>
                <c:pt idx="106">
                  <c:v>42562</c:v>
                </c:pt>
                <c:pt idx="107">
                  <c:v>42563</c:v>
                </c:pt>
                <c:pt idx="108">
                  <c:v>42564</c:v>
                </c:pt>
                <c:pt idx="109">
                  <c:v>42565</c:v>
                </c:pt>
                <c:pt idx="110">
                  <c:v>42566</c:v>
                </c:pt>
                <c:pt idx="111">
                  <c:v>42569</c:v>
                </c:pt>
                <c:pt idx="112">
                  <c:v>42570</c:v>
                </c:pt>
                <c:pt idx="113">
                  <c:v>42571</c:v>
                </c:pt>
                <c:pt idx="114">
                  <c:v>42572</c:v>
                </c:pt>
                <c:pt idx="115">
                  <c:v>42573</c:v>
                </c:pt>
                <c:pt idx="116">
                  <c:v>42576</c:v>
                </c:pt>
                <c:pt idx="117">
                  <c:v>42577</c:v>
                </c:pt>
                <c:pt idx="118">
                  <c:v>42578</c:v>
                </c:pt>
                <c:pt idx="119">
                  <c:v>42579</c:v>
                </c:pt>
                <c:pt idx="120">
                  <c:v>42580</c:v>
                </c:pt>
                <c:pt idx="121">
                  <c:v>42583</c:v>
                </c:pt>
                <c:pt idx="122">
                  <c:v>42584</c:v>
                </c:pt>
                <c:pt idx="123">
                  <c:v>42585</c:v>
                </c:pt>
                <c:pt idx="124">
                  <c:v>42586</c:v>
                </c:pt>
                <c:pt idx="125">
                  <c:v>42587</c:v>
                </c:pt>
                <c:pt idx="126">
                  <c:v>42590</c:v>
                </c:pt>
                <c:pt idx="127">
                  <c:v>42591</c:v>
                </c:pt>
                <c:pt idx="128">
                  <c:v>42592</c:v>
                </c:pt>
                <c:pt idx="129">
                  <c:v>42593</c:v>
                </c:pt>
                <c:pt idx="130">
                  <c:v>42594</c:v>
                </c:pt>
                <c:pt idx="131">
                  <c:v>42597</c:v>
                </c:pt>
                <c:pt idx="132">
                  <c:v>42598</c:v>
                </c:pt>
                <c:pt idx="133">
                  <c:v>42599</c:v>
                </c:pt>
                <c:pt idx="134">
                  <c:v>42600</c:v>
                </c:pt>
                <c:pt idx="135">
                  <c:v>42601</c:v>
                </c:pt>
                <c:pt idx="136">
                  <c:v>42604</c:v>
                </c:pt>
                <c:pt idx="137">
                  <c:v>42605</c:v>
                </c:pt>
                <c:pt idx="138">
                  <c:v>42606</c:v>
                </c:pt>
                <c:pt idx="139">
                  <c:v>42607</c:v>
                </c:pt>
                <c:pt idx="140">
                  <c:v>42608</c:v>
                </c:pt>
                <c:pt idx="141">
                  <c:v>42612</c:v>
                </c:pt>
                <c:pt idx="142">
                  <c:v>42613</c:v>
                </c:pt>
                <c:pt idx="143">
                  <c:v>42614</c:v>
                </c:pt>
                <c:pt idx="144">
                  <c:v>42615</c:v>
                </c:pt>
                <c:pt idx="145">
                  <c:v>42618</c:v>
                </c:pt>
                <c:pt idx="146">
                  <c:v>42619</c:v>
                </c:pt>
                <c:pt idx="147">
                  <c:v>42620</c:v>
                </c:pt>
                <c:pt idx="148">
                  <c:v>42621</c:v>
                </c:pt>
                <c:pt idx="149">
                  <c:v>42622</c:v>
                </c:pt>
                <c:pt idx="150">
                  <c:v>42625</c:v>
                </c:pt>
                <c:pt idx="151">
                  <c:v>42626</c:v>
                </c:pt>
                <c:pt idx="152">
                  <c:v>42627</c:v>
                </c:pt>
                <c:pt idx="153">
                  <c:v>42628</c:v>
                </c:pt>
                <c:pt idx="154">
                  <c:v>42629</c:v>
                </c:pt>
                <c:pt idx="155">
                  <c:v>42632</c:v>
                </c:pt>
                <c:pt idx="156">
                  <c:v>42633</c:v>
                </c:pt>
                <c:pt idx="157">
                  <c:v>42634</c:v>
                </c:pt>
                <c:pt idx="158">
                  <c:v>42635</c:v>
                </c:pt>
                <c:pt idx="159">
                  <c:v>42636</c:v>
                </c:pt>
                <c:pt idx="160">
                  <c:v>42639</c:v>
                </c:pt>
                <c:pt idx="161">
                  <c:v>42640</c:v>
                </c:pt>
                <c:pt idx="162">
                  <c:v>42641</c:v>
                </c:pt>
                <c:pt idx="163">
                  <c:v>42642</c:v>
                </c:pt>
                <c:pt idx="164">
                  <c:v>42643</c:v>
                </c:pt>
                <c:pt idx="165">
                  <c:v>42646</c:v>
                </c:pt>
                <c:pt idx="166">
                  <c:v>42647</c:v>
                </c:pt>
                <c:pt idx="167">
                  <c:v>42648</c:v>
                </c:pt>
                <c:pt idx="168">
                  <c:v>42649</c:v>
                </c:pt>
                <c:pt idx="169">
                  <c:v>42650</c:v>
                </c:pt>
                <c:pt idx="170">
                  <c:v>42653</c:v>
                </c:pt>
                <c:pt idx="171">
                  <c:v>42654</c:v>
                </c:pt>
                <c:pt idx="172">
                  <c:v>42655</c:v>
                </c:pt>
                <c:pt idx="173">
                  <c:v>42656</c:v>
                </c:pt>
                <c:pt idx="174">
                  <c:v>42657</c:v>
                </c:pt>
                <c:pt idx="175">
                  <c:v>42660</c:v>
                </c:pt>
                <c:pt idx="176">
                  <c:v>42661</c:v>
                </c:pt>
                <c:pt idx="177">
                  <c:v>42662</c:v>
                </c:pt>
                <c:pt idx="178">
                  <c:v>42663</c:v>
                </c:pt>
                <c:pt idx="179">
                  <c:v>42664</c:v>
                </c:pt>
                <c:pt idx="180">
                  <c:v>42667</c:v>
                </c:pt>
                <c:pt idx="181">
                  <c:v>42668</c:v>
                </c:pt>
                <c:pt idx="182">
                  <c:v>42669</c:v>
                </c:pt>
                <c:pt idx="183">
                  <c:v>42670</c:v>
                </c:pt>
                <c:pt idx="184">
                  <c:v>42671</c:v>
                </c:pt>
                <c:pt idx="185">
                  <c:v>42674</c:v>
                </c:pt>
              </c:numCache>
            </c:numRef>
          </c:cat>
          <c:val>
            <c:numRef>
              <c:f>'CFD Data'!$D$2:$D$187</c:f>
              <c:numCache>
                <c:formatCode>General</c:formatCode>
                <c:ptCount val="18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36</c:v>
                </c:pt>
                <c:pt idx="23">
                  <c:v>39</c:v>
                </c:pt>
                <c:pt idx="24">
                  <c:v>39</c:v>
                </c:pt>
                <c:pt idx="25">
                  <c:v>39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48</c:v>
                </c:pt>
                <c:pt idx="47">
                  <c:v>48</c:v>
                </c:pt>
                <c:pt idx="48">
                  <c:v>48</c:v>
                </c:pt>
                <c:pt idx="49">
                  <c:v>48</c:v>
                </c:pt>
                <c:pt idx="50">
                  <c:v>48</c:v>
                </c:pt>
                <c:pt idx="51">
                  <c:v>51</c:v>
                </c:pt>
                <c:pt idx="52">
                  <c:v>53</c:v>
                </c:pt>
                <c:pt idx="53">
                  <c:v>53</c:v>
                </c:pt>
                <c:pt idx="54">
                  <c:v>54</c:v>
                </c:pt>
                <c:pt idx="55">
                  <c:v>56</c:v>
                </c:pt>
                <c:pt idx="56">
                  <c:v>57</c:v>
                </c:pt>
                <c:pt idx="57">
                  <c:v>57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59</c:v>
                </c:pt>
                <c:pt idx="62">
                  <c:v>64</c:v>
                </c:pt>
                <c:pt idx="63">
                  <c:v>66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73</c:v>
                </c:pt>
                <c:pt idx="70">
                  <c:v>73</c:v>
                </c:pt>
                <c:pt idx="71">
                  <c:v>76</c:v>
                </c:pt>
                <c:pt idx="72">
                  <c:v>76</c:v>
                </c:pt>
                <c:pt idx="73">
                  <c:v>76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80</c:v>
                </c:pt>
                <c:pt idx="78">
                  <c:v>81</c:v>
                </c:pt>
                <c:pt idx="79">
                  <c:v>81</c:v>
                </c:pt>
                <c:pt idx="80">
                  <c:v>81</c:v>
                </c:pt>
                <c:pt idx="81">
                  <c:v>81</c:v>
                </c:pt>
                <c:pt idx="82">
                  <c:v>81</c:v>
                </c:pt>
                <c:pt idx="83">
                  <c:v>81</c:v>
                </c:pt>
                <c:pt idx="84">
                  <c:v>81</c:v>
                </c:pt>
                <c:pt idx="85">
                  <c:v>81</c:v>
                </c:pt>
                <c:pt idx="86">
                  <c:v>81</c:v>
                </c:pt>
                <c:pt idx="87">
                  <c:v>81</c:v>
                </c:pt>
                <c:pt idx="88">
                  <c:v>81</c:v>
                </c:pt>
                <c:pt idx="89">
                  <c:v>81</c:v>
                </c:pt>
                <c:pt idx="90">
                  <c:v>81</c:v>
                </c:pt>
                <c:pt idx="91">
                  <c:v>81</c:v>
                </c:pt>
                <c:pt idx="92">
                  <c:v>81</c:v>
                </c:pt>
                <c:pt idx="93">
                  <c:v>81</c:v>
                </c:pt>
                <c:pt idx="94">
                  <c:v>81</c:v>
                </c:pt>
                <c:pt idx="95">
                  <c:v>81</c:v>
                </c:pt>
                <c:pt idx="96">
                  <c:v>81</c:v>
                </c:pt>
                <c:pt idx="97">
                  <c:v>81</c:v>
                </c:pt>
                <c:pt idx="98">
                  <c:v>81</c:v>
                </c:pt>
                <c:pt idx="99">
                  <c:v>81</c:v>
                </c:pt>
                <c:pt idx="100">
                  <c:v>81</c:v>
                </c:pt>
                <c:pt idx="101">
                  <c:v>81</c:v>
                </c:pt>
                <c:pt idx="102">
                  <c:v>81</c:v>
                </c:pt>
                <c:pt idx="103">
                  <c:v>81</c:v>
                </c:pt>
                <c:pt idx="104">
                  <c:v>81</c:v>
                </c:pt>
                <c:pt idx="105">
                  <c:v>81</c:v>
                </c:pt>
                <c:pt idx="106">
                  <c:v>81</c:v>
                </c:pt>
                <c:pt idx="107">
                  <c:v>81</c:v>
                </c:pt>
                <c:pt idx="108">
                  <c:v>81</c:v>
                </c:pt>
                <c:pt idx="109">
                  <c:v>81</c:v>
                </c:pt>
                <c:pt idx="110">
                  <c:v>81</c:v>
                </c:pt>
                <c:pt idx="111">
                  <c:v>81</c:v>
                </c:pt>
                <c:pt idx="112">
                  <c:v>81</c:v>
                </c:pt>
                <c:pt idx="113">
                  <c:v>81</c:v>
                </c:pt>
                <c:pt idx="114">
                  <c:v>81</c:v>
                </c:pt>
                <c:pt idx="115">
                  <c:v>81</c:v>
                </c:pt>
                <c:pt idx="116">
                  <c:v>81</c:v>
                </c:pt>
                <c:pt idx="117">
                  <c:v>81</c:v>
                </c:pt>
                <c:pt idx="118">
                  <c:v>81</c:v>
                </c:pt>
                <c:pt idx="119">
                  <c:v>81</c:v>
                </c:pt>
                <c:pt idx="120">
                  <c:v>81</c:v>
                </c:pt>
                <c:pt idx="121">
                  <c:v>81</c:v>
                </c:pt>
                <c:pt idx="122">
                  <c:v>81</c:v>
                </c:pt>
                <c:pt idx="123">
                  <c:v>81</c:v>
                </c:pt>
                <c:pt idx="124">
                  <c:v>81</c:v>
                </c:pt>
                <c:pt idx="125">
                  <c:v>81</c:v>
                </c:pt>
                <c:pt idx="126">
                  <c:v>81</c:v>
                </c:pt>
                <c:pt idx="127">
                  <c:v>81</c:v>
                </c:pt>
                <c:pt idx="128">
                  <c:v>81</c:v>
                </c:pt>
                <c:pt idx="129">
                  <c:v>81</c:v>
                </c:pt>
                <c:pt idx="130">
                  <c:v>81</c:v>
                </c:pt>
                <c:pt idx="131">
                  <c:v>81</c:v>
                </c:pt>
                <c:pt idx="132">
                  <c:v>81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81</c:v>
                </c:pt>
                <c:pt idx="137">
                  <c:v>81</c:v>
                </c:pt>
                <c:pt idx="138">
                  <c:v>81</c:v>
                </c:pt>
                <c:pt idx="139">
                  <c:v>81</c:v>
                </c:pt>
                <c:pt idx="140">
                  <c:v>81</c:v>
                </c:pt>
                <c:pt idx="141">
                  <c:v>81</c:v>
                </c:pt>
                <c:pt idx="142">
                  <c:v>81</c:v>
                </c:pt>
                <c:pt idx="143">
                  <c:v>81</c:v>
                </c:pt>
                <c:pt idx="144">
                  <c:v>81</c:v>
                </c:pt>
                <c:pt idx="145">
                  <c:v>81</c:v>
                </c:pt>
                <c:pt idx="146">
                  <c:v>81</c:v>
                </c:pt>
                <c:pt idx="147">
                  <c:v>81</c:v>
                </c:pt>
                <c:pt idx="148">
                  <c:v>81</c:v>
                </c:pt>
                <c:pt idx="149">
                  <c:v>81</c:v>
                </c:pt>
                <c:pt idx="150">
                  <c:v>81</c:v>
                </c:pt>
                <c:pt idx="151">
                  <c:v>81</c:v>
                </c:pt>
                <c:pt idx="152">
                  <c:v>81</c:v>
                </c:pt>
                <c:pt idx="153">
                  <c:v>81</c:v>
                </c:pt>
                <c:pt idx="154">
                  <c:v>81</c:v>
                </c:pt>
                <c:pt idx="155">
                  <c:v>81</c:v>
                </c:pt>
                <c:pt idx="156">
                  <c:v>81</c:v>
                </c:pt>
                <c:pt idx="157">
                  <c:v>81</c:v>
                </c:pt>
                <c:pt idx="158">
                  <c:v>81</c:v>
                </c:pt>
                <c:pt idx="159">
                  <c:v>81</c:v>
                </c:pt>
                <c:pt idx="160">
                  <c:v>81</c:v>
                </c:pt>
                <c:pt idx="161">
                  <c:v>81</c:v>
                </c:pt>
                <c:pt idx="162">
                  <c:v>81</c:v>
                </c:pt>
                <c:pt idx="163">
                  <c:v>81</c:v>
                </c:pt>
                <c:pt idx="164">
                  <c:v>81</c:v>
                </c:pt>
                <c:pt idx="165">
                  <c:v>81</c:v>
                </c:pt>
                <c:pt idx="166">
                  <c:v>81</c:v>
                </c:pt>
                <c:pt idx="167">
                  <c:v>81</c:v>
                </c:pt>
                <c:pt idx="168">
                  <c:v>81</c:v>
                </c:pt>
                <c:pt idx="169">
                  <c:v>81</c:v>
                </c:pt>
                <c:pt idx="170">
                  <c:v>81</c:v>
                </c:pt>
                <c:pt idx="171">
                  <c:v>81</c:v>
                </c:pt>
                <c:pt idx="172">
                  <c:v>81</c:v>
                </c:pt>
                <c:pt idx="173">
                  <c:v>81</c:v>
                </c:pt>
                <c:pt idx="174">
                  <c:v>81</c:v>
                </c:pt>
                <c:pt idx="175">
                  <c:v>81</c:v>
                </c:pt>
                <c:pt idx="176">
                  <c:v>81</c:v>
                </c:pt>
                <c:pt idx="177">
                  <c:v>81</c:v>
                </c:pt>
                <c:pt idx="178">
                  <c:v>81</c:v>
                </c:pt>
                <c:pt idx="179">
                  <c:v>81</c:v>
                </c:pt>
                <c:pt idx="180">
                  <c:v>81</c:v>
                </c:pt>
                <c:pt idx="181">
                  <c:v>81</c:v>
                </c:pt>
                <c:pt idx="182">
                  <c:v>81</c:v>
                </c:pt>
                <c:pt idx="183">
                  <c:v>81</c:v>
                </c:pt>
                <c:pt idx="184">
                  <c:v>81</c:v>
                </c:pt>
                <c:pt idx="18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750-4617-8F43-B5F7B1149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638992"/>
        <c:axId val="1795200496"/>
      </c:lineChart>
      <c:catAx>
        <c:axId val="1796638992"/>
        <c:scaling>
          <c:orientation val="minMax"/>
          <c:min val="1"/>
        </c:scaling>
        <c:delete val="0"/>
        <c:axPos val="b"/>
        <c:majorGridlines>
          <c:spPr>
            <a:ln>
              <a:solidFill>
                <a:schemeClr val="accent1">
                  <a:alpha val="66000"/>
                </a:schemeClr>
              </a:solidFill>
            </a:ln>
          </c:spPr>
        </c:majorGridlines>
        <c:numFmt formatCode="dd/mm/yyyy;@" sourceLinked="1"/>
        <c:majorTickMark val="out"/>
        <c:minorTickMark val="none"/>
        <c:tickLblPos val="nextTo"/>
        <c:crossAx val="1795200496"/>
        <c:crosses val="autoZero"/>
        <c:auto val="0"/>
        <c:lblAlgn val="ctr"/>
        <c:lblOffset val="100"/>
        <c:noMultiLvlLbl val="1"/>
      </c:catAx>
      <c:valAx>
        <c:axId val="1795200496"/>
        <c:scaling>
          <c:orientation val="minMax"/>
          <c:max val="130"/>
          <c:min val="0"/>
        </c:scaling>
        <c:delete val="0"/>
        <c:axPos val="l"/>
        <c:majorGridlines>
          <c:spPr>
            <a:ln>
              <a:solidFill>
                <a:schemeClr val="accent1">
                  <a:alpha val="56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Work</a:t>
                </a:r>
                <a:r>
                  <a:rPr lang="en-GB" baseline="0"/>
                  <a:t> Items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6638992"/>
        <c:crosses val="autoZero"/>
        <c:crossBetween val="between"/>
        <c:majorUnit val="5"/>
        <c:minorUnit val="5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7.1842716479062804E-2"/>
          <c:y val="9.9211341922789395E-2"/>
          <c:w val="0.13875754234387699"/>
          <c:h val="0.49639114601404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span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Lead</a:t>
            </a:r>
            <a:r>
              <a:rPr lang="en-US" baseline="0"/>
              <a:t> Time Distribution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LtDistribution!$A$2</c:f>
              <c:strCache>
                <c:ptCount val="1"/>
                <c:pt idx="0">
                  <c:v>LeadTime</c:v>
                </c:pt>
              </c:strCache>
            </c:strRef>
          </c:tx>
          <c:invertIfNegative val="0"/>
          <c:cat>
            <c:numRef>
              <c:f>LtDistribution!$A$3:$A$45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cat>
          <c:val>
            <c:numRef>
              <c:f>LtDistribution!$B$3:$B$45</c:f>
              <c:numCache>
                <c:formatCode>General</c:formatCode>
                <c:ptCount val="43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7</c:v>
                </c:pt>
                <c:pt idx="10">
                  <c:v>4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E-4820-9F07-EF8C2D4D0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331760"/>
        <c:axId val="1776334560"/>
      </c:barChart>
      <c:catAx>
        <c:axId val="177633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6334560"/>
        <c:crosses val="autoZero"/>
        <c:auto val="1"/>
        <c:lblAlgn val="ctr"/>
        <c:lblOffset val="100"/>
        <c:noMultiLvlLbl val="0"/>
      </c:catAx>
      <c:valAx>
        <c:axId val="177633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6331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'On The Board'!$N$4</c:f>
              <c:strCache>
                <c:ptCount val="1"/>
                <c:pt idx="0">
                  <c:v>Lead Time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C00000"/>
              </a:solidFill>
              <a:ln w="9525" cap="sq">
                <a:noFill/>
                <a:round/>
              </a:ln>
              <a:effectLst/>
            </c:spPr>
          </c:marker>
          <c:xVal>
            <c:numRef>
              <c:f>'On The Board'!$K$5:$K$100</c:f>
              <c:numCache>
                <c:formatCode>m/d/yyyy</c:formatCode>
                <c:ptCount val="96"/>
                <c:pt idx="0">
                  <c:v>42409</c:v>
                </c:pt>
                <c:pt idx="1">
                  <c:v>42409</c:v>
                </c:pt>
                <c:pt idx="2">
                  <c:v>42422</c:v>
                </c:pt>
                <c:pt idx="3">
                  <c:v>42423</c:v>
                </c:pt>
                <c:pt idx="4">
                  <c:v>42423</c:v>
                </c:pt>
                <c:pt idx="5">
                  <c:v>42423</c:v>
                </c:pt>
                <c:pt idx="6">
                  <c:v>42424</c:v>
                </c:pt>
                <c:pt idx="7">
                  <c:v>42424</c:v>
                </c:pt>
                <c:pt idx="8">
                  <c:v>42429</c:v>
                </c:pt>
                <c:pt idx="9">
                  <c:v>42430</c:v>
                </c:pt>
                <c:pt idx="10">
                  <c:v>42430</c:v>
                </c:pt>
                <c:pt idx="11">
                  <c:v>42430</c:v>
                </c:pt>
                <c:pt idx="12">
                  <c:v>42430</c:v>
                </c:pt>
                <c:pt idx="13">
                  <c:v>42432</c:v>
                </c:pt>
                <c:pt idx="14">
                  <c:v>42432</c:v>
                </c:pt>
                <c:pt idx="15">
                  <c:v>42432</c:v>
                </c:pt>
                <c:pt idx="16">
                  <c:v>42436</c:v>
                </c:pt>
                <c:pt idx="17">
                  <c:v>42436</c:v>
                </c:pt>
                <c:pt idx="18">
                  <c:v>42437</c:v>
                </c:pt>
                <c:pt idx="19">
                  <c:v>42439</c:v>
                </c:pt>
                <c:pt idx="20">
                  <c:v>42443</c:v>
                </c:pt>
                <c:pt idx="21">
                  <c:v>42445</c:v>
                </c:pt>
                <c:pt idx="22">
                  <c:v>42450</c:v>
                </c:pt>
                <c:pt idx="23">
                  <c:v>42450</c:v>
                </c:pt>
                <c:pt idx="24">
                  <c:v>42450</c:v>
                </c:pt>
                <c:pt idx="25">
                  <c:v>42451</c:v>
                </c:pt>
                <c:pt idx="26">
                  <c:v>42452</c:v>
                </c:pt>
                <c:pt idx="27">
                  <c:v>42458</c:v>
                </c:pt>
                <c:pt idx="28">
                  <c:v>42458</c:v>
                </c:pt>
                <c:pt idx="29">
                  <c:v>42458</c:v>
                </c:pt>
                <c:pt idx="30">
                  <c:v>42461</c:v>
                </c:pt>
                <c:pt idx="31">
                  <c:v>42464</c:v>
                </c:pt>
                <c:pt idx="32">
                  <c:v>42466</c:v>
                </c:pt>
                <c:pt idx="33">
                  <c:v>42466</c:v>
                </c:pt>
                <c:pt idx="34">
                  <c:v>42471</c:v>
                </c:pt>
                <c:pt idx="35">
                  <c:v>42471</c:v>
                </c:pt>
                <c:pt idx="36">
                  <c:v>42475</c:v>
                </c:pt>
                <c:pt idx="37">
                  <c:v>42475</c:v>
                </c:pt>
                <c:pt idx="38">
                  <c:v>42475</c:v>
                </c:pt>
                <c:pt idx="39">
                  <c:v>42475</c:v>
                </c:pt>
                <c:pt idx="40">
                  <c:v>42475</c:v>
                </c:pt>
                <c:pt idx="41">
                  <c:v>42480</c:v>
                </c:pt>
                <c:pt idx="42">
                  <c:v>42481</c:v>
                </c:pt>
                <c:pt idx="43">
                  <c:v>42482</c:v>
                </c:pt>
                <c:pt idx="44">
                  <c:v>42482</c:v>
                </c:pt>
                <c:pt idx="45">
                  <c:v>42482</c:v>
                </c:pt>
                <c:pt idx="46">
                  <c:v>42482</c:v>
                </c:pt>
                <c:pt idx="47">
                  <c:v>42482</c:v>
                </c:pt>
                <c:pt idx="48">
                  <c:v>42486</c:v>
                </c:pt>
                <c:pt idx="49">
                  <c:v>42488</c:v>
                </c:pt>
                <c:pt idx="50">
                  <c:v>42496</c:v>
                </c:pt>
                <c:pt idx="51">
                  <c:v>42496</c:v>
                </c:pt>
                <c:pt idx="52">
                  <c:v>42496</c:v>
                </c:pt>
                <c:pt idx="53">
                  <c:v>42496</c:v>
                </c:pt>
                <c:pt idx="54">
                  <c:v>42499</c:v>
                </c:pt>
                <c:pt idx="55">
                  <c:v>42499</c:v>
                </c:pt>
                <c:pt idx="56">
                  <c:v>42501</c:v>
                </c:pt>
                <c:pt idx="57">
                  <c:v>42501</c:v>
                </c:pt>
                <c:pt idx="58">
                  <c:v>42501</c:v>
                </c:pt>
                <c:pt idx="59">
                  <c:v>42502</c:v>
                </c:pt>
                <c:pt idx="60">
                  <c:v>42507</c:v>
                </c:pt>
                <c:pt idx="61">
                  <c:v>42509</c:v>
                </c:pt>
                <c:pt idx="62">
                  <c:v>42510</c:v>
                </c:pt>
                <c:pt idx="63">
                  <c:v>42510</c:v>
                </c:pt>
                <c:pt idx="64">
                  <c:v>42510</c:v>
                </c:pt>
                <c:pt idx="65">
                  <c:v>42513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42522</c:v>
                </c:pt>
              </c:numCache>
            </c:numRef>
          </c:xVal>
          <c:yVal>
            <c:numRef>
              <c:f>'On The Board'!$N$5:$N$100</c:f>
              <c:numCache>
                <c:formatCode>General</c:formatCode>
                <c:ptCount val="96"/>
                <c:pt idx="0">
                  <c:v>2</c:v>
                </c:pt>
                <c:pt idx="1">
                  <c:v>2</c:v>
                </c:pt>
                <c:pt idx="2">
                  <c:v>9</c:v>
                </c:pt>
                <c:pt idx="3">
                  <c:v>5</c:v>
                </c:pt>
                <c:pt idx="4">
                  <c:v>3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15</c:v>
                </c:pt>
                <c:pt idx="10">
                  <c:v>6</c:v>
                </c:pt>
                <c:pt idx="11">
                  <c:v>9</c:v>
                </c:pt>
                <c:pt idx="12">
                  <c:v>2</c:v>
                </c:pt>
                <c:pt idx="13">
                  <c:v>6</c:v>
                </c:pt>
                <c:pt idx="14">
                  <c:v>4</c:v>
                </c:pt>
                <c:pt idx="15">
                  <c:v>3</c:v>
                </c:pt>
                <c:pt idx="16">
                  <c:v>21</c:v>
                </c:pt>
                <c:pt idx="17">
                  <c:v>5</c:v>
                </c:pt>
                <c:pt idx="18">
                  <c:v>9</c:v>
                </c:pt>
                <c:pt idx="19">
                  <c:v>5</c:v>
                </c:pt>
                <c:pt idx="20">
                  <c:v>1</c:v>
                </c:pt>
                <c:pt idx="21">
                  <c:v>10</c:v>
                </c:pt>
                <c:pt idx="22">
                  <c:v>15</c:v>
                </c:pt>
                <c:pt idx="23">
                  <c:v>4</c:v>
                </c:pt>
                <c:pt idx="24">
                  <c:v>5</c:v>
                </c:pt>
                <c:pt idx="25">
                  <c:v>10</c:v>
                </c:pt>
                <c:pt idx="26">
                  <c:v>7</c:v>
                </c:pt>
                <c:pt idx="27">
                  <c:v>9</c:v>
                </c:pt>
                <c:pt idx="28">
                  <c:v>3</c:v>
                </c:pt>
                <c:pt idx="29">
                  <c:v>3</c:v>
                </c:pt>
                <c:pt idx="30">
                  <c:v>6</c:v>
                </c:pt>
                <c:pt idx="31">
                  <c:v>2</c:v>
                </c:pt>
                <c:pt idx="32">
                  <c:v>8</c:v>
                </c:pt>
                <c:pt idx="33">
                  <c:v>7</c:v>
                </c:pt>
                <c:pt idx="34">
                  <c:v>9</c:v>
                </c:pt>
                <c:pt idx="35">
                  <c:v>3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4</c:v>
                </c:pt>
                <c:pt idx="40">
                  <c:v>4</c:v>
                </c:pt>
                <c:pt idx="41">
                  <c:v>1</c:v>
                </c:pt>
                <c:pt idx="42">
                  <c:v>9</c:v>
                </c:pt>
                <c:pt idx="43">
                  <c:v>13</c:v>
                </c:pt>
                <c:pt idx="44">
                  <c:v>10</c:v>
                </c:pt>
                <c:pt idx="45">
                  <c:v>7</c:v>
                </c:pt>
                <c:pt idx="46">
                  <c:v>2</c:v>
                </c:pt>
                <c:pt idx="47">
                  <c:v>1</c:v>
                </c:pt>
                <c:pt idx="48">
                  <c:v>4</c:v>
                </c:pt>
                <c:pt idx="49">
                  <c:v>5</c:v>
                </c:pt>
                <c:pt idx="50">
                  <c:v>10</c:v>
                </c:pt>
                <c:pt idx="51">
                  <c:v>2</c:v>
                </c:pt>
                <c:pt idx="52">
                  <c:v>7</c:v>
                </c:pt>
                <c:pt idx="53">
                  <c:v>7</c:v>
                </c:pt>
                <c:pt idx="54">
                  <c:v>9</c:v>
                </c:pt>
                <c:pt idx="55">
                  <c:v>7</c:v>
                </c:pt>
                <c:pt idx="56">
                  <c:v>2</c:v>
                </c:pt>
                <c:pt idx="57">
                  <c:v>6</c:v>
                </c:pt>
                <c:pt idx="58">
                  <c:v>2</c:v>
                </c:pt>
                <c:pt idx="59">
                  <c:v>1</c:v>
                </c:pt>
                <c:pt idx="60">
                  <c:v>5</c:v>
                </c:pt>
                <c:pt idx="61">
                  <c:v>7</c:v>
                </c:pt>
                <c:pt idx="62">
                  <c:v>4</c:v>
                </c:pt>
                <c:pt idx="63">
                  <c:v>5</c:v>
                </c:pt>
                <c:pt idx="64">
                  <c:v>1</c:v>
                </c:pt>
                <c:pt idx="65">
                  <c:v>41</c:v>
                </c:pt>
                <c:pt idx="66">
                  <c:v>4</c:v>
                </c:pt>
                <c:pt idx="67">
                  <c:v>12</c:v>
                </c:pt>
                <c:pt idx="68">
                  <c:v>4</c:v>
                </c:pt>
                <c:pt idx="69">
                  <c:v>5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C16-4522-80DA-9DBD79542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815480"/>
        <c:axId val="908815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'On The Board'!$K$4</c15:sqref>
                        </c15:formulaRef>
                      </c:ext>
                    </c:extLst>
                    <c:strCache>
                      <c:ptCount val="1"/>
                      <c:pt idx="0">
                        <c:v>Done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'On The Board'!$K$5:$K$100</c15:sqref>
                        </c15:formulaRef>
                      </c:ext>
                    </c:extLst>
                    <c:numCache>
                      <c:formatCode>m/d/yyyy</c:formatCode>
                      <c:ptCount val="96"/>
                      <c:pt idx="0">
                        <c:v>42409</c:v>
                      </c:pt>
                      <c:pt idx="1">
                        <c:v>42409</c:v>
                      </c:pt>
                      <c:pt idx="2">
                        <c:v>42422</c:v>
                      </c:pt>
                      <c:pt idx="3">
                        <c:v>42423</c:v>
                      </c:pt>
                      <c:pt idx="4">
                        <c:v>42423</c:v>
                      </c:pt>
                      <c:pt idx="5">
                        <c:v>42423</c:v>
                      </c:pt>
                      <c:pt idx="6">
                        <c:v>42424</c:v>
                      </c:pt>
                      <c:pt idx="7">
                        <c:v>42424</c:v>
                      </c:pt>
                      <c:pt idx="8">
                        <c:v>42429</c:v>
                      </c:pt>
                      <c:pt idx="9">
                        <c:v>42430</c:v>
                      </c:pt>
                      <c:pt idx="10">
                        <c:v>42430</c:v>
                      </c:pt>
                      <c:pt idx="11">
                        <c:v>42430</c:v>
                      </c:pt>
                      <c:pt idx="12">
                        <c:v>42430</c:v>
                      </c:pt>
                      <c:pt idx="13">
                        <c:v>42432</c:v>
                      </c:pt>
                      <c:pt idx="14">
                        <c:v>42432</c:v>
                      </c:pt>
                      <c:pt idx="15">
                        <c:v>42432</c:v>
                      </c:pt>
                      <c:pt idx="16">
                        <c:v>42436</c:v>
                      </c:pt>
                      <c:pt idx="17">
                        <c:v>42436</c:v>
                      </c:pt>
                      <c:pt idx="18">
                        <c:v>42437</c:v>
                      </c:pt>
                      <c:pt idx="19">
                        <c:v>42439</c:v>
                      </c:pt>
                      <c:pt idx="20">
                        <c:v>42443</c:v>
                      </c:pt>
                      <c:pt idx="21">
                        <c:v>42445</c:v>
                      </c:pt>
                      <c:pt idx="22">
                        <c:v>42450</c:v>
                      </c:pt>
                      <c:pt idx="23">
                        <c:v>42450</c:v>
                      </c:pt>
                      <c:pt idx="24">
                        <c:v>42450</c:v>
                      </c:pt>
                      <c:pt idx="25">
                        <c:v>42451</c:v>
                      </c:pt>
                      <c:pt idx="26">
                        <c:v>42452</c:v>
                      </c:pt>
                      <c:pt idx="27">
                        <c:v>42458</c:v>
                      </c:pt>
                      <c:pt idx="28">
                        <c:v>42458</c:v>
                      </c:pt>
                      <c:pt idx="29">
                        <c:v>42458</c:v>
                      </c:pt>
                      <c:pt idx="30">
                        <c:v>42461</c:v>
                      </c:pt>
                      <c:pt idx="31">
                        <c:v>42464</c:v>
                      </c:pt>
                      <c:pt idx="32">
                        <c:v>42466</c:v>
                      </c:pt>
                      <c:pt idx="33">
                        <c:v>42466</c:v>
                      </c:pt>
                      <c:pt idx="34">
                        <c:v>42471</c:v>
                      </c:pt>
                      <c:pt idx="35">
                        <c:v>42471</c:v>
                      </c:pt>
                      <c:pt idx="36">
                        <c:v>42475</c:v>
                      </c:pt>
                      <c:pt idx="37">
                        <c:v>42475</c:v>
                      </c:pt>
                      <c:pt idx="38">
                        <c:v>42475</c:v>
                      </c:pt>
                      <c:pt idx="39">
                        <c:v>42475</c:v>
                      </c:pt>
                      <c:pt idx="40">
                        <c:v>42475</c:v>
                      </c:pt>
                      <c:pt idx="41">
                        <c:v>42480</c:v>
                      </c:pt>
                      <c:pt idx="42">
                        <c:v>42481</c:v>
                      </c:pt>
                      <c:pt idx="43">
                        <c:v>42482</c:v>
                      </c:pt>
                      <c:pt idx="44">
                        <c:v>42482</c:v>
                      </c:pt>
                      <c:pt idx="45">
                        <c:v>42482</c:v>
                      </c:pt>
                      <c:pt idx="46">
                        <c:v>42482</c:v>
                      </c:pt>
                      <c:pt idx="47">
                        <c:v>42482</c:v>
                      </c:pt>
                      <c:pt idx="48">
                        <c:v>42486</c:v>
                      </c:pt>
                      <c:pt idx="49">
                        <c:v>42488</c:v>
                      </c:pt>
                      <c:pt idx="50">
                        <c:v>42496</c:v>
                      </c:pt>
                      <c:pt idx="51">
                        <c:v>42496</c:v>
                      </c:pt>
                      <c:pt idx="52">
                        <c:v>42496</c:v>
                      </c:pt>
                      <c:pt idx="53">
                        <c:v>42496</c:v>
                      </c:pt>
                      <c:pt idx="54">
                        <c:v>42499</c:v>
                      </c:pt>
                      <c:pt idx="55">
                        <c:v>42499</c:v>
                      </c:pt>
                      <c:pt idx="56">
                        <c:v>42501</c:v>
                      </c:pt>
                      <c:pt idx="57">
                        <c:v>42501</c:v>
                      </c:pt>
                      <c:pt idx="58">
                        <c:v>42501</c:v>
                      </c:pt>
                      <c:pt idx="59">
                        <c:v>42502</c:v>
                      </c:pt>
                      <c:pt idx="60">
                        <c:v>42507</c:v>
                      </c:pt>
                      <c:pt idx="61">
                        <c:v>42509</c:v>
                      </c:pt>
                      <c:pt idx="62">
                        <c:v>42510</c:v>
                      </c:pt>
                      <c:pt idx="63">
                        <c:v>42510</c:v>
                      </c:pt>
                      <c:pt idx="64">
                        <c:v>42510</c:v>
                      </c:pt>
                      <c:pt idx="65">
                        <c:v>42513</c:v>
                      </c:pt>
                      <c:pt idx="66">
                        <c:v>42515</c:v>
                      </c:pt>
                      <c:pt idx="67">
                        <c:v>42516</c:v>
                      </c:pt>
                      <c:pt idx="68">
                        <c:v>42517</c:v>
                      </c:pt>
                      <c:pt idx="69">
                        <c:v>42522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C16-4522-80DA-9DBD795427D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 The Board'!$L$4</c15:sqref>
                        </c15:formulaRef>
                      </c:ext>
                    </c:extLst>
                    <c:strCache>
                      <c:ptCount val="1"/>
                      <c:pt idx="0">
                        <c:v>Sprint Finished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 The Board'!$L$5:$L$100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6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7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7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8</c:v>
                      </c:pt>
                      <c:pt idx="20">
                        <c:v>8</c:v>
                      </c:pt>
                      <c:pt idx="21">
                        <c:v>8</c:v>
                      </c:pt>
                      <c:pt idx="22">
                        <c:v>8</c:v>
                      </c:pt>
                      <c:pt idx="23">
                        <c:v>8</c:v>
                      </c:pt>
                      <c:pt idx="24">
                        <c:v>8</c:v>
                      </c:pt>
                      <c:pt idx="25">
                        <c:v>8</c:v>
                      </c:pt>
                      <c:pt idx="26">
                        <c:v>9</c:v>
                      </c:pt>
                      <c:pt idx="27">
                        <c:v>9</c:v>
                      </c:pt>
                      <c:pt idx="28">
                        <c:v>9</c:v>
                      </c:pt>
                      <c:pt idx="29">
                        <c:v>9</c:v>
                      </c:pt>
                      <c:pt idx="30">
                        <c:v>9</c:v>
                      </c:pt>
                      <c:pt idx="31">
                        <c:v>9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11</c:v>
                      </c:pt>
                      <c:pt idx="43">
                        <c:v>11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12</c:v>
                      </c:pt>
                      <c:pt idx="51">
                        <c:v>12</c:v>
                      </c:pt>
                      <c:pt idx="52">
                        <c:v>12</c:v>
                      </c:pt>
                      <c:pt idx="53">
                        <c:v>12</c:v>
                      </c:pt>
                      <c:pt idx="54">
                        <c:v>12</c:v>
                      </c:pt>
                      <c:pt idx="55">
                        <c:v>12</c:v>
                      </c:pt>
                      <c:pt idx="56">
                        <c:v>12</c:v>
                      </c:pt>
                      <c:pt idx="57">
                        <c:v>12</c:v>
                      </c:pt>
                      <c:pt idx="58">
                        <c:v>12</c:v>
                      </c:pt>
                      <c:pt idx="59">
                        <c:v>12</c:v>
                      </c:pt>
                      <c:pt idx="60">
                        <c:v>13</c:v>
                      </c:pt>
                      <c:pt idx="61">
                        <c:v>13</c:v>
                      </c:pt>
                      <c:pt idx="62">
                        <c:v>13</c:v>
                      </c:pt>
                      <c:pt idx="63">
                        <c:v>13</c:v>
                      </c:pt>
                      <c:pt idx="64">
                        <c:v>13</c:v>
                      </c:pt>
                      <c:pt idx="65">
                        <c:v>13</c:v>
                      </c:pt>
                      <c:pt idx="66">
                        <c:v>13</c:v>
                      </c:pt>
                      <c:pt idx="67">
                        <c:v>13</c:v>
                      </c:pt>
                      <c:pt idx="68">
                        <c:v>13</c:v>
                      </c:pt>
                      <c:pt idx="69">
                        <c:v>14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C16-4522-80DA-9DBD795427D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 The Board'!$M$4</c15:sqref>
                        </c15:formulaRef>
                      </c:ext>
                    </c:extLst>
                    <c:strCache>
                      <c:ptCount val="1"/>
                      <c:pt idx="0">
                        <c:v>Weighting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 The Board'!$M$5:$M$100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3</c:v>
                      </c:pt>
                      <c:pt idx="78">
                        <c:v>5</c:v>
                      </c:pt>
                      <c:pt idx="79">
                        <c:v>8</c:v>
                      </c:pt>
                      <c:pt idx="80">
                        <c:v>6</c:v>
                      </c:pt>
                      <c:pt idx="81">
                        <c:v>2</c:v>
                      </c:pt>
                      <c:pt idx="82">
                        <c:v>1</c:v>
                      </c:pt>
                      <c:pt idx="83">
                        <c:v>15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C16-4522-80DA-9DBD795427D1}"/>
                  </c:ext>
                </c:extLst>
              </c15:ser>
            </c15:filteredScatterSeries>
          </c:ext>
        </c:extLst>
      </c:scatterChart>
      <c:valAx>
        <c:axId val="90881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815808"/>
        <c:crosses val="autoZero"/>
        <c:crossBetween val="midCat"/>
      </c:valAx>
      <c:valAx>
        <c:axId val="90881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8154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Data!$K$1</c:f>
              <c:strCache>
                <c:ptCount val="1"/>
                <c:pt idx="0">
                  <c:v>WIP</c:v>
                </c:pt>
              </c:strCache>
            </c:strRef>
          </c:tx>
          <c:marker>
            <c:symbol val="none"/>
          </c:marker>
          <c:cat>
            <c:numRef>
              <c:f>Data!$B$2:$B$65</c:f>
              <c:numCache>
                <c:formatCode>m/d/yyyy</c:formatCode>
                <c:ptCount val="64"/>
                <c:pt idx="0">
                  <c:v>42408</c:v>
                </c:pt>
                <c:pt idx="1">
                  <c:v>42409</c:v>
                </c:pt>
                <c:pt idx="2">
                  <c:v>42410</c:v>
                </c:pt>
                <c:pt idx="3">
                  <c:v>42411</c:v>
                </c:pt>
                <c:pt idx="4">
                  <c:v>42412</c:v>
                </c:pt>
                <c:pt idx="5">
                  <c:v>42415</c:v>
                </c:pt>
                <c:pt idx="6">
                  <c:v>42416</c:v>
                </c:pt>
                <c:pt idx="7">
                  <c:v>42417</c:v>
                </c:pt>
                <c:pt idx="8">
                  <c:v>42418</c:v>
                </c:pt>
                <c:pt idx="9">
                  <c:v>42419</c:v>
                </c:pt>
                <c:pt idx="10">
                  <c:v>42422</c:v>
                </c:pt>
                <c:pt idx="11">
                  <c:v>42423</c:v>
                </c:pt>
                <c:pt idx="12">
                  <c:v>42424</c:v>
                </c:pt>
                <c:pt idx="13">
                  <c:v>42425</c:v>
                </c:pt>
                <c:pt idx="14">
                  <c:v>42426</c:v>
                </c:pt>
                <c:pt idx="15">
                  <c:v>42429</c:v>
                </c:pt>
                <c:pt idx="16">
                  <c:v>42430</c:v>
                </c:pt>
                <c:pt idx="17">
                  <c:v>42431</c:v>
                </c:pt>
                <c:pt idx="18">
                  <c:v>42432</c:v>
                </c:pt>
                <c:pt idx="19">
                  <c:v>42433</c:v>
                </c:pt>
                <c:pt idx="20">
                  <c:v>42436</c:v>
                </c:pt>
                <c:pt idx="21">
                  <c:v>42437</c:v>
                </c:pt>
                <c:pt idx="22">
                  <c:v>42438</c:v>
                </c:pt>
                <c:pt idx="23">
                  <c:v>42439</c:v>
                </c:pt>
                <c:pt idx="24">
                  <c:v>42440</c:v>
                </c:pt>
                <c:pt idx="25">
                  <c:v>42443</c:v>
                </c:pt>
                <c:pt idx="26">
                  <c:v>42444</c:v>
                </c:pt>
                <c:pt idx="27">
                  <c:v>42445</c:v>
                </c:pt>
                <c:pt idx="28">
                  <c:v>42446</c:v>
                </c:pt>
                <c:pt idx="29">
                  <c:v>42447</c:v>
                </c:pt>
                <c:pt idx="30">
                  <c:v>42450</c:v>
                </c:pt>
                <c:pt idx="31">
                  <c:v>42451</c:v>
                </c:pt>
                <c:pt idx="32">
                  <c:v>42452</c:v>
                </c:pt>
                <c:pt idx="33">
                  <c:v>42453</c:v>
                </c:pt>
                <c:pt idx="34">
                  <c:v>42458</c:v>
                </c:pt>
                <c:pt idx="35">
                  <c:v>42459</c:v>
                </c:pt>
                <c:pt idx="36">
                  <c:v>42460</c:v>
                </c:pt>
                <c:pt idx="37">
                  <c:v>42461</c:v>
                </c:pt>
                <c:pt idx="38">
                  <c:v>42464</c:v>
                </c:pt>
                <c:pt idx="39">
                  <c:v>42465</c:v>
                </c:pt>
                <c:pt idx="40">
                  <c:v>42466</c:v>
                </c:pt>
                <c:pt idx="41">
                  <c:v>42467</c:v>
                </c:pt>
                <c:pt idx="42">
                  <c:v>42468</c:v>
                </c:pt>
                <c:pt idx="43">
                  <c:v>42471</c:v>
                </c:pt>
                <c:pt idx="44">
                  <c:v>42472</c:v>
                </c:pt>
                <c:pt idx="45">
                  <c:v>42473</c:v>
                </c:pt>
                <c:pt idx="46">
                  <c:v>42474</c:v>
                </c:pt>
                <c:pt idx="47">
                  <c:v>42475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42485</c:v>
                </c:pt>
                <c:pt idx="54">
                  <c:v>42486</c:v>
                </c:pt>
                <c:pt idx="55">
                  <c:v>42487</c:v>
                </c:pt>
                <c:pt idx="56">
                  <c:v>42488</c:v>
                </c:pt>
                <c:pt idx="57">
                  <c:v>42489</c:v>
                </c:pt>
                <c:pt idx="58">
                  <c:v>42493</c:v>
                </c:pt>
                <c:pt idx="59">
                  <c:v>42494</c:v>
                </c:pt>
                <c:pt idx="60">
                  <c:v>42495</c:v>
                </c:pt>
                <c:pt idx="61">
                  <c:v>42496</c:v>
                </c:pt>
                <c:pt idx="62">
                  <c:v>42499</c:v>
                </c:pt>
                <c:pt idx="63">
                  <c:v>42500</c:v>
                </c:pt>
              </c:numCache>
            </c:numRef>
          </c:cat>
          <c:val>
            <c:numRef>
              <c:f>Data!$K$2:$K$65</c:f>
              <c:numCache>
                <c:formatCode>General</c:formatCode>
                <c:ptCount val="64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4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5</c:v>
                </c:pt>
                <c:pt idx="19">
                  <c:v>6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3</c:v>
                </c:pt>
                <c:pt idx="31">
                  <c:v>2</c:v>
                </c:pt>
                <c:pt idx="32">
                  <c:v>5</c:v>
                </c:pt>
                <c:pt idx="33">
                  <c:v>6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8</c:v>
                </c:pt>
                <c:pt idx="45">
                  <c:v>8</c:v>
                </c:pt>
                <c:pt idx="46">
                  <c:v>10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7</c:v>
                </c:pt>
                <c:pt idx="60">
                  <c:v>8</c:v>
                </c:pt>
                <c:pt idx="61">
                  <c:v>4</c:v>
                </c:pt>
                <c:pt idx="62">
                  <c:v>2</c:v>
                </c:pt>
                <c:pt idx="6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F-4274-90DA-7DC6EC5C8DC3}"/>
            </c:ext>
          </c:extLst>
        </c:ser>
        <c:ser>
          <c:idx val="0"/>
          <c:order val="1"/>
          <c:tx>
            <c:strRef>
              <c:f>Data!$L$1</c:f>
              <c:strCache>
                <c:ptCount val="1"/>
                <c:pt idx="0">
                  <c:v>Avg WIP</c:v>
                </c:pt>
              </c:strCache>
            </c:strRef>
          </c:tx>
          <c:marker>
            <c:symbol val="none"/>
          </c:marker>
          <c:val>
            <c:numRef>
              <c:f>Data!$L$2:$L$65</c:f>
              <c:numCache>
                <c:formatCode>0.00</c:formatCode>
                <c:ptCount val="64"/>
                <c:pt idx="0">
                  <c:v>3</c:v>
                </c:pt>
                <c:pt idx="1">
                  <c:v>2</c:v>
                </c:pt>
                <c:pt idx="2">
                  <c:v>2.3333333333333335</c:v>
                </c:pt>
                <c:pt idx="3">
                  <c:v>2.5</c:v>
                </c:pt>
                <c:pt idx="4">
                  <c:v>2.6</c:v>
                </c:pt>
                <c:pt idx="5">
                  <c:v>2.6666666666666665</c:v>
                </c:pt>
                <c:pt idx="6">
                  <c:v>2.8571428571428572</c:v>
                </c:pt>
                <c:pt idx="7">
                  <c:v>3.125</c:v>
                </c:pt>
                <c:pt idx="8">
                  <c:v>3.5555555555555554</c:v>
                </c:pt>
                <c:pt idx="9">
                  <c:v>4</c:v>
                </c:pt>
                <c:pt idx="10">
                  <c:v>4.3636363636363633</c:v>
                </c:pt>
                <c:pt idx="11">
                  <c:v>4.6363636363636367</c:v>
                </c:pt>
                <c:pt idx="12">
                  <c:v>4.9090909090909092</c:v>
                </c:pt>
                <c:pt idx="13">
                  <c:v>5.2727272727272725</c:v>
                </c:pt>
                <c:pt idx="14">
                  <c:v>5.6363636363636367</c:v>
                </c:pt>
                <c:pt idx="15">
                  <c:v>6.0909090909090908</c:v>
                </c:pt>
                <c:pt idx="16">
                  <c:v>6.4545454545454541</c:v>
                </c:pt>
                <c:pt idx="17">
                  <c:v>6.7272727272727275</c:v>
                </c:pt>
                <c:pt idx="18">
                  <c:v>6.7272727272727275</c:v>
                </c:pt>
                <c:pt idx="19">
                  <c:v>6.6363636363636367</c:v>
                </c:pt>
                <c:pt idx="20">
                  <c:v>6.2727272727272725</c:v>
                </c:pt>
                <c:pt idx="21">
                  <c:v>5.8181818181818183</c:v>
                </c:pt>
                <c:pt idx="22">
                  <c:v>5.6363636363636367</c:v>
                </c:pt>
                <c:pt idx="23">
                  <c:v>5.5454545454545459</c:v>
                </c:pt>
                <c:pt idx="24">
                  <c:v>5.1818181818181817</c:v>
                </c:pt>
                <c:pt idx="25">
                  <c:v>4.8181818181818183</c:v>
                </c:pt>
                <c:pt idx="26">
                  <c:v>4.6363636363636367</c:v>
                </c:pt>
                <c:pt idx="27">
                  <c:v>4.5454545454545459</c:v>
                </c:pt>
                <c:pt idx="28">
                  <c:v>4.4545454545454541</c:v>
                </c:pt>
                <c:pt idx="29">
                  <c:v>4.5454545454545459</c:v>
                </c:pt>
                <c:pt idx="30">
                  <c:v>4.2727272727272725</c:v>
                </c:pt>
                <c:pt idx="31">
                  <c:v>4.0909090909090908</c:v>
                </c:pt>
                <c:pt idx="32">
                  <c:v>4.2727272727272725</c:v>
                </c:pt>
                <c:pt idx="33">
                  <c:v>4.4545454545454541</c:v>
                </c:pt>
                <c:pt idx="34">
                  <c:v>4.5454545454545459</c:v>
                </c:pt>
                <c:pt idx="35">
                  <c:v>4.7272727272727275</c:v>
                </c:pt>
                <c:pt idx="36">
                  <c:v>4.9090909090909092</c:v>
                </c:pt>
                <c:pt idx="37">
                  <c:v>4.8181818181818183</c:v>
                </c:pt>
                <c:pt idx="38">
                  <c:v>4.6363636363636367</c:v>
                </c:pt>
                <c:pt idx="39">
                  <c:v>4.4545454545454541</c:v>
                </c:pt>
                <c:pt idx="40">
                  <c:v>4.1818181818181817</c:v>
                </c:pt>
                <c:pt idx="41">
                  <c:v>4.2727272727272725</c:v>
                </c:pt>
                <c:pt idx="42">
                  <c:v>4.4545454545454541</c:v>
                </c:pt>
                <c:pt idx="43">
                  <c:v>4.4545454545454541</c:v>
                </c:pt>
                <c:pt idx="44">
                  <c:v>4.6363636363636367</c:v>
                </c:pt>
                <c:pt idx="45">
                  <c:v>5</c:v>
                </c:pt>
                <c:pt idx="46">
                  <c:v>5.4545454545454541</c:v>
                </c:pt>
                <c:pt idx="47">
                  <c:v>5.4545454545454541</c:v>
                </c:pt>
                <c:pt idx="48">
                  <c:v>5.4545454545454541</c:v>
                </c:pt>
                <c:pt idx="49">
                  <c:v>5.5454545454545459</c:v>
                </c:pt>
                <c:pt idx="50">
                  <c:v>5.6363636363636367</c:v>
                </c:pt>
                <c:pt idx="51">
                  <c:v>5.9090909090909092</c:v>
                </c:pt>
                <c:pt idx="52">
                  <c:v>5.9090909090909092</c:v>
                </c:pt>
                <c:pt idx="53">
                  <c:v>5.9090909090909092</c:v>
                </c:pt>
                <c:pt idx="54">
                  <c:v>5.8181818181818183</c:v>
                </c:pt>
                <c:pt idx="55">
                  <c:v>5.6363636363636367</c:v>
                </c:pt>
                <c:pt idx="56">
                  <c:v>5.4545454545454541</c:v>
                </c:pt>
                <c:pt idx="57">
                  <c:v>5.0909090909090908</c:v>
                </c:pt>
                <c:pt idx="58">
                  <c:v>5.1818181818181817</c:v>
                </c:pt>
                <c:pt idx="59">
                  <c:v>5.3636363636363633</c:v>
                </c:pt>
                <c:pt idx="60">
                  <c:v>5.6363636363636367</c:v>
                </c:pt>
                <c:pt idx="61">
                  <c:v>5.5454545454545459</c:v>
                </c:pt>
                <c:pt idx="62">
                  <c:v>5.1818181818181817</c:v>
                </c:pt>
                <c:pt idx="63">
                  <c:v>5.2727272727272725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F-4274-90DA-7DC6EC5C8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247872"/>
        <c:axId val="1780281376"/>
      </c:lineChart>
      <c:dateAx>
        <c:axId val="17802478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780281376"/>
        <c:crosses val="autoZero"/>
        <c:auto val="1"/>
        <c:lblOffset val="100"/>
        <c:baseTimeUnit val="days"/>
      </c:dateAx>
      <c:valAx>
        <c:axId val="178028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024787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1534860627584802"/>
          <c:y val="5.4857142857142799E-2"/>
          <c:w val="0.17523738872403599"/>
          <c:h val="4.5903802024746899E-2"/>
        </c:manualLayout>
      </c:layout>
      <c:overlay val="1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Data!$N$1</c:f>
              <c:strCache>
                <c:ptCount val="1"/>
                <c:pt idx="0">
                  <c:v>Lead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Data!$N$2:$N$600</c:f>
              <c:numCache>
                <c:formatCode>0.00</c:formatCode>
                <c:ptCount val="599"/>
                <c:pt idx="0">
                  <c:v>#N/A</c:v>
                </c:pt>
                <c:pt idx="1">
                  <c:v>2</c:v>
                </c:pt>
                <c:pt idx="2">
                  <c:v>3.5000000000000004</c:v>
                </c:pt>
                <c:pt idx="3">
                  <c:v>5</c:v>
                </c:pt>
                <c:pt idx="4">
                  <c:v>6.5</c:v>
                </c:pt>
                <c:pt idx="5">
                  <c:v>8</c:v>
                </c:pt>
                <c:pt idx="6">
                  <c:v>10</c:v>
                </c:pt>
                <c:pt idx="7">
                  <c:v>12.5</c:v>
                </c:pt>
                <c:pt idx="8">
                  <c:v>16</c:v>
                </c:pt>
                <c:pt idx="9">
                  <c:v>20</c:v>
                </c:pt>
                <c:pt idx="10">
                  <c:v>16</c:v>
                </c:pt>
                <c:pt idx="11">
                  <c:v>12.75</c:v>
                </c:pt>
                <c:pt idx="12">
                  <c:v>9</c:v>
                </c:pt>
                <c:pt idx="13">
                  <c:v>9.6666666666666661</c:v>
                </c:pt>
                <c:pt idx="14">
                  <c:v>10.333333333333334</c:v>
                </c:pt>
                <c:pt idx="15">
                  <c:v>9.5714285714285712</c:v>
                </c:pt>
                <c:pt idx="16">
                  <c:v>6.4545454545454541</c:v>
                </c:pt>
                <c:pt idx="17">
                  <c:v>6.7272727272727275</c:v>
                </c:pt>
                <c:pt idx="18">
                  <c:v>5.2857142857142856</c:v>
                </c:pt>
                <c:pt idx="19">
                  <c:v>5.2142857142857144</c:v>
                </c:pt>
                <c:pt idx="20">
                  <c:v>4.6000000000000005</c:v>
                </c:pt>
                <c:pt idx="21">
                  <c:v>4.9230769230769234</c:v>
                </c:pt>
                <c:pt idx="22">
                  <c:v>5.6363636363636367</c:v>
                </c:pt>
                <c:pt idx="23">
                  <c:v>5.0833333333333339</c:v>
                </c:pt>
                <c:pt idx="24">
                  <c:v>4.75</c:v>
                </c:pt>
                <c:pt idx="25">
                  <c:v>4.416666666666667</c:v>
                </c:pt>
                <c:pt idx="26">
                  <c:v>6.375</c:v>
                </c:pt>
                <c:pt idx="27">
                  <c:v>5.5555555555555554</c:v>
                </c:pt>
                <c:pt idx="28">
                  <c:v>8.1666666666666661</c:v>
                </c:pt>
                <c:pt idx="29">
                  <c:v>8.3333333333333339</c:v>
                </c:pt>
                <c:pt idx="30">
                  <c:v>6.7142857142857144</c:v>
                </c:pt>
                <c:pt idx="31">
                  <c:v>6.4285714285714288</c:v>
                </c:pt>
                <c:pt idx="32">
                  <c:v>5.8749999999999991</c:v>
                </c:pt>
                <c:pt idx="33">
                  <c:v>6.9999999999999991</c:v>
                </c:pt>
                <c:pt idx="34">
                  <c:v>5.0000000000000009</c:v>
                </c:pt>
                <c:pt idx="35">
                  <c:v>5.7777777777777777</c:v>
                </c:pt>
                <c:pt idx="36">
                  <c:v>6</c:v>
                </c:pt>
                <c:pt idx="37">
                  <c:v>5.8888888888888884</c:v>
                </c:pt>
                <c:pt idx="38">
                  <c:v>5.1000000000000005</c:v>
                </c:pt>
                <c:pt idx="39">
                  <c:v>4.8999999999999995</c:v>
                </c:pt>
                <c:pt idx="40">
                  <c:v>5.1111111111111107</c:v>
                </c:pt>
                <c:pt idx="41">
                  <c:v>5.8749999999999991</c:v>
                </c:pt>
                <c:pt idx="42">
                  <c:v>6.9999999999999991</c:v>
                </c:pt>
                <c:pt idx="43">
                  <c:v>5.4444444444444438</c:v>
                </c:pt>
                <c:pt idx="44">
                  <c:v>8.5000000000000018</c:v>
                </c:pt>
                <c:pt idx="45">
                  <c:v>9.1666666666666679</c:v>
                </c:pt>
                <c:pt idx="46">
                  <c:v>10</c:v>
                </c:pt>
                <c:pt idx="47">
                  <c:v>6</c:v>
                </c:pt>
                <c:pt idx="48">
                  <c:v>6.6666666666666661</c:v>
                </c:pt>
                <c:pt idx="49">
                  <c:v>6.7777777777777777</c:v>
                </c:pt>
                <c:pt idx="50">
                  <c:v>7.75</c:v>
                </c:pt>
                <c:pt idx="51">
                  <c:v>7.2222222222222214</c:v>
                </c:pt>
                <c:pt idx="52">
                  <c:v>4.6428571428571432</c:v>
                </c:pt>
                <c:pt idx="53">
                  <c:v>5.416666666666667</c:v>
                </c:pt>
                <c:pt idx="54">
                  <c:v>4.9230769230769234</c:v>
                </c:pt>
                <c:pt idx="55">
                  <c:v>4.7692307692307692</c:v>
                </c:pt>
                <c:pt idx="56">
                  <c:v>4.2857142857142856</c:v>
                </c:pt>
                <c:pt idx="57">
                  <c:v>6.2222222222222214</c:v>
                </c:pt>
                <c:pt idx="58">
                  <c:v>6.333333333333333</c:v>
                </c:pt>
                <c:pt idx="59">
                  <c:v>6.5555555555555545</c:v>
                </c:pt>
                <c:pt idx="60">
                  <c:v>7.75</c:v>
                </c:pt>
                <c:pt idx="61">
                  <c:v>5.5454545454545459</c:v>
                </c:pt>
                <c:pt idx="62">
                  <c:v>7.125</c:v>
                </c:pt>
                <c:pt idx="63">
                  <c:v>7.2499999999999991</c:v>
                </c:pt>
                <c:pt idx="64">
                  <c:v>6</c:v>
                </c:pt>
                <c:pt idx="65">
                  <c:v>5.6363636363636367</c:v>
                </c:pt>
                <c:pt idx="66">
                  <c:v>6.2</c:v>
                </c:pt>
                <c:pt idx="67">
                  <c:v>6.4</c:v>
                </c:pt>
                <c:pt idx="68">
                  <c:v>6</c:v>
                </c:pt>
                <c:pt idx="69">
                  <c:v>6.1818181818181817</c:v>
                </c:pt>
                <c:pt idx="70">
                  <c:v>5.666666666666667</c:v>
                </c:pt>
                <c:pt idx="71">
                  <c:v>6</c:v>
                </c:pt>
                <c:pt idx="72">
                  <c:v>6.7</c:v>
                </c:pt>
                <c:pt idx="73">
                  <c:v>7.1</c:v>
                </c:pt>
                <c:pt idx="74">
                  <c:v>9</c:v>
                </c:pt>
                <c:pt idx="75">
                  <c:v>9.125</c:v>
                </c:pt>
                <c:pt idx="76">
                  <c:v>8.2222222222222214</c:v>
                </c:pt>
                <c:pt idx="77">
                  <c:v>8.3333333333333321</c:v>
                </c:pt>
                <c:pt idx="78">
                  <c:v>8.2222222222222214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1-4757-8FF7-56A24DD78B29}"/>
            </c:ext>
          </c:extLst>
        </c:ser>
        <c:ser>
          <c:idx val="2"/>
          <c:order val="1"/>
          <c:tx>
            <c:strRef>
              <c:f>Data!$Q$1</c:f>
              <c:strCache>
                <c:ptCount val="1"/>
                <c:pt idx="0">
                  <c:v>Moving 11D Goal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Data!$Q$2:$Q$600</c:f>
              <c:numCache>
                <c:formatCode>0.00</c:formatCode>
                <c:ptCount val="59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15.350000000000001</c:v>
                </c:pt>
                <c:pt idx="13">
                  <c:v>15.350000000000001</c:v>
                </c:pt>
                <c:pt idx="14">
                  <c:v>15.350000000000001</c:v>
                </c:pt>
                <c:pt idx="15">
                  <c:v>15.350000000000001</c:v>
                </c:pt>
                <c:pt idx="16">
                  <c:v>15.350000000000001</c:v>
                </c:pt>
                <c:pt idx="17">
                  <c:v>15.350000000000001</c:v>
                </c:pt>
                <c:pt idx="18">
                  <c:v>15.350000000000001</c:v>
                </c:pt>
                <c:pt idx="19">
                  <c:v>15.350000000000001</c:v>
                </c:pt>
                <c:pt idx="20">
                  <c:v>12.266666666666669</c:v>
                </c:pt>
                <c:pt idx="21">
                  <c:v>10.200000000000001</c:v>
                </c:pt>
                <c:pt idx="22">
                  <c:v>9.6476190476190471</c:v>
                </c:pt>
                <c:pt idx="23">
                  <c:v>9.4571428571428573</c:v>
                </c:pt>
                <c:pt idx="24">
                  <c:v>9.002597402597404</c:v>
                </c:pt>
                <c:pt idx="25">
                  <c:v>6.6727272727272728</c:v>
                </c:pt>
                <c:pt idx="26">
                  <c:v>6.4386363636363635</c:v>
                </c:pt>
                <c:pt idx="27">
                  <c:v>6.2272727272727275</c:v>
                </c:pt>
                <c:pt idx="28">
                  <c:v>6.2272727272727275</c:v>
                </c:pt>
                <c:pt idx="29">
                  <c:v>6.2272727272727275</c:v>
                </c:pt>
                <c:pt idx="30">
                  <c:v>6.6464285714285722</c:v>
                </c:pt>
                <c:pt idx="31">
                  <c:v>6.6571428571428575</c:v>
                </c:pt>
                <c:pt idx="32">
                  <c:v>6.6571428571428575</c:v>
                </c:pt>
                <c:pt idx="33">
                  <c:v>6.9428571428571422</c:v>
                </c:pt>
                <c:pt idx="34">
                  <c:v>6.9428571428571422</c:v>
                </c:pt>
                <c:pt idx="35">
                  <c:v>6.9428571428571422</c:v>
                </c:pt>
                <c:pt idx="36">
                  <c:v>6.9428571428571422</c:v>
                </c:pt>
                <c:pt idx="37">
                  <c:v>6.9428571428571422</c:v>
                </c:pt>
                <c:pt idx="38">
                  <c:v>6.9428571428571422</c:v>
                </c:pt>
                <c:pt idx="39">
                  <c:v>6.9428571428571422</c:v>
                </c:pt>
                <c:pt idx="40">
                  <c:v>6.6571428571428575</c:v>
                </c:pt>
                <c:pt idx="41">
                  <c:v>6.3428571428571434</c:v>
                </c:pt>
                <c:pt idx="42">
                  <c:v>6.3428571428571434</c:v>
                </c:pt>
                <c:pt idx="43">
                  <c:v>5.9777777777777779</c:v>
                </c:pt>
                <c:pt idx="44">
                  <c:v>6.8</c:v>
                </c:pt>
                <c:pt idx="45">
                  <c:v>6.8</c:v>
                </c:pt>
                <c:pt idx="46">
                  <c:v>8.2000000000000028</c:v>
                </c:pt>
                <c:pt idx="47">
                  <c:v>8.2000000000000028</c:v>
                </c:pt>
                <c:pt idx="48">
                  <c:v>8.2000000000000028</c:v>
                </c:pt>
                <c:pt idx="49">
                  <c:v>8.2000000000000028</c:v>
                </c:pt>
                <c:pt idx="50">
                  <c:v>8.3500000000000014</c:v>
                </c:pt>
                <c:pt idx="51">
                  <c:v>8.3500000000000014</c:v>
                </c:pt>
                <c:pt idx="52">
                  <c:v>8.3500000000000014</c:v>
                </c:pt>
                <c:pt idx="53">
                  <c:v>8.3500000000000014</c:v>
                </c:pt>
                <c:pt idx="54">
                  <c:v>8.3500000000000014</c:v>
                </c:pt>
                <c:pt idx="55">
                  <c:v>8.3500000000000014</c:v>
                </c:pt>
                <c:pt idx="56">
                  <c:v>7.6444444444444448</c:v>
                </c:pt>
                <c:pt idx="57">
                  <c:v>7.1333333333333329</c:v>
                </c:pt>
                <c:pt idx="58">
                  <c:v>6.7555555555555555</c:v>
                </c:pt>
                <c:pt idx="59">
                  <c:v>6.7555555555555555</c:v>
                </c:pt>
                <c:pt idx="60">
                  <c:v>7.1333333333333329</c:v>
                </c:pt>
                <c:pt idx="61">
                  <c:v>7.0888888888888886</c:v>
                </c:pt>
                <c:pt idx="62">
                  <c:v>7.0111111111111111</c:v>
                </c:pt>
                <c:pt idx="63">
                  <c:v>7.0111111111111111</c:v>
                </c:pt>
                <c:pt idx="64">
                  <c:v>7.0111111111111111</c:v>
                </c:pt>
                <c:pt idx="65">
                  <c:v>7.0111111111111111</c:v>
                </c:pt>
                <c:pt idx="66">
                  <c:v>7.0111111111111111</c:v>
                </c:pt>
                <c:pt idx="67">
                  <c:v>7.0111111111111111</c:v>
                </c:pt>
                <c:pt idx="68">
                  <c:v>7.0111111111111111</c:v>
                </c:pt>
                <c:pt idx="69">
                  <c:v>7.0111111111111111</c:v>
                </c:pt>
                <c:pt idx="70">
                  <c:v>7.0111111111111111</c:v>
                </c:pt>
                <c:pt idx="71">
                  <c:v>6.98</c:v>
                </c:pt>
                <c:pt idx="72">
                  <c:v>6.6400000000000006</c:v>
                </c:pt>
                <c:pt idx="73">
                  <c:v>7.02</c:v>
                </c:pt>
                <c:pt idx="74">
                  <c:v>7.02</c:v>
                </c:pt>
                <c:pt idx="75">
                  <c:v>7.02</c:v>
                </c:pt>
                <c:pt idx="76">
                  <c:v>7.9977777777777774</c:v>
                </c:pt>
                <c:pt idx="77">
                  <c:v>8.31111111111111</c:v>
                </c:pt>
                <c:pt idx="78">
                  <c:v>8.31111111111111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41-4757-8FF7-56A24DD78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031360"/>
        <c:axId val="1794034608"/>
      </c:lineChart>
      <c:catAx>
        <c:axId val="179403136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034608"/>
        <c:crosses val="autoZero"/>
        <c:auto val="1"/>
        <c:lblAlgn val="ctr"/>
        <c:lblOffset val="100"/>
        <c:noMultiLvlLbl val="1"/>
      </c:catAx>
      <c:valAx>
        <c:axId val="179403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03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4878567913385797"/>
          <c:y val="7.1465346534653501E-2"/>
          <c:w val="0.235434527090983"/>
          <c:h val="7.231846019247589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Delivery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Data!$M$2:$M$600</c:f>
              <c:numCache>
                <c:formatCode>0.00</c:formatCode>
                <c:ptCount val="599"/>
                <c:pt idx="0">
                  <c:v>0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0.33333333333333331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0.22222222222222221</c:v>
                </c:pt>
                <c:pt idx="9">
                  <c:v>0.2</c:v>
                </c:pt>
                <c:pt idx="10">
                  <c:v>0.27272727272727271</c:v>
                </c:pt>
                <c:pt idx="11">
                  <c:v>0.36363636363636365</c:v>
                </c:pt>
                <c:pt idx="12">
                  <c:v>0.54545454545454541</c:v>
                </c:pt>
                <c:pt idx="13">
                  <c:v>0.54545454545454541</c:v>
                </c:pt>
                <c:pt idx="14">
                  <c:v>0.54545454545454541</c:v>
                </c:pt>
                <c:pt idx="15">
                  <c:v>0.63636363636363635</c:v>
                </c:pt>
                <c:pt idx="16">
                  <c:v>1</c:v>
                </c:pt>
                <c:pt idx="17">
                  <c:v>1</c:v>
                </c:pt>
                <c:pt idx="18">
                  <c:v>1.2727272727272727</c:v>
                </c:pt>
                <c:pt idx="19">
                  <c:v>1.2727272727272727</c:v>
                </c:pt>
                <c:pt idx="20">
                  <c:v>1.3636363636363635</c:v>
                </c:pt>
                <c:pt idx="21">
                  <c:v>1.1818181818181819</c:v>
                </c:pt>
                <c:pt idx="22">
                  <c:v>1</c:v>
                </c:pt>
                <c:pt idx="23">
                  <c:v>1.0909090909090908</c:v>
                </c:pt>
                <c:pt idx="24">
                  <c:v>1.0909090909090908</c:v>
                </c:pt>
                <c:pt idx="25">
                  <c:v>1.0909090909090908</c:v>
                </c:pt>
                <c:pt idx="26">
                  <c:v>0.72727272727272729</c:v>
                </c:pt>
                <c:pt idx="27">
                  <c:v>0.81818181818181823</c:v>
                </c:pt>
                <c:pt idx="28">
                  <c:v>0.54545454545454541</c:v>
                </c:pt>
                <c:pt idx="29">
                  <c:v>0.54545454545454541</c:v>
                </c:pt>
                <c:pt idx="30">
                  <c:v>0.63636363636363635</c:v>
                </c:pt>
                <c:pt idx="31">
                  <c:v>0.63636363636363635</c:v>
                </c:pt>
                <c:pt idx="32">
                  <c:v>0.72727272727272729</c:v>
                </c:pt>
                <c:pt idx="33">
                  <c:v>0.63636363636363635</c:v>
                </c:pt>
                <c:pt idx="34">
                  <c:v>0.90909090909090906</c:v>
                </c:pt>
                <c:pt idx="35">
                  <c:v>0.81818181818181823</c:v>
                </c:pt>
                <c:pt idx="36">
                  <c:v>0.81818181818181823</c:v>
                </c:pt>
                <c:pt idx="37">
                  <c:v>0.81818181818181823</c:v>
                </c:pt>
                <c:pt idx="38">
                  <c:v>0.90909090909090906</c:v>
                </c:pt>
                <c:pt idx="39">
                  <c:v>0.90909090909090906</c:v>
                </c:pt>
                <c:pt idx="40">
                  <c:v>0.81818181818181823</c:v>
                </c:pt>
                <c:pt idx="41">
                  <c:v>0.72727272727272729</c:v>
                </c:pt>
                <c:pt idx="42">
                  <c:v>0.63636363636363635</c:v>
                </c:pt>
                <c:pt idx="43">
                  <c:v>0.81818181818181823</c:v>
                </c:pt>
                <c:pt idx="44">
                  <c:v>0.54545454545454541</c:v>
                </c:pt>
                <c:pt idx="45">
                  <c:v>0.54545454545454541</c:v>
                </c:pt>
                <c:pt idx="46">
                  <c:v>0.54545454545454541</c:v>
                </c:pt>
                <c:pt idx="47">
                  <c:v>0.90909090909090906</c:v>
                </c:pt>
                <c:pt idx="48">
                  <c:v>0.81818181818181823</c:v>
                </c:pt>
                <c:pt idx="49">
                  <c:v>0.81818181818181823</c:v>
                </c:pt>
                <c:pt idx="50">
                  <c:v>0.72727272727272729</c:v>
                </c:pt>
                <c:pt idx="51">
                  <c:v>0.81818181818181823</c:v>
                </c:pt>
                <c:pt idx="52">
                  <c:v>1.2727272727272727</c:v>
                </c:pt>
                <c:pt idx="53">
                  <c:v>1.0909090909090908</c:v>
                </c:pt>
                <c:pt idx="54">
                  <c:v>1.1818181818181819</c:v>
                </c:pt>
                <c:pt idx="55">
                  <c:v>1.1818181818181819</c:v>
                </c:pt>
                <c:pt idx="56">
                  <c:v>1.2727272727272727</c:v>
                </c:pt>
                <c:pt idx="57">
                  <c:v>0.81818181818181823</c:v>
                </c:pt>
                <c:pt idx="58">
                  <c:v>0.81818181818181823</c:v>
                </c:pt>
                <c:pt idx="59">
                  <c:v>0.81818181818181823</c:v>
                </c:pt>
                <c:pt idx="60">
                  <c:v>0.72727272727272729</c:v>
                </c:pt>
                <c:pt idx="61">
                  <c:v>1</c:v>
                </c:pt>
                <c:pt idx="62">
                  <c:v>0.72727272727272729</c:v>
                </c:pt>
                <c:pt idx="63">
                  <c:v>0.72727272727272729</c:v>
                </c:pt>
                <c:pt idx="64">
                  <c:v>0.90909090909090906</c:v>
                </c:pt>
                <c:pt idx="65">
                  <c:v>1</c:v>
                </c:pt>
                <c:pt idx="66">
                  <c:v>0.90909090909090906</c:v>
                </c:pt>
                <c:pt idx="67">
                  <c:v>0.90909090909090906</c:v>
                </c:pt>
                <c:pt idx="68">
                  <c:v>1</c:v>
                </c:pt>
                <c:pt idx="69">
                  <c:v>1</c:v>
                </c:pt>
                <c:pt idx="70">
                  <c:v>1.0909090909090908</c:v>
                </c:pt>
                <c:pt idx="71">
                  <c:v>1</c:v>
                </c:pt>
                <c:pt idx="72">
                  <c:v>0.90909090909090906</c:v>
                </c:pt>
                <c:pt idx="73">
                  <c:v>0.90909090909090906</c:v>
                </c:pt>
                <c:pt idx="74">
                  <c:v>0.72727272727272729</c:v>
                </c:pt>
                <c:pt idx="75">
                  <c:v>0.72727272727272729</c:v>
                </c:pt>
                <c:pt idx="76">
                  <c:v>0.81818181818181823</c:v>
                </c:pt>
                <c:pt idx="77">
                  <c:v>0.81818181818181823</c:v>
                </c:pt>
                <c:pt idx="78">
                  <c:v>0.81818181818181823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E-44E5-B036-44C8FDE39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162640"/>
        <c:axId val="-2109489072"/>
      </c:lineChart>
      <c:catAx>
        <c:axId val="1780162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489072"/>
        <c:crosses val="autoZero"/>
        <c:auto val="1"/>
        <c:lblAlgn val="ctr"/>
        <c:lblOffset val="100"/>
        <c:noMultiLvlLbl val="0"/>
      </c:catAx>
      <c:valAx>
        <c:axId val="-21094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16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>
    <tabColor theme="6"/>
  </sheetPr>
  <sheetViews>
    <sheetView zoomScale="87" workbookViewId="0"/>
  </sheetViews>
  <pageMargins left="1.2600000000000002" right="0.71" top="0.75000000000000011" bottom="0.75000000000000011" header="0.31" footer="0.31"/>
  <pageSetup paperSize="8" orientation="landscape"/>
  <drawing r:id="rId1"/>
  <legacyDrawingHF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8E223F-255E-4F54-9BD7-50DEBE88FF28}">
  <sheetPr>
    <tabColor theme="6" tint="0.39997558519241921"/>
  </sheetPr>
  <sheetViews>
    <sheetView tabSelected="1"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f"/><Relationship Id="rId1" Type="http://schemas.openxmlformats.org/officeDocument/2006/relationships/hyperlink" Target="http://creativecommons.org/licenses/by-sa/4.0/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3225517" cy="92184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0.64327</cdr:x>
      <cdr:y>0.00138</cdr:y>
    </cdr:from>
    <cdr:to>
      <cdr:x>0.75673</cdr:x>
      <cdr:y>0.03729</cdr:y>
    </cdr:to>
    <cdr:sp macro="" textlink="[0]!TodaysDate">
      <cdr:nvSpPr>
        <cdr:cNvPr id="2" name="TextBox 1"/>
        <cdr:cNvSpPr txBox="1"/>
      </cdr:nvSpPr>
      <cdr:spPr>
        <a:xfrm xmlns:a="http://schemas.openxmlformats.org/drawingml/2006/main">
          <a:off x="8496300" y="12700"/>
          <a:ext cx="149860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F5F69AD7-9922-144B-8FF6-66CB4BF09968}" type="TxLink">
            <a:rPr lang="en-US" sz="1800" b="1" i="0" u="none" strike="noStrike">
              <a:solidFill>
                <a:srgbClr val="000000"/>
              </a:solidFill>
              <a:latin typeface="+mn-lt"/>
              <a:ea typeface="Arial"/>
              <a:cs typeface="Arial"/>
            </a:rPr>
            <a:pPr/>
            <a:t>01/06/2016</a:t>
          </a:fld>
          <a:endParaRPr lang="en-US" sz="2400" b="1">
            <a:latin typeface="+mn-lt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1</xdr:row>
      <xdr:rowOff>38100</xdr:rowOff>
    </xdr:from>
    <xdr:to>
      <xdr:col>15</xdr:col>
      <xdr:colOff>762000</xdr:colOff>
      <xdr:row>45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407D-E15F-4425-BEED-EB626418B8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133350</xdr:rowOff>
    </xdr:from>
    <xdr:to>
      <xdr:col>11</xdr:col>
      <xdr:colOff>304800</xdr:colOff>
      <xdr:row>36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38100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152400</xdr:rowOff>
    </xdr:from>
    <xdr:to>
      <xdr:col>18</xdr:col>
      <xdr:colOff>63500</xdr:colOff>
      <xdr:row>39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16</xdr:row>
      <xdr:rowOff>38100</xdr:rowOff>
    </xdr:from>
    <xdr:to>
      <xdr:col>0</xdr:col>
      <xdr:colOff>1219200</xdr:colOff>
      <xdr:row>18</xdr:row>
      <xdr:rowOff>38100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600" y="2781300"/>
          <a:ext cx="1117600" cy="3937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LtDistTbl" displayName="LtDistTbl" ref="A2:D45" totalsRowShown="0" headerRowDxfId="60">
  <autoFilter ref="A2:D45" xr:uid="{00000000-0009-0000-0100-000004000000}"/>
  <tableColumns count="4">
    <tableColumn id="1" xr3:uid="{00000000-0010-0000-0000-000001000000}" name="LeadTime"/>
    <tableColumn id="2" xr3:uid="{00000000-0010-0000-0000-000002000000}" name="Freq">
      <calculatedColumnFormula>IF( $B$1="All",COUNTIF(Stories[[#All],[Rounded Lead Time]],"=" &amp;LtDistribution!$A3),COUNTIFS(Stories[[#All],[Rounded Lead Time]],"=" &amp;LtDistribution!$A3,Stories[[#All],[Type]],"="&amp;LtDistribution!$B$1))</calculatedColumnFormula>
    </tableColumn>
    <tableColumn id="3" xr3:uid="{00000000-0010-0000-0000-000003000000}" name="percent" dataDxfId="59">
      <calculatedColumnFormula>B3/SUM($B$3:$B$45)</calculatedColumnFormula>
    </tableColumn>
    <tableColumn id="4" xr3:uid="{00000000-0010-0000-0000-000004000000}" name="cumulative percent" dataDxfId="58">
      <calculatedColumnFormula>D2+C3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tories" displayName="Stories" ref="A4:P100" totalsRowShown="0" headerRowDxfId="52" tableBorderDxfId="51" dataCellStyle="Input">
  <autoFilter ref="A4:P100" xr:uid="{00000000-0009-0000-0100-000001000000}"/>
  <sortState ref="A5:P100">
    <sortCondition ref="B5:B100"/>
    <sortCondition ref="L5:L100"/>
    <sortCondition ref="K5:K100"/>
  </sortState>
  <tableColumns count="16">
    <tableColumn id="1" xr3:uid="{00000000-0010-0000-0100-000001000000}" name="Work Item ID" dataCellStyle="Input"/>
    <tableColumn id="14" xr3:uid="{00000000-0010-0000-0100-00000E000000}" name="Sort" dataDxfId="50" dataCellStyle="Input">
      <calculatedColumnFormula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calculatedColumnFormula>
    </tableColumn>
    <tableColumn id="2" xr3:uid="{00000000-0010-0000-0100-000002000000}" name="Epic" dataCellStyle="Input"/>
    <tableColumn id="3" xr3:uid="{00000000-0010-0000-0100-000003000000}" name="Title" dataCellStyle="Input"/>
    <tableColumn id="13" xr3:uid="{00000000-0010-0000-0100-00000D000000}" name="Type" dataCellStyle="Input"/>
    <tableColumn id="4" xr3:uid="{00000000-0010-0000-0100-000004000000}" name="Backlog" dataDxfId="49" dataCellStyle="Input"/>
    <tableColumn id="5" xr3:uid="{00000000-0010-0000-0100-000005000000}" name="Ready" dataDxfId="48" dataCellStyle="Input"/>
    <tableColumn id="6" xr3:uid="{00000000-0010-0000-0100-000006000000}" name="In Progress" dataDxfId="47" dataCellStyle="Input"/>
    <tableColumn id="15" xr3:uid="{00000000-0010-0000-0100-00000F000000}" name="Ready For Demo" dataDxfId="46" dataCellStyle="Input"/>
    <tableColumn id="7" xr3:uid="{00000000-0010-0000-0100-000007000000}" name="Demo" dataDxfId="45" dataCellStyle="Input"/>
    <tableColumn id="8" xr3:uid="{00000000-0010-0000-0100-000008000000}" name="Done" dataDxfId="44">
      <calculatedColumnFormula>Stories[[#This Row],[Ready]]+6</calculatedColumnFormula>
    </tableColumn>
    <tableColumn id="16" xr3:uid="{00000000-0010-0000-0100-000010000000}" name="Sprint Finished" dataDxfId="43" dataCellStyle="Input"/>
    <tableColumn id="9" xr3:uid="{00000000-0010-0000-0100-000009000000}" name="Weighting" dataCellStyle="Input"/>
    <tableColumn id="10" xr3:uid="{00000000-0010-0000-0100-00000A000000}" name="Lead Time" dataDxfId="42" dataCellStyle="Calculation">
      <calculatedColumnFormula>IF(K5&gt;0,(((NETWORKDAYS(G5,K5,BankHolidays))/M5)),NA())</calculatedColumnFormula>
    </tableColumn>
    <tableColumn id="12" xr3:uid="{00000000-0010-0000-0100-00000C000000}" name="Rounded Lead Time" dataDxfId="41" dataCellStyle="Calculation">
      <calculatedColumnFormula>ROUND(Stories[[#This Row],[Lead Time]],0)</calculatedColumnFormula>
    </tableColumn>
    <tableColumn id="11" xr3:uid="{00000000-0010-0000-0100-00000B000000}" name="Comments" dataCellStyle="Inpu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CFDTable" displayName="CFDTable" ref="A1:AB187" totalsRowShown="0" headerRowCellStyle="Calculation" dataCellStyle="Calculation">
  <tableColumns count="28">
    <tableColumn id="24" xr3:uid="{00000000-0010-0000-0200-000018000000}" name="Day" dataDxfId="40" dataCellStyle="Calculation">
      <calculatedColumnFormula>CFDTable[[#This Row],[Date]]</calculatedColumnFormula>
    </tableColumn>
    <tableColumn id="1" xr3:uid="{00000000-0010-0000-0200-000001000000}" name="Date" dataDxfId="39" dataCellStyle="Calculation">
      <calculatedColumnFormula>Data!B2</calculatedColumnFormula>
    </tableColumn>
    <tableColumn id="17" xr3:uid="{00000000-0010-0000-0200-000011000000}" name="Future Ready" dataDxfId="38" dataCellStyle="Calculation">
      <calculatedColumnFormula>IF(ISNUMBER(CFDTable[[#This Row],[Ready]]),NA(),CFDTable[[#This Row],[Target]]-CFDTable[[#This Row],[To Do]])</calculatedColumnFormula>
    </tableColumn>
    <tableColumn id="23" xr3:uid="{00000000-0010-0000-0200-000017000000}" name="Goal Done" dataDxfId="37" dataCellStyle="Calculation">
      <calculatedColumnFormula>IF(CFDTable[[#This Row],[Emergence]]&gt;0,CFDTable[[#This Row],[Future Work]]-CFDTable[[#This Row],[Emergence]],NA())</calculatedColumnFormula>
    </tableColumn>
    <tableColumn id="22" xr3:uid="{00000000-0010-0000-0200-000016000000}" name="Emergence" dataCellStyle="Calculation">
      <calculatedColumnFormula>Data!C2</calculatedColumnFormula>
    </tableColumn>
    <tableColumn id="2" xr3:uid="{00000000-0010-0000-0200-000002000000}" name="To Do" dataDxfId="36" dataCellStyle="Calculation">
      <calculatedColumnFormula>Data!D2</calculatedColumnFormula>
    </tableColumn>
    <tableColumn id="15" xr3:uid="{00000000-0010-0000-0200-00000F000000}" name="Ready" dataCellStyle="Calculation">
      <calculatedColumnFormula>Data!E2</calculatedColumnFormula>
    </tableColumn>
    <tableColumn id="3" xr3:uid="{00000000-0010-0000-0200-000003000000}" name="In Progress" dataCellStyle="Calculation">
      <calculatedColumnFormula>IF(TODAY()&gt;=$B2,Data!F2,NA())</calculatedColumnFormula>
    </tableColumn>
    <tableColumn id="13" xr3:uid="{00000000-0010-0000-0200-00000D000000}" name="Ready for Demo" dataDxfId="35" dataCellStyle="Calculation">
      <calculatedColumnFormula>IF(TODAY()&gt;=$B2,Data!G2,NA())</calculatedColumnFormula>
    </tableColumn>
    <tableColumn id="4" xr3:uid="{00000000-0010-0000-0200-000004000000}" name="Demo" dataDxfId="34" dataCellStyle="Calculation">
      <calculatedColumnFormula>IF(TODAY()&gt;=$B2,Data!H2,NA())</calculatedColumnFormula>
    </tableColumn>
    <tableColumn id="5" xr3:uid="{00000000-0010-0000-0200-000005000000}" name="Done" dataDxfId="33" dataCellStyle="Calculation">
      <calculatedColumnFormula>IF(TODAY()&gt;=$B2,Data!I2,NA())</calculatedColumnFormula>
    </tableColumn>
    <tableColumn id="12" xr3:uid="{00000000-0010-0000-0200-00000C000000}" name="Done Today" dataDxfId="32" dataCellStyle="Calculation">
      <calculatedColumnFormula>CFDTable[[#This Row],[Demo]]-J1</calculatedColumnFormula>
    </tableColumn>
    <tableColumn id="9" xr3:uid="{00000000-0010-0000-0200-000009000000}" name="Worst Case" dataDxfId="31" dataCellStyle="Calculation">
      <calculatedColumnFormula>IF(ISNUMBER($L2),CFDTable[[#This Row],[Demo]],IF(SUM(LOOKUP(2,1/(M$1:M1&lt;&gt;""),M$1:M1)+P2)&gt;=$X2+P2,NA(),SUM(LOOKUP(2,1/(M$1:M1&lt;&gt;""),M$1:M1)+P2)))</calculatedColumnFormula>
    </tableColumn>
    <tableColumn id="10" xr3:uid="{00000000-0010-0000-0200-00000A000000}" name="Median Prediction" dataDxfId="30" dataCellStyle="Calculation"/>
    <tableColumn id="7" xr3:uid="{00000000-0010-0000-0200-000007000000}" name="Best Case" dataDxfId="29" dataCellStyle="Calculation">
      <calculatedColumnFormula>IF(ISNUMBER($L2),CFDTable[[#This Row],[Demo]],IF(SUM(LOOKUP(2,1/(O$1:O1&lt;&gt;""),O$1:O1)+T2)&gt;=$X2+T2,NA(),SUM(LOOKUP(2,1/(O$1:O1&lt;&gt;""),O$1:O1)+T2)))</calculatedColumnFormula>
    </tableColumn>
    <tableColumn id="8" xr3:uid="{00000000-0010-0000-0200-000008000000}" name="lowDaily" dataCellStyle="Calculation">
      <calculatedColumnFormula>CFDTable[[#This Row],[AvgDaily]]-CFDTable[[#This Row],[Deviation]]</calculatedColumnFormula>
    </tableColumn>
    <tableColumn id="11" xr3:uid="{00000000-0010-0000-0200-00000B000000}" name="AvgDaily" dataCellStyle="Calculation"/>
    <tableColumn id="26" xr3:uid="{00000000-0010-0000-0200-00001A000000}" name="AvgOffsetedTorange" dataCellStyle="Calculation"/>
    <tableColumn id="27" xr3:uid="{00000000-0010-0000-0200-00001B000000}" name="OLD AvgDaily" dataDxfId="28" dataCellStyle="Calculation">
      <calculatedColumnFormula>IF(ISNUMBER(OFFSET(Q2,-Historic,0)),OFFSET(Q2,-Historic,0),Q$2)</calculatedColumnFormula>
    </tableColumn>
    <tableColumn id="6" xr3:uid="{00000000-0010-0000-0200-000006000000}" name="highDaily" dataCellStyle="Calculation">
      <calculatedColumnFormula>CFDTable[[#This Row],[AvgDaily]]+CFDTable[[#This Row],[Deviation]]</calculatedColumnFormula>
    </tableColumn>
    <tableColumn id="16" xr3:uid="{00000000-0010-0000-0200-000010000000}" name="Deviation" dataDxfId="27" dataCellStyle="Calculation">
      <calculatedColumnFormula>IF(ISNUMBER(L2),((_xlfn.PERCENTILE.INC(IF(ISNUMBER(OFFSET(Q2,-Historic,0)),OFFSET(Q2,-Historic,0),Q$2):Q2,PercentileHigh/100))-(MEDIAN(IF(ISNUMBER(OFFSET(Q2,-Historic,0)),OFFSET(Q2,-Historic,0),Q$2):Q2))),U1)</calculatedColumnFormula>
    </tableColumn>
    <tableColumn id="28" xr3:uid="{00000000-0010-0000-0200-00001C000000}" name="Old Deviation" dataDxfId="26" dataCellStyle="Calculation">
      <calculatedColumnFormula>IF(ISNUMBER(L2),((_xlfn.PERCENTILE.INC(Q$2:Q2,PercentileHigh/100))-(MEDIAN(Q$2:Q2))),U1)</calculatedColumnFormula>
    </tableColumn>
    <tableColumn id="21" xr3:uid="{00000000-0010-0000-0200-000015000000}" name="Future Work" dataDxfId="25" dataCellStyle="Calculation">
      <calculatedColumnFormula>IF(ISNUMBER(CFDTable[[#This Row],[Done Today]]),SUM($F2:$K2),$W1)</calculatedColumnFormula>
    </tableColumn>
    <tableColumn id="14" xr3:uid="{00000000-0010-0000-0200-00000E000000}" name="Target" dataDxfId="24" dataCellStyle="Calculation">
      <calculatedColumnFormula>SUM(CFDTable[[#This Row],[To Do]:[Done]])</calculatedColumnFormula>
    </tableColumn>
    <tableColumn id="18" xr3:uid="{00000000-0010-0000-0200-000012000000}" name="lookupLow" dataDxfId="23" dataCellStyle="Calculation">
      <calculatedColumnFormula>SUM(LOOKUP(2,1/(M$1:M1&lt;&gt;""),M$1:M1)+P2)</calculatedColumnFormula>
    </tableColumn>
    <tableColumn id="20" xr3:uid="{00000000-0010-0000-0200-000014000000}" name="lookupMedian" dataDxfId="22" dataCellStyle="Calculation">
      <calculatedColumnFormula>SUM(LOOKUP(2,1/(N$1:N1&lt;&gt;""),N$1:N1)+Q2)</calculatedColumnFormula>
    </tableColumn>
    <tableColumn id="19" xr3:uid="{00000000-0010-0000-0200-000013000000}" name="lookupHigh" dataDxfId="21" dataCellStyle="Calculation">
      <calculatedColumnFormula>SUM(LOOKUP(2,1/(O$1:O1&lt;&gt;""),O$1:O1)+T2)</calculatedColumnFormula>
    </tableColumn>
    <tableColumn id="25" xr3:uid="{00000000-0010-0000-0200-000019000000}" name="Deadline" dataDxfId="20" dataCellStyle="Calculation">
      <calculatedColumnFormula>IF(CFDTable[[#This Row],[Date]]=DeadlineDate,CFDTable[Future Work],0)</calculatedColumnFormula>
    </tableColumn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DayByDayTable" displayName="DayByDayTable" ref="A1:R600" totalsRowShown="0" headerRowDxfId="19" headerRowBorderDxfId="18" tableBorderDxfId="17" totalsRowBorderDxfId="16" headerRowCellStyle="Calculation" dataCellStyle="Calculation">
  <autoFilter ref="A1:R600" xr:uid="{00000000-0009-0000-0100-000003000000}"/>
  <tableColumns count="18">
    <tableColumn id="1" xr3:uid="{00000000-0010-0000-0300-000001000000}" name="Day" dataDxfId="15" dataCellStyle="Calculation">
      <calculatedColumnFormula>B2</calculatedColumnFormula>
    </tableColumn>
    <tableColumn id="2" xr3:uid="{00000000-0010-0000-0300-000002000000}" name="Date" dataDxfId="14" dataCellStyle="Calculation">
      <calculatedColumnFormula>IF(NETWORKDAYS(B1,B1+1,BankHolidays)=2,B1+1,IF(NETWORKDAYS(B1,B1+2,BankHolidays)=2,B1+2,IF(NETWORKDAYS(B1,B1+3,BankHolidays)=2,B1+3,IF(NETWORKDAYS(B1,B1+4,BankHolidays)=2,B1+4,IF(NETWORKDAYS(B1,B1+5,BankHolidays)=2,B1+5,NA())))))</calculatedColumnFormula>
    </tableColumn>
    <tableColumn id="4" xr3:uid="{00000000-0010-0000-0300-000004000000}" name="Uncommitted Future Work" dataDxfId="13" dataCellStyle="Calculation">
      <calculatedColumnFormula>SUMIFS('On The Board'!$M$5:$M$219,'On The Board'!F$5:F$219,"&lt;="&amp;$B2,'On The Board'!E$5:E$219,"="&amp;FutureWork)</calculatedColumnFormula>
    </tableColumn>
    <tableColumn id="5" xr3:uid="{00000000-0010-0000-0300-000005000000}" name="Backlog" dataDxfId="12" dataCellStyle="Calculation">
      <calculatedColumnFormula>IF(TodaysDate&gt;=B2,SUMIF('On The Board'!F$5:F$219,"&lt;="&amp;$B2,'On The Board'!$M$5:$M$219)-SUM(E2:I2),D1)</calculatedColumnFormula>
    </tableColumn>
    <tableColumn id="6" xr3:uid="{00000000-0010-0000-0300-000006000000}" name="Ready" dataDxfId="11" dataCellStyle="Calculation">
      <calculatedColumnFormula>SUMIF('On The Board'!G$5:G$219,"&lt;="&amp;$B2,'On The Board'!$M$5:$M$219)-SUM(F2:I2)</calculatedColumnFormula>
    </tableColumn>
    <tableColumn id="7" xr3:uid="{00000000-0010-0000-0300-000007000000}" name="In Progress" dataDxfId="10" dataCellStyle="Calculation">
      <calculatedColumnFormula>SUMIF('On The Board'!H$5:H$219,"&lt;="&amp;$B2,'On The Board'!$M$5:$M$219)-SUM(G2:I2)</calculatedColumnFormula>
    </tableColumn>
    <tableColumn id="8" xr3:uid="{00000000-0010-0000-0300-000008000000}" name="Ready for Demo" dataDxfId="9" dataCellStyle="Calculation">
      <calculatedColumnFormula>SUMIF('On The Board'!I$5:I$219,"&lt;="&amp;$B2,'On The Board'!$M$5:$M$219)-SUM(H2,I2)</calculatedColumnFormula>
    </tableColumn>
    <tableColumn id="9" xr3:uid="{00000000-0010-0000-0300-000009000000}" name="Demo" dataDxfId="8" dataCellStyle="Calculation">
      <calculatedColumnFormula>SUMIF('On The Board'!J$5:J$219,"&lt;="&amp;$B2,'On The Board'!$M$5:$M$219)-SUM(I2)</calculatedColumnFormula>
    </tableColumn>
    <tableColumn id="10" xr3:uid="{00000000-0010-0000-0300-00000A000000}" name="Done" dataDxfId="7" dataCellStyle="Calculation">
      <calculatedColumnFormula>SUMIF('On The Board'!K$5:K$219,"&lt;="&amp;$B2,'On The Board'!$M$5:$M$219)</calculatedColumnFormula>
    </tableColumn>
    <tableColumn id="11" xr3:uid="{00000000-0010-0000-0300-00000B000000}" name="Total" dataCellStyle="Calculation">
      <calculatedColumnFormula>SUM(E2:I2)</calculatedColumnFormula>
    </tableColumn>
    <tableColumn id="12" xr3:uid="{00000000-0010-0000-0300-00000C000000}" name="WIP" dataCellStyle="Calculation">
      <calculatedColumnFormula>IF(TODAY()&gt;=B2,SUM(E2:H2),NA())</calculatedColumnFormula>
    </tableColumn>
    <tableColumn id="13" xr3:uid="{00000000-0010-0000-0300-00000D000000}" name="Avg WIP" dataDxfId="6" dataCellStyle="Calculation"/>
    <tableColumn id="14" xr3:uid="{00000000-0010-0000-0300-00000E000000}" name="Delivery Rate" dataDxfId="5" dataCellStyle="Calculation"/>
    <tableColumn id="15" xr3:uid="{00000000-0010-0000-0300-00000F000000}" name="Lead Time" dataDxfId="4" dataCellStyle="Calculation">
      <calculatedColumnFormula>IF(M2&gt;0,L2/M2,NA())</calculatedColumnFormula>
    </tableColumn>
    <tableColumn id="16" xr3:uid="{00000000-0010-0000-0300-000010000000}" name="Avg Lead Time" dataDxfId="3" dataCellStyle="Calculation"/>
    <tableColumn id="18" xr3:uid="{00000000-0010-0000-0300-000012000000}" name="BlankLeadTime" dataDxfId="2" dataCellStyle="Calculation">
      <calculatedColumnFormula>ife</calculatedColumnFormula>
    </tableColumn>
    <tableColumn id="19" xr3:uid="{00000000-0010-0000-0300-000013000000}" name="Moving 11D Goal" dataDxfId="1" dataCellStyle="Calculation">
      <calculatedColumnFormula>IF(P2&gt;0,O2/P2,NA())</calculatedColumnFormula>
    </tableColumn>
    <tableColumn id="17" xr3:uid="{00000000-0010-0000-0300-000011000000}" name="Basic SLA" dataDxfId="0" dataCellStyle="Calculation">
      <calculatedColumnFormula>ROUND(PERCENTILE(DayByDayTable[[#Data],[BlankLeadTime]],0.8),0)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creativecommons.org/licenses/by-sa/4.0/" TargetMode="External"/><Relationship Id="rId13" Type="http://schemas.openxmlformats.org/officeDocument/2006/relationships/hyperlink" Target="http://creativecommons.org/licenses/by-sa/4.0/" TargetMode="External"/><Relationship Id="rId18" Type="http://schemas.openxmlformats.org/officeDocument/2006/relationships/hyperlink" Target="http://creativecommons.org/licenses/by-sa/4.0/" TargetMode="External"/><Relationship Id="rId3" Type="http://schemas.openxmlformats.org/officeDocument/2006/relationships/hyperlink" Target="http://creativecommons.org/licenses/by-sa/4.0/" TargetMode="External"/><Relationship Id="rId7" Type="http://schemas.openxmlformats.org/officeDocument/2006/relationships/hyperlink" Target="http://creativecommons.org/licenses/by-sa/4.0/" TargetMode="External"/><Relationship Id="rId12" Type="http://schemas.openxmlformats.org/officeDocument/2006/relationships/hyperlink" Target="http://creativecommons.org/licenses/by-sa/4.0/" TargetMode="External"/><Relationship Id="rId17" Type="http://schemas.openxmlformats.org/officeDocument/2006/relationships/hyperlink" Target="http://creativecommons.org/licenses/by-sa/4.0/" TargetMode="External"/><Relationship Id="rId2" Type="http://schemas.openxmlformats.org/officeDocument/2006/relationships/hyperlink" Target="http://www.kanbandan.com/" TargetMode="External"/><Relationship Id="rId16" Type="http://schemas.openxmlformats.org/officeDocument/2006/relationships/hyperlink" Target="http://creativecommons.org/licenses/by-sa/4.0/" TargetMode="External"/><Relationship Id="rId1" Type="http://schemas.openxmlformats.org/officeDocument/2006/relationships/hyperlink" Target="http://twitter.com/kanbandan" TargetMode="External"/><Relationship Id="rId6" Type="http://schemas.openxmlformats.org/officeDocument/2006/relationships/hyperlink" Target="http://creativecommons.org/licenses/by-sa/4.0/" TargetMode="External"/><Relationship Id="rId11" Type="http://schemas.openxmlformats.org/officeDocument/2006/relationships/hyperlink" Target="http://creativecommons.org/licenses/by-sa/4.0/" TargetMode="External"/><Relationship Id="rId5" Type="http://schemas.openxmlformats.org/officeDocument/2006/relationships/hyperlink" Target="http://creativecommons.org/licenses/by-sa/4.0/" TargetMode="External"/><Relationship Id="rId15" Type="http://schemas.openxmlformats.org/officeDocument/2006/relationships/hyperlink" Target="http://creativecommons.org/licenses/by-sa/4.0/" TargetMode="External"/><Relationship Id="rId10" Type="http://schemas.openxmlformats.org/officeDocument/2006/relationships/hyperlink" Target="http://creativecommons.org/licenses/by-sa/4.0/" TargetMode="External"/><Relationship Id="rId19" Type="http://schemas.openxmlformats.org/officeDocument/2006/relationships/drawing" Target="../drawings/drawing7.xml"/><Relationship Id="rId4" Type="http://schemas.openxmlformats.org/officeDocument/2006/relationships/hyperlink" Target="http://creativecommons.org/licenses/by-sa/4.0/" TargetMode="External"/><Relationship Id="rId9" Type="http://schemas.openxmlformats.org/officeDocument/2006/relationships/hyperlink" Target="http://creativecommons.org/licenses/by-sa/4.0/" TargetMode="External"/><Relationship Id="rId14" Type="http://schemas.openxmlformats.org/officeDocument/2006/relationships/hyperlink" Target="http://creativecommons.org/licenses/by-sa/4.0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  <pageSetUpPr fitToPage="1"/>
  </sheetPr>
  <dimension ref="A1:H45"/>
  <sheetViews>
    <sheetView topLeftCell="A4" workbookViewId="0">
      <selection activeCell="P46" sqref="A1:P46"/>
    </sheetView>
  </sheetViews>
  <sheetFormatPr defaultColWidth="11.42578125" defaultRowHeight="12.75"/>
  <cols>
    <col min="1" max="1" width="13.140625" bestFit="1" customWidth="1"/>
    <col min="4" max="4" width="18.85546875" customWidth="1"/>
  </cols>
  <sheetData>
    <row r="1" spans="1:8" s="33" customFormat="1" ht="54.75">
      <c r="A1" s="34" t="s">
        <v>37</v>
      </c>
      <c r="B1" s="35" t="s">
        <v>38</v>
      </c>
      <c r="D1" s="33" t="str">
        <f>LtDistTbl[[#Headers],[Freq]]</f>
        <v>Freq</v>
      </c>
      <c r="E1" s="33" t="str">
        <f>LtDistTbl[[#Headers],[Freq]]</f>
        <v>Freq</v>
      </c>
      <c r="G1" s="67" t="s">
        <v>76</v>
      </c>
      <c r="H1" s="33">
        <f>AVERAGEIF(Stories[Lead Time],"&gt;0",Stories[Lead Time])</f>
        <v>6.2428571428571429</v>
      </c>
    </row>
    <row r="2" spans="1:8">
      <c r="A2" s="31" t="s">
        <v>32</v>
      </c>
      <c r="B2" s="31" t="s">
        <v>66</v>
      </c>
      <c r="C2" s="31" t="s">
        <v>33</v>
      </c>
      <c r="D2" s="31" t="s">
        <v>34</v>
      </c>
    </row>
    <row r="3" spans="1:8">
      <c r="A3">
        <v>0</v>
      </c>
      <c r="B3">
        <f>IF( $B$1="All",COUNTIF(Stories[[#All],[Rounded Lead Time]],"=" &amp;LtDistribution!$A3),COUNTIFS(Stories[[#All],[Rounded Lead Time]],"=" &amp;LtDistribution!$A3,Stories[[#All],[Type]],"="&amp;LtDistribution!$B$1))</f>
        <v>0</v>
      </c>
      <c r="C3" s="32">
        <f t="shared" ref="C3:C45" si="0">B3/SUM($B$3:$B$45)</f>
        <v>0</v>
      </c>
      <c r="D3" s="32">
        <f>C3</f>
        <v>0</v>
      </c>
    </row>
    <row r="4" spans="1:8">
      <c r="A4">
        <v>1</v>
      </c>
      <c r="B4">
        <f>IF( $B$1="All",COUNTIF(Stories[[#All],[Rounded Lead Time]],"=" &amp;LtDistribution!$A4),COUNTIFS(Stories[[#All],[Rounded Lead Time]],"=" &amp;LtDistribution!$A4,Stories[[#All],[Type]],"="&amp;LtDistribution!$B$1))</f>
        <v>5</v>
      </c>
      <c r="C4" s="32">
        <f t="shared" si="0"/>
        <v>7.1428571428571425E-2</v>
      </c>
      <c r="D4" s="32">
        <f>SUM(C3:C4)</f>
        <v>7.1428571428571425E-2</v>
      </c>
    </row>
    <row r="5" spans="1:8">
      <c r="A5">
        <v>2</v>
      </c>
      <c r="B5">
        <f>IF( $B$1="All",COUNTIF(Stories[[#All],[Rounded Lead Time]],"=" &amp;LtDistribution!$A5),COUNTIFS(Stories[[#All],[Rounded Lead Time]],"=" &amp;LtDistribution!$A5,Stories[[#All],[Type]],"="&amp;LtDistribution!$B$1))</f>
        <v>9</v>
      </c>
      <c r="C5" s="32">
        <f t="shared" si="0"/>
        <v>0.12857142857142856</v>
      </c>
      <c r="D5" s="32">
        <f>SUM(C$3:C5)</f>
        <v>0.19999999999999998</v>
      </c>
    </row>
    <row r="6" spans="1:8">
      <c r="A6">
        <v>3</v>
      </c>
      <c r="B6">
        <f>IF( $B$1="All",COUNTIF(Stories[[#All],[Rounded Lead Time]],"=" &amp;LtDistribution!$A6),COUNTIFS(Stories[[#All],[Rounded Lead Time]],"=" &amp;LtDistribution!$A6,Stories[[#All],[Type]],"="&amp;LtDistribution!$B$1))</f>
        <v>7</v>
      </c>
      <c r="C6" s="32">
        <f t="shared" si="0"/>
        <v>0.1</v>
      </c>
      <c r="D6" s="32">
        <f>SUM(C$3:C6)</f>
        <v>0.3</v>
      </c>
    </row>
    <row r="7" spans="1:8">
      <c r="A7">
        <v>4</v>
      </c>
      <c r="B7">
        <f>IF( $B$1="All",COUNTIF(Stories[[#All],[Rounded Lead Time]],"=" &amp;LtDistribution!$A7),COUNTIFS(Stories[[#All],[Rounded Lead Time]],"=" &amp;LtDistribution!$A7,Stories[[#All],[Type]],"="&amp;LtDistribution!$B$1))</f>
        <v>9</v>
      </c>
      <c r="C7" s="32">
        <f t="shared" si="0"/>
        <v>0.12857142857142856</v>
      </c>
      <c r="D7" s="32">
        <f>SUM(C$3:C7)</f>
        <v>0.42857142857142855</v>
      </c>
    </row>
    <row r="8" spans="1:8">
      <c r="A8">
        <v>5</v>
      </c>
      <c r="B8">
        <f>IF( $B$1="All",COUNTIF(Stories[[#All],[Rounded Lead Time]],"=" &amp;LtDistribution!$A8),COUNTIFS(Stories[[#All],[Rounded Lead Time]],"=" &amp;LtDistribution!$A8,Stories[[#All],[Type]],"="&amp;LtDistribution!$B$1))</f>
        <v>10</v>
      </c>
      <c r="C8" s="32">
        <f t="shared" si="0"/>
        <v>0.14285714285714285</v>
      </c>
      <c r="D8" s="32">
        <f>SUM(C$3:C8)</f>
        <v>0.5714285714285714</v>
      </c>
    </row>
    <row r="9" spans="1:8">
      <c r="A9">
        <v>6</v>
      </c>
      <c r="B9">
        <f>IF( $B$1="All",COUNTIF(Stories[[#All],[Rounded Lead Time]],"=" &amp;LtDistribution!$A9),COUNTIFS(Stories[[#All],[Rounded Lead Time]],"=" &amp;LtDistribution!$A9,Stories[[#All],[Type]],"="&amp;LtDistribution!$B$1))</f>
        <v>5</v>
      </c>
      <c r="C9" s="32">
        <f t="shared" si="0"/>
        <v>7.1428571428571425E-2</v>
      </c>
      <c r="D9" s="32">
        <f>SUM(C$3:C9)</f>
        <v>0.64285714285714279</v>
      </c>
    </row>
    <row r="10" spans="1:8">
      <c r="A10">
        <v>7</v>
      </c>
      <c r="B10">
        <f>IF( $B$1="All",COUNTIF(Stories[[#All],[Rounded Lead Time]],"=" &amp;LtDistribution!$A10),COUNTIFS(Stories[[#All],[Rounded Lead Time]],"=" &amp;LtDistribution!$A10,Stories[[#All],[Type]],"="&amp;LtDistribution!$B$1))</f>
        <v>7</v>
      </c>
      <c r="C10" s="32">
        <f t="shared" si="0"/>
        <v>0.1</v>
      </c>
      <c r="D10" s="32">
        <f>SUM(C$3:C10)</f>
        <v>0.74285714285714277</v>
      </c>
    </row>
    <row r="11" spans="1:8">
      <c r="A11">
        <v>8</v>
      </c>
      <c r="B11">
        <f>IF( $B$1="All",COUNTIF(Stories[[#All],[Rounded Lead Time]],"=" &amp;LtDistribution!$A11),COUNTIFS(Stories[[#All],[Rounded Lead Time]],"=" &amp;LtDistribution!$A11,Stories[[#All],[Type]],"="&amp;LtDistribution!$B$1))</f>
        <v>1</v>
      </c>
      <c r="C11" s="32">
        <f t="shared" si="0"/>
        <v>1.4285714285714285E-2</v>
      </c>
      <c r="D11" s="32">
        <f>SUM(C$3:C11)</f>
        <v>0.75714285714285701</v>
      </c>
    </row>
    <row r="12" spans="1:8">
      <c r="A12">
        <v>9</v>
      </c>
      <c r="B12">
        <f>IF( $B$1="All",COUNTIF(Stories[[#All],[Rounded Lead Time]],"=" &amp;LtDistribution!$A12),COUNTIFS(Stories[[#All],[Rounded Lead Time]],"=" &amp;LtDistribution!$A12,Stories[[#All],[Type]],"="&amp;LtDistribution!$B$1))</f>
        <v>7</v>
      </c>
      <c r="C12" s="32">
        <f t="shared" si="0"/>
        <v>0.1</v>
      </c>
      <c r="D12" s="32">
        <f>SUM(C$3:C12)</f>
        <v>0.85714285714285698</v>
      </c>
    </row>
    <row r="13" spans="1:8">
      <c r="A13">
        <v>10</v>
      </c>
      <c r="B13">
        <f>IF( $B$1="All",COUNTIF(Stories[[#All],[Rounded Lead Time]],"=" &amp;LtDistribution!$A13),COUNTIFS(Stories[[#All],[Rounded Lead Time]],"=" &amp;LtDistribution!$A13,Stories[[#All],[Type]],"="&amp;LtDistribution!$B$1))</f>
        <v>4</v>
      </c>
      <c r="C13" s="32">
        <f t="shared" si="0"/>
        <v>5.7142857142857141E-2</v>
      </c>
      <c r="D13" s="32">
        <f>SUM(C$3:C13)</f>
        <v>0.91428571428571415</v>
      </c>
    </row>
    <row r="14" spans="1:8">
      <c r="A14">
        <v>11</v>
      </c>
      <c r="B14">
        <f>IF( $B$1="All",COUNTIF(Stories[[#All],[Rounded Lead Time]],"=" &amp;LtDistribution!$A14),COUNTIFS(Stories[[#All],[Rounded Lead Time]],"=" &amp;LtDistribution!$A14,Stories[[#All],[Type]],"="&amp;LtDistribution!$B$1))</f>
        <v>0</v>
      </c>
      <c r="C14" s="32">
        <f t="shared" si="0"/>
        <v>0</v>
      </c>
      <c r="D14" s="32">
        <f>SUM(C$3:C14)</f>
        <v>0.91428571428571415</v>
      </c>
    </row>
    <row r="15" spans="1:8">
      <c r="A15">
        <v>12</v>
      </c>
      <c r="B15">
        <f>IF( $B$1="All",COUNTIF(Stories[[#All],[Rounded Lead Time]],"=" &amp;LtDistribution!$A15),COUNTIFS(Stories[[#All],[Rounded Lead Time]],"=" &amp;LtDistribution!$A15,Stories[[#All],[Type]],"="&amp;LtDistribution!$B$1))</f>
        <v>1</v>
      </c>
      <c r="C15" s="32">
        <f t="shared" si="0"/>
        <v>1.4285714285714285E-2</v>
      </c>
      <c r="D15" s="32">
        <f>SUM(C$3:C15)</f>
        <v>0.92857142857142838</v>
      </c>
    </row>
    <row r="16" spans="1:8">
      <c r="A16">
        <v>13</v>
      </c>
      <c r="B16">
        <f>IF( $B$1="All",COUNTIF(Stories[[#All],[Rounded Lead Time]],"=" &amp;LtDistribution!$A16),COUNTIFS(Stories[[#All],[Rounded Lead Time]],"=" &amp;LtDistribution!$A16,Stories[[#All],[Type]],"="&amp;LtDistribution!$B$1))</f>
        <v>1</v>
      </c>
      <c r="C16" s="32">
        <f t="shared" si="0"/>
        <v>1.4285714285714285E-2</v>
      </c>
      <c r="D16" s="32">
        <f>SUM(C$3:C16)</f>
        <v>0.94285714285714262</v>
      </c>
    </row>
    <row r="17" spans="1:4">
      <c r="A17">
        <v>14</v>
      </c>
      <c r="B17">
        <f>IF( $B$1="All",COUNTIF(Stories[[#All],[Rounded Lead Time]],"=" &amp;LtDistribution!$A17),COUNTIFS(Stories[[#All],[Rounded Lead Time]],"=" &amp;LtDistribution!$A17,Stories[[#All],[Type]],"="&amp;LtDistribution!$B$1))</f>
        <v>0</v>
      </c>
      <c r="C17" s="32">
        <f t="shared" si="0"/>
        <v>0</v>
      </c>
      <c r="D17" s="32">
        <f>SUM(C$3:C17)</f>
        <v>0.94285714285714262</v>
      </c>
    </row>
    <row r="18" spans="1:4">
      <c r="A18">
        <v>15</v>
      </c>
      <c r="B18">
        <f>IF( $B$1="All",COUNTIF(Stories[[#All],[Rounded Lead Time]],"=" &amp;LtDistribution!$A18),COUNTIFS(Stories[[#All],[Rounded Lead Time]],"=" &amp;LtDistribution!$A18,Stories[[#All],[Type]],"="&amp;LtDistribution!$B$1))</f>
        <v>2</v>
      </c>
      <c r="C18" s="32">
        <f t="shared" si="0"/>
        <v>2.8571428571428571E-2</v>
      </c>
      <c r="D18" s="32">
        <f>SUM(C$3:C18)</f>
        <v>0.9714285714285712</v>
      </c>
    </row>
    <row r="19" spans="1:4">
      <c r="A19">
        <v>16</v>
      </c>
      <c r="B19">
        <f>IF( $B$1="All",COUNTIF(Stories[[#All],[Rounded Lead Time]],"=" &amp;LtDistribution!$A19),COUNTIFS(Stories[[#All],[Rounded Lead Time]],"=" &amp;LtDistribution!$A19,Stories[[#All],[Type]],"="&amp;LtDistribution!$B$1))</f>
        <v>0</v>
      </c>
      <c r="C19" s="32">
        <f t="shared" si="0"/>
        <v>0</v>
      </c>
      <c r="D19" s="32">
        <f>SUM(C$3:C19)</f>
        <v>0.9714285714285712</v>
      </c>
    </row>
    <row r="20" spans="1:4">
      <c r="A20">
        <v>17</v>
      </c>
      <c r="B20">
        <f>IF( $B$1="All",COUNTIF(Stories[[#All],[Rounded Lead Time]],"=" &amp;LtDistribution!$A20),COUNTIFS(Stories[[#All],[Rounded Lead Time]],"=" &amp;LtDistribution!$A20,Stories[[#All],[Type]],"="&amp;LtDistribution!$B$1))</f>
        <v>0</v>
      </c>
      <c r="C20" s="32">
        <f t="shared" si="0"/>
        <v>0</v>
      </c>
      <c r="D20" s="32">
        <f>SUM(C$3:C20)</f>
        <v>0.9714285714285712</v>
      </c>
    </row>
    <row r="21" spans="1:4">
      <c r="A21">
        <v>18</v>
      </c>
      <c r="B21">
        <f>IF( $B$1="All",COUNTIF(Stories[[#All],[Rounded Lead Time]],"=" &amp;LtDistribution!$A21),COUNTIFS(Stories[[#All],[Rounded Lead Time]],"=" &amp;LtDistribution!$A21,Stories[[#All],[Type]],"="&amp;LtDistribution!$B$1))</f>
        <v>0</v>
      </c>
      <c r="C21" s="32">
        <f t="shared" si="0"/>
        <v>0</v>
      </c>
      <c r="D21" s="32">
        <f>SUM(C$3:C21)</f>
        <v>0.9714285714285712</v>
      </c>
    </row>
    <row r="22" spans="1:4">
      <c r="A22">
        <v>19</v>
      </c>
      <c r="B22">
        <f>IF( $B$1="All",COUNTIF(Stories[[#All],[Rounded Lead Time]],"=" &amp;LtDistribution!$A22),COUNTIFS(Stories[[#All],[Rounded Lead Time]],"=" &amp;LtDistribution!$A22,Stories[[#All],[Type]],"="&amp;LtDistribution!$B$1))</f>
        <v>0</v>
      </c>
      <c r="C22" s="32">
        <f t="shared" si="0"/>
        <v>0</v>
      </c>
      <c r="D22" s="32">
        <f>SUM(C$3:C22)</f>
        <v>0.9714285714285712</v>
      </c>
    </row>
    <row r="23" spans="1:4">
      <c r="A23">
        <v>20</v>
      </c>
      <c r="B23">
        <f>IF( $B$1="All",COUNTIF(Stories[[#All],[Rounded Lead Time]],"=" &amp;LtDistribution!$A23),COUNTIFS(Stories[[#All],[Rounded Lead Time]],"=" &amp;LtDistribution!$A23,Stories[[#All],[Type]],"="&amp;LtDistribution!$B$1))</f>
        <v>0</v>
      </c>
      <c r="C23" s="32">
        <f t="shared" si="0"/>
        <v>0</v>
      </c>
      <c r="D23" s="32">
        <f>SUM(C$3:C23)</f>
        <v>0.9714285714285712</v>
      </c>
    </row>
    <row r="24" spans="1:4">
      <c r="A24">
        <v>21</v>
      </c>
      <c r="B24">
        <f>IF( $B$1="All",COUNTIF(Stories[[#All],[Rounded Lead Time]],"=" &amp;LtDistribution!$A24),COUNTIFS(Stories[[#All],[Rounded Lead Time]],"=" &amp;LtDistribution!$A24,Stories[[#All],[Type]],"="&amp;LtDistribution!$B$1))</f>
        <v>1</v>
      </c>
      <c r="C24" s="32">
        <f t="shared" si="0"/>
        <v>1.4285714285714285E-2</v>
      </c>
      <c r="D24" s="32">
        <f>SUM(C$3:C24)</f>
        <v>0.98571428571428543</v>
      </c>
    </row>
    <row r="25" spans="1:4">
      <c r="A25">
        <v>22</v>
      </c>
      <c r="B25">
        <f>IF( $B$1="All",COUNTIF(Stories[[#All],[Rounded Lead Time]],"=" &amp;LtDistribution!$A25),COUNTIFS(Stories[[#All],[Rounded Lead Time]],"=" &amp;LtDistribution!$A25,Stories[[#All],[Type]],"="&amp;LtDistribution!$B$1))</f>
        <v>0</v>
      </c>
      <c r="C25" s="32">
        <f t="shared" si="0"/>
        <v>0</v>
      </c>
      <c r="D25" s="32">
        <f>SUM(C$3:C25)</f>
        <v>0.98571428571428543</v>
      </c>
    </row>
    <row r="26" spans="1:4">
      <c r="A26">
        <v>23</v>
      </c>
      <c r="B26">
        <f>IF( $B$1="All",COUNTIF(Stories[[#All],[Rounded Lead Time]],"=" &amp;LtDistribution!$A26),COUNTIFS(Stories[[#All],[Rounded Lead Time]],"=" &amp;LtDistribution!$A26,Stories[[#All],[Type]],"="&amp;LtDistribution!$B$1))</f>
        <v>0</v>
      </c>
      <c r="C26" s="32">
        <f t="shared" si="0"/>
        <v>0</v>
      </c>
      <c r="D26" s="32">
        <f>SUM(C$3:C26)</f>
        <v>0.98571428571428543</v>
      </c>
    </row>
    <row r="27" spans="1:4">
      <c r="A27">
        <v>24</v>
      </c>
      <c r="B27">
        <f>IF( $B$1="All",COUNTIF(Stories[[#All],[Rounded Lead Time]],"=" &amp;LtDistribution!$A27),COUNTIFS(Stories[[#All],[Rounded Lead Time]],"=" &amp;LtDistribution!$A27,Stories[[#All],[Type]],"="&amp;LtDistribution!$B$1))</f>
        <v>0</v>
      </c>
      <c r="C27" s="32">
        <f t="shared" si="0"/>
        <v>0</v>
      </c>
      <c r="D27" s="32">
        <f>SUM(C$3:C27)</f>
        <v>0.98571428571428543</v>
      </c>
    </row>
    <row r="28" spans="1:4">
      <c r="A28">
        <v>25</v>
      </c>
      <c r="B28">
        <f>IF( $B$1="All",COUNTIF(Stories[[#All],[Rounded Lead Time]],"=" &amp;LtDistribution!$A28),COUNTIFS(Stories[[#All],[Rounded Lead Time]],"=" &amp;LtDistribution!$A28,Stories[[#All],[Type]],"="&amp;LtDistribution!$B$1))</f>
        <v>0</v>
      </c>
      <c r="C28" s="32">
        <f t="shared" si="0"/>
        <v>0</v>
      </c>
      <c r="D28" s="32">
        <f>SUM(C$3:C28)</f>
        <v>0.98571428571428543</v>
      </c>
    </row>
    <row r="29" spans="1:4">
      <c r="A29">
        <v>26</v>
      </c>
      <c r="B29">
        <f>IF( $B$1="All",COUNTIF(Stories[[#All],[Rounded Lead Time]],"=" &amp;LtDistribution!$A29),COUNTIFS(Stories[[#All],[Rounded Lead Time]],"=" &amp;LtDistribution!$A29,Stories[[#All],[Type]],"="&amp;LtDistribution!$B$1))</f>
        <v>0</v>
      </c>
      <c r="C29" s="32">
        <f t="shared" si="0"/>
        <v>0</v>
      </c>
      <c r="D29" s="32">
        <f>SUM(C$3:C29)</f>
        <v>0.98571428571428543</v>
      </c>
    </row>
    <row r="30" spans="1:4">
      <c r="A30">
        <v>27</v>
      </c>
      <c r="B30">
        <f>IF( $B$1="All",COUNTIF(Stories[[#All],[Rounded Lead Time]],"=" &amp;LtDistribution!$A30),COUNTIFS(Stories[[#All],[Rounded Lead Time]],"=" &amp;LtDistribution!$A30,Stories[[#All],[Type]],"="&amp;LtDistribution!$B$1))</f>
        <v>0</v>
      </c>
      <c r="C30" s="32">
        <f t="shared" si="0"/>
        <v>0</v>
      </c>
      <c r="D30" s="32">
        <f>SUM(C$3:C30)</f>
        <v>0.98571428571428543</v>
      </c>
    </row>
    <row r="31" spans="1:4">
      <c r="A31">
        <v>28</v>
      </c>
      <c r="B31">
        <f>IF( $B$1="All",COUNTIF(Stories[[#All],[Rounded Lead Time]],"=" &amp;LtDistribution!$A31),COUNTIFS(Stories[[#All],[Rounded Lead Time]],"=" &amp;LtDistribution!$A31,Stories[[#All],[Type]],"="&amp;LtDistribution!$B$1))</f>
        <v>0</v>
      </c>
      <c r="C31" s="32">
        <f t="shared" si="0"/>
        <v>0</v>
      </c>
      <c r="D31" s="32">
        <f>SUM(C$3:C31)</f>
        <v>0.98571428571428543</v>
      </c>
    </row>
    <row r="32" spans="1:4">
      <c r="A32">
        <v>29</v>
      </c>
      <c r="B32">
        <f>IF( $B$1="All",COUNTIF(Stories[[#All],[Rounded Lead Time]],"=" &amp;LtDistribution!$A32),COUNTIFS(Stories[[#All],[Rounded Lead Time]],"=" &amp;LtDistribution!$A32,Stories[[#All],[Type]],"="&amp;LtDistribution!$B$1))</f>
        <v>0</v>
      </c>
      <c r="C32" s="32">
        <f t="shared" si="0"/>
        <v>0</v>
      </c>
      <c r="D32" s="32">
        <f>SUM(C$3:C32)</f>
        <v>0.98571428571428543</v>
      </c>
    </row>
    <row r="33" spans="1:4">
      <c r="A33">
        <v>30</v>
      </c>
      <c r="B33">
        <f>IF( $B$1="All",COUNTIF(Stories[[#All],[Rounded Lead Time]],"=" &amp;LtDistribution!$A33),COUNTIFS(Stories[[#All],[Rounded Lead Time]],"=" &amp;LtDistribution!$A33,Stories[[#All],[Type]],"="&amp;LtDistribution!$B$1))</f>
        <v>0</v>
      </c>
      <c r="C33" s="32">
        <f t="shared" si="0"/>
        <v>0</v>
      </c>
      <c r="D33" s="32">
        <f>SUM(C$3:C33)</f>
        <v>0.98571428571428543</v>
      </c>
    </row>
    <row r="34" spans="1:4">
      <c r="A34">
        <v>31</v>
      </c>
      <c r="B34">
        <f>IF( $B$1="All",COUNTIF(Stories[[#All],[Rounded Lead Time]],"=" &amp;LtDistribution!$A34),COUNTIFS(Stories[[#All],[Rounded Lead Time]],"=" &amp;LtDistribution!$A34,Stories[[#All],[Type]],"="&amp;LtDistribution!$B$1))</f>
        <v>0</v>
      </c>
      <c r="C34" s="32">
        <f t="shared" si="0"/>
        <v>0</v>
      </c>
      <c r="D34" s="32">
        <f>SUM(C$3:C34)</f>
        <v>0.98571428571428543</v>
      </c>
    </row>
    <row r="35" spans="1:4">
      <c r="A35">
        <v>32</v>
      </c>
      <c r="B35">
        <f>IF( $B$1="All",COUNTIF(Stories[[#All],[Rounded Lead Time]],"=" &amp;LtDistribution!$A35),COUNTIFS(Stories[[#All],[Rounded Lead Time]],"=" &amp;LtDistribution!$A35,Stories[[#All],[Type]],"="&amp;LtDistribution!$B$1))</f>
        <v>0</v>
      </c>
      <c r="C35" s="32">
        <f t="shared" si="0"/>
        <v>0</v>
      </c>
      <c r="D35" s="32">
        <f>SUM(C$3:C35)</f>
        <v>0.98571428571428543</v>
      </c>
    </row>
    <row r="36" spans="1:4">
      <c r="A36">
        <v>33</v>
      </c>
      <c r="B36">
        <f>IF( $B$1="All",COUNTIF(Stories[[#All],[Rounded Lead Time]],"=" &amp;LtDistribution!$A36),COUNTIFS(Stories[[#All],[Rounded Lead Time]],"=" &amp;LtDistribution!$A36,Stories[[#All],[Type]],"="&amp;LtDistribution!$B$1))</f>
        <v>0</v>
      </c>
      <c r="C36" s="32">
        <f t="shared" si="0"/>
        <v>0</v>
      </c>
      <c r="D36" s="32">
        <f>SUM(C$3:C36)</f>
        <v>0.98571428571428543</v>
      </c>
    </row>
    <row r="37" spans="1:4">
      <c r="A37">
        <v>34</v>
      </c>
      <c r="B37">
        <f>IF( $B$1="All",COUNTIF(Stories[[#All],[Rounded Lead Time]],"=" &amp;LtDistribution!$A37),COUNTIFS(Stories[[#All],[Rounded Lead Time]],"=" &amp;LtDistribution!$A37,Stories[[#All],[Type]],"="&amp;LtDistribution!$B$1))</f>
        <v>0</v>
      </c>
      <c r="C37" s="32">
        <f t="shared" si="0"/>
        <v>0</v>
      </c>
      <c r="D37" s="32">
        <f>SUM(C$3:C37)</f>
        <v>0.98571428571428543</v>
      </c>
    </row>
    <row r="38" spans="1:4">
      <c r="A38">
        <v>35</v>
      </c>
      <c r="B38">
        <f>IF( $B$1="All",COUNTIF(Stories[[#All],[Rounded Lead Time]],"=" &amp;LtDistribution!$A38),COUNTIFS(Stories[[#All],[Rounded Lead Time]],"=" &amp;LtDistribution!$A38,Stories[[#All],[Type]],"="&amp;LtDistribution!$B$1))</f>
        <v>0</v>
      </c>
      <c r="C38" s="32">
        <f t="shared" si="0"/>
        <v>0</v>
      </c>
      <c r="D38" s="32">
        <f>SUM(C$3:C38)</f>
        <v>0.98571428571428543</v>
      </c>
    </row>
    <row r="39" spans="1:4">
      <c r="A39">
        <v>36</v>
      </c>
      <c r="B39">
        <f>IF( $B$1="All",COUNTIF(Stories[[#All],[Rounded Lead Time]],"=" &amp;LtDistribution!$A39),COUNTIFS(Stories[[#All],[Rounded Lead Time]],"=" &amp;LtDistribution!$A39,Stories[[#All],[Type]],"="&amp;LtDistribution!$B$1))</f>
        <v>0</v>
      </c>
      <c r="C39" s="32">
        <f t="shared" si="0"/>
        <v>0</v>
      </c>
      <c r="D39" s="32">
        <f>SUM(C$3:C39)</f>
        <v>0.98571428571428543</v>
      </c>
    </row>
    <row r="40" spans="1:4">
      <c r="A40">
        <v>37</v>
      </c>
      <c r="B40">
        <f>IF( $B$1="All",COUNTIF(Stories[[#All],[Rounded Lead Time]],"=" &amp;LtDistribution!$A40),COUNTIFS(Stories[[#All],[Rounded Lead Time]],"=" &amp;LtDistribution!$A40,Stories[[#All],[Type]],"="&amp;LtDistribution!$B$1))</f>
        <v>0</v>
      </c>
      <c r="C40" s="32">
        <f t="shared" si="0"/>
        <v>0</v>
      </c>
      <c r="D40" s="32">
        <f>SUM(C$3:C40)</f>
        <v>0.98571428571428543</v>
      </c>
    </row>
    <row r="41" spans="1:4">
      <c r="A41">
        <v>38</v>
      </c>
      <c r="B41">
        <f>IF( $B$1="All",COUNTIF(Stories[[#All],[Rounded Lead Time]],"=" &amp;LtDistribution!$A41),COUNTIFS(Stories[[#All],[Rounded Lead Time]],"=" &amp;LtDistribution!$A41,Stories[[#All],[Type]],"="&amp;LtDistribution!$B$1))</f>
        <v>0</v>
      </c>
      <c r="C41" s="32">
        <f t="shared" si="0"/>
        <v>0</v>
      </c>
      <c r="D41" s="32">
        <f>SUM(C$3:C41)</f>
        <v>0.98571428571428543</v>
      </c>
    </row>
    <row r="42" spans="1:4">
      <c r="A42">
        <v>39</v>
      </c>
      <c r="B42">
        <f>IF( $B$1="All",COUNTIF(Stories[[#All],[Rounded Lead Time]],"=" &amp;LtDistribution!$A42),COUNTIFS(Stories[[#All],[Rounded Lead Time]],"=" &amp;LtDistribution!$A42,Stories[[#All],[Type]],"="&amp;LtDistribution!$B$1))</f>
        <v>0</v>
      </c>
      <c r="C42" s="32">
        <f t="shared" si="0"/>
        <v>0</v>
      </c>
      <c r="D42" s="32">
        <f>SUM(C$3:C42)</f>
        <v>0.98571428571428543</v>
      </c>
    </row>
    <row r="43" spans="1:4">
      <c r="A43">
        <v>40</v>
      </c>
      <c r="B43">
        <f>IF( $B$1="All",COUNTIF(Stories[[#All],[Rounded Lead Time]],"=" &amp;LtDistribution!$A43),COUNTIFS(Stories[[#All],[Rounded Lead Time]],"=" &amp;LtDistribution!$A43,Stories[[#All],[Type]],"="&amp;LtDistribution!$B$1))</f>
        <v>0</v>
      </c>
      <c r="C43" s="32">
        <f t="shared" si="0"/>
        <v>0</v>
      </c>
      <c r="D43" s="32">
        <f>SUM(C$3:C43)</f>
        <v>0.98571428571428543</v>
      </c>
    </row>
    <row r="44" spans="1:4">
      <c r="A44">
        <v>41</v>
      </c>
      <c r="B44">
        <f>IF( $B$1="All",COUNTIF(Stories[[#All],[Rounded Lead Time]],"=" &amp;LtDistribution!$A44),COUNTIFS(Stories[[#All],[Rounded Lead Time]],"=" &amp;LtDistribution!$A44,Stories[[#All],[Type]],"="&amp;LtDistribution!$B$1))</f>
        <v>1</v>
      </c>
      <c r="C44" s="32">
        <f t="shared" si="0"/>
        <v>1.4285714285714285E-2</v>
      </c>
      <c r="D44" s="32">
        <f>SUM(C$3:C44)</f>
        <v>0.99999999999999967</v>
      </c>
    </row>
    <row r="45" spans="1:4">
      <c r="A45">
        <v>42</v>
      </c>
      <c r="B45">
        <f>IF( $B$1="All",COUNTIF(Stories[[#All],[Rounded Lead Time]],"=" &amp;LtDistribution!$A45),COUNTIFS(Stories[[#All],[Rounded Lead Time]],"=" &amp;LtDistribution!$A45,Stories[[#All],[Type]],"="&amp;LtDistribution!$B$1))</f>
        <v>0</v>
      </c>
      <c r="C45" s="32">
        <f t="shared" si="0"/>
        <v>0</v>
      </c>
      <c r="D45" s="32">
        <f>SUM(C$3:C45)</f>
        <v>0.99999999999999967</v>
      </c>
    </row>
  </sheetData>
  <phoneticPr fontId="17" type="noConversion"/>
  <conditionalFormatting sqref="D3:D45">
    <cfRule type="colorScale" priority="1">
      <colorScale>
        <cfvo type="percent" val="20"/>
        <cfvo type="percent" val="50"/>
        <cfvo type="percent" val="80"/>
        <color rgb="FFF8696B"/>
        <color rgb="FFFFEB84"/>
        <color rgb="FF63BE7B"/>
      </colorScale>
    </cfRule>
  </conditionalFormatting>
  <pageMargins left="0.75" right="0.75" top="1" bottom="1" header="0.5" footer="0.5"/>
  <pageSetup paperSize="8" scale="98" orientation="landscape" horizontalDpi="4294967292" verticalDpi="429496729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setup!$B$10:$B$15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"/>
  <sheetViews>
    <sheetView workbookViewId="0">
      <selection activeCell="F46" sqref="F46"/>
    </sheetView>
  </sheetViews>
  <sheetFormatPr defaultColWidth="11.42578125" defaultRowHeight="12.75"/>
  <sheetData/>
  <pageMargins left="0.75" right="0.75" top="1" bottom="1" header="0.5" footer="0.5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T13:T15"/>
  <sheetViews>
    <sheetView workbookViewId="0">
      <selection activeCell="O24" sqref="O24"/>
    </sheetView>
  </sheetViews>
  <sheetFormatPr defaultColWidth="11.42578125" defaultRowHeight="12.75"/>
  <cols>
    <col min="1" max="1" width="10.85546875" customWidth="1"/>
  </cols>
  <sheetData>
    <row r="13" spans="20:20">
      <c r="T13">
        <f ca="1">DayByDayTable[Delivery Rate]</f>
        <v>0.36363636363636365</v>
      </c>
    </row>
    <row r="15" spans="20:20">
      <c r="T15" t="str">
        <f>DayByDayTable[[#Headers],[Delivery Rate]]</f>
        <v>Delivery Rate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Q148"/>
  <sheetViews>
    <sheetView topLeftCell="B75" zoomScale="90" workbookViewId="0">
      <selection activeCell="K74" sqref="K74"/>
    </sheetView>
  </sheetViews>
  <sheetFormatPr defaultColWidth="8.85546875" defaultRowHeight="15"/>
  <cols>
    <col min="1" max="1" width="9" style="4" customWidth="1"/>
    <col min="2" max="2" width="5.7109375" style="4" customWidth="1"/>
    <col min="3" max="3" width="25.140625" style="4" customWidth="1"/>
    <col min="4" max="4" width="35" style="4" bestFit="1" customWidth="1"/>
    <col min="5" max="5" width="14.7109375" style="4" customWidth="1"/>
    <col min="6" max="7" width="14.7109375" style="6" customWidth="1"/>
    <col min="8" max="10" width="14.7109375" style="16" customWidth="1"/>
    <col min="11" max="12" width="14.7109375" style="6" customWidth="1"/>
    <col min="13" max="13" width="14.7109375" style="4" customWidth="1"/>
    <col min="14" max="15" width="12.28515625" style="4" customWidth="1"/>
    <col min="16" max="16" width="28" style="4" bestFit="1" customWidth="1"/>
    <col min="17" max="18" width="10.28515625" style="4" bestFit="1" customWidth="1"/>
    <col min="19" max="16384" width="8.85546875" style="4"/>
  </cols>
  <sheetData>
    <row r="1" spans="1:17" ht="18.75">
      <c r="D1" s="23" t="s">
        <v>45</v>
      </c>
      <c r="E1" s="23"/>
      <c r="G1" s="22" t="s">
        <v>8</v>
      </c>
      <c r="H1" s="37"/>
      <c r="I1" s="37"/>
      <c r="K1" s="22" t="s">
        <v>9</v>
      </c>
      <c r="L1" s="22"/>
      <c r="M1" s="79" t="s">
        <v>24</v>
      </c>
      <c r="N1" s="17"/>
      <c r="O1" s="17"/>
    </row>
    <row r="2" spans="1:17">
      <c r="F2" s="16"/>
      <c r="G2" s="16"/>
      <c r="K2" s="16"/>
      <c r="L2" s="16"/>
      <c r="M2" s="80"/>
      <c r="N2" s="17" t="s">
        <v>54</v>
      </c>
      <c r="O2" s="17" t="s">
        <v>55</v>
      </c>
    </row>
    <row r="3" spans="1:17" ht="18.75">
      <c r="F3" s="76" t="s">
        <v>14</v>
      </c>
      <c r="G3" s="77"/>
      <c r="H3" s="77"/>
      <c r="I3" s="77"/>
      <c r="J3" s="77"/>
      <c r="K3" s="78"/>
      <c r="L3" s="60"/>
      <c r="M3" s="80"/>
      <c r="N3" s="43">
        <f>AVERAGEIF(Stories[Lead Time],"&gt;=0")</f>
        <v>6.2428571428571429</v>
      </c>
      <c r="O3" s="43">
        <f ca="1">(COUNT(Stories[Lead Time]))/NETWORKDAYS(FirstDate,TodaysDate,BankHolidays)</f>
        <v>0.88607594936708856</v>
      </c>
      <c r="P3" s="4">
        <f ca="1">O3*AVG</f>
        <v>5.5316455696202524</v>
      </c>
    </row>
    <row r="4" spans="1:17" s="20" customFormat="1" ht="30">
      <c r="A4" s="19" t="s">
        <v>12</v>
      </c>
      <c r="B4" s="42" t="s">
        <v>52</v>
      </c>
      <c r="C4" s="19" t="s">
        <v>49</v>
      </c>
      <c r="D4" s="19" t="s">
        <v>13</v>
      </c>
      <c r="E4" s="24" t="s">
        <v>35</v>
      </c>
      <c r="F4" s="21" t="s">
        <v>3</v>
      </c>
      <c r="G4" s="21" t="s">
        <v>44</v>
      </c>
      <c r="H4" s="21" t="s">
        <v>20</v>
      </c>
      <c r="I4" s="21" t="s">
        <v>46</v>
      </c>
      <c r="J4" s="21" t="s">
        <v>47</v>
      </c>
      <c r="K4" s="21" t="s">
        <v>19</v>
      </c>
      <c r="L4" s="21" t="s">
        <v>65</v>
      </c>
      <c r="M4" s="19" t="s">
        <v>15</v>
      </c>
      <c r="N4" s="19" t="s">
        <v>10</v>
      </c>
      <c r="O4" s="36" t="s">
        <v>41</v>
      </c>
      <c r="P4" s="20" t="s">
        <v>5</v>
      </c>
    </row>
    <row r="5" spans="1:17">
      <c r="A5" s="13">
        <v>1</v>
      </c>
      <c r="B5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" s="13"/>
      <c r="D5" s="13" t="s">
        <v>81</v>
      </c>
      <c r="E5" s="13" t="s">
        <v>36</v>
      </c>
      <c r="F5" s="15">
        <v>42408</v>
      </c>
      <c r="G5" s="15">
        <v>42408</v>
      </c>
      <c r="H5" s="39">
        <v>42408</v>
      </c>
      <c r="I5" s="39">
        <v>42409</v>
      </c>
      <c r="J5" s="39">
        <v>42409</v>
      </c>
      <c r="K5" s="41">
        <v>42409</v>
      </c>
      <c r="L5" s="61">
        <v>6</v>
      </c>
      <c r="M5" s="13">
        <v>1</v>
      </c>
      <c r="N5" s="10">
        <f t="shared" ref="N5:N36" si="0">IF(K5&gt;0,(((NETWORKDAYS(G5,K5,BankHolidays))/M5)),NA())</f>
        <v>2</v>
      </c>
      <c r="O5" s="10">
        <f>ROUND(Stories[[#This Row],[Lead Time]],0)</f>
        <v>2</v>
      </c>
      <c r="P5" s="26"/>
      <c r="Q5" s="5"/>
    </row>
    <row r="6" spans="1:17">
      <c r="A6" s="13">
        <v>2</v>
      </c>
      <c r="B6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" s="13"/>
      <c r="D6" s="13" t="s">
        <v>82</v>
      </c>
      <c r="E6" s="13" t="s">
        <v>39</v>
      </c>
      <c r="F6" s="15">
        <v>42408</v>
      </c>
      <c r="G6" s="15">
        <v>42408</v>
      </c>
      <c r="H6" s="39">
        <v>42408</v>
      </c>
      <c r="I6" s="39">
        <v>42409</v>
      </c>
      <c r="J6" s="39">
        <v>42409</v>
      </c>
      <c r="K6" s="41">
        <v>42409</v>
      </c>
      <c r="L6" s="61">
        <v>6</v>
      </c>
      <c r="M6" s="13">
        <v>1</v>
      </c>
      <c r="N6" s="10">
        <f t="shared" si="0"/>
        <v>2</v>
      </c>
      <c r="O6" s="10">
        <f>ROUND(Stories[[#This Row],[Lead Time]],0)</f>
        <v>2</v>
      </c>
      <c r="P6" s="26"/>
      <c r="Q6" s="5"/>
    </row>
    <row r="7" spans="1:17">
      <c r="A7" s="13">
        <v>2</v>
      </c>
      <c r="B7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7" s="13"/>
      <c r="D7" s="13" t="s">
        <v>83</v>
      </c>
      <c r="E7" s="13" t="s">
        <v>36</v>
      </c>
      <c r="F7" s="15">
        <v>42401</v>
      </c>
      <c r="G7" s="15">
        <v>42410</v>
      </c>
      <c r="H7" s="15">
        <v>42410</v>
      </c>
      <c r="I7" s="15">
        <v>42422</v>
      </c>
      <c r="J7" s="15">
        <v>42422</v>
      </c>
      <c r="K7" s="15">
        <v>42422</v>
      </c>
      <c r="L7" s="14">
        <v>6</v>
      </c>
      <c r="M7" s="13">
        <v>1</v>
      </c>
      <c r="N7" s="10">
        <f t="shared" si="0"/>
        <v>9</v>
      </c>
      <c r="O7" s="10">
        <f>ROUND(Stories[[#This Row],[Lead Time]],0)</f>
        <v>9</v>
      </c>
      <c r="P7" s="26"/>
      <c r="Q7" s="5"/>
    </row>
    <row r="8" spans="1:17">
      <c r="A8" s="13">
        <v>2</v>
      </c>
      <c r="B8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8" s="13"/>
      <c r="D8" s="13" t="s">
        <v>84</v>
      </c>
      <c r="E8" s="13" t="s">
        <v>39</v>
      </c>
      <c r="F8" s="15">
        <v>42417</v>
      </c>
      <c r="G8" s="15">
        <v>42417</v>
      </c>
      <c r="H8" s="39">
        <v>42417</v>
      </c>
      <c r="I8" s="39">
        <v>42423</v>
      </c>
      <c r="J8" s="39">
        <v>42423</v>
      </c>
      <c r="K8" s="41">
        <v>42423</v>
      </c>
      <c r="L8" s="61">
        <v>6</v>
      </c>
      <c r="M8" s="13">
        <v>1</v>
      </c>
      <c r="N8" s="10">
        <f t="shared" si="0"/>
        <v>5</v>
      </c>
      <c r="O8" s="10">
        <f>ROUND(Stories[[#This Row],[Lead Time]],0)</f>
        <v>5</v>
      </c>
      <c r="P8" s="26"/>
      <c r="Q8" s="5"/>
    </row>
    <row r="9" spans="1:17">
      <c r="A9" s="13">
        <v>2</v>
      </c>
      <c r="B9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9" s="13"/>
      <c r="D9" s="13" t="s">
        <v>85</v>
      </c>
      <c r="E9" s="13" t="s">
        <v>68</v>
      </c>
      <c r="F9" s="15">
        <v>42417</v>
      </c>
      <c r="G9" s="15">
        <v>42419</v>
      </c>
      <c r="H9" s="39">
        <v>42420</v>
      </c>
      <c r="I9" s="39">
        <v>42422</v>
      </c>
      <c r="J9" s="39">
        <v>42423</v>
      </c>
      <c r="K9" s="41">
        <v>42423</v>
      </c>
      <c r="L9" s="61">
        <v>6</v>
      </c>
      <c r="M9" s="13">
        <v>1</v>
      </c>
      <c r="N9" s="10">
        <f t="shared" si="0"/>
        <v>3</v>
      </c>
      <c r="O9" s="10">
        <f>ROUND(Stories[[#This Row],[Lead Time]],0)</f>
        <v>3</v>
      </c>
      <c r="P9" s="26"/>
      <c r="Q9" s="5"/>
    </row>
    <row r="10" spans="1:17">
      <c r="A10" s="13">
        <v>2</v>
      </c>
      <c r="B10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0" s="13"/>
      <c r="D10" s="13" t="s">
        <v>86</v>
      </c>
      <c r="E10" s="13" t="s">
        <v>68</v>
      </c>
      <c r="F10" s="15">
        <v>42416</v>
      </c>
      <c r="G10" s="15">
        <v>42416</v>
      </c>
      <c r="H10" s="39">
        <v>42416</v>
      </c>
      <c r="I10" s="39">
        <v>42422</v>
      </c>
      <c r="J10" s="39">
        <v>42423</v>
      </c>
      <c r="K10" s="41">
        <v>42423</v>
      </c>
      <c r="L10" s="61">
        <v>6</v>
      </c>
      <c r="M10" s="13">
        <v>1</v>
      </c>
      <c r="N10" s="10">
        <f t="shared" si="0"/>
        <v>6</v>
      </c>
      <c r="O10" s="10">
        <f>ROUND(Stories[[#This Row],[Lead Time]],0)</f>
        <v>6</v>
      </c>
      <c r="P10" s="26"/>
      <c r="Q10" s="5"/>
    </row>
    <row r="11" spans="1:17">
      <c r="A11" s="13">
        <v>2</v>
      </c>
      <c r="B11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1" s="13"/>
      <c r="D11" s="13" t="s">
        <v>87</v>
      </c>
      <c r="E11" s="13" t="s">
        <v>68</v>
      </c>
      <c r="F11" s="15">
        <v>42418</v>
      </c>
      <c r="G11" s="15">
        <v>42418</v>
      </c>
      <c r="H11" s="39">
        <v>42418</v>
      </c>
      <c r="I11" s="39">
        <v>42422</v>
      </c>
      <c r="J11" s="39">
        <v>42424</v>
      </c>
      <c r="K11" s="41">
        <v>42424</v>
      </c>
      <c r="L11" s="61">
        <v>7</v>
      </c>
      <c r="M11" s="13">
        <v>1</v>
      </c>
      <c r="N11" s="10">
        <f t="shared" si="0"/>
        <v>5</v>
      </c>
      <c r="O11" s="10">
        <f>ROUND(Stories[[#This Row],[Lead Time]],0)</f>
        <v>5</v>
      </c>
      <c r="P11" s="26"/>
      <c r="Q11" s="5"/>
    </row>
    <row r="12" spans="1:17">
      <c r="A12" s="13">
        <v>2</v>
      </c>
      <c r="B12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2" s="13"/>
      <c r="D12" s="13" t="s">
        <v>88</v>
      </c>
      <c r="E12" s="13" t="s">
        <v>68</v>
      </c>
      <c r="F12" s="15">
        <v>42422</v>
      </c>
      <c r="G12" s="15">
        <v>42422</v>
      </c>
      <c r="H12" s="39">
        <v>42422</v>
      </c>
      <c r="I12" s="39">
        <v>42424</v>
      </c>
      <c r="J12" s="39">
        <v>42424</v>
      </c>
      <c r="K12" s="41">
        <v>42424</v>
      </c>
      <c r="L12" s="61">
        <v>7</v>
      </c>
      <c r="M12" s="13">
        <v>1</v>
      </c>
      <c r="N12" s="10">
        <f t="shared" si="0"/>
        <v>3</v>
      </c>
      <c r="O12" s="10">
        <f>ROUND(Stories[[#This Row],[Lead Time]],0)</f>
        <v>3</v>
      </c>
      <c r="P12" s="25"/>
      <c r="Q12" s="5"/>
    </row>
    <row r="13" spans="1:17">
      <c r="A13" s="13">
        <v>2</v>
      </c>
      <c r="B13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3" s="13"/>
      <c r="D13" s="13" t="s">
        <v>89</v>
      </c>
      <c r="E13" s="13" t="s">
        <v>36</v>
      </c>
      <c r="F13" s="15">
        <v>42425</v>
      </c>
      <c r="G13" s="15">
        <v>42425</v>
      </c>
      <c r="H13" s="39">
        <v>42425</v>
      </c>
      <c r="I13" s="39">
        <v>42429</v>
      </c>
      <c r="J13" s="39">
        <v>42429</v>
      </c>
      <c r="K13" s="41">
        <v>42429</v>
      </c>
      <c r="L13" s="61">
        <v>7</v>
      </c>
      <c r="M13" s="13">
        <v>1</v>
      </c>
      <c r="N13" s="10">
        <f t="shared" si="0"/>
        <v>3</v>
      </c>
      <c r="O13" s="10">
        <f>ROUND(Stories[[#This Row],[Lead Time]],0)</f>
        <v>3</v>
      </c>
      <c r="P13" s="28"/>
      <c r="Q13" s="5"/>
    </row>
    <row r="14" spans="1:17">
      <c r="A14" s="13">
        <v>2</v>
      </c>
      <c r="B14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4" s="13"/>
      <c r="D14" s="13" t="s">
        <v>90</v>
      </c>
      <c r="E14" s="13" t="s">
        <v>67</v>
      </c>
      <c r="F14" s="15">
        <v>42401</v>
      </c>
      <c r="G14" s="15">
        <v>42410</v>
      </c>
      <c r="H14" s="15">
        <v>42410</v>
      </c>
      <c r="I14" s="15">
        <v>42422</v>
      </c>
      <c r="J14" s="15">
        <v>42430</v>
      </c>
      <c r="K14" s="15">
        <v>42430</v>
      </c>
      <c r="L14" s="14">
        <v>7</v>
      </c>
      <c r="M14" s="13">
        <v>1</v>
      </c>
      <c r="N14" s="10">
        <f t="shared" si="0"/>
        <v>15</v>
      </c>
      <c r="O14" s="10">
        <f>ROUND(Stories[[#This Row],[Lead Time]],0)</f>
        <v>15</v>
      </c>
      <c r="P14" s="28"/>
      <c r="Q14" s="5"/>
    </row>
    <row r="15" spans="1:17">
      <c r="A15" s="13">
        <v>2</v>
      </c>
      <c r="B15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5" s="13"/>
      <c r="D15" s="13" t="s">
        <v>91</v>
      </c>
      <c r="E15" s="13" t="s">
        <v>67</v>
      </c>
      <c r="F15" s="15">
        <v>42422</v>
      </c>
      <c r="G15" s="15">
        <v>42423</v>
      </c>
      <c r="H15" s="39">
        <v>42423</v>
      </c>
      <c r="I15" s="39">
        <v>42429</v>
      </c>
      <c r="J15" s="39">
        <v>42430</v>
      </c>
      <c r="K15" s="41">
        <v>42430</v>
      </c>
      <c r="L15" s="61">
        <v>7</v>
      </c>
      <c r="M15" s="13">
        <v>1</v>
      </c>
      <c r="N15" s="10">
        <f t="shared" si="0"/>
        <v>6</v>
      </c>
      <c r="O15" s="10">
        <f>ROUND(Stories[[#This Row],[Lead Time]],0)</f>
        <v>6</v>
      </c>
      <c r="P15" s="28"/>
      <c r="Q15" s="5"/>
    </row>
    <row r="16" spans="1:17">
      <c r="A16" s="13">
        <v>2</v>
      </c>
      <c r="B16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6" s="13"/>
      <c r="D16" s="13" t="s">
        <v>92</v>
      </c>
      <c r="E16" s="13" t="s">
        <v>67</v>
      </c>
      <c r="F16" s="15">
        <v>42418</v>
      </c>
      <c r="G16" s="15">
        <v>42418</v>
      </c>
      <c r="H16" s="39">
        <v>42418</v>
      </c>
      <c r="I16" s="39">
        <v>42425</v>
      </c>
      <c r="J16" s="39">
        <v>42430</v>
      </c>
      <c r="K16" s="41">
        <v>42430</v>
      </c>
      <c r="L16" s="61">
        <v>7</v>
      </c>
      <c r="M16" s="13">
        <v>1</v>
      </c>
      <c r="N16" s="10">
        <f t="shared" si="0"/>
        <v>9</v>
      </c>
      <c r="O16" s="10">
        <f>ROUND(Stories[[#This Row],[Lead Time]],0)</f>
        <v>9</v>
      </c>
      <c r="P16" s="28"/>
      <c r="Q16" s="5"/>
    </row>
    <row r="17" spans="1:17">
      <c r="A17" s="13">
        <v>2</v>
      </c>
      <c r="B17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7" s="13"/>
      <c r="D17" s="13" t="s">
        <v>93</v>
      </c>
      <c r="E17" s="13" t="s">
        <v>67</v>
      </c>
      <c r="F17" s="15">
        <v>42429</v>
      </c>
      <c r="G17" s="15">
        <v>42429</v>
      </c>
      <c r="H17" s="39">
        <v>42429</v>
      </c>
      <c r="I17" s="39">
        <v>42430</v>
      </c>
      <c r="J17" s="39">
        <v>42430</v>
      </c>
      <c r="K17" s="41">
        <v>42430</v>
      </c>
      <c r="L17" s="61">
        <v>7</v>
      </c>
      <c r="M17" s="13">
        <v>1</v>
      </c>
      <c r="N17" s="10">
        <f t="shared" si="0"/>
        <v>2</v>
      </c>
      <c r="O17" s="10">
        <f>ROUND(Stories[[#This Row],[Lead Time]],0)</f>
        <v>2</v>
      </c>
      <c r="P17" s="28"/>
      <c r="Q17" s="5"/>
    </row>
    <row r="18" spans="1:17">
      <c r="A18" s="13">
        <v>2</v>
      </c>
      <c r="B18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8" s="13"/>
      <c r="D18" s="13" t="s">
        <v>94</v>
      </c>
      <c r="E18" s="13" t="s">
        <v>67</v>
      </c>
      <c r="F18" s="15">
        <v>42424</v>
      </c>
      <c r="G18" s="15">
        <v>42425</v>
      </c>
      <c r="H18" s="39">
        <v>42425</v>
      </c>
      <c r="I18" s="39">
        <v>42429</v>
      </c>
      <c r="J18" s="39">
        <v>42432</v>
      </c>
      <c r="K18" s="41">
        <v>42432</v>
      </c>
      <c r="L18" s="61">
        <v>7</v>
      </c>
      <c r="M18" s="13">
        <v>1</v>
      </c>
      <c r="N18" s="10">
        <f t="shared" si="0"/>
        <v>6</v>
      </c>
      <c r="O18" s="10">
        <f>ROUND(Stories[[#This Row],[Lead Time]],0)</f>
        <v>6</v>
      </c>
      <c r="P18" s="30"/>
      <c r="Q18" s="5"/>
    </row>
    <row r="19" spans="1:17">
      <c r="A19" s="13">
        <v>2</v>
      </c>
      <c r="B19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9" s="13"/>
      <c r="D19" s="13" t="s">
        <v>95</v>
      </c>
      <c r="E19" s="13" t="s">
        <v>67</v>
      </c>
      <c r="F19" s="15">
        <v>42429</v>
      </c>
      <c r="G19" s="15">
        <v>42429</v>
      </c>
      <c r="H19" s="39">
        <v>42430</v>
      </c>
      <c r="I19" s="39">
        <v>42432</v>
      </c>
      <c r="J19" s="39">
        <v>42432</v>
      </c>
      <c r="K19" s="41">
        <v>42432</v>
      </c>
      <c r="L19" s="61">
        <v>7</v>
      </c>
      <c r="M19" s="13">
        <v>1</v>
      </c>
      <c r="N19" s="10">
        <f t="shared" si="0"/>
        <v>4</v>
      </c>
      <c r="O19" s="10">
        <f>ROUND(Stories[[#This Row],[Lead Time]],0)</f>
        <v>4</v>
      </c>
      <c r="P19" s="25"/>
      <c r="Q19" s="5"/>
    </row>
    <row r="20" spans="1:17">
      <c r="A20" s="13">
        <v>2</v>
      </c>
      <c r="B20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0" s="13"/>
      <c r="D20" s="13" t="s">
        <v>96</v>
      </c>
      <c r="E20" s="13" t="s">
        <v>67</v>
      </c>
      <c r="F20" s="15">
        <v>42429</v>
      </c>
      <c r="G20" s="15">
        <v>42430</v>
      </c>
      <c r="H20" s="39">
        <v>42430</v>
      </c>
      <c r="I20" s="39">
        <v>42432</v>
      </c>
      <c r="J20" s="39">
        <v>42432</v>
      </c>
      <c r="K20" s="41">
        <v>42432</v>
      </c>
      <c r="L20" s="61">
        <v>7</v>
      </c>
      <c r="M20" s="13">
        <v>1</v>
      </c>
      <c r="N20" s="10">
        <f t="shared" si="0"/>
        <v>3</v>
      </c>
      <c r="O20" s="10">
        <f>ROUND(Stories[[#This Row],[Lead Time]],0)</f>
        <v>3</v>
      </c>
      <c r="P20" s="28"/>
      <c r="Q20" s="5"/>
    </row>
    <row r="21" spans="1:17">
      <c r="A21" s="13">
        <v>2</v>
      </c>
      <c r="B21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1" s="13"/>
      <c r="D21" s="13" t="s">
        <v>97</v>
      </c>
      <c r="E21" s="13" t="s">
        <v>67</v>
      </c>
      <c r="F21" s="15">
        <v>42406</v>
      </c>
      <c r="G21" s="15">
        <v>42406</v>
      </c>
      <c r="H21" s="15">
        <v>42406</v>
      </c>
      <c r="I21" s="15">
        <v>42422</v>
      </c>
      <c r="J21" s="15">
        <v>42422</v>
      </c>
      <c r="K21" s="15">
        <v>42436</v>
      </c>
      <c r="L21" s="14">
        <v>7</v>
      </c>
      <c r="M21" s="13">
        <v>1</v>
      </c>
      <c r="N21" s="10">
        <f t="shared" si="0"/>
        <v>21</v>
      </c>
      <c r="O21" s="10">
        <f>ROUND(Stories[[#This Row],[Lead Time]],0)</f>
        <v>21</v>
      </c>
      <c r="P21" s="28"/>
      <c r="Q21" s="5"/>
    </row>
    <row r="22" spans="1:17">
      <c r="A22" s="13">
        <v>2</v>
      </c>
      <c r="B22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2" s="13"/>
      <c r="D22" s="13" t="s">
        <v>98</v>
      </c>
      <c r="E22" s="13" t="s">
        <v>67</v>
      </c>
      <c r="F22" s="15">
        <v>42429</v>
      </c>
      <c r="G22" s="15">
        <v>42430</v>
      </c>
      <c r="H22" s="39">
        <v>42436</v>
      </c>
      <c r="I22" s="39">
        <v>42436</v>
      </c>
      <c r="J22" s="39">
        <v>42436</v>
      </c>
      <c r="K22" s="41">
        <v>42436</v>
      </c>
      <c r="L22" s="61">
        <v>7</v>
      </c>
      <c r="M22" s="13">
        <v>1</v>
      </c>
      <c r="N22" s="10">
        <f t="shared" si="0"/>
        <v>5</v>
      </c>
      <c r="O22" s="10">
        <f>ROUND(Stories[[#This Row],[Lead Time]],0)</f>
        <v>5</v>
      </c>
      <c r="P22" s="28"/>
      <c r="Q22" s="5"/>
    </row>
    <row r="23" spans="1:17">
      <c r="A23" s="13">
        <v>2</v>
      </c>
      <c r="B23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3" s="13"/>
      <c r="D23" s="13" t="s">
        <v>99</v>
      </c>
      <c r="E23" s="13" t="s">
        <v>67</v>
      </c>
      <c r="F23" s="15">
        <v>42425</v>
      </c>
      <c r="G23" s="15">
        <v>42425</v>
      </c>
      <c r="H23" s="39">
        <v>42425</v>
      </c>
      <c r="I23" s="39">
        <v>42437</v>
      </c>
      <c r="J23" s="39">
        <v>42437</v>
      </c>
      <c r="K23" s="41">
        <v>42437</v>
      </c>
      <c r="L23" s="61">
        <v>7</v>
      </c>
      <c r="M23" s="13">
        <v>1</v>
      </c>
      <c r="N23" s="10">
        <f t="shared" si="0"/>
        <v>9</v>
      </c>
      <c r="O23" s="10">
        <f>ROUND(Stories[[#This Row],[Lead Time]],0)</f>
        <v>9</v>
      </c>
      <c r="P23" s="28"/>
      <c r="Q23" s="5"/>
    </row>
    <row r="24" spans="1:17">
      <c r="A24" s="13">
        <v>2</v>
      </c>
      <c r="B24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4" s="13"/>
      <c r="D24" s="13" t="s">
        <v>100</v>
      </c>
      <c r="E24" s="13" t="s">
        <v>67</v>
      </c>
      <c r="F24" s="15">
        <v>42431</v>
      </c>
      <c r="G24" s="15">
        <v>42433</v>
      </c>
      <c r="H24" s="39">
        <v>42436</v>
      </c>
      <c r="I24" s="39">
        <v>42437</v>
      </c>
      <c r="J24" s="39">
        <v>42439</v>
      </c>
      <c r="K24" s="39">
        <v>42439</v>
      </c>
      <c r="L24" s="62">
        <v>8</v>
      </c>
      <c r="M24" s="13">
        <v>1</v>
      </c>
      <c r="N24" s="10">
        <f t="shared" si="0"/>
        <v>5</v>
      </c>
      <c r="O24" s="10">
        <f>ROUND(Stories[[#This Row],[Lead Time]],0)</f>
        <v>5</v>
      </c>
      <c r="P24" s="28"/>
      <c r="Q24" s="5"/>
    </row>
    <row r="25" spans="1:17">
      <c r="A25" s="13">
        <v>2</v>
      </c>
      <c r="B25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5" s="13"/>
      <c r="D25" s="13" t="s">
        <v>101</v>
      </c>
      <c r="E25" s="13" t="s">
        <v>67</v>
      </c>
      <c r="F25" s="15">
        <v>42439</v>
      </c>
      <c r="G25" s="15">
        <v>42443</v>
      </c>
      <c r="H25" s="15">
        <v>42443</v>
      </c>
      <c r="I25" s="15">
        <v>42443</v>
      </c>
      <c r="J25" s="15">
        <v>42443</v>
      </c>
      <c r="K25" s="15">
        <v>42443</v>
      </c>
      <c r="L25" s="14">
        <v>8</v>
      </c>
      <c r="M25" s="13">
        <v>1</v>
      </c>
      <c r="N25" s="10">
        <f t="shared" si="0"/>
        <v>1</v>
      </c>
      <c r="O25" s="10">
        <f>ROUND(Stories[[#This Row],[Lead Time]],0)</f>
        <v>1</v>
      </c>
      <c r="P25" s="28"/>
      <c r="Q25" s="5"/>
    </row>
    <row r="26" spans="1:17">
      <c r="A26" s="13">
        <v>2</v>
      </c>
      <c r="B26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6" s="13"/>
      <c r="D26" s="13" t="s">
        <v>102</v>
      </c>
      <c r="E26" s="13" t="s">
        <v>67</v>
      </c>
      <c r="F26" s="15">
        <v>42431</v>
      </c>
      <c r="G26" s="15">
        <v>42432</v>
      </c>
      <c r="H26" s="39">
        <v>42437</v>
      </c>
      <c r="I26" s="39">
        <v>42445</v>
      </c>
      <c r="J26" s="39">
        <v>42445</v>
      </c>
      <c r="K26" s="41">
        <v>42445</v>
      </c>
      <c r="L26" s="61">
        <v>8</v>
      </c>
      <c r="M26" s="13">
        <v>1</v>
      </c>
      <c r="N26" s="10">
        <f t="shared" si="0"/>
        <v>10</v>
      </c>
      <c r="O26" s="10">
        <f>ROUND(Stories[[#This Row],[Lead Time]],0)</f>
        <v>10</v>
      </c>
      <c r="P26" s="28"/>
      <c r="Q26" s="5"/>
    </row>
    <row r="27" spans="1:17">
      <c r="A27" s="13">
        <v>2</v>
      </c>
      <c r="B27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7" s="13"/>
      <c r="D27" s="13" t="s">
        <v>103</v>
      </c>
      <c r="E27" s="13" t="s">
        <v>67</v>
      </c>
      <c r="F27" s="15">
        <v>42429</v>
      </c>
      <c r="G27" s="15">
        <v>42430</v>
      </c>
      <c r="H27" s="39">
        <v>42437</v>
      </c>
      <c r="I27" s="39">
        <v>42450</v>
      </c>
      <c r="J27" s="39">
        <v>42450</v>
      </c>
      <c r="K27" s="41">
        <v>42450</v>
      </c>
      <c r="L27" s="61">
        <v>8</v>
      </c>
      <c r="M27" s="13">
        <v>1</v>
      </c>
      <c r="N27" s="10">
        <f t="shared" si="0"/>
        <v>15</v>
      </c>
      <c r="O27" s="10">
        <f>ROUND(Stories[[#This Row],[Lead Time]],0)</f>
        <v>15</v>
      </c>
      <c r="P27" s="28"/>
      <c r="Q27" s="5"/>
    </row>
    <row r="28" spans="1:17">
      <c r="A28" s="13">
        <v>2</v>
      </c>
      <c r="B28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8" s="13"/>
      <c r="D28" s="13" t="s">
        <v>104</v>
      </c>
      <c r="E28" s="13" t="s">
        <v>67</v>
      </c>
      <c r="F28" s="15">
        <v>42431</v>
      </c>
      <c r="G28" s="15">
        <v>42445</v>
      </c>
      <c r="H28" s="39">
        <v>42445</v>
      </c>
      <c r="I28" s="39">
        <v>42450</v>
      </c>
      <c r="J28" s="39">
        <v>42450</v>
      </c>
      <c r="K28" s="41">
        <v>42450</v>
      </c>
      <c r="L28" s="61">
        <v>8</v>
      </c>
      <c r="M28" s="13">
        <v>1</v>
      </c>
      <c r="N28" s="10">
        <f t="shared" si="0"/>
        <v>4</v>
      </c>
      <c r="O28" s="10">
        <f>ROUND(Stories[[#This Row],[Lead Time]],0)</f>
        <v>4</v>
      </c>
      <c r="P28" s="28"/>
      <c r="Q28" s="5"/>
    </row>
    <row r="29" spans="1:17">
      <c r="A29" s="13">
        <v>2</v>
      </c>
      <c r="B29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9" s="13"/>
      <c r="D29" s="13" t="s">
        <v>105</v>
      </c>
      <c r="E29" s="13" t="s">
        <v>67</v>
      </c>
      <c r="F29" s="15">
        <v>42444</v>
      </c>
      <c r="G29" s="15">
        <v>42444</v>
      </c>
      <c r="H29" s="15">
        <v>42444</v>
      </c>
      <c r="I29" s="15">
        <v>42450</v>
      </c>
      <c r="J29" s="15">
        <v>42450</v>
      </c>
      <c r="K29" s="15">
        <v>42450</v>
      </c>
      <c r="L29" s="14">
        <v>8</v>
      </c>
      <c r="M29" s="13">
        <v>1</v>
      </c>
      <c r="N29" s="10">
        <f t="shared" si="0"/>
        <v>5</v>
      </c>
      <c r="O29" s="10">
        <f>ROUND(Stories[[#This Row],[Lead Time]],0)</f>
        <v>5</v>
      </c>
      <c r="P29" s="28"/>
      <c r="Q29" s="5"/>
    </row>
    <row r="30" spans="1:17">
      <c r="A30" s="13">
        <v>2</v>
      </c>
      <c r="B30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0" s="13"/>
      <c r="D30" s="13" t="s">
        <v>106</v>
      </c>
      <c r="E30" s="13" t="s">
        <v>67</v>
      </c>
      <c r="F30" s="15">
        <v>42431</v>
      </c>
      <c r="G30" s="15">
        <v>42438</v>
      </c>
      <c r="H30" s="39">
        <v>42438</v>
      </c>
      <c r="I30" s="39">
        <v>42451</v>
      </c>
      <c r="J30" s="39">
        <v>42451</v>
      </c>
      <c r="K30" s="41">
        <v>42451</v>
      </c>
      <c r="L30" s="61">
        <v>8</v>
      </c>
      <c r="M30" s="13">
        <v>1</v>
      </c>
      <c r="N30" s="10">
        <f t="shared" si="0"/>
        <v>10</v>
      </c>
      <c r="O30" s="10">
        <f>ROUND(Stories[[#This Row],[Lead Time]],0)</f>
        <v>10</v>
      </c>
      <c r="P30" s="28"/>
      <c r="Q30" s="5"/>
    </row>
    <row r="31" spans="1:17">
      <c r="A31" s="13">
        <v>2</v>
      </c>
      <c r="B31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1" s="13"/>
      <c r="D31" s="13" t="s">
        <v>107</v>
      </c>
      <c r="E31" s="13" t="s">
        <v>67</v>
      </c>
      <c r="F31" s="15">
        <v>42439</v>
      </c>
      <c r="G31" s="15">
        <v>42444</v>
      </c>
      <c r="H31" s="15">
        <v>42444</v>
      </c>
      <c r="I31" s="15">
        <v>42452</v>
      </c>
      <c r="J31" s="15">
        <v>42452</v>
      </c>
      <c r="K31" s="15">
        <v>42452</v>
      </c>
      <c r="L31" s="14">
        <v>9</v>
      </c>
      <c r="M31" s="13">
        <v>1</v>
      </c>
      <c r="N31" s="10">
        <f t="shared" si="0"/>
        <v>7</v>
      </c>
      <c r="O31" s="10">
        <f>ROUND(Stories[[#This Row],[Lead Time]],0)</f>
        <v>7</v>
      </c>
      <c r="P31" s="28"/>
      <c r="Q31" s="5"/>
    </row>
    <row r="32" spans="1:17">
      <c r="A32" s="13">
        <v>2</v>
      </c>
      <c r="B32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2" s="13"/>
      <c r="D32" s="13" t="s">
        <v>108</v>
      </c>
      <c r="E32" s="13" t="s">
        <v>67</v>
      </c>
      <c r="F32" s="15">
        <v>42444</v>
      </c>
      <c r="G32" s="15">
        <v>42444</v>
      </c>
      <c r="H32" s="15">
        <v>42444</v>
      </c>
      <c r="I32" s="15">
        <v>42453</v>
      </c>
      <c r="J32" s="15">
        <v>42458</v>
      </c>
      <c r="K32" s="15">
        <v>42458</v>
      </c>
      <c r="L32" s="14">
        <v>9</v>
      </c>
      <c r="M32" s="13">
        <v>1</v>
      </c>
      <c r="N32" s="10">
        <f t="shared" si="0"/>
        <v>9</v>
      </c>
      <c r="O32" s="10">
        <f>ROUND(Stories[[#This Row],[Lead Time]],0)</f>
        <v>9</v>
      </c>
      <c r="P32" s="28"/>
      <c r="Q32" s="5"/>
    </row>
    <row r="33" spans="1:17">
      <c r="A33" s="13">
        <v>2</v>
      </c>
      <c r="B33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3" s="13"/>
      <c r="D33" s="13" t="s">
        <v>109</v>
      </c>
      <c r="E33" s="13" t="s">
        <v>67</v>
      </c>
      <c r="F33" s="15">
        <v>42451</v>
      </c>
      <c r="G33" s="15">
        <v>42452</v>
      </c>
      <c r="H33" s="15">
        <v>42452</v>
      </c>
      <c r="I33" s="15">
        <v>42458</v>
      </c>
      <c r="J33" s="15">
        <v>42458</v>
      </c>
      <c r="K33" s="15">
        <v>42458</v>
      </c>
      <c r="L33" s="14">
        <v>9</v>
      </c>
      <c r="M33" s="13">
        <v>1</v>
      </c>
      <c r="N33" s="10">
        <f t="shared" si="0"/>
        <v>3</v>
      </c>
      <c r="O33" s="10">
        <f>ROUND(Stories[[#This Row],[Lead Time]],0)</f>
        <v>3</v>
      </c>
      <c r="P33" s="28"/>
      <c r="Q33" s="5"/>
    </row>
    <row r="34" spans="1:17">
      <c r="A34" s="13">
        <v>2</v>
      </c>
      <c r="B34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4" s="13"/>
      <c r="D34" s="13" t="s">
        <v>110</v>
      </c>
      <c r="E34" s="13" t="s">
        <v>67</v>
      </c>
      <c r="F34" s="15">
        <v>42429</v>
      </c>
      <c r="G34" s="15">
        <v>42452</v>
      </c>
      <c r="H34" s="39">
        <v>42452</v>
      </c>
      <c r="I34" s="39">
        <v>42458</v>
      </c>
      <c r="J34" s="39">
        <v>42458</v>
      </c>
      <c r="K34" s="41">
        <v>42458</v>
      </c>
      <c r="L34" s="61">
        <v>9</v>
      </c>
      <c r="M34" s="13">
        <v>1</v>
      </c>
      <c r="N34" s="10">
        <f t="shared" si="0"/>
        <v>3</v>
      </c>
      <c r="O34" s="10">
        <f>ROUND(Stories[[#This Row],[Lead Time]],0)</f>
        <v>3</v>
      </c>
      <c r="P34" s="28"/>
      <c r="Q34" s="5"/>
    </row>
    <row r="35" spans="1:17">
      <c r="A35" s="13">
        <v>2</v>
      </c>
      <c r="B35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5" s="13"/>
      <c r="D35" s="13" t="s">
        <v>111</v>
      </c>
      <c r="E35" s="13" t="s">
        <v>67</v>
      </c>
      <c r="F35" s="15">
        <v>42451</v>
      </c>
      <c r="G35" s="15">
        <v>42452</v>
      </c>
      <c r="H35" s="15">
        <v>42452</v>
      </c>
      <c r="I35" s="15">
        <v>42461</v>
      </c>
      <c r="J35" s="15">
        <v>42461</v>
      </c>
      <c r="K35" s="15">
        <v>42461</v>
      </c>
      <c r="L35" s="14">
        <v>9</v>
      </c>
      <c r="M35" s="13">
        <v>1</v>
      </c>
      <c r="N35" s="10">
        <f t="shared" si="0"/>
        <v>6</v>
      </c>
      <c r="O35" s="10">
        <f>ROUND(Stories[[#This Row],[Lead Time]],0)</f>
        <v>6</v>
      </c>
      <c r="P35" s="30"/>
      <c r="Q35" s="5"/>
    </row>
    <row r="36" spans="1:17">
      <c r="A36" s="13">
        <v>2</v>
      </c>
      <c r="B36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6" s="13"/>
      <c r="D36" s="13" t="s">
        <v>112</v>
      </c>
      <c r="E36" s="13" t="s">
        <v>67</v>
      </c>
      <c r="F36" s="15">
        <v>42461</v>
      </c>
      <c r="G36" s="15">
        <v>42461</v>
      </c>
      <c r="H36" s="15">
        <v>42461</v>
      </c>
      <c r="I36" s="15">
        <v>42464</v>
      </c>
      <c r="J36" s="15">
        <v>42464</v>
      </c>
      <c r="K36" s="15">
        <v>42464</v>
      </c>
      <c r="L36" s="14">
        <v>9</v>
      </c>
      <c r="M36" s="13">
        <v>1</v>
      </c>
      <c r="N36" s="10">
        <f t="shared" si="0"/>
        <v>2</v>
      </c>
      <c r="O36" s="10">
        <f>ROUND(Stories[[#This Row],[Lead Time]],0)</f>
        <v>2</v>
      </c>
      <c r="P36" s="25"/>
    </row>
    <row r="37" spans="1:17">
      <c r="A37" s="13">
        <v>2</v>
      </c>
      <c r="B37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7" s="13"/>
      <c r="D37" s="13" t="s">
        <v>113</v>
      </c>
      <c r="E37" s="13" t="s">
        <v>67</v>
      </c>
      <c r="F37" s="15">
        <v>42431</v>
      </c>
      <c r="G37" s="15">
        <v>42453</v>
      </c>
      <c r="H37" s="39">
        <v>42453</v>
      </c>
      <c r="I37" s="39">
        <v>42466</v>
      </c>
      <c r="J37" s="39">
        <v>42466</v>
      </c>
      <c r="K37" s="41">
        <v>42466</v>
      </c>
      <c r="L37" s="61">
        <v>10</v>
      </c>
      <c r="M37" s="13">
        <v>1</v>
      </c>
      <c r="N37" s="10">
        <f t="shared" ref="N37:N68" si="1">IF(K37&gt;0,(((NETWORKDAYS(G37,K37,BankHolidays))/M37)),NA())</f>
        <v>8</v>
      </c>
      <c r="O37" s="10">
        <f>ROUND(Stories[[#This Row],[Lead Time]],0)</f>
        <v>8</v>
      </c>
      <c r="P37" s="28"/>
    </row>
    <row r="38" spans="1:17">
      <c r="A38" s="13">
        <v>2</v>
      </c>
      <c r="B38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8" s="13"/>
      <c r="D38" s="13" t="s">
        <v>114</v>
      </c>
      <c r="E38" s="13" t="s">
        <v>67</v>
      </c>
      <c r="F38" s="15">
        <v>42431</v>
      </c>
      <c r="G38" s="15">
        <v>42458</v>
      </c>
      <c r="H38" s="39">
        <v>42458</v>
      </c>
      <c r="I38" s="39">
        <v>42466</v>
      </c>
      <c r="J38" s="39">
        <v>42466</v>
      </c>
      <c r="K38" s="41">
        <v>42466</v>
      </c>
      <c r="L38" s="61">
        <v>10</v>
      </c>
      <c r="M38" s="13">
        <v>1</v>
      </c>
      <c r="N38" s="10">
        <f t="shared" si="1"/>
        <v>7</v>
      </c>
      <c r="O38" s="10">
        <f>ROUND(Stories[[#This Row],[Lead Time]],0)</f>
        <v>7</v>
      </c>
      <c r="P38" s="28"/>
    </row>
    <row r="39" spans="1:17">
      <c r="A39" s="13">
        <v>2</v>
      </c>
      <c r="B39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9" s="13"/>
      <c r="D39" s="13" t="s">
        <v>115</v>
      </c>
      <c r="E39" s="13" t="s">
        <v>67</v>
      </c>
      <c r="F39" s="15">
        <v>42431</v>
      </c>
      <c r="G39" s="15">
        <v>42459</v>
      </c>
      <c r="H39" s="39">
        <v>42459</v>
      </c>
      <c r="I39" s="39">
        <v>42471</v>
      </c>
      <c r="J39" s="39">
        <v>42471</v>
      </c>
      <c r="K39" s="41">
        <v>42471</v>
      </c>
      <c r="L39" s="61">
        <v>10</v>
      </c>
      <c r="M39" s="13">
        <v>1</v>
      </c>
      <c r="N39" s="10">
        <f t="shared" si="1"/>
        <v>9</v>
      </c>
      <c r="O39" s="10">
        <f>ROUND(Stories[[#This Row],[Lead Time]],0)</f>
        <v>9</v>
      </c>
      <c r="P39" s="28"/>
    </row>
    <row r="40" spans="1:17">
      <c r="A40" s="13">
        <v>2</v>
      </c>
      <c r="B40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0" s="13"/>
      <c r="D40" s="13" t="s">
        <v>116</v>
      </c>
      <c r="E40" s="13" t="s">
        <v>67</v>
      </c>
      <c r="F40" s="15">
        <v>42431</v>
      </c>
      <c r="G40" s="15">
        <v>42467</v>
      </c>
      <c r="H40" s="39">
        <v>42467</v>
      </c>
      <c r="I40" s="39">
        <v>42471</v>
      </c>
      <c r="J40" s="39">
        <v>42471</v>
      </c>
      <c r="K40" s="41">
        <v>42471</v>
      </c>
      <c r="L40" s="61">
        <v>10</v>
      </c>
      <c r="M40" s="13">
        <v>1</v>
      </c>
      <c r="N40" s="10">
        <f t="shared" si="1"/>
        <v>3</v>
      </c>
      <c r="O40" s="10">
        <f>ROUND(Stories[[#This Row],[Lead Time]],0)</f>
        <v>3</v>
      </c>
      <c r="P40" s="28"/>
    </row>
    <row r="41" spans="1:17">
      <c r="A41" s="13">
        <v>2</v>
      </c>
      <c r="B41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1" s="13"/>
      <c r="D41" s="13" t="s">
        <v>117</v>
      </c>
      <c r="E41" s="13" t="s">
        <v>67</v>
      </c>
      <c r="F41" s="15">
        <v>42474</v>
      </c>
      <c r="G41" s="15">
        <v>42474</v>
      </c>
      <c r="H41" s="15">
        <v>42474</v>
      </c>
      <c r="I41" s="15">
        <v>42475</v>
      </c>
      <c r="J41" s="15">
        <v>42475</v>
      </c>
      <c r="K41" s="15">
        <v>42475</v>
      </c>
      <c r="L41" s="14">
        <v>10</v>
      </c>
      <c r="M41" s="13">
        <v>1</v>
      </c>
      <c r="N41" s="10">
        <f t="shared" si="1"/>
        <v>2</v>
      </c>
      <c r="O41" s="10">
        <f>ROUND(Stories[[#This Row],[Lead Time]],0)</f>
        <v>2</v>
      </c>
      <c r="P41" s="28"/>
      <c r="Q41" s="5"/>
    </row>
    <row r="42" spans="1:17">
      <c r="A42" s="13">
        <v>2</v>
      </c>
      <c r="B42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2" s="13"/>
      <c r="D42" s="13" t="s">
        <v>118</v>
      </c>
      <c r="E42" s="13" t="s">
        <v>67</v>
      </c>
      <c r="F42" s="15">
        <v>42431</v>
      </c>
      <c r="G42" s="15">
        <v>42472</v>
      </c>
      <c r="H42" s="39">
        <v>42472</v>
      </c>
      <c r="I42" s="39">
        <v>42475</v>
      </c>
      <c r="J42" s="39">
        <v>42475</v>
      </c>
      <c r="K42" s="41">
        <v>42475</v>
      </c>
      <c r="L42" s="61">
        <v>10</v>
      </c>
      <c r="M42" s="13">
        <v>1</v>
      </c>
      <c r="N42" s="10">
        <f t="shared" si="1"/>
        <v>4</v>
      </c>
      <c r="O42" s="10">
        <f>ROUND(Stories[[#This Row],[Lead Time]],0)</f>
        <v>4</v>
      </c>
      <c r="P42" s="28"/>
      <c r="Q42" s="5"/>
    </row>
    <row r="43" spans="1:17">
      <c r="A43" s="13">
        <v>2</v>
      </c>
      <c r="B43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3" s="13"/>
      <c r="D43" s="13" t="s">
        <v>119</v>
      </c>
      <c r="E43" s="13" t="s">
        <v>67</v>
      </c>
      <c r="F43" s="15">
        <v>42471</v>
      </c>
      <c r="G43" s="15">
        <v>42471</v>
      </c>
      <c r="H43" s="15">
        <v>42471</v>
      </c>
      <c r="I43" s="15">
        <v>42475</v>
      </c>
      <c r="J43" s="15">
        <v>42475</v>
      </c>
      <c r="K43" s="15">
        <v>42475</v>
      </c>
      <c r="L43" s="14">
        <v>10</v>
      </c>
      <c r="M43" s="13">
        <v>1</v>
      </c>
      <c r="N43" s="10">
        <f t="shared" si="1"/>
        <v>5</v>
      </c>
      <c r="O43" s="10">
        <f>ROUND(Stories[[#This Row],[Lead Time]],0)</f>
        <v>5</v>
      </c>
      <c r="P43" s="28"/>
      <c r="Q43" s="5"/>
    </row>
    <row r="44" spans="1:17">
      <c r="A44" s="13">
        <v>2</v>
      </c>
      <c r="B44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4" s="13"/>
      <c r="D44" s="13" t="s">
        <v>120</v>
      </c>
      <c r="E44" s="13" t="s">
        <v>67</v>
      </c>
      <c r="F44" s="15">
        <v>42431</v>
      </c>
      <c r="G44" s="15">
        <v>42472</v>
      </c>
      <c r="H44" s="39">
        <v>42472</v>
      </c>
      <c r="I44" s="39">
        <v>42475</v>
      </c>
      <c r="J44" s="39">
        <v>42475</v>
      </c>
      <c r="K44" s="41">
        <v>42475</v>
      </c>
      <c r="L44" s="61">
        <v>10</v>
      </c>
      <c r="M44" s="13">
        <v>1</v>
      </c>
      <c r="N44" s="10">
        <f t="shared" si="1"/>
        <v>4</v>
      </c>
      <c r="O44" s="10">
        <f>ROUND(Stories[[#This Row],[Lead Time]],0)</f>
        <v>4</v>
      </c>
      <c r="P44" s="29"/>
      <c r="Q44" s="5"/>
    </row>
    <row r="45" spans="1:17">
      <c r="A45" s="13">
        <v>2</v>
      </c>
      <c r="B45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5" s="13"/>
      <c r="D45" s="13" t="s">
        <v>121</v>
      </c>
      <c r="E45" s="13" t="s">
        <v>67</v>
      </c>
      <c r="F45" s="15">
        <v>42431</v>
      </c>
      <c r="G45" s="15">
        <v>42472</v>
      </c>
      <c r="H45" s="39">
        <v>42472</v>
      </c>
      <c r="I45" s="39">
        <v>42475</v>
      </c>
      <c r="J45" s="39">
        <v>42475</v>
      </c>
      <c r="K45" s="41">
        <v>42475</v>
      </c>
      <c r="L45" s="61">
        <v>10</v>
      </c>
      <c r="M45" s="13">
        <v>1</v>
      </c>
      <c r="N45" s="10">
        <f t="shared" si="1"/>
        <v>4</v>
      </c>
      <c r="O45" s="10">
        <f>ROUND(Stories[[#This Row],[Lead Time]],0)</f>
        <v>4</v>
      </c>
      <c r="P45" s="28"/>
      <c r="Q45" s="5"/>
    </row>
    <row r="46" spans="1:17">
      <c r="A46" s="13">
        <v>2</v>
      </c>
      <c r="B46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6" s="13"/>
      <c r="D46" s="13" t="s">
        <v>122</v>
      </c>
      <c r="E46" s="13" t="s">
        <v>67</v>
      </c>
      <c r="F46" s="15">
        <v>42439</v>
      </c>
      <c r="G46" s="15">
        <v>42480</v>
      </c>
      <c r="H46" s="15">
        <v>42480</v>
      </c>
      <c r="I46" s="15">
        <v>42480</v>
      </c>
      <c r="J46" s="15">
        <v>42480</v>
      </c>
      <c r="K46" s="15">
        <v>42480</v>
      </c>
      <c r="L46" s="14">
        <v>11</v>
      </c>
      <c r="M46" s="13">
        <v>1</v>
      </c>
      <c r="N46" s="10">
        <f t="shared" si="1"/>
        <v>1</v>
      </c>
      <c r="O46" s="10">
        <f>ROUND(Stories[[#This Row],[Lead Time]],0)</f>
        <v>1</v>
      </c>
      <c r="P46" s="30"/>
      <c r="Q46" s="5"/>
    </row>
    <row r="47" spans="1:17">
      <c r="A47" s="13">
        <v>2</v>
      </c>
      <c r="B47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7" s="13"/>
      <c r="D47" s="13" t="s">
        <v>123</v>
      </c>
      <c r="E47" s="13" t="s">
        <v>43</v>
      </c>
      <c r="F47" s="15">
        <v>42471</v>
      </c>
      <c r="G47" s="15">
        <v>42471</v>
      </c>
      <c r="H47" s="15">
        <v>42471</v>
      </c>
      <c r="I47" s="15">
        <v>42473</v>
      </c>
      <c r="J47" s="15">
        <v>42473</v>
      </c>
      <c r="K47" s="15">
        <v>42481</v>
      </c>
      <c r="L47" s="14">
        <v>11</v>
      </c>
      <c r="M47" s="13">
        <v>1</v>
      </c>
      <c r="N47" s="10">
        <f t="shared" si="1"/>
        <v>9</v>
      </c>
      <c r="O47" s="10">
        <f>ROUND(Stories[[#This Row],[Lead Time]],0)</f>
        <v>9</v>
      </c>
      <c r="P47" s="26"/>
      <c r="Q47" s="5"/>
    </row>
    <row r="48" spans="1:17">
      <c r="A48" s="13">
        <v>2</v>
      </c>
      <c r="B48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8" s="13"/>
      <c r="D48" s="13" t="s">
        <v>124</v>
      </c>
      <c r="E48" s="13" t="s">
        <v>67</v>
      </c>
      <c r="F48" s="15">
        <v>42431</v>
      </c>
      <c r="G48" s="15">
        <v>42466</v>
      </c>
      <c r="H48" s="39">
        <v>42466</v>
      </c>
      <c r="I48" s="39">
        <v>42482</v>
      </c>
      <c r="J48" s="39">
        <v>42482</v>
      </c>
      <c r="K48" s="41">
        <v>42482</v>
      </c>
      <c r="L48" s="61">
        <v>11</v>
      </c>
      <c r="M48" s="13">
        <v>1</v>
      </c>
      <c r="N48" s="10">
        <f t="shared" si="1"/>
        <v>13</v>
      </c>
      <c r="O48" s="10">
        <f>ROUND(Stories[[#This Row],[Lead Time]],0)</f>
        <v>13</v>
      </c>
      <c r="P48" s="18"/>
      <c r="Q48" s="5"/>
    </row>
    <row r="49" spans="1:17">
      <c r="A49" s="13">
        <v>2</v>
      </c>
      <c r="B49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9" s="13"/>
      <c r="D49" s="13" t="s">
        <v>125</v>
      </c>
      <c r="E49" s="13" t="s">
        <v>67</v>
      </c>
      <c r="F49" s="15">
        <v>42431</v>
      </c>
      <c r="G49" s="15">
        <v>42471</v>
      </c>
      <c r="H49" s="39">
        <v>42471</v>
      </c>
      <c r="I49" s="39">
        <v>42482</v>
      </c>
      <c r="J49" s="39">
        <v>42482</v>
      </c>
      <c r="K49" s="41">
        <v>42482</v>
      </c>
      <c r="L49" s="61">
        <v>11</v>
      </c>
      <c r="M49" s="13">
        <v>1</v>
      </c>
      <c r="N49" s="10">
        <f t="shared" si="1"/>
        <v>10</v>
      </c>
      <c r="O49" s="10">
        <f>ROUND(Stories[[#This Row],[Lead Time]],0)</f>
        <v>10</v>
      </c>
      <c r="P49" s="26"/>
    </row>
    <row r="50" spans="1:17">
      <c r="A50" s="13">
        <v>2</v>
      </c>
      <c r="B50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0" s="13"/>
      <c r="D50" s="13" t="s">
        <v>126</v>
      </c>
      <c r="E50" s="13" t="s">
        <v>67</v>
      </c>
      <c r="F50" s="15">
        <v>42431</v>
      </c>
      <c r="G50" s="15">
        <v>42474</v>
      </c>
      <c r="H50" s="39">
        <v>42474</v>
      </c>
      <c r="I50" s="39">
        <v>42482</v>
      </c>
      <c r="J50" s="39">
        <v>42482</v>
      </c>
      <c r="K50" s="41">
        <v>42482</v>
      </c>
      <c r="L50" s="61">
        <v>11</v>
      </c>
      <c r="M50" s="13">
        <v>1</v>
      </c>
      <c r="N50" s="10">
        <f t="shared" si="1"/>
        <v>7</v>
      </c>
      <c r="O50" s="10">
        <f>ROUND(Stories[[#This Row],[Lead Time]],0)</f>
        <v>7</v>
      </c>
      <c r="P50" s="26"/>
    </row>
    <row r="51" spans="1:17">
      <c r="A51" s="13">
        <v>2</v>
      </c>
      <c r="B51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1" s="13"/>
      <c r="D51" s="13" t="s">
        <v>127</v>
      </c>
      <c r="E51" s="13" t="s">
        <v>67</v>
      </c>
      <c r="F51" s="15">
        <v>42481</v>
      </c>
      <c r="G51" s="15">
        <v>42481</v>
      </c>
      <c r="H51" s="15">
        <v>42481</v>
      </c>
      <c r="I51" s="15">
        <v>42482</v>
      </c>
      <c r="J51" s="15">
        <v>42482</v>
      </c>
      <c r="K51" s="15">
        <v>42482</v>
      </c>
      <c r="L51" s="14">
        <v>11</v>
      </c>
      <c r="M51" s="13">
        <v>1</v>
      </c>
      <c r="N51" s="10">
        <f t="shared" si="1"/>
        <v>2</v>
      </c>
      <c r="O51" s="10">
        <f>ROUND(Stories[[#This Row],[Lead Time]],0)</f>
        <v>2</v>
      </c>
      <c r="P51" s="26"/>
    </row>
    <row r="52" spans="1:17">
      <c r="A52" s="13">
        <v>2</v>
      </c>
      <c r="B52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2" s="13"/>
      <c r="D52" s="13" t="s">
        <v>128</v>
      </c>
      <c r="E52" s="13" t="s">
        <v>43</v>
      </c>
      <c r="F52" s="15">
        <v>42482</v>
      </c>
      <c r="G52" s="15">
        <v>42482</v>
      </c>
      <c r="H52" s="15">
        <v>42482</v>
      </c>
      <c r="I52" s="15">
        <v>42482</v>
      </c>
      <c r="J52" s="15">
        <v>42482</v>
      </c>
      <c r="K52" s="15">
        <v>42482</v>
      </c>
      <c r="L52" s="14">
        <v>11</v>
      </c>
      <c r="M52" s="13">
        <v>1</v>
      </c>
      <c r="N52" s="10">
        <f t="shared" si="1"/>
        <v>1</v>
      </c>
      <c r="O52" s="10">
        <f>ROUND(Stories[[#This Row],[Lead Time]],0)</f>
        <v>1</v>
      </c>
      <c r="P52" s="13"/>
    </row>
    <row r="53" spans="1:17">
      <c r="A53" s="13">
        <v>2</v>
      </c>
      <c r="B53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3" s="13"/>
      <c r="D53" s="13" t="s">
        <v>129</v>
      </c>
      <c r="E53" s="13" t="s">
        <v>43</v>
      </c>
      <c r="F53" s="15">
        <v>42481</v>
      </c>
      <c r="G53" s="15">
        <v>42481</v>
      </c>
      <c r="H53" s="15">
        <v>42481</v>
      </c>
      <c r="I53" s="15">
        <v>42486</v>
      </c>
      <c r="J53" s="15">
        <v>42486</v>
      </c>
      <c r="K53" s="15">
        <v>42486</v>
      </c>
      <c r="L53" s="14">
        <v>11</v>
      </c>
      <c r="M53" s="13">
        <v>1</v>
      </c>
      <c r="N53" s="10">
        <f t="shared" si="1"/>
        <v>4</v>
      </c>
      <c r="O53" s="10">
        <f>ROUND(Stories[[#This Row],[Lead Time]],0)</f>
        <v>4</v>
      </c>
      <c r="P53" s="26"/>
    </row>
    <row r="54" spans="1:17">
      <c r="A54" s="13">
        <v>2</v>
      </c>
      <c r="B54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4" s="13"/>
      <c r="D54" s="13" t="s">
        <v>130</v>
      </c>
      <c r="E54" s="13" t="s">
        <v>43</v>
      </c>
      <c r="F54" s="15">
        <v>42482</v>
      </c>
      <c r="G54" s="15">
        <v>42482</v>
      </c>
      <c r="H54" s="15">
        <v>42482</v>
      </c>
      <c r="I54" s="15">
        <v>42488</v>
      </c>
      <c r="J54" s="15">
        <v>42488</v>
      </c>
      <c r="K54" s="15">
        <v>42488</v>
      </c>
      <c r="L54" s="14">
        <v>11</v>
      </c>
      <c r="M54" s="13">
        <v>1</v>
      </c>
      <c r="N54" s="10">
        <f t="shared" si="1"/>
        <v>5</v>
      </c>
      <c r="O54" s="10">
        <f>ROUND(Stories[[#This Row],[Lead Time]],0)</f>
        <v>5</v>
      </c>
      <c r="P54" s="18"/>
      <c r="Q54" s="5"/>
    </row>
    <row r="55" spans="1:17">
      <c r="A55" s="13">
        <v>2</v>
      </c>
      <c r="B55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5" s="13"/>
      <c r="D55" s="13" t="s">
        <v>131</v>
      </c>
      <c r="E55" s="13" t="s">
        <v>67</v>
      </c>
      <c r="F55" s="15">
        <v>42481</v>
      </c>
      <c r="G55" s="15">
        <v>42482</v>
      </c>
      <c r="H55" s="15">
        <v>42482</v>
      </c>
      <c r="I55" s="15">
        <v>42496</v>
      </c>
      <c r="J55" s="15">
        <v>42496</v>
      </c>
      <c r="K55" s="15">
        <v>42496</v>
      </c>
      <c r="L55" s="14">
        <v>12</v>
      </c>
      <c r="M55" s="13">
        <v>1</v>
      </c>
      <c r="N55" s="10">
        <f t="shared" si="1"/>
        <v>10</v>
      </c>
      <c r="O55" s="10">
        <f>ROUND(Stories[[#This Row],[Lead Time]],0)</f>
        <v>10</v>
      </c>
      <c r="P55" s="26"/>
    </row>
    <row r="56" spans="1:17">
      <c r="A56" s="13">
        <v>2</v>
      </c>
      <c r="B56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6" s="13"/>
      <c r="D56" s="13" t="s">
        <v>132</v>
      </c>
      <c r="E56" s="13" t="s">
        <v>43</v>
      </c>
      <c r="F56" s="15">
        <v>42495</v>
      </c>
      <c r="G56" s="15">
        <v>42495</v>
      </c>
      <c r="H56" s="15">
        <v>42495</v>
      </c>
      <c r="I56" s="15">
        <v>42496</v>
      </c>
      <c r="J56" s="15">
        <v>42496</v>
      </c>
      <c r="K56" s="15">
        <v>42496</v>
      </c>
      <c r="L56" s="14">
        <v>12</v>
      </c>
      <c r="M56" s="13">
        <v>1</v>
      </c>
      <c r="N56" s="10">
        <f t="shared" si="1"/>
        <v>2</v>
      </c>
      <c r="O56" s="10">
        <f>ROUND(Stories[[#This Row],[Lead Time]],0)</f>
        <v>2</v>
      </c>
      <c r="P56" s="13"/>
    </row>
    <row r="57" spans="1:17">
      <c r="A57" s="13">
        <v>2</v>
      </c>
      <c r="B57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7" s="13"/>
      <c r="D57" s="13" t="s">
        <v>133</v>
      </c>
      <c r="E57" s="13" t="s">
        <v>43</v>
      </c>
      <c r="F57" s="15">
        <v>42487</v>
      </c>
      <c r="G57" s="15">
        <v>42487</v>
      </c>
      <c r="H57" s="15">
        <v>42487</v>
      </c>
      <c r="I57" s="15">
        <v>42496</v>
      </c>
      <c r="J57" s="15">
        <v>42496</v>
      </c>
      <c r="K57" s="15">
        <v>42496</v>
      </c>
      <c r="L57" s="14">
        <v>12</v>
      </c>
      <c r="M57" s="13">
        <v>1</v>
      </c>
      <c r="N57" s="10">
        <f t="shared" si="1"/>
        <v>7</v>
      </c>
      <c r="O57" s="10">
        <f>ROUND(Stories[[#This Row],[Lead Time]],0)</f>
        <v>7</v>
      </c>
      <c r="P57" s="13"/>
    </row>
    <row r="58" spans="1:17">
      <c r="A58" s="13">
        <v>2</v>
      </c>
      <c r="B58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8" s="13"/>
      <c r="D58" s="13" t="s">
        <v>134</v>
      </c>
      <c r="E58" s="13" t="s">
        <v>43</v>
      </c>
      <c r="F58" s="15">
        <v>42487</v>
      </c>
      <c r="G58" s="15">
        <v>42487</v>
      </c>
      <c r="H58" s="15">
        <v>42487</v>
      </c>
      <c r="I58" s="15">
        <v>42496</v>
      </c>
      <c r="J58" s="15">
        <v>42496</v>
      </c>
      <c r="K58" s="15">
        <v>42496</v>
      </c>
      <c r="L58" s="14">
        <v>12</v>
      </c>
      <c r="M58" s="13">
        <v>1</v>
      </c>
      <c r="N58" s="10">
        <f t="shared" si="1"/>
        <v>7</v>
      </c>
      <c r="O58" s="10">
        <f>ROUND(Stories[[#This Row],[Lead Time]],0)</f>
        <v>7</v>
      </c>
      <c r="P58" s="13"/>
    </row>
    <row r="59" spans="1:17">
      <c r="A59" s="13">
        <v>2</v>
      </c>
      <c r="B59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9" s="13"/>
      <c r="D59" s="13" t="s">
        <v>135</v>
      </c>
      <c r="E59" s="13" t="s">
        <v>70</v>
      </c>
      <c r="F59" s="15">
        <v>42486</v>
      </c>
      <c r="G59" s="15">
        <v>42486</v>
      </c>
      <c r="H59" s="15">
        <v>42486</v>
      </c>
      <c r="I59" s="15">
        <v>42499</v>
      </c>
      <c r="J59" s="15">
        <v>42499</v>
      </c>
      <c r="K59" s="15">
        <v>42499</v>
      </c>
      <c r="L59" s="14">
        <v>12</v>
      </c>
      <c r="M59" s="13">
        <v>1</v>
      </c>
      <c r="N59" s="10">
        <f t="shared" si="1"/>
        <v>9</v>
      </c>
      <c r="O59" s="10">
        <f>ROUND(Stories[[#This Row],[Lead Time]],0)</f>
        <v>9</v>
      </c>
      <c r="P59" s="26"/>
    </row>
    <row r="60" spans="1:17">
      <c r="A60" s="13">
        <v>2</v>
      </c>
      <c r="B60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0" s="13"/>
      <c r="D60" s="13" t="s">
        <v>136</v>
      </c>
      <c r="E60" s="13" t="s">
        <v>43</v>
      </c>
      <c r="F60" s="15">
        <v>42488</v>
      </c>
      <c r="G60" s="15">
        <v>42488</v>
      </c>
      <c r="H60" s="15">
        <v>42488</v>
      </c>
      <c r="I60" s="15">
        <v>42499</v>
      </c>
      <c r="J60" s="15">
        <v>42499</v>
      </c>
      <c r="K60" s="15">
        <v>42499</v>
      </c>
      <c r="L60" s="14">
        <v>12</v>
      </c>
      <c r="M60" s="13">
        <v>1</v>
      </c>
      <c r="N60" s="10">
        <f t="shared" si="1"/>
        <v>7</v>
      </c>
      <c r="O60" s="10">
        <f>ROUND(Stories[[#This Row],[Lead Time]],0)</f>
        <v>7</v>
      </c>
      <c r="P60" s="13"/>
    </row>
    <row r="61" spans="1:17">
      <c r="A61" s="13">
        <v>2</v>
      </c>
      <c r="B61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1" s="13"/>
      <c r="D61" s="13" t="s">
        <v>137</v>
      </c>
      <c r="E61" s="13" t="s">
        <v>43</v>
      </c>
      <c r="F61" s="15">
        <v>42499</v>
      </c>
      <c r="G61" s="15">
        <v>42500</v>
      </c>
      <c r="H61" s="15">
        <v>42500</v>
      </c>
      <c r="I61" s="15">
        <v>42501</v>
      </c>
      <c r="J61" s="15">
        <v>42501</v>
      </c>
      <c r="K61" s="15">
        <v>42501</v>
      </c>
      <c r="L61" s="14">
        <v>12</v>
      </c>
      <c r="M61" s="13">
        <v>1</v>
      </c>
      <c r="N61" s="10">
        <f t="shared" si="1"/>
        <v>2</v>
      </c>
      <c r="O61" s="10">
        <f>ROUND(Stories[[#This Row],[Lead Time]],0)</f>
        <v>2</v>
      </c>
      <c r="P61" s="13"/>
    </row>
    <row r="62" spans="1:17">
      <c r="A62" s="13">
        <v>2</v>
      </c>
      <c r="B62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2" s="13"/>
      <c r="D62" s="13" t="s">
        <v>138</v>
      </c>
      <c r="E62" s="13" t="s">
        <v>43</v>
      </c>
      <c r="F62" s="15">
        <v>42494</v>
      </c>
      <c r="G62" s="15">
        <v>42494</v>
      </c>
      <c r="H62" s="15">
        <v>42494</v>
      </c>
      <c r="I62" s="15">
        <v>42501</v>
      </c>
      <c r="J62" s="15">
        <v>42501</v>
      </c>
      <c r="K62" s="15">
        <v>42501</v>
      </c>
      <c r="L62" s="14">
        <v>12</v>
      </c>
      <c r="M62" s="13">
        <v>1</v>
      </c>
      <c r="N62" s="10">
        <f t="shared" si="1"/>
        <v>6</v>
      </c>
      <c r="O62" s="10">
        <f>ROUND(Stories[[#This Row],[Lead Time]],0)</f>
        <v>6</v>
      </c>
      <c r="P62" s="13"/>
    </row>
    <row r="63" spans="1:17" ht="15.95" customHeight="1">
      <c r="A63" s="13">
        <v>2</v>
      </c>
      <c r="B63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3" s="13"/>
      <c r="D63" s="13" t="s">
        <v>139</v>
      </c>
      <c r="E63" s="13" t="s">
        <v>70</v>
      </c>
      <c r="F63" s="15">
        <v>42500</v>
      </c>
      <c r="G63" s="15">
        <v>42500</v>
      </c>
      <c r="H63" s="15">
        <v>42500</v>
      </c>
      <c r="I63" s="15">
        <v>42501</v>
      </c>
      <c r="J63" s="15">
        <v>42501</v>
      </c>
      <c r="K63" s="15">
        <v>42501</v>
      </c>
      <c r="L63" s="14">
        <v>12</v>
      </c>
      <c r="M63" s="13">
        <v>1</v>
      </c>
      <c r="N63" s="10">
        <f t="shared" si="1"/>
        <v>2</v>
      </c>
      <c r="O63" s="10">
        <f>ROUND(Stories[[#This Row],[Lead Time]],0)</f>
        <v>2</v>
      </c>
      <c r="P63" s="13"/>
    </row>
    <row r="64" spans="1:17">
      <c r="A64" s="13">
        <v>2</v>
      </c>
      <c r="B64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4" s="13"/>
      <c r="D64" s="13" t="s">
        <v>140</v>
      </c>
      <c r="E64" s="13" t="s">
        <v>43</v>
      </c>
      <c r="F64" s="15">
        <v>42502</v>
      </c>
      <c r="G64" s="15">
        <v>42502</v>
      </c>
      <c r="H64" s="15">
        <v>42502</v>
      </c>
      <c r="I64" s="15">
        <v>42502</v>
      </c>
      <c r="J64" s="15">
        <v>42502</v>
      </c>
      <c r="K64" s="15">
        <v>42502</v>
      </c>
      <c r="L64" s="14">
        <v>12</v>
      </c>
      <c r="M64" s="13">
        <v>1</v>
      </c>
      <c r="N64" s="10">
        <f t="shared" si="1"/>
        <v>1</v>
      </c>
      <c r="O64" s="10">
        <f>ROUND(Stories[[#This Row],[Lead Time]],0)</f>
        <v>1</v>
      </c>
      <c r="P64" s="13"/>
    </row>
    <row r="65" spans="1:16">
      <c r="A65" s="13">
        <v>2</v>
      </c>
      <c r="B65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5" s="13"/>
      <c r="D65" s="13" t="s">
        <v>141</v>
      </c>
      <c r="E65" s="13" t="s">
        <v>43</v>
      </c>
      <c r="F65" s="15">
        <v>42501</v>
      </c>
      <c r="G65" s="15">
        <v>42501</v>
      </c>
      <c r="H65" s="15">
        <v>42501</v>
      </c>
      <c r="I65" s="15">
        <v>42503</v>
      </c>
      <c r="J65" s="15">
        <v>42507</v>
      </c>
      <c r="K65" s="15">
        <v>42507</v>
      </c>
      <c r="L65" s="14">
        <v>13</v>
      </c>
      <c r="M65" s="13">
        <v>1</v>
      </c>
      <c r="N65" s="10">
        <f t="shared" si="1"/>
        <v>5</v>
      </c>
      <c r="O65" s="10">
        <f>ROUND(Stories[[#This Row],[Lead Time]],0)</f>
        <v>5</v>
      </c>
      <c r="P65" s="13"/>
    </row>
    <row r="66" spans="1:16">
      <c r="A66" s="13">
        <v>2</v>
      </c>
      <c r="B66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6" s="13"/>
      <c r="D66" s="13" t="s">
        <v>142</v>
      </c>
      <c r="E66" s="13" t="s">
        <v>70</v>
      </c>
      <c r="F66" s="15">
        <v>42501</v>
      </c>
      <c r="G66" s="15">
        <v>42501</v>
      </c>
      <c r="H66" s="15">
        <v>42501</v>
      </c>
      <c r="I66" s="15">
        <v>42505</v>
      </c>
      <c r="J66" s="15">
        <v>42509</v>
      </c>
      <c r="K66" s="15">
        <v>42509</v>
      </c>
      <c r="L66" s="14">
        <v>13</v>
      </c>
      <c r="M66" s="13">
        <v>1</v>
      </c>
      <c r="N66" s="10">
        <f t="shared" si="1"/>
        <v>7</v>
      </c>
      <c r="O66" s="10">
        <f>ROUND(Stories[[#This Row],[Lead Time]],0)</f>
        <v>7</v>
      </c>
      <c r="P66" s="13"/>
    </row>
    <row r="67" spans="1:16">
      <c r="A67" s="13">
        <v>2</v>
      </c>
      <c r="B67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7" s="13"/>
      <c r="D67" s="13" t="s">
        <v>143</v>
      </c>
      <c r="E67" s="13" t="s">
        <v>43</v>
      </c>
      <c r="F67" s="15">
        <v>42507</v>
      </c>
      <c r="G67" s="15">
        <v>42507</v>
      </c>
      <c r="H67" s="15">
        <v>42507</v>
      </c>
      <c r="I67" s="15">
        <v>42510</v>
      </c>
      <c r="J67" s="15">
        <v>42510</v>
      </c>
      <c r="K67" s="15">
        <v>42510</v>
      </c>
      <c r="L67" s="14">
        <v>13</v>
      </c>
      <c r="M67" s="13">
        <v>1</v>
      </c>
      <c r="N67" s="10">
        <f t="shared" si="1"/>
        <v>4</v>
      </c>
      <c r="O67" s="10">
        <f>ROUND(Stories[[#This Row],[Lead Time]],0)</f>
        <v>4</v>
      </c>
      <c r="P67" s="13"/>
    </row>
    <row r="68" spans="1:16" ht="15.95" customHeight="1">
      <c r="A68" s="13">
        <v>2</v>
      </c>
      <c r="B68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8" s="13"/>
      <c r="D68" s="13" t="s">
        <v>144</v>
      </c>
      <c r="E68" s="13" t="s">
        <v>70</v>
      </c>
      <c r="F68" s="15">
        <v>42499</v>
      </c>
      <c r="G68" s="15">
        <v>42506</v>
      </c>
      <c r="H68" s="15">
        <v>42506</v>
      </c>
      <c r="I68" s="15">
        <v>42510</v>
      </c>
      <c r="J68" s="15">
        <v>42510</v>
      </c>
      <c r="K68" s="15">
        <v>42510</v>
      </c>
      <c r="L68" s="14">
        <v>13</v>
      </c>
      <c r="M68" s="13">
        <v>1</v>
      </c>
      <c r="N68" s="10">
        <f t="shared" si="1"/>
        <v>5</v>
      </c>
      <c r="O68" s="10">
        <f>ROUND(Stories[[#This Row],[Lead Time]],0)</f>
        <v>5</v>
      </c>
      <c r="P68" s="13"/>
    </row>
    <row r="69" spans="1:16">
      <c r="A69" s="13">
        <v>2</v>
      </c>
      <c r="B69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9" s="13"/>
      <c r="D69" s="13" t="s">
        <v>145</v>
      </c>
      <c r="E69" s="13" t="s">
        <v>67</v>
      </c>
      <c r="F69" s="15">
        <v>42474</v>
      </c>
      <c r="G69" s="15">
        <v>42510</v>
      </c>
      <c r="H69" s="15">
        <v>42510</v>
      </c>
      <c r="I69" s="15">
        <v>42510</v>
      </c>
      <c r="J69" s="15">
        <v>42510</v>
      </c>
      <c r="K69" s="15">
        <v>42510</v>
      </c>
      <c r="L69" s="14">
        <v>13</v>
      </c>
      <c r="M69" s="13">
        <v>1</v>
      </c>
      <c r="N69" s="10">
        <f t="shared" ref="N69:N100" si="2">IF(K69&gt;0,(((NETWORKDAYS(G69,K69,BankHolidays))/M69)),NA())</f>
        <v>1</v>
      </c>
      <c r="O69" s="10">
        <f>ROUND(Stories[[#This Row],[Lead Time]],0)</f>
        <v>1</v>
      </c>
      <c r="P69" s="13"/>
    </row>
    <row r="70" spans="1:16">
      <c r="A70" s="13">
        <v>2</v>
      </c>
      <c r="B70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70" s="13"/>
      <c r="D70" s="13" t="s">
        <v>146</v>
      </c>
      <c r="E70" s="13" t="s">
        <v>68</v>
      </c>
      <c r="F70" s="15">
        <v>42431</v>
      </c>
      <c r="G70" s="15">
        <v>42452</v>
      </c>
      <c r="H70" s="39">
        <v>42452</v>
      </c>
      <c r="I70" s="39">
        <v>42513</v>
      </c>
      <c r="J70" s="39">
        <v>42513</v>
      </c>
      <c r="K70" s="39">
        <v>42513</v>
      </c>
      <c r="L70" s="61">
        <v>13</v>
      </c>
      <c r="M70" s="13">
        <v>1</v>
      </c>
      <c r="N70" s="10">
        <f t="shared" si="2"/>
        <v>41</v>
      </c>
      <c r="O70" s="10">
        <f>ROUND(Stories[[#This Row],[Lead Time]],0)</f>
        <v>41</v>
      </c>
      <c r="P70" s="26"/>
    </row>
    <row r="71" spans="1:16">
      <c r="A71" s="13">
        <v>2</v>
      </c>
      <c r="B71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71" s="13"/>
      <c r="D71" s="13" t="s">
        <v>147</v>
      </c>
      <c r="E71" s="13" t="s">
        <v>43</v>
      </c>
      <c r="F71" s="15">
        <v>42510</v>
      </c>
      <c r="G71" s="15">
        <v>42510</v>
      </c>
      <c r="H71" s="15">
        <v>42510</v>
      </c>
      <c r="I71" s="15">
        <v>42515</v>
      </c>
      <c r="J71" s="15">
        <v>42515</v>
      </c>
      <c r="K71" s="15">
        <v>42515</v>
      </c>
      <c r="L71" s="14">
        <v>13</v>
      </c>
      <c r="M71" s="13">
        <v>1</v>
      </c>
      <c r="N71" s="10">
        <f t="shared" si="2"/>
        <v>4</v>
      </c>
      <c r="O71" s="10">
        <f>ROUND(Stories[[#This Row],[Lead Time]],0)</f>
        <v>4</v>
      </c>
      <c r="P71" s="13"/>
    </row>
    <row r="72" spans="1:16">
      <c r="A72" s="13">
        <v>2</v>
      </c>
      <c r="B72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72" s="13"/>
      <c r="D72" s="13" t="s">
        <v>148</v>
      </c>
      <c r="E72" s="13" t="s">
        <v>70</v>
      </c>
      <c r="F72" s="15">
        <v>42501</v>
      </c>
      <c r="G72" s="15">
        <v>42501</v>
      </c>
      <c r="H72" s="15">
        <v>42501</v>
      </c>
      <c r="I72" s="15">
        <v>42516</v>
      </c>
      <c r="J72" s="15">
        <v>42516</v>
      </c>
      <c r="K72" s="15">
        <v>42516</v>
      </c>
      <c r="L72" s="14">
        <v>13</v>
      </c>
      <c r="M72" s="13">
        <v>1</v>
      </c>
      <c r="N72" s="10">
        <f t="shared" si="2"/>
        <v>12</v>
      </c>
      <c r="O72" s="10">
        <f>ROUND(Stories[[#This Row],[Lead Time]],0)</f>
        <v>12</v>
      </c>
      <c r="P72" s="13"/>
    </row>
    <row r="73" spans="1:16">
      <c r="A73" s="13">
        <v>2</v>
      </c>
      <c r="B73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73" s="13"/>
      <c r="D73" s="13" t="s">
        <v>149</v>
      </c>
      <c r="E73" s="13" t="s">
        <v>43</v>
      </c>
      <c r="F73" s="15">
        <v>42510</v>
      </c>
      <c r="G73" s="15">
        <v>42514</v>
      </c>
      <c r="H73" s="15">
        <v>42514</v>
      </c>
      <c r="I73" s="15">
        <v>42516</v>
      </c>
      <c r="J73" s="15">
        <v>42517</v>
      </c>
      <c r="K73" s="15">
        <v>42517</v>
      </c>
      <c r="L73" s="14">
        <v>13</v>
      </c>
      <c r="M73" s="13">
        <v>1</v>
      </c>
      <c r="N73" s="10">
        <f t="shared" si="2"/>
        <v>4</v>
      </c>
      <c r="O73" s="10">
        <f>ROUND(Stories[[#This Row],[Lead Time]],0)</f>
        <v>4</v>
      </c>
      <c r="P73" s="13"/>
    </row>
    <row r="74" spans="1:16">
      <c r="A74" s="13">
        <v>2</v>
      </c>
      <c r="B74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74" s="13"/>
      <c r="D74" s="13" t="s">
        <v>150</v>
      </c>
      <c r="E74" s="13" t="s">
        <v>70</v>
      </c>
      <c r="F74" s="15">
        <v>42515</v>
      </c>
      <c r="G74" s="15">
        <v>42515</v>
      </c>
      <c r="H74" s="15">
        <v>42515</v>
      </c>
      <c r="I74" s="15">
        <v>42522</v>
      </c>
      <c r="J74" s="15">
        <v>42522</v>
      </c>
      <c r="K74" s="15">
        <v>42522</v>
      </c>
      <c r="L74" s="14">
        <v>14</v>
      </c>
      <c r="M74" s="13">
        <v>1</v>
      </c>
      <c r="N74" s="10">
        <f t="shared" si="2"/>
        <v>5</v>
      </c>
      <c r="O74" s="10">
        <f>ROUND(Stories[[#This Row],[Lead Time]],0)</f>
        <v>5</v>
      </c>
      <c r="P74" s="13"/>
    </row>
    <row r="75" spans="1:16">
      <c r="A75" s="13">
        <v>2</v>
      </c>
      <c r="B75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2</v>
      </c>
      <c r="C75" s="13"/>
      <c r="D75" s="13" t="s">
        <v>151</v>
      </c>
      <c r="E75" s="13" t="s">
        <v>70</v>
      </c>
      <c r="F75" s="15">
        <v>42510</v>
      </c>
      <c r="G75" s="15">
        <v>42516</v>
      </c>
      <c r="H75" s="15">
        <v>42516</v>
      </c>
      <c r="I75" s="15">
        <v>42517</v>
      </c>
      <c r="J75" s="15"/>
      <c r="K75" s="15"/>
      <c r="L75" s="14"/>
      <c r="M75" s="13">
        <v>1</v>
      </c>
      <c r="N75" s="10" t="e">
        <f t="shared" si="2"/>
        <v>#N/A</v>
      </c>
      <c r="O75" s="10" t="e">
        <f>ROUND(Stories[[#This Row],[Lead Time]],0)</f>
        <v>#N/A</v>
      </c>
      <c r="P75" s="13"/>
    </row>
    <row r="76" spans="1:16">
      <c r="A76" s="13">
        <v>2</v>
      </c>
      <c r="B76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3</v>
      </c>
      <c r="C76" s="13"/>
      <c r="D76" s="13" t="s">
        <v>152</v>
      </c>
      <c r="E76" s="13" t="s">
        <v>43</v>
      </c>
      <c r="F76" s="15">
        <v>42500</v>
      </c>
      <c r="G76" s="15">
        <v>42500</v>
      </c>
      <c r="H76" s="15">
        <v>42500</v>
      </c>
      <c r="I76" s="15"/>
      <c r="J76" s="15"/>
      <c r="K76" s="15"/>
      <c r="L76" s="14"/>
      <c r="M76" s="13">
        <v>1</v>
      </c>
      <c r="N76" s="10" t="e">
        <f t="shared" si="2"/>
        <v>#N/A</v>
      </c>
      <c r="O76" s="10" t="e">
        <f>ROUND(Stories[[#This Row],[Lead Time]],0)</f>
        <v>#N/A</v>
      </c>
      <c r="P76" s="13"/>
    </row>
    <row r="77" spans="1:16">
      <c r="A77" s="13">
        <v>2</v>
      </c>
      <c r="B77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3</v>
      </c>
      <c r="C77" s="13"/>
      <c r="D77" s="13" t="s">
        <v>153</v>
      </c>
      <c r="E77" s="13" t="s">
        <v>43</v>
      </c>
      <c r="F77" s="15">
        <v>42499</v>
      </c>
      <c r="G77" s="15">
        <v>42501</v>
      </c>
      <c r="H77" s="15">
        <v>42501</v>
      </c>
      <c r="I77" s="15"/>
      <c r="J77" s="15"/>
      <c r="K77" s="15"/>
      <c r="L77" s="14"/>
      <c r="M77" s="13">
        <v>1</v>
      </c>
      <c r="N77" s="10" t="e">
        <f t="shared" si="2"/>
        <v>#N/A</v>
      </c>
      <c r="O77" s="10" t="e">
        <f>ROUND(Stories[[#This Row],[Lead Time]],0)</f>
        <v>#N/A</v>
      </c>
      <c r="P77" s="13"/>
    </row>
    <row r="78" spans="1:16">
      <c r="A78" s="13">
        <v>2</v>
      </c>
      <c r="B78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3</v>
      </c>
      <c r="C78" s="13"/>
      <c r="D78" s="13" t="s">
        <v>154</v>
      </c>
      <c r="E78" s="13" t="s">
        <v>43</v>
      </c>
      <c r="F78" s="15">
        <v>42506</v>
      </c>
      <c r="G78" s="15">
        <v>42506</v>
      </c>
      <c r="H78" s="15">
        <v>42506</v>
      </c>
      <c r="I78" s="15"/>
      <c r="J78" s="15"/>
      <c r="K78" s="15"/>
      <c r="L78" s="14"/>
      <c r="M78" s="13">
        <v>1</v>
      </c>
      <c r="N78" s="10" t="e">
        <f t="shared" si="2"/>
        <v>#N/A</v>
      </c>
      <c r="O78" s="10" t="e">
        <f>ROUND(Stories[[#This Row],[Lead Time]],0)</f>
        <v>#N/A</v>
      </c>
      <c r="P78" s="13"/>
    </row>
    <row r="79" spans="1:16">
      <c r="A79" s="13">
        <v>2</v>
      </c>
      <c r="B79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3</v>
      </c>
      <c r="C79" s="13"/>
      <c r="D79" s="13" t="s">
        <v>155</v>
      </c>
      <c r="E79" s="13" t="s">
        <v>70</v>
      </c>
      <c r="F79" s="15">
        <v>42516</v>
      </c>
      <c r="G79" s="15">
        <v>42516</v>
      </c>
      <c r="H79" s="15">
        <v>42516</v>
      </c>
      <c r="I79" s="15"/>
      <c r="J79" s="15"/>
      <c r="K79" s="15"/>
      <c r="L79" s="14"/>
      <c r="M79" s="13">
        <v>1</v>
      </c>
      <c r="N79" s="10" t="e">
        <f t="shared" si="2"/>
        <v>#N/A</v>
      </c>
      <c r="O79" s="10" t="e">
        <f>ROUND(Stories[[#This Row],[Lead Time]],0)</f>
        <v>#N/A</v>
      </c>
      <c r="P79" s="13"/>
    </row>
    <row r="80" spans="1:16">
      <c r="A80" s="13">
        <v>2</v>
      </c>
      <c r="B80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3</v>
      </c>
      <c r="C80" s="13"/>
      <c r="D80" s="13" t="s">
        <v>156</v>
      </c>
      <c r="E80" s="13" t="s">
        <v>43</v>
      </c>
      <c r="F80" s="15">
        <v>42517</v>
      </c>
      <c r="G80" s="15">
        <v>42517</v>
      </c>
      <c r="H80" s="15">
        <v>42517</v>
      </c>
      <c r="I80" s="15"/>
      <c r="J80" s="15"/>
      <c r="K80" s="15"/>
      <c r="L80" s="14"/>
      <c r="M80" s="13">
        <v>1</v>
      </c>
      <c r="N80" s="10" t="e">
        <f t="shared" si="2"/>
        <v>#N/A</v>
      </c>
      <c r="O80" s="10" t="e">
        <f>ROUND(Stories[[#This Row],[Lead Time]],0)</f>
        <v>#N/A</v>
      </c>
      <c r="P80" s="13"/>
    </row>
    <row r="81" spans="1:16">
      <c r="A81" s="13">
        <v>2</v>
      </c>
      <c r="B81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2</v>
      </c>
      <c r="C81" s="13"/>
      <c r="D81" s="13" t="s">
        <v>157</v>
      </c>
      <c r="E81" s="13" t="s">
        <v>43</v>
      </c>
      <c r="F81" s="15">
        <v>42522</v>
      </c>
      <c r="G81" s="15">
        <v>42522</v>
      </c>
      <c r="H81" s="15">
        <v>42522</v>
      </c>
      <c r="I81" s="15">
        <v>42524</v>
      </c>
      <c r="J81" s="15"/>
      <c r="K81" s="15"/>
      <c r="L81" s="14"/>
      <c r="M81" s="13">
        <v>1</v>
      </c>
      <c r="N81" s="10" t="e">
        <f t="shared" si="2"/>
        <v>#N/A</v>
      </c>
      <c r="O81" s="10" t="e">
        <f>ROUND(Stories[[#This Row],[Lead Time]],0)</f>
        <v>#N/A</v>
      </c>
      <c r="P81" s="13"/>
    </row>
    <row r="82" spans="1:16">
      <c r="A82" s="13">
        <v>2</v>
      </c>
      <c r="B82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2" s="74"/>
      <c r="D82" s="13" t="s">
        <v>158</v>
      </c>
      <c r="E82" s="13" t="s">
        <v>53</v>
      </c>
      <c r="F82" s="15">
        <v>42438</v>
      </c>
      <c r="G82" s="15"/>
      <c r="H82" s="15"/>
      <c r="I82" s="15"/>
      <c r="J82" s="15"/>
      <c r="K82" s="15"/>
      <c r="L82" s="14"/>
      <c r="M82" s="13">
        <v>3</v>
      </c>
      <c r="N82" s="10" t="e">
        <f t="shared" si="2"/>
        <v>#N/A</v>
      </c>
      <c r="O82" s="10" t="e">
        <f>ROUND(Stories[[#This Row],[Lead Time]],0)</f>
        <v>#N/A</v>
      </c>
      <c r="P82" s="26"/>
    </row>
    <row r="83" spans="1:16">
      <c r="A83" s="13">
        <v>2</v>
      </c>
      <c r="B83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3" s="74"/>
      <c r="D83" s="13" t="s">
        <v>159</v>
      </c>
      <c r="E83" s="13" t="s">
        <v>53</v>
      </c>
      <c r="F83" s="15">
        <v>42438</v>
      </c>
      <c r="G83" s="15"/>
      <c r="H83" s="15"/>
      <c r="I83" s="15"/>
      <c r="J83" s="15"/>
      <c r="K83" s="15"/>
      <c r="L83" s="14"/>
      <c r="M83" s="13">
        <v>5</v>
      </c>
      <c r="N83" s="10" t="e">
        <f t="shared" si="2"/>
        <v>#N/A</v>
      </c>
      <c r="O83" s="10" t="e">
        <f>ROUND(Stories[[#This Row],[Lead Time]],0)</f>
        <v>#N/A</v>
      </c>
      <c r="P83" s="26"/>
    </row>
    <row r="84" spans="1:16">
      <c r="A84" s="13">
        <v>2</v>
      </c>
      <c r="B84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4" s="74"/>
      <c r="D84" s="13" t="s">
        <v>160</v>
      </c>
      <c r="E84" s="13" t="s">
        <v>53</v>
      </c>
      <c r="F84" s="15">
        <v>42438</v>
      </c>
      <c r="G84" s="15"/>
      <c r="H84" s="15"/>
      <c r="I84" s="15"/>
      <c r="J84" s="15"/>
      <c r="K84" s="15"/>
      <c r="L84" s="14"/>
      <c r="M84" s="13">
        <v>8</v>
      </c>
      <c r="N84" s="10" t="e">
        <f t="shared" si="2"/>
        <v>#N/A</v>
      </c>
      <c r="O84" s="10" t="e">
        <f>ROUND(Stories[[#This Row],[Lead Time]],0)</f>
        <v>#N/A</v>
      </c>
      <c r="P84" s="26"/>
    </row>
    <row r="85" spans="1:16">
      <c r="A85" s="13">
        <v>2</v>
      </c>
      <c r="B85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5" s="74"/>
      <c r="D85" s="13" t="s">
        <v>161</v>
      </c>
      <c r="E85" s="13" t="s">
        <v>53</v>
      </c>
      <c r="F85" s="15">
        <v>42438</v>
      </c>
      <c r="G85" s="15"/>
      <c r="H85" s="15"/>
      <c r="I85" s="15"/>
      <c r="J85" s="15"/>
      <c r="K85" s="15"/>
      <c r="L85" s="14"/>
      <c r="M85" s="13">
        <v>6</v>
      </c>
      <c r="N85" s="10" t="e">
        <f t="shared" si="2"/>
        <v>#N/A</v>
      </c>
      <c r="O85" s="10" t="e">
        <f>ROUND(Stories[[#This Row],[Lead Time]],0)</f>
        <v>#N/A</v>
      </c>
      <c r="P85" s="26"/>
    </row>
    <row r="86" spans="1:16">
      <c r="A86" s="13">
        <v>2</v>
      </c>
      <c r="B86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6" s="74"/>
      <c r="D86" s="13" t="s">
        <v>162</v>
      </c>
      <c r="E86" s="13" t="s">
        <v>53</v>
      </c>
      <c r="F86" s="15">
        <v>42438</v>
      </c>
      <c r="G86" s="15"/>
      <c r="H86" s="15"/>
      <c r="I86" s="15"/>
      <c r="J86" s="15"/>
      <c r="K86" s="15"/>
      <c r="L86" s="14"/>
      <c r="M86" s="13">
        <v>2</v>
      </c>
      <c r="N86" s="10" t="e">
        <f t="shared" si="2"/>
        <v>#N/A</v>
      </c>
      <c r="O86" s="10" t="e">
        <f>ROUND(Stories[[#This Row],[Lead Time]],0)</f>
        <v>#N/A</v>
      </c>
      <c r="P86" s="13"/>
    </row>
    <row r="87" spans="1:16">
      <c r="A87" s="13">
        <v>2</v>
      </c>
      <c r="B87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7" s="74"/>
      <c r="D87" s="13" t="s">
        <v>163</v>
      </c>
      <c r="E87" s="13" t="s">
        <v>53</v>
      </c>
      <c r="F87" s="15">
        <v>42438</v>
      </c>
      <c r="G87" s="15"/>
      <c r="H87" s="15"/>
      <c r="I87" s="15"/>
      <c r="J87" s="15"/>
      <c r="K87" s="15"/>
      <c r="L87" s="14"/>
      <c r="M87" s="13">
        <v>1</v>
      </c>
      <c r="N87" s="10" t="e">
        <f t="shared" si="2"/>
        <v>#N/A</v>
      </c>
      <c r="O87" s="10" t="e">
        <f>ROUND(Stories[[#This Row],[Lead Time]],0)</f>
        <v>#N/A</v>
      </c>
      <c r="P87" s="13"/>
    </row>
    <row r="88" spans="1:16">
      <c r="A88" s="13">
        <v>2</v>
      </c>
      <c r="B88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8" s="74"/>
      <c r="D88" s="13" t="s">
        <v>164</v>
      </c>
      <c r="E88" s="13" t="s">
        <v>53</v>
      </c>
      <c r="F88" s="15">
        <v>42438</v>
      </c>
      <c r="G88" s="15"/>
      <c r="H88" s="15"/>
      <c r="I88" s="15"/>
      <c r="J88" s="15"/>
      <c r="K88" s="15"/>
      <c r="L88" s="14"/>
      <c r="M88" s="13">
        <v>15</v>
      </c>
      <c r="N88" s="10" t="e">
        <f t="shared" si="2"/>
        <v>#N/A</v>
      </c>
      <c r="O88" s="10" t="e">
        <f>ROUND(Stories[[#This Row],[Lead Time]],0)</f>
        <v>#N/A</v>
      </c>
      <c r="P88" s="13"/>
    </row>
    <row r="89" spans="1:16">
      <c r="A89" s="13">
        <v>2</v>
      </c>
      <c r="B89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9" s="74"/>
      <c r="D89" s="13" t="s">
        <v>165</v>
      </c>
      <c r="E89" s="13" t="s">
        <v>53</v>
      </c>
      <c r="F89" s="15">
        <v>42438</v>
      </c>
      <c r="G89" s="15"/>
      <c r="H89" s="15"/>
      <c r="I89" s="15"/>
      <c r="J89" s="15"/>
      <c r="K89" s="15"/>
      <c r="L89" s="14"/>
      <c r="M89" s="13">
        <v>2</v>
      </c>
      <c r="N89" s="10" t="e">
        <f t="shared" si="2"/>
        <v>#N/A</v>
      </c>
      <c r="O89" s="10" t="e">
        <f>ROUND(Stories[[#This Row],[Lead Time]],0)</f>
        <v>#N/A</v>
      </c>
      <c r="P89" s="13"/>
    </row>
    <row r="90" spans="1:16">
      <c r="A90" s="13">
        <v>2</v>
      </c>
      <c r="B90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0" s="74"/>
      <c r="D90" s="13" t="s">
        <v>166</v>
      </c>
      <c r="E90" s="13" t="s">
        <v>53</v>
      </c>
      <c r="F90" s="15">
        <v>42438</v>
      </c>
      <c r="G90" s="15"/>
      <c r="H90" s="15"/>
      <c r="I90" s="15"/>
      <c r="J90" s="15"/>
      <c r="K90" s="15"/>
      <c r="L90" s="14"/>
      <c r="M90" s="13">
        <v>1</v>
      </c>
      <c r="N90" s="10" t="e">
        <f t="shared" si="2"/>
        <v>#N/A</v>
      </c>
      <c r="O90" s="10" t="e">
        <f>ROUND(Stories[[#This Row],[Lead Time]],0)</f>
        <v>#N/A</v>
      </c>
      <c r="P90" s="13"/>
    </row>
    <row r="91" spans="1:16">
      <c r="A91" s="13">
        <v>2</v>
      </c>
      <c r="B91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1" s="13"/>
      <c r="D91" s="13" t="s">
        <v>167</v>
      </c>
      <c r="E91" s="13" t="s">
        <v>43</v>
      </c>
      <c r="F91" s="15">
        <v>42499</v>
      </c>
      <c r="G91" s="15"/>
      <c r="H91" s="15"/>
      <c r="I91" s="15"/>
      <c r="J91" s="15"/>
      <c r="K91" s="15"/>
      <c r="L91" s="14"/>
      <c r="M91" s="13">
        <v>1</v>
      </c>
      <c r="N91" s="10" t="e">
        <f t="shared" si="2"/>
        <v>#N/A</v>
      </c>
      <c r="O91" s="10" t="e">
        <f>ROUND(Stories[[#This Row],[Lead Time]],0)</f>
        <v>#N/A</v>
      </c>
      <c r="P91" s="13"/>
    </row>
    <row r="92" spans="1:16">
      <c r="A92" s="13">
        <v>2</v>
      </c>
      <c r="B92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2" s="13"/>
      <c r="D92" s="13" t="s">
        <v>168</v>
      </c>
      <c r="E92" s="13" t="s">
        <v>43</v>
      </c>
      <c r="F92" s="15">
        <v>42499</v>
      </c>
      <c r="G92" s="15"/>
      <c r="H92" s="15"/>
      <c r="I92" s="15"/>
      <c r="J92" s="15"/>
      <c r="K92" s="15"/>
      <c r="L92" s="14"/>
      <c r="M92" s="13">
        <v>1</v>
      </c>
      <c r="N92" s="10" t="e">
        <f t="shared" si="2"/>
        <v>#N/A</v>
      </c>
      <c r="O92" s="10" t="e">
        <f>ROUND(Stories[[#This Row],[Lead Time]],0)</f>
        <v>#N/A</v>
      </c>
      <c r="P92" s="13"/>
    </row>
    <row r="93" spans="1:16">
      <c r="A93" s="13">
        <v>2</v>
      </c>
      <c r="B93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3" s="13"/>
      <c r="D93" s="13" t="s">
        <v>169</v>
      </c>
      <c r="E93" s="13" t="s">
        <v>43</v>
      </c>
      <c r="F93" s="15">
        <v>42503</v>
      </c>
      <c r="G93" s="15"/>
      <c r="H93" s="15"/>
      <c r="I93" s="15"/>
      <c r="J93" s="15"/>
      <c r="K93" s="15"/>
      <c r="L93" s="14"/>
      <c r="M93" s="13">
        <v>1</v>
      </c>
      <c r="N93" s="10" t="e">
        <f t="shared" si="2"/>
        <v>#N/A</v>
      </c>
      <c r="O93" s="10" t="e">
        <f>ROUND(Stories[[#This Row],[Lead Time]],0)</f>
        <v>#N/A</v>
      </c>
      <c r="P93" s="13"/>
    </row>
    <row r="94" spans="1:16">
      <c r="A94" s="13">
        <v>2</v>
      </c>
      <c r="B94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4" s="13"/>
      <c r="D94" s="13" t="s">
        <v>170</v>
      </c>
      <c r="E94" s="13" t="s">
        <v>43</v>
      </c>
      <c r="F94" s="15">
        <v>42515</v>
      </c>
      <c r="G94" s="15"/>
      <c r="H94" s="15"/>
      <c r="I94" s="15"/>
      <c r="J94" s="15"/>
      <c r="K94" s="15"/>
      <c r="L94" s="14"/>
      <c r="M94" s="13">
        <v>1</v>
      </c>
      <c r="N94" s="10" t="e">
        <f t="shared" si="2"/>
        <v>#N/A</v>
      </c>
      <c r="O94" s="10" t="e">
        <f>ROUND(Stories[[#This Row],[Lead Time]],0)</f>
        <v>#N/A</v>
      </c>
      <c r="P94" s="13"/>
    </row>
    <row r="95" spans="1:16">
      <c r="A95" s="13"/>
      <c r="B95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5" s="13"/>
      <c r="D95" s="13"/>
      <c r="E95" s="13"/>
      <c r="F95" s="15"/>
      <c r="G95" s="15"/>
      <c r="H95" s="15"/>
      <c r="I95" s="15"/>
      <c r="J95" s="15"/>
      <c r="K95" s="15"/>
      <c r="L95" s="14"/>
      <c r="M95" s="13"/>
      <c r="N95" s="10" t="e">
        <f t="shared" si="2"/>
        <v>#N/A</v>
      </c>
      <c r="O95" s="10" t="e">
        <f>ROUND(Stories[[#This Row],[Lead Time]],0)</f>
        <v>#N/A</v>
      </c>
      <c r="P95" s="13"/>
    </row>
    <row r="96" spans="1:16">
      <c r="A96" s="13"/>
      <c r="B96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6" s="13"/>
      <c r="D96" s="13"/>
      <c r="E96" s="13"/>
      <c r="F96" s="15"/>
      <c r="G96" s="15"/>
      <c r="H96" s="15"/>
      <c r="I96" s="15"/>
      <c r="J96" s="15"/>
      <c r="K96" s="15"/>
      <c r="L96" s="14"/>
      <c r="M96" s="13"/>
      <c r="N96" s="10" t="e">
        <f t="shared" si="2"/>
        <v>#N/A</v>
      </c>
      <c r="O96" s="10" t="e">
        <f>ROUND(Stories[[#This Row],[Lead Time]],0)</f>
        <v>#N/A</v>
      </c>
      <c r="P96" s="13"/>
    </row>
    <row r="97" spans="1:16">
      <c r="A97" s="13"/>
      <c r="B97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7" s="13"/>
      <c r="D97" s="13"/>
      <c r="E97" s="13"/>
      <c r="F97" s="15"/>
      <c r="G97" s="15"/>
      <c r="H97" s="15"/>
      <c r="I97" s="15"/>
      <c r="J97" s="15"/>
      <c r="K97" s="15"/>
      <c r="L97" s="14"/>
      <c r="M97" s="13"/>
      <c r="N97" s="10" t="e">
        <f t="shared" si="2"/>
        <v>#N/A</v>
      </c>
      <c r="O97" s="10" t="e">
        <f>ROUND(Stories[[#This Row],[Lead Time]],0)</f>
        <v>#N/A</v>
      </c>
      <c r="P97" s="13"/>
    </row>
    <row r="98" spans="1:16">
      <c r="A98" s="13"/>
      <c r="B98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8" s="13"/>
      <c r="D98" s="13"/>
      <c r="E98" s="13"/>
      <c r="F98" s="15"/>
      <c r="G98" s="15"/>
      <c r="H98" s="15"/>
      <c r="I98" s="15"/>
      <c r="J98" s="15"/>
      <c r="K98" s="15"/>
      <c r="L98" s="14"/>
      <c r="M98" s="13"/>
      <c r="N98" s="10" t="e">
        <f t="shared" si="2"/>
        <v>#N/A</v>
      </c>
      <c r="O98" s="10" t="e">
        <f>ROUND(Stories[[#This Row],[Lead Time]],0)</f>
        <v>#N/A</v>
      </c>
      <c r="P98" s="13"/>
    </row>
    <row r="99" spans="1:16">
      <c r="A99" s="26"/>
      <c r="B99" s="6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9" s="26"/>
      <c r="D99" s="26"/>
      <c r="E99" s="26"/>
      <c r="F99" s="64"/>
      <c r="G99" s="15"/>
      <c r="H99" s="15"/>
      <c r="I99" s="15"/>
      <c r="J99" s="15"/>
      <c r="K99" s="15"/>
      <c r="L99" s="14"/>
      <c r="M99" s="13"/>
      <c r="N99" s="10" t="e">
        <f t="shared" si="2"/>
        <v>#N/A</v>
      </c>
      <c r="O99" s="10" t="e">
        <f>ROUND(Stories[[#This Row],[Lead Time]],0)</f>
        <v>#N/A</v>
      </c>
      <c r="P99" s="13"/>
    </row>
    <row r="100" spans="1:16">
      <c r="A100" s="18"/>
      <c r="B100" s="18"/>
      <c r="C100" s="18"/>
      <c r="D100" s="18"/>
      <c r="E100" s="18"/>
      <c r="F100" s="50"/>
      <c r="G100" s="15"/>
      <c r="H100" s="15"/>
      <c r="I100" s="15"/>
      <c r="J100" s="15"/>
      <c r="K100" s="15"/>
      <c r="L100" s="14"/>
      <c r="M100" s="13"/>
      <c r="N100" s="27" t="e">
        <f t="shared" si="2"/>
        <v>#N/A</v>
      </c>
      <c r="O100" s="27" t="e">
        <f>ROUND(Stories[[#This Row],[Lead Time]],0)</f>
        <v>#N/A</v>
      </c>
      <c r="P100" s="26"/>
    </row>
    <row r="101" spans="1:16">
      <c r="A101" s="5"/>
      <c r="B101" s="5"/>
      <c r="C101" s="5"/>
      <c r="D101" s="5"/>
      <c r="E101" s="5"/>
      <c r="M101" s="5"/>
      <c r="N101" s="5"/>
      <c r="O101" s="5"/>
    </row>
    <row r="102" spans="1:16">
      <c r="A102" s="5"/>
      <c r="B102" s="5"/>
      <c r="C102" s="5"/>
      <c r="D102" s="5"/>
      <c r="E102" s="5"/>
      <c r="M102" s="5"/>
      <c r="N102" s="5"/>
      <c r="O102" s="5"/>
    </row>
    <row r="103" spans="1:16">
      <c r="A103" s="5"/>
      <c r="B103" s="5"/>
      <c r="C103" s="5"/>
      <c r="D103" s="5"/>
      <c r="E103" s="5"/>
      <c r="M103" s="5"/>
      <c r="N103" s="5"/>
      <c r="O103" s="5"/>
    </row>
    <row r="104" spans="1:16">
      <c r="A104" s="5"/>
      <c r="B104" s="5"/>
      <c r="C104" s="5"/>
      <c r="D104" s="5"/>
      <c r="E104" s="5"/>
      <c r="M104" s="5"/>
      <c r="N104" s="5"/>
      <c r="O104" s="5"/>
    </row>
    <row r="105" spans="1:16">
      <c r="A105" s="5"/>
      <c r="B105" s="5"/>
      <c r="C105" s="5"/>
      <c r="D105" s="5"/>
      <c r="E105" s="5"/>
      <c r="M105" s="5"/>
      <c r="N105" s="5"/>
      <c r="O105" s="5"/>
    </row>
    <row r="106" spans="1:16">
      <c r="A106" s="5"/>
      <c r="B106" s="5"/>
      <c r="C106" s="5"/>
      <c r="D106" s="5"/>
      <c r="E106" s="5"/>
      <c r="M106" s="5"/>
      <c r="N106" s="5"/>
      <c r="O106" s="5"/>
    </row>
    <row r="107" spans="1:16">
      <c r="A107" s="5"/>
      <c r="B107" s="5"/>
      <c r="C107" s="5"/>
      <c r="D107" s="5"/>
      <c r="E107" s="5"/>
      <c r="M107" s="5"/>
      <c r="N107" s="5"/>
      <c r="O107" s="5"/>
    </row>
    <row r="108" spans="1:16">
      <c r="A108" s="5"/>
      <c r="B108" s="5"/>
      <c r="C108" s="5"/>
      <c r="D108" s="5"/>
      <c r="E108" s="5"/>
      <c r="M108" s="5"/>
      <c r="N108" s="5"/>
      <c r="O108" s="5"/>
    </row>
    <row r="109" spans="1:16">
      <c r="A109" s="5"/>
      <c r="B109" s="5"/>
      <c r="C109" s="5"/>
      <c r="D109" s="5"/>
      <c r="E109" s="5"/>
      <c r="M109" s="5"/>
      <c r="N109" s="5"/>
      <c r="O109" s="5"/>
    </row>
    <row r="110" spans="1:16">
      <c r="A110" s="5"/>
      <c r="B110" s="5"/>
      <c r="C110" s="5"/>
      <c r="D110" s="5"/>
      <c r="E110" s="5"/>
      <c r="M110" s="5"/>
      <c r="N110" s="5"/>
      <c r="O110" s="5"/>
    </row>
    <row r="111" spans="1:16">
      <c r="A111" s="5"/>
      <c r="B111" s="5"/>
      <c r="C111" s="5"/>
      <c r="D111" s="5"/>
      <c r="E111" s="5"/>
      <c r="M111" s="5"/>
      <c r="N111" s="5"/>
      <c r="O111" s="5"/>
    </row>
    <row r="112" spans="1:16">
      <c r="A112" s="5"/>
      <c r="B112" s="5"/>
      <c r="C112" s="5"/>
      <c r="D112" s="5"/>
      <c r="E112" s="5"/>
      <c r="M112" s="5"/>
      <c r="N112" s="5"/>
      <c r="O112" s="5"/>
    </row>
    <row r="113" spans="1:15">
      <c r="A113" s="5"/>
      <c r="B113" s="5"/>
      <c r="C113" s="5"/>
      <c r="D113" s="5"/>
      <c r="E113" s="5"/>
      <c r="M113" s="5"/>
      <c r="N113" s="5"/>
      <c r="O113" s="5"/>
    </row>
    <row r="114" spans="1:15">
      <c r="A114" s="5"/>
      <c r="B114" s="5"/>
      <c r="C114" s="5"/>
      <c r="D114" s="5"/>
      <c r="E114" s="5"/>
      <c r="M114" s="5"/>
      <c r="N114" s="5"/>
      <c r="O114" s="5"/>
    </row>
    <row r="115" spans="1:15">
      <c r="A115" s="5"/>
      <c r="B115" s="5"/>
      <c r="C115" s="5"/>
      <c r="D115" s="5"/>
      <c r="E115" s="5"/>
      <c r="M115" s="5"/>
      <c r="N115" s="5"/>
      <c r="O115" s="5"/>
    </row>
    <row r="116" spans="1:15">
      <c r="A116" s="5"/>
      <c r="B116" s="5"/>
      <c r="C116" s="5"/>
      <c r="D116" s="5"/>
      <c r="E116" s="5"/>
      <c r="M116" s="5"/>
      <c r="N116" s="5"/>
      <c r="O116" s="5"/>
    </row>
    <row r="117" spans="1:15">
      <c r="A117" s="5"/>
      <c r="B117" s="5"/>
      <c r="C117" s="5"/>
      <c r="D117" s="5"/>
      <c r="E117" s="5"/>
      <c r="M117" s="5"/>
      <c r="N117" s="5"/>
      <c r="O117" s="5"/>
    </row>
    <row r="118" spans="1:15">
      <c r="A118" s="5"/>
      <c r="B118" s="5"/>
      <c r="C118" s="5"/>
      <c r="D118" s="5"/>
      <c r="E118" s="5"/>
      <c r="M118" s="5"/>
      <c r="N118" s="5"/>
      <c r="O118" s="5"/>
    </row>
    <row r="119" spans="1:15">
      <c r="A119" s="5"/>
      <c r="B119" s="5"/>
      <c r="C119" s="5"/>
      <c r="D119" s="5"/>
      <c r="E119" s="5"/>
      <c r="M119" s="5"/>
      <c r="N119" s="5"/>
      <c r="O119" s="5"/>
    </row>
    <row r="120" spans="1:15">
      <c r="A120" s="5"/>
      <c r="B120" s="5"/>
      <c r="C120" s="5"/>
      <c r="D120" s="5"/>
      <c r="E120" s="5"/>
      <c r="M120" s="5"/>
      <c r="N120" s="5"/>
      <c r="O120" s="5"/>
    </row>
    <row r="121" spans="1:15">
      <c r="A121" s="5"/>
      <c r="B121" s="5"/>
      <c r="C121" s="5"/>
      <c r="D121" s="5"/>
      <c r="E121" s="5"/>
      <c r="M121" s="5"/>
      <c r="N121" s="5"/>
      <c r="O121" s="5"/>
    </row>
    <row r="122" spans="1:15">
      <c r="A122" s="5"/>
      <c r="B122" s="5"/>
      <c r="C122" s="5"/>
      <c r="D122" s="5"/>
      <c r="E122" s="5"/>
      <c r="M122" s="5"/>
      <c r="N122" s="5"/>
      <c r="O122" s="5"/>
    </row>
    <row r="123" spans="1:15">
      <c r="A123" s="5"/>
      <c r="B123" s="5"/>
      <c r="C123" s="5"/>
      <c r="D123" s="5"/>
      <c r="E123" s="5"/>
      <c r="M123" s="5"/>
      <c r="N123" s="5"/>
      <c r="O123" s="5"/>
    </row>
    <row r="124" spans="1:15">
      <c r="A124" s="5"/>
      <c r="B124" s="5"/>
      <c r="C124" s="5"/>
      <c r="D124" s="5"/>
      <c r="E124" s="5"/>
      <c r="M124" s="5"/>
      <c r="N124" s="5"/>
      <c r="O124" s="5"/>
    </row>
    <row r="125" spans="1:15">
      <c r="A125" s="5"/>
      <c r="B125" s="5"/>
      <c r="C125" s="5"/>
      <c r="D125" s="5"/>
      <c r="E125" s="5"/>
      <c r="M125" s="5"/>
      <c r="N125" s="5"/>
      <c r="O125" s="5"/>
    </row>
    <row r="126" spans="1:15">
      <c r="A126" s="5"/>
      <c r="B126" s="5"/>
      <c r="C126" s="5"/>
      <c r="D126" s="5"/>
      <c r="E126" s="5"/>
      <c r="M126" s="5"/>
      <c r="N126" s="5"/>
      <c r="O126" s="5"/>
    </row>
    <row r="127" spans="1:15">
      <c r="A127" s="5"/>
      <c r="B127" s="5"/>
      <c r="C127" s="5"/>
      <c r="D127" s="5"/>
      <c r="E127" s="5"/>
      <c r="M127" s="5"/>
      <c r="N127" s="5"/>
      <c r="O127" s="5"/>
    </row>
    <row r="128" spans="1:15">
      <c r="A128" s="5"/>
      <c r="B128" s="5"/>
      <c r="C128" s="5"/>
      <c r="D128" s="5"/>
      <c r="E128" s="5"/>
      <c r="M128" s="5"/>
      <c r="N128" s="5"/>
      <c r="O128" s="5"/>
    </row>
    <row r="129" spans="1:15">
      <c r="A129" s="5"/>
      <c r="B129" s="5"/>
      <c r="C129" s="5"/>
      <c r="D129" s="5"/>
      <c r="E129" s="5"/>
      <c r="M129" s="5"/>
      <c r="N129" s="5"/>
      <c r="O129" s="5"/>
    </row>
    <row r="130" spans="1:15">
      <c r="A130" s="5"/>
      <c r="B130" s="5"/>
      <c r="C130" s="5"/>
      <c r="D130" s="5"/>
      <c r="E130" s="5"/>
      <c r="M130" s="5"/>
      <c r="N130" s="5"/>
      <c r="O130" s="5"/>
    </row>
    <row r="131" spans="1:15">
      <c r="A131" s="5"/>
      <c r="B131" s="5"/>
      <c r="C131" s="5"/>
      <c r="D131" s="5"/>
      <c r="E131" s="5"/>
      <c r="M131" s="5"/>
      <c r="N131" s="5"/>
      <c r="O131" s="5"/>
    </row>
    <row r="132" spans="1:15">
      <c r="A132" s="5"/>
      <c r="B132" s="5"/>
      <c r="C132" s="5"/>
      <c r="D132" s="5"/>
      <c r="E132" s="5"/>
      <c r="M132" s="5"/>
      <c r="N132" s="5"/>
      <c r="O132" s="5"/>
    </row>
    <row r="133" spans="1:15">
      <c r="A133" s="5"/>
      <c r="B133" s="5"/>
      <c r="C133" s="5"/>
      <c r="D133" s="5"/>
      <c r="E133" s="5"/>
      <c r="M133" s="5"/>
      <c r="N133" s="5"/>
      <c r="O133" s="5"/>
    </row>
    <row r="134" spans="1:15">
      <c r="A134" s="5"/>
      <c r="B134" s="5"/>
      <c r="C134" s="5"/>
      <c r="D134" s="5"/>
      <c r="E134" s="5"/>
      <c r="M134" s="5"/>
      <c r="N134" s="5"/>
      <c r="O134" s="5"/>
    </row>
    <row r="135" spans="1:15">
      <c r="A135" s="5"/>
      <c r="B135" s="5"/>
      <c r="C135" s="5"/>
      <c r="D135" s="5"/>
      <c r="E135" s="5"/>
      <c r="M135" s="5"/>
      <c r="N135" s="5"/>
      <c r="O135" s="5"/>
    </row>
    <row r="136" spans="1:15">
      <c r="A136" s="5"/>
      <c r="B136" s="5"/>
      <c r="C136" s="5"/>
      <c r="D136" s="5"/>
      <c r="E136" s="5"/>
      <c r="M136" s="5"/>
      <c r="N136" s="5"/>
      <c r="O136" s="5"/>
    </row>
    <row r="137" spans="1:15">
      <c r="A137" s="5"/>
      <c r="B137" s="5"/>
      <c r="C137" s="5"/>
      <c r="D137" s="5"/>
      <c r="E137" s="5"/>
      <c r="M137" s="5"/>
      <c r="N137" s="5"/>
      <c r="O137" s="5"/>
    </row>
    <row r="138" spans="1:15">
      <c r="A138" s="5"/>
      <c r="B138" s="5"/>
      <c r="C138" s="5"/>
      <c r="D138" s="5"/>
      <c r="E138" s="5"/>
      <c r="M138" s="5"/>
      <c r="N138" s="5"/>
      <c r="O138" s="5"/>
    </row>
    <row r="139" spans="1:15">
      <c r="A139" s="5"/>
      <c r="B139" s="5"/>
      <c r="C139" s="5"/>
      <c r="D139" s="5"/>
      <c r="E139" s="5"/>
      <c r="M139" s="5"/>
      <c r="N139" s="5"/>
      <c r="O139" s="5"/>
    </row>
    <row r="140" spans="1:15">
      <c r="A140" s="5"/>
      <c r="B140" s="5"/>
      <c r="C140" s="5"/>
      <c r="D140" s="5"/>
      <c r="E140" s="5"/>
      <c r="M140" s="5"/>
      <c r="N140" s="5"/>
      <c r="O140" s="5"/>
    </row>
    <row r="141" spans="1:15">
      <c r="A141" s="5"/>
      <c r="B141" s="5"/>
      <c r="C141" s="5"/>
      <c r="D141" s="5"/>
      <c r="E141" s="5"/>
      <c r="M141" s="5"/>
      <c r="N141" s="5"/>
      <c r="O141" s="5"/>
    </row>
    <row r="142" spans="1:15">
      <c r="A142" s="5"/>
      <c r="B142" s="5"/>
      <c r="C142" s="5"/>
      <c r="D142" s="5"/>
      <c r="E142" s="5"/>
      <c r="M142" s="5"/>
      <c r="N142" s="5"/>
      <c r="O142" s="5"/>
    </row>
    <row r="143" spans="1:15">
      <c r="A143" s="5"/>
      <c r="B143" s="5"/>
      <c r="C143" s="5"/>
      <c r="D143" s="5"/>
      <c r="E143" s="5"/>
      <c r="M143" s="5"/>
      <c r="N143" s="5"/>
      <c r="O143" s="5"/>
    </row>
    <row r="144" spans="1:15">
      <c r="A144" s="5"/>
      <c r="B144" s="5"/>
      <c r="C144" s="5"/>
      <c r="D144" s="5"/>
      <c r="E144" s="5"/>
      <c r="M144" s="5"/>
      <c r="N144" s="5"/>
      <c r="O144" s="5"/>
    </row>
    <row r="145" spans="1:15">
      <c r="A145" s="5"/>
      <c r="B145" s="5"/>
      <c r="C145" s="5"/>
      <c r="D145" s="5"/>
      <c r="E145" s="5"/>
      <c r="M145" s="5"/>
      <c r="N145" s="5"/>
      <c r="O145" s="5"/>
    </row>
    <row r="146" spans="1:15">
      <c r="A146" s="5"/>
      <c r="B146" s="5"/>
      <c r="C146" s="5"/>
      <c r="D146" s="5"/>
      <c r="E146" s="5"/>
      <c r="M146" s="5"/>
      <c r="N146" s="5"/>
      <c r="O146" s="5"/>
    </row>
    <row r="147" spans="1:15">
      <c r="A147" s="5"/>
      <c r="B147" s="5"/>
      <c r="C147" s="5"/>
      <c r="D147" s="5"/>
      <c r="E147" s="5"/>
      <c r="M147" s="5"/>
      <c r="N147" s="5"/>
      <c r="O147" s="5"/>
    </row>
    <row r="148" spans="1:15">
      <c r="A148" s="5"/>
      <c r="B148" s="5"/>
      <c r="C148" s="5"/>
      <c r="D148" s="5"/>
      <c r="E148" s="5"/>
      <c r="M148" s="5"/>
      <c r="N148" s="5"/>
      <c r="O148" s="5"/>
    </row>
  </sheetData>
  <mergeCells count="2">
    <mergeCell ref="F3:K3"/>
    <mergeCell ref="M1:M3"/>
  </mergeCells>
  <conditionalFormatting sqref="G5:G100">
    <cfRule type="expression" dxfId="57" priority="5">
      <formula>IF(G5&lt;F5,TRUE,FALSE)</formula>
    </cfRule>
  </conditionalFormatting>
  <conditionalFormatting sqref="H5:H100">
    <cfRule type="expression" dxfId="56" priority="4">
      <formula>IF(H5&lt;G5,TRUE,FALSE)</formula>
    </cfRule>
  </conditionalFormatting>
  <conditionalFormatting sqref="I5:I100">
    <cfRule type="expression" dxfId="55" priority="3">
      <formula>IF(I5&lt;H5,TRUE,FALSE)</formula>
    </cfRule>
  </conditionalFormatting>
  <conditionalFormatting sqref="J5:J100">
    <cfRule type="expression" dxfId="54" priority="2">
      <formula>IF(J5&lt;I5,TRUE,FALSE)</formula>
    </cfRule>
  </conditionalFormatting>
  <conditionalFormatting sqref="K5:K100">
    <cfRule type="expression" dxfId="53" priority="1">
      <formula>IF(K5&lt;J5,TRUE,FALSE)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setup!$B$10:$B$15</xm:f>
          </x14:formula1>
          <xm:sqref>E5:E61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A1:P184"/>
  <sheetViews>
    <sheetView workbookViewId="0">
      <selection activeCell="E6" sqref="E6"/>
    </sheetView>
  </sheetViews>
  <sheetFormatPr defaultColWidth="8.85546875" defaultRowHeight="12.75"/>
  <cols>
    <col min="1" max="1" width="16.7109375" bestFit="1" customWidth="1"/>
    <col min="2" max="2" width="10.140625" bestFit="1" customWidth="1"/>
    <col min="3" max="3" width="9.7109375" bestFit="1" customWidth="1"/>
    <col min="4" max="4" width="14.42578125" bestFit="1" customWidth="1"/>
    <col min="5" max="5" width="14" bestFit="1" customWidth="1"/>
    <col min="6" max="6" width="9.42578125" bestFit="1" customWidth="1"/>
    <col min="9" max="9" width="9.42578125" bestFit="1" customWidth="1"/>
  </cols>
  <sheetData>
    <row r="1" spans="1:16" ht="15">
      <c r="C1" s="65" t="s">
        <v>71</v>
      </c>
      <c r="D1" s="68">
        <v>42522</v>
      </c>
      <c r="E1" s="11">
        <f ca="1">IF(D1&gt;0,D1,TODAY())</f>
        <v>42522</v>
      </c>
      <c r="F1" s="45" t="s">
        <v>72</v>
      </c>
    </row>
    <row r="2" spans="1:16" ht="15">
      <c r="C2" t="s">
        <v>73</v>
      </c>
      <c r="D2" s="68">
        <v>42583</v>
      </c>
      <c r="E2" s="11">
        <f>IF(D2&gt;0,D2,FirstDate)</f>
        <v>42583</v>
      </c>
      <c r="F2" t="s">
        <v>74</v>
      </c>
    </row>
    <row r="3" spans="1:16" ht="15">
      <c r="A3" t="s">
        <v>6</v>
      </c>
      <c r="B3" s="75">
        <v>42408</v>
      </c>
    </row>
    <row r="4" spans="1:16" ht="15">
      <c r="A4" t="s">
        <v>16</v>
      </c>
      <c r="B4" s="71">
        <v>2</v>
      </c>
      <c r="C4" t="s">
        <v>23</v>
      </c>
    </row>
    <row r="5" spans="1:16" ht="15">
      <c r="A5" t="s">
        <v>21</v>
      </c>
      <c r="B5" s="70">
        <v>85</v>
      </c>
      <c r="C5" t="s">
        <v>31</v>
      </c>
    </row>
    <row r="6" spans="1:16" ht="15">
      <c r="A6" t="s">
        <v>171</v>
      </c>
      <c r="B6" s="70">
        <v>20</v>
      </c>
    </row>
    <row r="9" spans="1:16">
      <c r="B9" t="s">
        <v>42</v>
      </c>
      <c r="D9" s="69" t="str">
        <f>B13</f>
        <v>Future</v>
      </c>
      <c r="E9" t="s">
        <v>64</v>
      </c>
      <c r="H9" t="s">
        <v>172</v>
      </c>
    </row>
    <row r="10" spans="1:16" ht="15">
      <c r="A10" s="40">
        <v>1</v>
      </c>
      <c r="B10" s="73" t="s">
        <v>38</v>
      </c>
      <c r="H10">
        <v>8</v>
      </c>
    </row>
    <row r="11" spans="1:16" ht="15">
      <c r="A11" s="40">
        <v>2</v>
      </c>
      <c r="B11" s="73" t="s">
        <v>43</v>
      </c>
      <c r="H11">
        <v>11</v>
      </c>
    </row>
    <row r="12" spans="1:16" ht="15">
      <c r="A12" s="40">
        <v>3</v>
      </c>
      <c r="B12" s="73" t="s">
        <v>36</v>
      </c>
      <c r="H12">
        <v>20</v>
      </c>
    </row>
    <row r="13" spans="1:16" ht="15">
      <c r="A13" s="40">
        <v>4</v>
      </c>
      <c r="B13" s="73" t="s">
        <v>53</v>
      </c>
      <c r="H13" s="70">
        <v>33</v>
      </c>
    </row>
    <row r="14" spans="1:16" ht="15">
      <c r="A14" s="40">
        <v>5</v>
      </c>
      <c r="B14" s="73" t="s">
        <v>67</v>
      </c>
      <c r="H14" s="70">
        <v>50</v>
      </c>
    </row>
    <row r="15" spans="1:16" ht="15">
      <c r="A15" s="40">
        <v>6</v>
      </c>
      <c r="B15" s="73"/>
      <c r="H15" s="70">
        <v>1000</v>
      </c>
    </row>
    <row r="16" spans="1:16">
      <c r="A16" s="83" t="s">
        <v>77</v>
      </c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</row>
    <row r="17" spans="1:16" ht="18">
      <c r="B17" s="81" t="s">
        <v>78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</row>
    <row r="18" spans="1:16">
      <c r="B18" s="84" t="s">
        <v>79</v>
      </c>
      <c r="C18" s="82"/>
      <c r="D18" s="83" t="s">
        <v>80</v>
      </c>
      <c r="E18" s="82"/>
    </row>
    <row r="21" spans="1:16">
      <c r="A21" s="7" t="s">
        <v>57</v>
      </c>
    </row>
    <row r="22" spans="1:16" ht="15">
      <c r="A22" s="72">
        <v>42370</v>
      </c>
    </row>
    <row r="23" spans="1:16" ht="15">
      <c r="A23" s="72">
        <v>42454</v>
      </c>
    </row>
    <row r="24" spans="1:16" ht="15">
      <c r="A24" s="72">
        <v>42457</v>
      </c>
    </row>
    <row r="25" spans="1:16" ht="15">
      <c r="A25" s="72">
        <v>42492</v>
      </c>
    </row>
    <row r="26" spans="1:16" ht="15">
      <c r="A26" s="72">
        <v>42520</v>
      </c>
    </row>
    <row r="27" spans="1:16" ht="15">
      <c r="A27" s="72">
        <v>42611</v>
      </c>
    </row>
    <row r="28" spans="1:16" ht="15">
      <c r="A28" s="72">
        <v>42730</v>
      </c>
    </row>
    <row r="29" spans="1:16" ht="15">
      <c r="A29" s="72">
        <v>42731</v>
      </c>
    </row>
    <row r="30" spans="1:16" ht="15">
      <c r="A30" s="72">
        <v>42737</v>
      </c>
    </row>
    <row r="31" spans="1:16" ht="15">
      <c r="A31" s="72">
        <v>42839</v>
      </c>
    </row>
    <row r="32" spans="1:16" ht="15">
      <c r="A32" s="72">
        <v>42842</v>
      </c>
    </row>
    <row r="33" spans="1:1" ht="15">
      <c r="A33" s="72">
        <v>42856</v>
      </c>
    </row>
    <row r="34" spans="1:1" ht="15">
      <c r="A34" s="72">
        <v>42884</v>
      </c>
    </row>
    <row r="35" spans="1:1" ht="15">
      <c r="A35" s="72">
        <v>42975</v>
      </c>
    </row>
    <row r="36" spans="1:1" ht="15">
      <c r="A36" s="72">
        <v>43094</v>
      </c>
    </row>
    <row r="37" spans="1:1" ht="15">
      <c r="A37" s="72">
        <v>43095</v>
      </c>
    </row>
    <row r="38" spans="1:1" ht="15">
      <c r="A38" s="72">
        <v>43101</v>
      </c>
    </row>
    <row r="39" spans="1:1" ht="15">
      <c r="A39" s="72">
        <v>43189</v>
      </c>
    </row>
    <row r="40" spans="1:1" ht="15">
      <c r="A40" s="72">
        <v>43192</v>
      </c>
    </row>
    <row r="41" spans="1:1" ht="15">
      <c r="A41" s="72">
        <v>43227</v>
      </c>
    </row>
    <row r="42" spans="1:1" ht="15">
      <c r="A42" s="72">
        <v>43248</v>
      </c>
    </row>
    <row r="43" spans="1:1" ht="15">
      <c r="A43" s="72">
        <v>43339</v>
      </c>
    </row>
    <row r="44" spans="1:1" ht="15">
      <c r="A44" s="72">
        <v>43459</v>
      </c>
    </row>
    <row r="45" spans="1:1" ht="15">
      <c r="A45" s="72">
        <v>43460</v>
      </c>
    </row>
    <row r="46" spans="1:1" ht="15">
      <c r="A46" s="72">
        <v>43466</v>
      </c>
    </row>
    <row r="47" spans="1:1" ht="15">
      <c r="A47" s="72">
        <v>43574</v>
      </c>
    </row>
    <row r="48" spans="1:1" ht="15">
      <c r="A48" s="72">
        <v>43577</v>
      </c>
    </row>
    <row r="49" spans="1:1" ht="15">
      <c r="A49" s="72">
        <v>43591</v>
      </c>
    </row>
    <row r="50" spans="1:1" ht="15">
      <c r="A50" s="72">
        <v>43612</v>
      </c>
    </row>
    <row r="51" spans="1:1" ht="15">
      <c r="A51" s="72">
        <v>43703</v>
      </c>
    </row>
    <row r="52" spans="1:1" ht="15">
      <c r="A52" s="72">
        <v>43824</v>
      </c>
    </row>
    <row r="53" spans="1:1" ht="15">
      <c r="A53" s="72">
        <v>43825</v>
      </c>
    </row>
    <row r="54" spans="1:1" ht="15">
      <c r="A54" s="72">
        <v>43831</v>
      </c>
    </row>
    <row r="55" spans="1:1" ht="15">
      <c r="A55" s="72">
        <v>43931</v>
      </c>
    </row>
    <row r="56" spans="1:1" ht="15">
      <c r="A56" s="72">
        <v>43934</v>
      </c>
    </row>
    <row r="57" spans="1:1" ht="15">
      <c r="A57" s="72">
        <v>43955</v>
      </c>
    </row>
    <row r="58" spans="1:1" ht="15">
      <c r="A58" s="72">
        <v>43976</v>
      </c>
    </row>
    <row r="59" spans="1:1" ht="15">
      <c r="A59" s="72">
        <v>44074</v>
      </c>
    </row>
    <row r="60" spans="1:1" ht="15">
      <c r="A60" s="72">
        <v>44190</v>
      </c>
    </row>
    <row r="61" spans="1:1" ht="15">
      <c r="A61" s="72">
        <v>44193</v>
      </c>
    </row>
    <row r="62" spans="1:1" ht="15">
      <c r="A62" s="73"/>
    </row>
    <row r="63" spans="1:1" ht="15">
      <c r="A63" s="73"/>
    </row>
    <row r="64" spans="1:1" ht="15">
      <c r="A64" s="73"/>
    </row>
    <row r="65" spans="1:1" ht="15">
      <c r="A65" s="73"/>
    </row>
    <row r="66" spans="1:1" ht="15">
      <c r="A66" s="73"/>
    </row>
    <row r="67" spans="1:1" ht="15">
      <c r="A67" s="73"/>
    </row>
    <row r="68" spans="1:1" ht="15">
      <c r="A68" s="73"/>
    </row>
    <row r="69" spans="1:1" ht="15">
      <c r="A69" s="73"/>
    </row>
    <row r="70" spans="1:1" ht="15">
      <c r="A70" s="73"/>
    </row>
    <row r="71" spans="1:1" ht="15">
      <c r="A71" s="73"/>
    </row>
    <row r="72" spans="1:1" ht="15">
      <c r="A72" s="73"/>
    </row>
    <row r="73" spans="1:1" ht="15">
      <c r="A73" s="73"/>
    </row>
    <row r="74" spans="1:1" ht="15">
      <c r="A74" s="73"/>
    </row>
    <row r="75" spans="1:1" ht="15">
      <c r="A75" s="73"/>
    </row>
    <row r="76" spans="1:1" ht="15">
      <c r="A76" s="73"/>
    </row>
    <row r="77" spans="1:1" ht="15">
      <c r="A77" s="73"/>
    </row>
    <row r="78" spans="1:1" ht="15">
      <c r="A78" s="73"/>
    </row>
    <row r="79" spans="1:1" ht="15">
      <c r="A79" s="73"/>
    </row>
    <row r="80" spans="1:1" ht="15">
      <c r="A80" s="73"/>
    </row>
    <row r="81" spans="1:1" ht="15">
      <c r="A81" s="73"/>
    </row>
    <row r="82" spans="1:1" ht="15">
      <c r="A82" s="73"/>
    </row>
    <row r="83" spans="1:1" ht="15">
      <c r="A83" s="73"/>
    </row>
    <row r="84" spans="1:1" ht="15">
      <c r="A84" s="73"/>
    </row>
    <row r="85" spans="1:1" ht="15">
      <c r="A85" s="73"/>
    </row>
    <row r="86" spans="1:1" ht="15">
      <c r="A86" s="73"/>
    </row>
    <row r="87" spans="1:1" ht="15">
      <c r="A87" s="73"/>
    </row>
    <row r="88" spans="1:1" ht="15">
      <c r="A88" s="73"/>
    </row>
    <row r="89" spans="1:1" ht="15">
      <c r="A89" s="73"/>
    </row>
    <row r="90" spans="1:1" ht="15">
      <c r="A90" s="73"/>
    </row>
    <row r="91" spans="1:1" ht="15">
      <c r="A91" s="73"/>
    </row>
    <row r="92" spans="1:1" ht="15">
      <c r="A92" s="73"/>
    </row>
    <row r="93" spans="1:1" ht="15">
      <c r="A93" s="73"/>
    </row>
    <row r="94" spans="1:1" ht="15">
      <c r="A94" s="73"/>
    </row>
    <row r="95" spans="1:1" ht="15">
      <c r="A95" s="73"/>
    </row>
    <row r="96" spans="1:1" ht="15">
      <c r="A96" s="73"/>
    </row>
    <row r="97" spans="1:1" ht="15">
      <c r="A97" s="73"/>
    </row>
    <row r="98" spans="1:1" ht="15">
      <c r="A98" s="73"/>
    </row>
    <row r="99" spans="1:1" ht="15">
      <c r="A99" s="73"/>
    </row>
    <row r="100" spans="1:1" ht="15">
      <c r="A100" s="73"/>
    </row>
    <row r="101" spans="1:1" ht="15">
      <c r="A101" s="73"/>
    </row>
    <row r="102" spans="1:1" ht="15">
      <c r="A102" s="73"/>
    </row>
    <row r="103" spans="1:1" ht="15">
      <c r="A103" s="73"/>
    </row>
    <row r="104" spans="1:1" ht="15">
      <c r="A104" s="73"/>
    </row>
    <row r="105" spans="1:1" ht="15">
      <c r="A105" s="73"/>
    </row>
    <row r="106" spans="1:1" ht="15">
      <c r="A106" s="73"/>
    </row>
    <row r="107" spans="1:1" ht="15">
      <c r="A107" s="73"/>
    </row>
    <row r="108" spans="1:1" ht="15">
      <c r="A108" s="73"/>
    </row>
    <row r="109" spans="1:1" ht="15">
      <c r="A109" s="73"/>
    </row>
    <row r="110" spans="1:1" ht="15">
      <c r="A110" s="73"/>
    </row>
    <row r="111" spans="1:1" ht="15">
      <c r="A111" s="73"/>
    </row>
    <row r="112" spans="1:1" ht="15">
      <c r="A112" s="73"/>
    </row>
    <row r="113" spans="1:1" ht="15">
      <c r="A113" s="73"/>
    </row>
    <row r="114" spans="1:1" ht="15">
      <c r="A114" s="73"/>
    </row>
    <row r="115" spans="1:1" ht="15">
      <c r="A115" s="73"/>
    </row>
    <row r="116" spans="1:1" ht="15">
      <c r="A116" s="73"/>
    </row>
    <row r="117" spans="1:1" ht="15">
      <c r="A117" s="73"/>
    </row>
    <row r="118" spans="1:1" ht="15">
      <c r="A118" s="73"/>
    </row>
    <row r="119" spans="1:1" ht="15">
      <c r="A119" s="73"/>
    </row>
    <row r="120" spans="1:1" ht="15">
      <c r="A120" s="73"/>
    </row>
    <row r="121" spans="1:1" ht="15">
      <c r="A121" s="73"/>
    </row>
    <row r="122" spans="1:1" ht="15">
      <c r="A122" s="73"/>
    </row>
    <row r="123" spans="1:1" ht="15">
      <c r="A123" s="73"/>
    </row>
    <row r="124" spans="1:1" ht="15">
      <c r="A124" s="73"/>
    </row>
    <row r="125" spans="1:1" ht="15">
      <c r="A125" s="73"/>
    </row>
    <row r="126" spans="1:1" ht="15">
      <c r="A126" s="73"/>
    </row>
    <row r="127" spans="1:1" ht="15">
      <c r="A127" s="73"/>
    </row>
    <row r="128" spans="1:1" ht="15">
      <c r="A128" s="73"/>
    </row>
    <row r="129" spans="1:1" ht="15">
      <c r="A129" s="73"/>
    </row>
    <row r="130" spans="1:1" ht="15">
      <c r="A130" s="73"/>
    </row>
    <row r="131" spans="1:1" ht="15">
      <c r="A131" s="73"/>
    </row>
    <row r="132" spans="1:1" ht="15">
      <c r="A132" s="73"/>
    </row>
    <row r="133" spans="1:1" ht="15">
      <c r="A133" s="73"/>
    </row>
    <row r="134" spans="1:1" ht="15">
      <c r="A134" s="73"/>
    </row>
    <row r="135" spans="1:1" ht="15">
      <c r="A135" s="73"/>
    </row>
    <row r="136" spans="1:1" ht="15">
      <c r="A136" s="73"/>
    </row>
    <row r="137" spans="1:1" ht="15">
      <c r="A137" s="73"/>
    </row>
    <row r="138" spans="1:1" ht="15">
      <c r="A138" s="73"/>
    </row>
    <row r="139" spans="1:1" ht="15">
      <c r="A139" s="73"/>
    </row>
    <row r="140" spans="1:1" ht="15">
      <c r="A140" s="73"/>
    </row>
    <row r="141" spans="1:1" ht="15">
      <c r="A141" s="73"/>
    </row>
    <row r="142" spans="1:1" ht="15">
      <c r="A142" s="73"/>
    </row>
    <row r="143" spans="1:1" ht="15">
      <c r="A143" s="73"/>
    </row>
    <row r="144" spans="1:1" ht="15">
      <c r="A144" s="73"/>
    </row>
    <row r="145" spans="1:1" ht="15">
      <c r="A145" s="73"/>
    </row>
    <row r="146" spans="1:1" ht="15">
      <c r="A146" s="73"/>
    </row>
    <row r="147" spans="1:1" ht="15">
      <c r="A147" s="73"/>
    </row>
    <row r="148" spans="1:1" ht="15">
      <c r="A148" s="73"/>
    </row>
    <row r="149" spans="1:1" ht="15">
      <c r="A149" s="73"/>
    </row>
    <row r="150" spans="1:1" ht="15">
      <c r="A150" s="73"/>
    </row>
    <row r="151" spans="1:1" ht="15">
      <c r="A151" s="73"/>
    </row>
    <row r="152" spans="1:1" ht="15">
      <c r="A152" s="73"/>
    </row>
    <row r="153" spans="1:1" ht="15">
      <c r="A153" s="73"/>
    </row>
    <row r="154" spans="1:1" ht="15">
      <c r="A154" s="73"/>
    </row>
    <row r="155" spans="1:1" ht="15">
      <c r="A155" s="73"/>
    </row>
    <row r="156" spans="1:1" ht="15">
      <c r="A156" s="73"/>
    </row>
    <row r="157" spans="1:1" ht="15">
      <c r="A157" s="73"/>
    </row>
    <row r="158" spans="1:1" ht="15">
      <c r="A158" s="73"/>
    </row>
    <row r="159" spans="1:1" ht="15">
      <c r="A159" s="73"/>
    </row>
    <row r="160" spans="1:1" ht="15">
      <c r="A160" s="73"/>
    </row>
    <row r="161" spans="1:1" ht="15">
      <c r="A161" s="73"/>
    </row>
    <row r="162" spans="1:1" ht="15">
      <c r="A162" s="73"/>
    </row>
    <row r="163" spans="1:1" ht="15">
      <c r="A163" s="73"/>
    </row>
    <row r="164" spans="1:1" ht="15">
      <c r="A164" s="73"/>
    </row>
    <row r="165" spans="1:1" ht="15">
      <c r="A165" s="73"/>
    </row>
    <row r="166" spans="1:1" ht="15">
      <c r="A166" s="73"/>
    </row>
    <row r="167" spans="1:1" ht="15">
      <c r="A167" s="73"/>
    </row>
    <row r="168" spans="1:1" ht="15">
      <c r="A168" s="73"/>
    </row>
    <row r="169" spans="1:1" ht="15">
      <c r="A169" s="73"/>
    </row>
    <row r="170" spans="1:1" ht="15">
      <c r="A170" s="73"/>
    </row>
    <row r="171" spans="1:1" ht="15">
      <c r="A171" s="73"/>
    </row>
    <row r="172" spans="1:1" ht="15">
      <c r="A172" s="73"/>
    </row>
    <row r="173" spans="1:1" ht="15">
      <c r="A173" s="73"/>
    </row>
    <row r="174" spans="1:1" ht="15">
      <c r="A174" s="73"/>
    </row>
    <row r="175" spans="1:1" ht="15">
      <c r="A175" s="73"/>
    </row>
    <row r="176" spans="1:1" ht="15">
      <c r="A176" s="73"/>
    </row>
    <row r="177" spans="1:1" ht="15">
      <c r="A177" s="73"/>
    </row>
    <row r="178" spans="1:1" ht="15">
      <c r="A178" s="73"/>
    </row>
    <row r="179" spans="1:1" ht="15">
      <c r="A179" s="73"/>
    </row>
    <row r="180" spans="1:1" ht="15">
      <c r="A180" s="73"/>
    </row>
    <row r="181" spans="1:1" ht="15">
      <c r="A181" s="73"/>
    </row>
    <row r="182" spans="1:1" ht="15">
      <c r="A182" s="73"/>
    </row>
    <row r="183" spans="1:1" ht="15">
      <c r="A183" s="73"/>
    </row>
    <row r="184" spans="1:1" ht="15">
      <c r="A184" s="73"/>
    </row>
  </sheetData>
  <sheetProtection password="EE46" sheet="1" objects="1" scenarios="1"/>
  <mergeCells count="4">
    <mergeCell ref="B17:P17"/>
    <mergeCell ref="A16:P16"/>
    <mergeCell ref="B18:C18"/>
    <mergeCell ref="D18:E18"/>
  </mergeCells>
  <dataValidations count="1">
    <dataValidation type="list" allowBlank="1" showInputMessage="1" showErrorMessage="1" sqref="B6" xr:uid="{00000000-0002-0000-0500-000000000000}">
      <formula1>$H$10:$H$15</formula1>
    </dataValidation>
  </dataValidations>
  <hyperlinks>
    <hyperlink ref="B18" r:id="rId1" xr:uid="{00000000-0004-0000-0500-000000000000}"/>
    <hyperlink ref="D18" r:id="rId2" xr:uid="{00000000-0004-0000-0500-000001000000}"/>
    <hyperlink ref="A16" r:id="rId3" xr:uid="{00000000-0004-0000-0500-000002000000}"/>
    <hyperlink ref="B16" r:id="rId4" display="http://creativecommons.org/licenses/by-sa/4.0/" xr:uid="{00000000-0004-0000-0500-000003000000}"/>
    <hyperlink ref="C16" r:id="rId5" display="http://creativecommons.org/licenses/by-sa/4.0/" xr:uid="{00000000-0004-0000-0500-000004000000}"/>
    <hyperlink ref="D16" r:id="rId6" display="http://creativecommons.org/licenses/by-sa/4.0/" xr:uid="{00000000-0004-0000-0500-000005000000}"/>
    <hyperlink ref="E16" r:id="rId7" display="http://creativecommons.org/licenses/by-sa/4.0/" xr:uid="{00000000-0004-0000-0500-000006000000}"/>
    <hyperlink ref="F16" r:id="rId8" display="http://creativecommons.org/licenses/by-sa/4.0/" xr:uid="{00000000-0004-0000-0500-000007000000}"/>
    <hyperlink ref="G16" r:id="rId9" display="http://creativecommons.org/licenses/by-sa/4.0/" xr:uid="{00000000-0004-0000-0500-000008000000}"/>
    <hyperlink ref="H16" r:id="rId10" display="http://creativecommons.org/licenses/by-sa/4.0/" xr:uid="{00000000-0004-0000-0500-000009000000}"/>
    <hyperlink ref="I16" r:id="rId11" display="http://creativecommons.org/licenses/by-sa/4.0/" xr:uid="{00000000-0004-0000-0500-00000A000000}"/>
    <hyperlink ref="J16" r:id="rId12" display="http://creativecommons.org/licenses/by-sa/4.0/" xr:uid="{00000000-0004-0000-0500-00000B000000}"/>
    <hyperlink ref="K16" r:id="rId13" display="http://creativecommons.org/licenses/by-sa/4.0/" xr:uid="{00000000-0004-0000-0500-00000C000000}"/>
    <hyperlink ref="L16" r:id="rId14" display="http://creativecommons.org/licenses/by-sa/4.0/" xr:uid="{00000000-0004-0000-0500-00000D000000}"/>
    <hyperlink ref="M16" r:id="rId15" display="http://creativecommons.org/licenses/by-sa/4.0/" xr:uid="{00000000-0004-0000-0500-00000E000000}"/>
    <hyperlink ref="N16" r:id="rId16" display="http://creativecommons.org/licenses/by-sa/4.0/" xr:uid="{00000000-0004-0000-0500-00000F000000}"/>
    <hyperlink ref="O16" r:id="rId17" display="http://creativecommons.org/licenses/by-sa/4.0/" xr:uid="{00000000-0004-0000-0500-000010000000}"/>
    <hyperlink ref="P16" r:id="rId18" display="http://creativecommons.org/licenses/by-sa/4.0/" xr:uid="{00000000-0004-0000-0500-000011000000}"/>
  </hyperlinks>
  <pageMargins left="0.7" right="0.7" top="0.75" bottom="0.75" header="0.3" footer="0.3"/>
  <pageSetup paperSize="9" orientation="portrait" horizontalDpi="0" verticalDpi="0"/>
  <drawing r:id="rId1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499984740745262"/>
  </sheetPr>
  <dimension ref="A1:AB187"/>
  <sheetViews>
    <sheetView topLeftCell="E1" zoomScale="80" zoomScaleNormal="80" zoomScalePageLayoutView="80" workbookViewId="0">
      <selection activeCell="P27" sqref="P27"/>
    </sheetView>
  </sheetViews>
  <sheetFormatPr defaultColWidth="8.85546875" defaultRowHeight="15"/>
  <cols>
    <col min="1" max="1" width="12.28515625" style="3" bestFit="1" customWidth="1"/>
    <col min="2" max="2" width="15.85546875" style="2" bestFit="1" customWidth="1"/>
    <col min="3" max="4" width="15.85546875" style="2" customWidth="1"/>
    <col min="5" max="5" width="11" style="1" bestFit="1" customWidth="1"/>
    <col min="6" max="6" width="9.42578125" bestFit="1" customWidth="1"/>
    <col min="7" max="7" width="13.7109375" style="1" bestFit="1" customWidth="1"/>
    <col min="8" max="8" width="13.7109375" style="1" customWidth="1"/>
    <col min="9" max="9" width="8.7109375" style="1" bestFit="1" customWidth="1"/>
    <col min="10" max="10" width="12.42578125" style="1" bestFit="1" customWidth="1"/>
    <col min="11" max="11" width="14.42578125" style="1" bestFit="1" customWidth="1"/>
    <col min="12" max="12" width="14.140625" style="1" bestFit="1" customWidth="1"/>
    <col min="13" max="17" width="13" style="1" bestFit="1" customWidth="1"/>
    <col min="18" max="19" width="13" style="1" customWidth="1"/>
    <col min="20" max="20" width="13" style="1" bestFit="1" customWidth="1"/>
    <col min="21" max="22" width="13" style="1" customWidth="1"/>
    <col min="23" max="23" width="13" style="1" bestFit="1" customWidth="1"/>
    <col min="24" max="27" width="8.85546875" style="1"/>
    <col min="28" max="28" width="10.7109375" style="66" bestFit="1" customWidth="1"/>
    <col min="29" max="16384" width="8.85546875" style="1"/>
  </cols>
  <sheetData>
    <row r="1" spans="1:28">
      <c r="A1" s="9" t="s">
        <v>59</v>
      </c>
      <c r="B1" s="9" t="s">
        <v>1</v>
      </c>
      <c r="C1" s="10" t="s">
        <v>4</v>
      </c>
      <c r="D1" s="10" t="s">
        <v>51</v>
      </c>
      <c r="E1" s="10" t="s">
        <v>50</v>
      </c>
      <c r="F1" s="10" t="s">
        <v>18</v>
      </c>
      <c r="G1" s="10" t="s">
        <v>44</v>
      </c>
      <c r="H1" s="10" t="s">
        <v>20</v>
      </c>
      <c r="I1" s="10" t="s">
        <v>48</v>
      </c>
      <c r="J1" s="10" t="s">
        <v>47</v>
      </c>
      <c r="K1" s="10" t="s">
        <v>19</v>
      </c>
      <c r="L1" s="10" t="s">
        <v>174</v>
      </c>
      <c r="M1" s="10" t="s">
        <v>0</v>
      </c>
      <c r="N1" s="10" t="s">
        <v>25</v>
      </c>
      <c r="O1" s="10" t="s">
        <v>17</v>
      </c>
      <c r="P1" s="10" t="s">
        <v>26</v>
      </c>
      <c r="Q1" s="10" t="s">
        <v>2</v>
      </c>
      <c r="R1" s="10" t="s">
        <v>173</v>
      </c>
      <c r="S1" s="10" t="s">
        <v>176</v>
      </c>
      <c r="T1" s="10" t="s">
        <v>27</v>
      </c>
      <c r="U1" s="10" t="s">
        <v>22</v>
      </c>
      <c r="V1" s="10" t="s">
        <v>175</v>
      </c>
      <c r="W1" s="10" t="s">
        <v>69</v>
      </c>
      <c r="X1" s="10" t="s">
        <v>11</v>
      </c>
      <c r="Y1" s="10" t="s">
        <v>29</v>
      </c>
      <c r="Z1" s="10" t="s">
        <v>30</v>
      </c>
      <c r="AA1" s="10" t="s">
        <v>28</v>
      </c>
      <c r="AB1" s="12" t="s">
        <v>75</v>
      </c>
    </row>
    <row r="2" spans="1:28">
      <c r="A2" s="8">
        <f>CFDTable[[#This Row],[Date]]</f>
        <v>42408</v>
      </c>
      <c r="B2" s="9">
        <f>Data!B2</f>
        <v>42408</v>
      </c>
      <c r="C2" s="10" t="e">
        <f>IF(ISNUMBER(CFDTable[[#This Row],[Ready]]),NA(),CFDTable[[#This Row],[Target]]-CFDTable[[#This Row],[To Do]])</f>
        <v>#N/A</v>
      </c>
      <c r="D2" s="10" t="e">
        <f>IF(CFDTable[[#This Row],[Emergence]]&gt;0,CFDTable[[#This Row],[Future Work]]-CFDTable[[#This Row],[Emergence]],NA())</f>
        <v>#N/A</v>
      </c>
      <c r="E2" s="10">
        <f>Data!C2</f>
        <v>0</v>
      </c>
      <c r="F2" s="10">
        <f ca="1">Data!D2</f>
        <v>2</v>
      </c>
      <c r="G2" s="10">
        <f>Data!E2</f>
        <v>0</v>
      </c>
      <c r="H2" s="10">
        <f ca="1">IF(TodaysDate&gt;=$B2,Data!F2,NA())</f>
        <v>3</v>
      </c>
      <c r="I2" s="10">
        <f ca="1">IF(TodaysDate&gt;=$B2,Data!G2,NA())</f>
        <v>0</v>
      </c>
      <c r="J2" s="10">
        <f ca="1">IF(TodaysDate&gt;=$B2,Data!H2,NA())</f>
        <v>0</v>
      </c>
      <c r="K2" s="10">
        <f ca="1">IF(TodaysDate&gt;=$B2,Data!I2,NA())</f>
        <v>0</v>
      </c>
      <c r="L2" s="10">
        <v>0</v>
      </c>
      <c r="M2" s="10">
        <f>CFDTable[[#This Row],[Median Prediction]]</f>
        <v>0</v>
      </c>
      <c r="N2" s="10">
        <v>0</v>
      </c>
      <c r="O2" s="10">
        <f>CFDTable[[#This Row],[Median Prediction]]</f>
        <v>0</v>
      </c>
      <c r="P2" s="10">
        <f ca="1">CFDTable[[#This Row],[AvgDaily]]-CFDTable[[#This Row],[Deviation]]</f>
        <v>0</v>
      </c>
      <c r="Q2" s="10">
        <v>0</v>
      </c>
      <c r="R2" s="10">
        <v>0</v>
      </c>
      <c r="S2" s="10">
        <v>0</v>
      </c>
      <c r="T2" s="10">
        <f ca="1">CFDTable[[#This Row],[AvgDaily]]+CFDTable[[#This Row],[Deviation]]</f>
        <v>0</v>
      </c>
      <c r="U2" s="10">
        <f ca="1">IF(ISNUMBER(L2),((_xlfn.PERCENTILE.INC(IF(ISNUMBER(OFFSET(Q2,-Historic,0)),OFFSET(Q2,-Historic,0),Q$2):Q2,PercentileHigh/100))-(MEDIAN(IF(ISNUMBER(OFFSET(Q2,-Historic,0)),OFFSET(Q2,-Historic,0),Q$2):Q2))),U1)</f>
        <v>0</v>
      </c>
      <c r="V2" s="10">
        <f>IF(ISNUMBER(L2),((_xlfn.PERCENTILE.INC(Q$2:Q2,PercentileHigh/100))-(MEDIAN(Q$2:Q2))),U1)</f>
        <v>0</v>
      </c>
      <c r="W2" s="10">
        <f ca="1">IF(ISNUMBER(CFDTable[[#This Row],[Done Today]]),SUM($F2:$K2),$W1)</f>
        <v>5</v>
      </c>
      <c r="X2" s="10">
        <f ca="1">IF(ISNUMBER(CFDTable[[#This Row],[Done Today]]),SUM($F2:$K2),$X1)</f>
        <v>5</v>
      </c>
      <c r="Y2" s="10"/>
      <c r="Z2" s="10"/>
      <c r="AA2" s="10"/>
      <c r="AB2" s="12">
        <f>IF(CFDTable[[#This Row],[Date]]=DeadlineDate,CFDTable[Future Work],0)</f>
        <v>0</v>
      </c>
    </row>
    <row r="3" spans="1:28">
      <c r="A3" s="8">
        <f>CFDTable[[#This Row],[Date]]</f>
        <v>42409</v>
      </c>
      <c r="B3" s="9">
        <f>Data!B3</f>
        <v>42409</v>
      </c>
      <c r="C3" s="10" t="e">
        <f ca="1">IF(ISNUMBER(CFDTable[[#This Row],[Ready]]),NA(),CFDTable[[#This Row],[Target]]-CFDTable[[#This Row],[To Do]])</f>
        <v>#N/A</v>
      </c>
      <c r="D3" s="10" t="e">
        <f>IF(CFDTable[[#This Row],[Emergence]]&gt;0,CFDTable[[#This Row],[Future Work]]-CFDTable[[#This Row],[Emergence]],NA())</f>
        <v>#N/A</v>
      </c>
      <c r="E3" s="10">
        <f>Data!C3</f>
        <v>0</v>
      </c>
      <c r="F3" s="10">
        <f ca="1">Data!D3</f>
        <v>2</v>
      </c>
      <c r="G3" s="10">
        <f ca="1">IF(TodaysDate&gt;=$B3,Data!E3,NA())</f>
        <v>0</v>
      </c>
      <c r="H3" s="10">
        <f ca="1">IF(TodaysDate&gt;=$B3,Data!F3,NA())</f>
        <v>1</v>
      </c>
      <c r="I3" s="10">
        <f ca="1">IF(TodaysDate&gt;=$B3,Data!G3,NA())</f>
        <v>0</v>
      </c>
      <c r="J3" s="10">
        <f ca="1">IF(TodaysDate&gt;=$B3,Data!H3,NA())</f>
        <v>0</v>
      </c>
      <c r="K3" s="10">
        <f ca="1">IF(TodaysDate&gt;=$B3,Data!I3,NA())</f>
        <v>2</v>
      </c>
      <c r="L3" s="10">
        <f ca="1">IF(CFDTable[[#This Row],[Done]]&gt;0,(CFDTable[[#This Row],[Done]])-(K2),0)</f>
        <v>2</v>
      </c>
      <c r="M3" s="10">
        <f ca="1">IF(ISNUMBER($L3),SUM(CFDTable[[#This Row],[Done]]),IF(CFDTable[[#This Row],[lookupLow]]&gt;=CFDTable[[#This Row],[Target]]+CFDTable[[#This Row],[lowDaily]],NA(),CFDTable[[#This Row],[lookupLow]]))</f>
        <v>2</v>
      </c>
      <c r="N3" s="10">
        <f ca="1">IF(ISNUMBER($L3),SUM(CFDTable[[#This Row],[Done]]),IF(CFDTable[[#This Row],[lookupMedian]]&gt;=$X3+Q3,NA(),CFDTable[[#This Row],[lookupMedian]]))</f>
        <v>2</v>
      </c>
      <c r="O3" s="10">
        <f ca="1">IF(ISNUMBER(CFDTable[[#This Row],[Done Today]]),SUM(CFDTable[[#This Row],[Done]]),IF(CFDTable[[#This Row],[lookupHigh]]&gt;=CFDTable[[#This Row],[Target]]+CFDTable[[#This Row],[highDaily]],NA(),CFDTable[[#This Row],[lookupHigh]]))</f>
        <v>2</v>
      </c>
      <c r="P3" s="10">
        <f ca="1">CFDTable[[#This Row],[AvgDaily]]-CFDTable[[#This Row],[Deviation]]</f>
        <v>0.64999999999999991</v>
      </c>
      <c r="Q3" s="10">
        <f ca="1">AVERAGE(IF(ISNUMBER(L3),IF(ISNUMBER(OFFSET(L3,-Historic,0)),OFFSET(L3,-Historic,0),L$2):L3,Q2))</f>
        <v>1</v>
      </c>
      <c r="R3" s="10">
        <f ca="1">AVERAGE(IF(ISNUMBER(L3),IF(ISNUMBER(OFFSET(L3,-Historic,0)),OFFSET(L3,-Historic,0),L$2):L3,R2))</f>
        <v>1</v>
      </c>
      <c r="S3" s="10">
        <f ca="1">AVERAGE(IF(ISNUMBER(L3),L$2:L3,S2))</f>
        <v>1</v>
      </c>
      <c r="T3" s="10">
        <f ca="1">CFDTable[[#This Row],[AvgDaily]]+CFDTable[[#This Row],[Deviation]]</f>
        <v>1.35</v>
      </c>
      <c r="U3" s="10">
        <f ca="1">IF(ISNUMBER(L3),((_xlfn.PERCENTILE.INC(IF(ISNUMBER(OFFSET(Q3,-Historic,0)),OFFSET(Q3,-Historic,0),Q$2):Q3,PercentileHigh/100))-(MEDIAN(IF(ISNUMBER(OFFSET(Q3,-Historic,0)),OFFSET(Q3,-Historic,0),Q$2):Q3))),U2)</f>
        <v>0.35000000000000009</v>
      </c>
      <c r="V3" s="10">
        <f ca="1">IF(ISNUMBER(L3),((_xlfn.PERCENTILE.INC(Q$2:Q3,PercentileHigh/100))-(MEDIAN(Q$2:Q3))),U2)</f>
        <v>0.35000000000000009</v>
      </c>
      <c r="W3" s="10">
        <f ca="1">IF(ISNUMBER(CFDTable[[#This Row],[Done Today]]),SUM($F3:$K3),$W2)</f>
        <v>5</v>
      </c>
      <c r="X3" s="10">
        <f ca="1">IF(ISNUMBER(CFDTable[[#This Row],[Done Today]]),SUM($F3:$K3),$X2)</f>
        <v>5</v>
      </c>
      <c r="Y3" s="10">
        <f ca="1">SUM(LOOKUP(2,1/(M$1:M2&lt;&gt;""),M$1:M2)+CFDTable[[#This Row],[lowDaily]])</f>
        <v>0.64999999999999991</v>
      </c>
      <c r="Z3" s="10">
        <f ca="1">SUM(LOOKUP(2,1/(N$1:N2&lt;&gt;""),N$1:N2)+Q3)</f>
        <v>1</v>
      </c>
      <c r="AA3" s="10">
        <f ca="1">SUM(LOOKUP(2,1/(O$1:O2&lt;&gt;""),O$1:O2)+CFDTable[[#This Row],[highDaily]])</f>
        <v>1.35</v>
      </c>
      <c r="AB3" s="12">
        <f>IF(CFDTable[[#This Row],[Date]]=DeadlineDate,CFDTable[Future Work],0)</f>
        <v>0</v>
      </c>
    </row>
    <row r="4" spans="1:28">
      <c r="A4" s="8">
        <f>CFDTable[[#This Row],[Date]]</f>
        <v>42410</v>
      </c>
      <c r="B4" s="9">
        <f>Data!B4</f>
        <v>42410</v>
      </c>
      <c r="C4" s="10" t="e">
        <f ca="1">IF(ISNUMBER(CFDTable[[#This Row],[Ready]]),NA(),CFDTable[[#This Row],[Target]]-CFDTable[[#This Row],[To Do]])</f>
        <v>#N/A</v>
      </c>
      <c r="D4" s="10" t="e">
        <f>IF(CFDTable[[#This Row],[Emergence]]&gt;0,CFDTable[[#This Row],[Future Work]]-CFDTable[[#This Row],[Emergence]],NA())</f>
        <v>#N/A</v>
      </c>
      <c r="E4" s="10">
        <f>Data!C4</f>
        <v>0</v>
      </c>
      <c r="F4" s="10">
        <f ca="1">Data!D4</f>
        <v>0</v>
      </c>
      <c r="G4" s="10">
        <f ca="1">IF(TodaysDate&gt;=$B4,Data!E4,NA())</f>
        <v>0</v>
      </c>
      <c r="H4" s="10">
        <f ca="1">IF(TodaysDate&gt;=$B4,Data!F4,NA())</f>
        <v>3</v>
      </c>
      <c r="I4" s="10">
        <f ca="1">IF(TodaysDate&gt;=$B4,Data!G4,NA())</f>
        <v>0</v>
      </c>
      <c r="J4" s="10">
        <f ca="1">IF(TodaysDate&gt;=$B4,Data!H4,NA())</f>
        <v>0</v>
      </c>
      <c r="K4" s="10">
        <f ca="1">IF(TodaysDate&gt;=$B4,Data!I4,NA())</f>
        <v>2</v>
      </c>
      <c r="L4" s="10">
        <f ca="1">IF(CFDTable[[#This Row],[Done]]&gt;0,(CFDTable[[#This Row],[Done]])-(K3),0)</f>
        <v>0</v>
      </c>
      <c r="M4" s="10">
        <f ca="1">IF(ISNUMBER($L4),SUM(CFDTable[[#This Row],[Done]]),IF(CFDTable[[#This Row],[lookupLow]]&gt;=CFDTable[[#This Row],[Target]]+CFDTable[[#This Row],[lowDaily]],NA(),CFDTable[[#This Row],[lookupLow]]))</f>
        <v>2</v>
      </c>
      <c r="N4" s="10">
        <f ca="1">IF(ISNUMBER($L4),SUM(CFDTable[[#This Row],[Done]]),IF(CFDTable[[#This Row],[lookupMedian]]&gt;=$X4+Q4,NA(),CFDTable[[#This Row],[lookupMedian]]))</f>
        <v>2</v>
      </c>
      <c r="O4" s="10">
        <f ca="1">IF(ISNUMBER(CFDTable[[#This Row],[Done Today]]),SUM(CFDTable[[#This Row],[Done]]),IF(CFDTable[[#This Row],[lookupHigh]]&gt;=CFDTable[[#This Row],[Target]]+CFDTable[[#This Row],[highDaily]],NA(),CFDTable[[#This Row],[lookupHigh]]))</f>
        <v>2</v>
      </c>
      <c r="P4" s="10">
        <f ca="1">CFDTable[[#This Row],[AvgDaily]]-CFDTable[[#This Row],[Deviation]]</f>
        <v>0.43333333333333324</v>
      </c>
      <c r="Q4" s="10">
        <f ca="1">AVERAGE(IF(ISNUMBER(L4),IF(ISNUMBER(OFFSET(L4,-Historic,0)),OFFSET(L4,-Historic,0),L$2):L4,Q3))</f>
        <v>0.66666666666666663</v>
      </c>
      <c r="R4" s="10">
        <f ca="1">AVERAGE(IF(ISNUMBER(L4),IF(ISNUMBER(OFFSET(L4,-Historic,0)),OFFSET(L4,-Historic,0),L$2):L4,R3))</f>
        <v>0.66666666666666663</v>
      </c>
      <c r="S4" s="10">
        <f ca="1">AVERAGE(IF(ISNUMBER(L4),OFFSET(L$2,DaysToIgnoreOnAvg,0):L4,S3))</f>
        <v>0</v>
      </c>
      <c r="T4" s="10">
        <f ca="1">CFDTable[[#This Row],[AvgDaily]]+CFDTable[[#This Row],[Deviation]]</f>
        <v>0.9</v>
      </c>
      <c r="U4" s="10">
        <f ca="1">IF(ISNUMBER(L4),((_xlfn.PERCENTILE.INC(IF(ISNUMBER(OFFSET(Q4,-Historic,0)),OFFSET(Q4,-Historic,0),Q$2):Q4,PercentileHigh/100))-(MEDIAN(IF(ISNUMBER(OFFSET(Q4,-Historic,0)),OFFSET(Q4,-Historic,0),Q$2):Q4))),U3)</f>
        <v>0.23333333333333339</v>
      </c>
      <c r="V4" s="10">
        <f ca="1">IF(ISNUMBER(L4),((_xlfn.PERCENTILE.INC(Q$2:Q4,PercentileHigh/100))-(MEDIAN(Q$2:Q4))),U3)</f>
        <v>0.23333333333333339</v>
      </c>
      <c r="W4" s="10">
        <f ca="1">IF(ISNUMBER(CFDTable[[#This Row],[Done Today]]),SUM($F4:$K4),$W3)</f>
        <v>5</v>
      </c>
      <c r="X4" s="10">
        <f ca="1">IF(ISNUMBER(CFDTable[[#This Row],[Done Today]]),SUM($F4:$K4),$X3)</f>
        <v>5</v>
      </c>
      <c r="Y4" s="10">
        <f ca="1">SUM(LOOKUP(2,1/(M$1:M3&lt;&gt;""),M$1:M3)+CFDTable[[#This Row],[lowDaily]])</f>
        <v>2.4333333333333331</v>
      </c>
      <c r="Z4" s="10">
        <f ca="1">SUM(LOOKUP(2,1/(N$1:N3&lt;&gt;""),N$1:N3)+Q4)</f>
        <v>2.6666666666666665</v>
      </c>
      <c r="AA4" s="10">
        <f ca="1">SUM(LOOKUP(2,1/(O$1:O3&lt;&gt;""),O$1:O3)+CFDTable[[#This Row],[highDaily]])</f>
        <v>2.9</v>
      </c>
      <c r="AB4" s="12">
        <f>IF(CFDTable[[#This Row],[Date]]=DeadlineDate,CFDTable[Future Work],0)</f>
        <v>0</v>
      </c>
    </row>
    <row r="5" spans="1:28">
      <c r="A5" s="8">
        <f>CFDTable[[#This Row],[Date]]</f>
        <v>42411</v>
      </c>
      <c r="B5" s="9">
        <f>Data!B5</f>
        <v>42411</v>
      </c>
      <c r="C5" s="10" t="e">
        <f ca="1">IF(ISNUMBER(CFDTable[[#This Row],[Ready]]),NA(),CFDTable[[#This Row],[Target]]-CFDTable[[#This Row],[To Do]])</f>
        <v>#N/A</v>
      </c>
      <c r="D5" s="10" t="e">
        <f>IF(CFDTable[[#This Row],[Emergence]]&gt;0,CFDTable[[#This Row],[Future Work]]-CFDTable[[#This Row],[Emergence]],NA())</f>
        <v>#N/A</v>
      </c>
      <c r="E5" s="10">
        <f>Data!C5</f>
        <v>0</v>
      </c>
      <c r="F5" s="10">
        <f ca="1">Data!D5</f>
        <v>0</v>
      </c>
      <c r="G5" s="10">
        <f ca="1">IF(TodaysDate&gt;=$B5,Data!E5,NA())</f>
        <v>0</v>
      </c>
      <c r="H5" s="10">
        <f ca="1">IF(TodaysDate&gt;=$B5,Data!F5,NA())</f>
        <v>3</v>
      </c>
      <c r="I5" s="10">
        <f ca="1">IF(TodaysDate&gt;=$B5,Data!G5,NA())</f>
        <v>0</v>
      </c>
      <c r="J5" s="10">
        <f ca="1">IF(TodaysDate&gt;=$B5,Data!H5,NA())</f>
        <v>0</v>
      </c>
      <c r="K5" s="10">
        <f ca="1">IF(TodaysDate&gt;=$B5,Data!I5,NA())</f>
        <v>2</v>
      </c>
      <c r="L5" s="10">
        <f ca="1">IF(CFDTable[[#This Row],[Done]]&gt;0,(CFDTable[[#This Row],[Done]])-(K4),0)</f>
        <v>0</v>
      </c>
      <c r="M5" s="10">
        <f ca="1">IF(ISNUMBER($L5),SUM(CFDTable[[#This Row],[Done]]),IF(CFDTable[[#This Row],[lookupLow]]&gt;=CFDTable[[#This Row],[Target]]+CFDTable[[#This Row],[lowDaily]],NA(),CFDTable[[#This Row],[lookupLow]]))</f>
        <v>2</v>
      </c>
      <c r="N5" s="10">
        <f ca="1">IF(ISNUMBER($L5),SUM(CFDTable[[#This Row],[Done]]),IF(CFDTable[[#This Row],[lookupMedian]]&gt;=$X5+Q5,NA(),CFDTable[[#This Row],[lookupMedian]]))</f>
        <v>2</v>
      </c>
      <c r="O5" s="10">
        <f ca="1">IF(ISNUMBER(CFDTable[[#This Row],[Done Today]]),SUM(CFDTable[[#This Row],[Done]]),IF(CFDTable[[#This Row],[lookupHigh]]&gt;=CFDTable[[#This Row],[Target]]+CFDTable[[#This Row],[highDaily]],NA(),CFDTable[[#This Row],[lookupHigh]]))</f>
        <v>2</v>
      </c>
      <c r="P5" s="10">
        <f ca="1">CFDTable[[#This Row],[AvgDaily]]-CFDTable[[#This Row],[Deviation]]</f>
        <v>0.23333333333333339</v>
      </c>
      <c r="Q5" s="10">
        <f ca="1">AVERAGE(IF(ISNUMBER(L5),IF(ISNUMBER(OFFSET(L5,-Historic,0)),OFFSET(L5,-Historic,0),L$2):L5,Q4))</f>
        <v>0.5</v>
      </c>
      <c r="R5" s="10">
        <f ca="1">AVERAGE(IF(ISNUMBER(L5),IF(ISNUMBER(OFFSET(L5,-Historic,0)),OFFSET(L5,-Historic,0),L$2):L5,R4))</f>
        <v>0.5</v>
      </c>
      <c r="S5" s="10">
        <f ca="1">AVERAGE(IF(ISNUMBER(L5),OFFSET(L$2,DaysToIgnoreOnAvg,0):L5,S4))</f>
        <v>0</v>
      </c>
      <c r="T5" s="10">
        <f ca="1">CFDTable[[#This Row],[AvgDaily]]+CFDTable[[#This Row],[Deviation]]</f>
        <v>0.76666666666666661</v>
      </c>
      <c r="U5" s="10">
        <f ca="1">IF(ISNUMBER(L5),((_xlfn.PERCENTILE.INC(IF(ISNUMBER(OFFSET(Q5,-Historic,0)),OFFSET(Q5,-Historic,0),Q$2):Q5,PercentileHigh/100))-(MEDIAN(IF(ISNUMBER(OFFSET(Q5,-Historic,0)),OFFSET(Q5,-Historic,0),Q$2):Q5))),U4)</f>
        <v>0.26666666666666661</v>
      </c>
      <c r="V5" s="10">
        <f ca="1">IF(ISNUMBER(L5),((_xlfn.PERCENTILE.INC(Q$2:Q5,PercentileHigh/100))-(MEDIAN(Q$2:Q5))),U4)</f>
        <v>0.26666666666666661</v>
      </c>
      <c r="W5" s="10">
        <f ca="1">IF(ISNUMBER(CFDTable[[#This Row],[Done Today]]),SUM($F5:$K5),$W4)</f>
        <v>5</v>
      </c>
      <c r="X5" s="10">
        <f ca="1">IF(ISNUMBER(CFDTable[[#This Row],[Done Today]]),SUM($F5:$K5),$X4)</f>
        <v>5</v>
      </c>
      <c r="Y5" s="10">
        <f ca="1">SUM(LOOKUP(2,1/(M$1:M4&lt;&gt;""),M$1:M4)+CFDTable[[#This Row],[lowDaily]])</f>
        <v>2.2333333333333334</v>
      </c>
      <c r="Z5" s="10">
        <f ca="1">SUM(LOOKUP(2,1/(N$1:N4&lt;&gt;""),N$1:N4)+Q5)</f>
        <v>2.5</v>
      </c>
      <c r="AA5" s="10">
        <f ca="1">SUM(LOOKUP(2,1/(O$1:O4&lt;&gt;""),O$1:O4)+CFDTable[[#This Row],[highDaily]])</f>
        <v>2.7666666666666666</v>
      </c>
      <c r="AB5" s="12">
        <f>IF(CFDTable[[#This Row],[Date]]=DeadlineDate,CFDTable[Future Work],0)</f>
        <v>0</v>
      </c>
    </row>
    <row r="6" spans="1:28">
      <c r="A6" s="8">
        <f>CFDTable[[#This Row],[Date]]</f>
        <v>42412</v>
      </c>
      <c r="B6" s="9">
        <f>Data!B6</f>
        <v>42412</v>
      </c>
      <c r="C6" s="10" t="e">
        <f ca="1">IF(ISNUMBER(CFDTable[[#This Row],[Ready]]),NA(),CFDTable[[#This Row],[Target]]-CFDTable[[#This Row],[To Do]])</f>
        <v>#N/A</v>
      </c>
      <c r="D6" s="10" t="e">
        <f>IF(CFDTable[[#This Row],[Emergence]]&gt;0,CFDTable[[#This Row],[Future Work]]-CFDTable[[#This Row],[Emergence]],NA())</f>
        <v>#N/A</v>
      </c>
      <c r="E6" s="10">
        <f>Data!C6</f>
        <v>0</v>
      </c>
      <c r="F6" s="10">
        <f ca="1">Data!D6</f>
        <v>0</v>
      </c>
      <c r="G6" s="10">
        <f ca="1">IF(TodaysDate&gt;=$B6,Data!E6,NA())</f>
        <v>0</v>
      </c>
      <c r="H6" s="10">
        <f ca="1">IF(TodaysDate&gt;=$B6,Data!F6,NA())</f>
        <v>3</v>
      </c>
      <c r="I6" s="10">
        <f ca="1">IF(TodaysDate&gt;=$B6,Data!G6,NA())</f>
        <v>0</v>
      </c>
      <c r="J6" s="10">
        <f ca="1">IF(TodaysDate&gt;=$B6,Data!H6,NA())</f>
        <v>0</v>
      </c>
      <c r="K6" s="10">
        <f ca="1">IF(TodaysDate&gt;=$B6,Data!I6,NA())</f>
        <v>2</v>
      </c>
      <c r="L6" s="10">
        <f ca="1">IF(CFDTable[[#This Row],[Done]]&gt;0,(CFDTable[[#This Row],[Done]])-(K5),0)</f>
        <v>0</v>
      </c>
      <c r="M6" s="10">
        <f ca="1">IF(ISNUMBER($L6),SUM(CFDTable[[#This Row],[Done]]),IF(CFDTable[[#This Row],[lookupLow]]&gt;=CFDTable[[#This Row],[Target]]+CFDTable[[#This Row],[lowDaily]],NA(),CFDTable[[#This Row],[lookupLow]]))</f>
        <v>2</v>
      </c>
      <c r="N6" s="10">
        <f ca="1">IF(ISNUMBER($L6),SUM(CFDTable[[#This Row],[Done]]),IF(CFDTable[[#This Row],[lookupMedian]]&gt;=$X6+Q6,NA(),CFDTable[[#This Row],[lookupMedian]]))</f>
        <v>2</v>
      </c>
      <c r="O6" s="10">
        <f ca="1">IF(ISNUMBER(CFDTable[[#This Row],[Done Today]]),SUM(CFDTable[[#This Row],[Done]]),IF(CFDTable[[#This Row],[lookupHigh]]&gt;=CFDTable[[#This Row],[Target]]+CFDTable[[#This Row],[highDaily]],NA(),CFDTable[[#This Row],[lookupHigh]]))</f>
        <v>2</v>
      </c>
      <c r="P6" s="10">
        <f ca="1">CFDTable[[#This Row],[AvgDaily]]-CFDTable[[#This Row],[Deviation]]</f>
        <v>9.9999999999999978E-2</v>
      </c>
      <c r="Q6" s="10">
        <f ca="1">AVERAGE(IF(ISNUMBER(L6),IF(ISNUMBER(OFFSET(L6,-Historic,0)),OFFSET(L6,-Historic,0),L$2):L6,Q5))</f>
        <v>0.4</v>
      </c>
      <c r="R6" s="10">
        <f ca="1">AVERAGE(IF(ISNUMBER(L6),IF(ISNUMBER(OFFSET(L6,-Historic,0)),OFFSET(L6,-Historic,0),L$2):L6,R5))</f>
        <v>0.4</v>
      </c>
      <c r="S6" s="10">
        <f ca="1">AVERAGE(IF(ISNUMBER(L6),OFFSET(L$2,DaysToIgnoreOnAvg,0):L6,S5))</f>
        <v>0</v>
      </c>
      <c r="T6" s="10">
        <f ca="1">CFDTable[[#This Row],[AvgDaily]]+CFDTable[[#This Row],[Deviation]]</f>
        <v>0.70000000000000007</v>
      </c>
      <c r="U6" s="10">
        <f ca="1">IF(ISNUMBER(L6),((_xlfn.PERCENTILE.INC(IF(ISNUMBER(OFFSET(Q6,-Historic,0)),OFFSET(Q6,-Historic,0),Q$2):Q6,PercentileHigh/100))-(MEDIAN(IF(ISNUMBER(OFFSET(Q6,-Historic,0)),OFFSET(Q6,-Historic,0),Q$2):Q6))),U5)</f>
        <v>0.30000000000000004</v>
      </c>
      <c r="V6" s="10">
        <f ca="1">IF(ISNUMBER(L6),((_xlfn.PERCENTILE.INC(Q$2:Q6,PercentileHigh/100))-(MEDIAN(Q$2:Q6))),U5)</f>
        <v>0.30000000000000004</v>
      </c>
      <c r="W6" s="10">
        <f ca="1">IF(ISNUMBER(CFDTable[[#This Row],[Done Today]]),SUM($F6:$K6),$W5)</f>
        <v>5</v>
      </c>
      <c r="X6" s="10">
        <f ca="1">IF(ISNUMBER(CFDTable[[#This Row],[Done Today]]),SUM($F6:$K6),$X5)</f>
        <v>5</v>
      </c>
      <c r="Y6" s="10">
        <f ca="1">SUM(LOOKUP(2,1/(M$1:M5&lt;&gt;""),M$1:M5)+CFDTable[[#This Row],[lowDaily]])</f>
        <v>2.1</v>
      </c>
      <c r="Z6" s="10">
        <f ca="1">SUM(LOOKUP(2,1/(N$1:N5&lt;&gt;""),N$1:N5)+Q6)</f>
        <v>2.4</v>
      </c>
      <c r="AA6" s="10">
        <f ca="1">SUM(LOOKUP(2,1/(O$1:O5&lt;&gt;""),O$1:O5)+CFDTable[[#This Row],[highDaily]])</f>
        <v>2.7</v>
      </c>
      <c r="AB6" s="12">
        <f>IF(CFDTable[[#This Row],[Date]]=DeadlineDate,CFDTable[Future Work],0)</f>
        <v>0</v>
      </c>
    </row>
    <row r="7" spans="1:28">
      <c r="A7" s="8">
        <f>CFDTable[[#This Row],[Date]]</f>
        <v>42415</v>
      </c>
      <c r="B7" s="9">
        <f>Data!B7</f>
        <v>42415</v>
      </c>
      <c r="C7" s="10" t="e">
        <f ca="1">IF(ISNUMBER(CFDTable[[#This Row],[Ready]]),NA(),CFDTable[[#This Row],[Target]]-CFDTable[[#This Row],[To Do]])</f>
        <v>#N/A</v>
      </c>
      <c r="D7" s="10" t="e">
        <f>IF(CFDTable[[#This Row],[Emergence]]&gt;0,CFDTable[[#This Row],[Future Work]]-CFDTable[[#This Row],[Emergence]],NA())</f>
        <v>#N/A</v>
      </c>
      <c r="E7" s="10">
        <f>Data!C7</f>
        <v>0</v>
      </c>
      <c r="F7" s="10">
        <f ca="1">Data!D7</f>
        <v>0</v>
      </c>
      <c r="G7" s="10">
        <f ca="1">IF(TodaysDate&gt;=$B7,Data!E7,NA())</f>
        <v>0</v>
      </c>
      <c r="H7" s="10">
        <f ca="1">IF(TodaysDate&gt;=$B7,Data!F7,NA())</f>
        <v>3</v>
      </c>
      <c r="I7" s="10">
        <f ca="1">IF(TodaysDate&gt;=$B7,Data!G7,NA())</f>
        <v>0</v>
      </c>
      <c r="J7" s="10">
        <f ca="1">IF(TodaysDate&gt;=$B7,Data!H7,NA())</f>
        <v>0</v>
      </c>
      <c r="K7" s="10">
        <f ca="1">IF(TodaysDate&gt;=$B7,Data!I7,NA())</f>
        <v>2</v>
      </c>
      <c r="L7" s="10">
        <f ca="1">IF(CFDTable[[#This Row],[Done]]&gt;0,(CFDTable[[#This Row],[Done]])-(K6),0)</f>
        <v>0</v>
      </c>
      <c r="M7" s="10">
        <f ca="1">IF(ISNUMBER($L7),SUM(CFDTable[[#This Row],[Done]]),IF(CFDTable[[#This Row],[lookupLow]]&gt;=CFDTable[[#This Row],[Target]]+CFDTable[[#This Row],[lowDaily]],NA(),CFDTable[[#This Row],[lookupLow]]))</f>
        <v>2</v>
      </c>
      <c r="N7" s="10">
        <f ca="1">IF(ISNUMBER($L7),SUM(CFDTable[[#This Row],[Done]]),IF(CFDTable[[#This Row],[lookupMedian]]&gt;=$X7+Q7,NA(),CFDTable[[#This Row],[lookupMedian]]))</f>
        <v>2</v>
      </c>
      <c r="O7" s="10">
        <f ca="1">IF(ISNUMBER(CFDTable[[#This Row],[Done Today]]),SUM(CFDTable[[#This Row],[Done]]),IF(CFDTable[[#This Row],[lookupHigh]]&gt;=CFDTable[[#This Row],[Target]]+CFDTable[[#This Row],[highDaily]],NA(),CFDTable[[#This Row],[lookupHigh]]))</f>
        <v>2</v>
      </c>
      <c r="P7" s="10">
        <f ca="1">CFDTable[[#This Row],[AvgDaily]]-CFDTable[[#This Row],[Deviation]]</f>
        <v>3.3333333333333326E-2</v>
      </c>
      <c r="Q7" s="10">
        <f ca="1">AVERAGE(IF(ISNUMBER(L7),IF(ISNUMBER(OFFSET(L7,-Historic,0)),OFFSET(L7,-Historic,0),L$2):L7,Q6))</f>
        <v>0.33333333333333331</v>
      </c>
      <c r="R7" s="10">
        <f ca="1">AVERAGE(IF(ISNUMBER(L7),IF(ISNUMBER(OFFSET(L7,-Historic,0)),OFFSET(L7,-Historic,0),L$2):L7,R6))</f>
        <v>0.33333333333333331</v>
      </c>
      <c r="S7" s="10">
        <f ca="1">AVERAGE(IF(ISNUMBER(L7),OFFSET(L$2,DaysToIgnoreOnAvg,0):L7,S6))</f>
        <v>0</v>
      </c>
      <c r="T7" s="10">
        <f ca="1">CFDTable[[#This Row],[AvgDaily]]+CFDTable[[#This Row],[Deviation]]</f>
        <v>0.6333333333333333</v>
      </c>
      <c r="U7" s="10">
        <f ca="1">IF(ISNUMBER(L7),((_xlfn.PERCENTILE.INC(IF(ISNUMBER(OFFSET(Q7,-Historic,0)),OFFSET(Q7,-Historic,0),Q$2):Q7,PercentileHigh/100))-(MEDIAN(IF(ISNUMBER(OFFSET(Q7,-Historic,0)),OFFSET(Q7,-Historic,0),Q$2):Q7))),U6)</f>
        <v>0.3</v>
      </c>
      <c r="V7" s="10">
        <f ca="1">IF(ISNUMBER(L7),((_xlfn.PERCENTILE.INC(Q$2:Q7,PercentileHigh/100))-(MEDIAN(Q$2:Q7))),U6)</f>
        <v>0.3</v>
      </c>
      <c r="W7" s="10">
        <f ca="1">IF(ISNUMBER(CFDTable[[#This Row],[Done Today]]),SUM($F7:$K7),$W6)</f>
        <v>5</v>
      </c>
      <c r="X7" s="10">
        <f ca="1">IF(ISNUMBER(CFDTable[[#This Row],[Done Today]]),SUM($F7:$K7),$X6)</f>
        <v>5</v>
      </c>
      <c r="Y7" s="10">
        <f ca="1">SUM(LOOKUP(2,1/(M$1:M6&lt;&gt;""),M$1:M6)+CFDTable[[#This Row],[lowDaily]])</f>
        <v>2.0333333333333332</v>
      </c>
      <c r="Z7" s="10">
        <f ca="1">SUM(LOOKUP(2,1/(N$1:N6&lt;&gt;""),N$1:N6)+Q7)</f>
        <v>2.3333333333333335</v>
      </c>
      <c r="AA7" s="10">
        <f ca="1">SUM(LOOKUP(2,1/(O$1:O6&lt;&gt;""),O$1:O6)+CFDTable[[#This Row],[highDaily]])</f>
        <v>2.6333333333333333</v>
      </c>
      <c r="AB7" s="12">
        <f>IF(CFDTable[[#This Row],[Date]]=DeadlineDate,CFDTable[Future Work],0)</f>
        <v>0</v>
      </c>
    </row>
    <row r="8" spans="1:28">
      <c r="A8" s="8">
        <f>CFDTable[[#This Row],[Date]]</f>
        <v>42416</v>
      </c>
      <c r="B8" s="9">
        <f>Data!B8</f>
        <v>42416</v>
      </c>
      <c r="C8" s="10" t="e">
        <f ca="1">IF(ISNUMBER(CFDTable[[#This Row],[Ready]]),NA(),CFDTable[[#This Row],[Target]]-CFDTable[[#This Row],[To Do]])</f>
        <v>#N/A</v>
      </c>
      <c r="D8" s="10" t="e">
        <f>IF(CFDTable[[#This Row],[Emergence]]&gt;0,CFDTable[[#This Row],[Future Work]]-CFDTable[[#This Row],[Emergence]],NA())</f>
        <v>#N/A</v>
      </c>
      <c r="E8" s="10">
        <f>Data!C8</f>
        <v>0</v>
      </c>
      <c r="F8" s="10">
        <f ca="1">Data!D8</f>
        <v>0</v>
      </c>
      <c r="G8" s="10">
        <f ca="1">IF(TodaysDate&gt;=$B8,Data!E8,NA())</f>
        <v>0</v>
      </c>
      <c r="H8" s="10">
        <f ca="1">IF(TodaysDate&gt;=$B8,Data!F8,NA())</f>
        <v>4</v>
      </c>
      <c r="I8" s="10">
        <f ca="1">IF(TodaysDate&gt;=$B8,Data!G8,NA())</f>
        <v>0</v>
      </c>
      <c r="J8" s="10">
        <f ca="1">IF(TodaysDate&gt;=$B8,Data!H8,NA())</f>
        <v>0</v>
      </c>
      <c r="K8" s="10">
        <f ca="1">IF(TodaysDate&gt;=$B8,Data!I8,NA())</f>
        <v>2</v>
      </c>
      <c r="L8" s="10">
        <f ca="1">IF(CFDTable[[#This Row],[Done]]&gt;0,(CFDTable[[#This Row],[Done]])-(K7),0)</f>
        <v>0</v>
      </c>
      <c r="M8" s="10">
        <f ca="1">IF(ISNUMBER($L8),SUM(CFDTable[[#This Row],[Done]]),IF(CFDTable[[#This Row],[lookupLow]]&gt;=CFDTable[[#This Row],[Target]]+CFDTable[[#This Row],[lowDaily]],NA(),CFDTable[[#This Row],[lookupLow]]))</f>
        <v>2</v>
      </c>
      <c r="N8" s="10">
        <f ca="1">IF(ISNUMBER($L8),SUM(CFDTable[[#This Row],[Done]]),IF(CFDTable[[#This Row],[lookupMedian]]&gt;=$X8+Q8,NA(),CFDTable[[#This Row],[lookupMedian]]))</f>
        <v>2</v>
      </c>
      <c r="O8" s="10">
        <f ca="1">IF(ISNUMBER(CFDTable[[#This Row],[Done Today]]),SUM(CFDTable[[#This Row],[Done]]),IF(CFDTable[[#This Row],[lookupHigh]]&gt;=CFDTable[[#This Row],[Target]]+CFDTable[[#This Row],[highDaily]],NA(),CFDTable[[#This Row],[lookupHigh]]))</f>
        <v>2</v>
      </c>
      <c r="P8" s="10">
        <f ca="1">CFDTable[[#This Row],[AvgDaily]]-CFDTable[[#This Row],[Deviation]]</f>
        <v>-1.4285714285714124E-2</v>
      </c>
      <c r="Q8" s="10">
        <f ca="1">AVERAGE(IF(ISNUMBER(L8),IF(ISNUMBER(OFFSET(L8,-Historic,0)),OFFSET(L8,-Historic,0),L$2):L8,Q7))</f>
        <v>0.2857142857142857</v>
      </c>
      <c r="R8" s="10">
        <f ca="1">AVERAGE(IF(ISNUMBER(L8),IF(ISNUMBER(OFFSET(L8,-Historic,0)),OFFSET(L8,-Historic,0),L$2):L8,R7))</f>
        <v>0.2857142857142857</v>
      </c>
      <c r="S8" s="10">
        <f ca="1">AVERAGE(IF(ISNUMBER(L8),OFFSET(L$2,DaysToIgnoreOnAvg,0):L8,S7))</f>
        <v>0</v>
      </c>
      <c r="T8" s="10">
        <f ca="1">CFDTable[[#This Row],[AvgDaily]]+CFDTable[[#This Row],[Deviation]]</f>
        <v>0.58571428571428552</v>
      </c>
      <c r="U8" s="10">
        <f ca="1">IF(ISNUMBER(L8),((_xlfn.PERCENTILE.INC(IF(ISNUMBER(OFFSET(Q8,-Historic,0)),OFFSET(Q8,-Historic,0),Q$2):Q8,PercentileHigh/100))-(MEDIAN(IF(ISNUMBER(OFFSET(Q8,-Historic,0)),OFFSET(Q8,-Historic,0),Q$2):Q8))),U7)</f>
        <v>0.29999999999999982</v>
      </c>
      <c r="V8" s="10">
        <f ca="1">IF(ISNUMBER(L8),((_xlfn.PERCENTILE.INC(Q$2:Q8,PercentileHigh/100))-(MEDIAN(Q$2:Q8))),U7)</f>
        <v>0.29999999999999982</v>
      </c>
      <c r="W8" s="10">
        <f ca="1">IF(ISNUMBER(CFDTable[[#This Row],[Done Today]]),SUM($F8:$K8),$W7)</f>
        <v>6</v>
      </c>
      <c r="X8" s="10">
        <f ca="1">IF(ISNUMBER(CFDTable[[#This Row],[Done Today]]),SUM($F8:$K8),$X7)</f>
        <v>6</v>
      </c>
      <c r="Y8" s="10">
        <f ca="1">SUM(LOOKUP(2,1/(M$1:M7&lt;&gt;""),M$1:M7)+CFDTable[[#This Row],[lowDaily]])</f>
        <v>1.9857142857142858</v>
      </c>
      <c r="Z8" s="10">
        <f ca="1">SUM(LOOKUP(2,1/(N$1:N7&lt;&gt;""),N$1:N7)+Q8)</f>
        <v>2.2857142857142856</v>
      </c>
      <c r="AA8" s="10">
        <f ca="1">SUM(LOOKUP(2,1/(O$1:O7&lt;&gt;""),O$1:O7)+CFDTable[[#This Row],[highDaily]])</f>
        <v>2.5857142857142854</v>
      </c>
      <c r="AB8" s="12">
        <f>IF(CFDTable[[#This Row],[Date]]=DeadlineDate,CFDTable[Future Work],0)</f>
        <v>0</v>
      </c>
    </row>
    <row r="9" spans="1:28">
      <c r="A9" s="8">
        <f>CFDTable[[#This Row],[Date]]</f>
        <v>42417</v>
      </c>
      <c r="B9" s="9">
        <f>Data!B9</f>
        <v>42417</v>
      </c>
      <c r="C9" s="10" t="e">
        <f ca="1">IF(ISNUMBER(CFDTable[[#This Row],[Ready]]),NA(),CFDTable[[#This Row],[Target]]-CFDTable[[#This Row],[To Do]])</f>
        <v>#N/A</v>
      </c>
      <c r="D9" s="10" t="e">
        <f>IF(CFDTable[[#This Row],[Emergence]]&gt;0,CFDTable[[#This Row],[Future Work]]-CFDTable[[#This Row],[Emergence]],NA())</f>
        <v>#N/A</v>
      </c>
      <c r="E9" s="10">
        <f>Data!C9</f>
        <v>0</v>
      </c>
      <c r="F9" s="10">
        <f ca="1">Data!D9</f>
        <v>1</v>
      </c>
      <c r="G9" s="10">
        <f ca="1">IF(TodaysDate&gt;=$B9,Data!E9,NA())</f>
        <v>0</v>
      </c>
      <c r="H9" s="10">
        <f ca="1">IF(TodaysDate&gt;=$B9,Data!F9,NA())</f>
        <v>5</v>
      </c>
      <c r="I9" s="10">
        <f ca="1">IF(TodaysDate&gt;=$B9,Data!G9,NA())</f>
        <v>0</v>
      </c>
      <c r="J9" s="10">
        <f ca="1">IF(TodaysDate&gt;=$B9,Data!H9,NA())</f>
        <v>0</v>
      </c>
      <c r="K9" s="10">
        <f ca="1">IF(TodaysDate&gt;=$B9,Data!I9,NA())</f>
        <v>2</v>
      </c>
      <c r="L9" s="10">
        <f ca="1">IF(CFDTable[[#This Row],[Done]]&gt;0,(CFDTable[[#This Row],[Done]])-(K8),0)</f>
        <v>0</v>
      </c>
      <c r="M9" s="10">
        <f ca="1">IF(ISNUMBER($L9),SUM(CFDTable[[#This Row],[Done]]),IF(CFDTable[[#This Row],[lookupLow]]&gt;=CFDTable[[#This Row],[Target]]+CFDTable[[#This Row],[lowDaily]],NA(),CFDTable[[#This Row],[lookupLow]]))</f>
        <v>2</v>
      </c>
      <c r="N9" s="10">
        <f ca="1">IF(ISNUMBER($L9),SUM(CFDTable[[#This Row],[Done]]),IF(CFDTable[[#This Row],[lookupMedian]]&gt;=$X9+Q9,NA(),CFDTable[[#This Row],[lookupMedian]]))</f>
        <v>2</v>
      </c>
      <c r="O9" s="10">
        <f ca="1">IF(ISNUMBER(CFDTable[[#This Row],[Done Today]]),SUM(CFDTable[[#This Row],[Done]]),IF(CFDTable[[#This Row],[lookupHigh]]&gt;=CFDTable[[#This Row],[Target]]+CFDTable[[#This Row],[highDaily]],NA(),CFDTable[[#This Row],[lookupHigh]]))</f>
        <v>2</v>
      </c>
      <c r="P9" s="10">
        <f ca="1">CFDTable[[#This Row],[AvgDaily]]-CFDTable[[#This Row],[Deviation]]</f>
        <v>-4.166666666666663E-2</v>
      </c>
      <c r="Q9" s="10">
        <f ca="1">AVERAGE(IF(ISNUMBER(L9),IF(ISNUMBER(OFFSET(L9,-Historic,0)),OFFSET(L9,-Historic,0),L$2):L9,Q8))</f>
        <v>0.25</v>
      </c>
      <c r="R9" s="10">
        <f ca="1">AVERAGE(IF(ISNUMBER(L9),IF(ISNUMBER(OFFSET(L9,-Historic,0)),OFFSET(L9,-Historic,0),L$2):L9,R8))</f>
        <v>0.25</v>
      </c>
      <c r="S9" s="10">
        <f ca="1">AVERAGE(IF(ISNUMBER(L9),OFFSET(L$2,DaysToIgnoreOnAvg,0):L9,S8))</f>
        <v>0</v>
      </c>
      <c r="T9" s="10">
        <f ca="1">CFDTable[[#This Row],[AvgDaily]]+CFDTable[[#This Row],[Deviation]]</f>
        <v>0.54166666666666663</v>
      </c>
      <c r="U9" s="10">
        <f ca="1">IF(ISNUMBER(L9),((_xlfn.PERCENTILE.INC(IF(ISNUMBER(OFFSET(Q9,-Historic,0)),OFFSET(Q9,-Historic,0),Q$2):Q9,PercentileHigh/100))-(MEDIAN(IF(ISNUMBER(OFFSET(Q9,-Historic,0)),OFFSET(Q9,-Historic,0),Q$2):Q9))),U8)</f>
        <v>0.29166666666666663</v>
      </c>
      <c r="V9" s="10">
        <f ca="1">IF(ISNUMBER(L9),((_xlfn.PERCENTILE.INC(Q$2:Q9,PercentileHigh/100))-(MEDIAN(Q$2:Q9))),U8)</f>
        <v>0.29166666666666663</v>
      </c>
      <c r="W9" s="10">
        <f ca="1">IF(ISNUMBER(CFDTable[[#This Row],[Done Today]]),SUM($F9:$K9),$W8)</f>
        <v>8</v>
      </c>
      <c r="X9" s="10">
        <f ca="1">IF(ISNUMBER(CFDTable[[#This Row],[Done Today]]),SUM($F9:$K9),$X8)</f>
        <v>8</v>
      </c>
      <c r="Y9" s="10">
        <f ca="1">SUM(LOOKUP(2,1/(M$1:M8&lt;&gt;""),M$1:M8)+CFDTable[[#This Row],[lowDaily]])</f>
        <v>1.9583333333333335</v>
      </c>
      <c r="Z9" s="10">
        <f ca="1">SUM(LOOKUP(2,1/(N$1:N8&lt;&gt;""),N$1:N8)+Q9)</f>
        <v>2.25</v>
      </c>
      <c r="AA9" s="10">
        <f ca="1">SUM(LOOKUP(2,1/(O$1:O8&lt;&gt;""),O$1:O8)+CFDTable[[#This Row],[highDaily]])</f>
        <v>2.5416666666666665</v>
      </c>
      <c r="AB9" s="12">
        <f>IF(CFDTable[[#This Row],[Date]]=DeadlineDate,CFDTable[Future Work],0)</f>
        <v>0</v>
      </c>
    </row>
    <row r="10" spans="1:28">
      <c r="A10" s="8">
        <f>CFDTable[[#This Row],[Date]]</f>
        <v>42418</v>
      </c>
      <c r="B10" s="9">
        <f>Data!B10</f>
        <v>42418</v>
      </c>
      <c r="C10" s="10" t="e">
        <f ca="1">IF(ISNUMBER(CFDTable[[#This Row],[Ready]]),NA(),CFDTable[[#This Row],[Target]]-CFDTable[[#This Row],[To Do]])</f>
        <v>#N/A</v>
      </c>
      <c r="D10" s="10" t="e">
        <f>IF(CFDTable[[#This Row],[Emergence]]&gt;0,CFDTable[[#This Row],[Future Work]]-CFDTable[[#This Row],[Emergence]],NA())</f>
        <v>#N/A</v>
      </c>
      <c r="E10" s="10">
        <f>Data!C10</f>
        <v>0</v>
      </c>
      <c r="F10" s="10">
        <f ca="1">Data!D10</f>
        <v>1</v>
      </c>
      <c r="G10" s="10">
        <f ca="1">IF(TodaysDate&gt;=$B10,Data!E10,NA())</f>
        <v>0</v>
      </c>
      <c r="H10" s="10">
        <f ca="1">IF(TodaysDate&gt;=$B10,Data!F10,NA())</f>
        <v>7</v>
      </c>
      <c r="I10" s="10">
        <f ca="1">IF(TodaysDate&gt;=$B10,Data!G10,NA())</f>
        <v>0</v>
      </c>
      <c r="J10" s="10">
        <f ca="1">IF(TodaysDate&gt;=$B10,Data!H10,NA())</f>
        <v>0</v>
      </c>
      <c r="K10" s="10">
        <f ca="1">IF(TodaysDate&gt;=$B10,Data!I10,NA())</f>
        <v>2</v>
      </c>
      <c r="L10" s="10">
        <f ca="1">IF(CFDTable[[#This Row],[Done]]&gt;0,(CFDTable[[#This Row],[Done]])-(K9),0)</f>
        <v>0</v>
      </c>
      <c r="M10" s="10">
        <f ca="1">IF(ISNUMBER($L10),SUM(CFDTable[[#This Row],[Done]]),IF(CFDTable[[#This Row],[lookupLow]]&gt;=CFDTable[[#This Row],[Target]]+CFDTable[[#This Row],[lowDaily]],NA(),CFDTable[[#This Row],[lookupLow]]))</f>
        <v>2</v>
      </c>
      <c r="N10" s="10">
        <f ca="1">IF(ISNUMBER($L10),SUM(CFDTable[[#This Row],[Done]]),IF(CFDTable[[#This Row],[lookupMedian]]&gt;=$X10+Q10,NA(),CFDTable[[#This Row],[lookupMedian]]))</f>
        <v>2</v>
      </c>
      <c r="O10" s="10">
        <f ca="1">IF(ISNUMBER(CFDTable[[#This Row],[Done Today]]),SUM(CFDTable[[#This Row],[Done]]),IF(CFDTable[[#This Row],[lookupHigh]]&gt;=CFDTable[[#This Row],[Target]]+CFDTable[[#This Row],[highDaily]],NA(),CFDTable[[#This Row],[lookupHigh]]))</f>
        <v>2</v>
      </c>
      <c r="P10" s="10">
        <f ca="1">CFDTable[[#This Row],[AvgDaily]]-CFDTable[[#This Row],[Deviation]]</f>
        <v>-7.7777777777777779E-2</v>
      </c>
      <c r="Q10" s="10">
        <f ca="1">AVERAGE(IF(ISNUMBER(L10),IF(ISNUMBER(OFFSET(L10,-Historic,0)),OFFSET(L10,-Historic,0),L$2):L10,Q9))</f>
        <v>0.22222222222222221</v>
      </c>
      <c r="R10" s="10">
        <f ca="1">AVERAGE(IF(ISNUMBER(L10),IF(ISNUMBER(OFFSET(L10,-Historic,0)),OFFSET(L10,-Historic,0),L$2):L10,R9))</f>
        <v>0.22222222222222221</v>
      </c>
      <c r="S10" s="10">
        <f ca="1">AVERAGE(IF(ISNUMBER(L10),OFFSET(L$2,DaysToIgnoreOnAvg,0):L10,S9))</f>
        <v>0</v>
      </c>
      <c r="T10" s="10">
        <f ca="1">CFDTable[[#This Row],[AvgDaily]]+CFDTable[[#This Row],[Deviation]]</f>
        <v>0.52222222222222214</v>
      </c>
      <c r="U10" s="10">
        <f ca="1">IF(ISNUMBER(L10),((_xlfn.PERCENTILE.INC(IF(ISNUMBER(OFFSET(Q10,-Historic,0)),OFFSET(Q10,-Historic,0),Q$2):Q10,PercentileHigh/100))-(MEDIAN(IF(ISNUMBER(OFFSET(Q10,-Historic,0)),OFFSET(Q10,-Historic,0),Q$2):Q10))),U9)</f>
        <v>0.3</v>
      </c>
      <c r="V10" s="10">
        <f ca="1">IF(ISNUMBER(L10),((_xlfn.PERCENTILE.INC(Q$2:Q10,PercentileHigh/100))-(MEDIAN(Q$2:Q10))),U9)</f>
        <v>0.3</v>
      </c>
      <c r="W10" s="10">
        <f ca="1">IF(ISNUMBER(CFDTable[[#This Row],[Done Today]]),SUM($F10:$K10),$W9)</f>
        <v>10</v>
      </c>
      <c r="X10" s="10">
        <f ca="1">IF(ISNUMBER(CFDTable[[#This Row],[Done Today]]),SUM($F10:$K10),$X9)</f>
        <v>10</v>
      </c>
      <c r="Y10" s="10">
        <f ca="1">SUM(LOOKUP(2,1/(M$1:M9&lt;&gt;""),M$1:M9)+CFDTable[[#This Row],[lowDaily]])</f>
        <v>1.9222222222222223</v>
      </c>
      <c r="Z10" s="10">
        <f ca="1">SUM(LOOKUP(2,1/(N$1:N9&lt;&gt;""),N$1:N9)+Q10)</f>
        <v>2.2222222222222223</v>
      </c>
      <c r="AA10" s="10">
        <f ca="1">SUM(LOOKUP(2,1/(O$1:O9&lt;&gt;""),O$1:O9)+CFDTable[[#This Row],[highDaily]])</f>
        <v>2.5222222222222221</v>
      </c>
      <c r="AB10" s="12">
        <f>IF(CFDTable[[#This Row],[Date]]=DeadlineDate,CFDTable[Future Work],0)</f>
        <v>0</v>
      </c>
    </row>
    <row r="11" spans="1:28">
      <c r="A11" s="8">
        <f>CFDTable[[#This Row],[Date]]</f>
        <v>42419</v>
      </c>
      <c r="B11" s="9">
        <f>Data!B11</f>
        <v>42419</v>
      </c>
      <c r="C11" s="10" t="e">
        <f ca="1">IF(ISNUMBER(CFDTable[[#This Row],[Ready]]),NA(),CFDTable[[#This Row],[Target]]-CFDTable[[#This Row],[To Do]])</f>
        <v>#N/A</v>
      </c>
      <c r="D11" s="10" t="e">
        <f>IF(CFDTable[[#This Row],[Emergence]]&gt;0,CFDTable[[#This Row],[Future Work]]-CFDTable[[#This Row],[Emergence]],NA())</f>
        <v>#N/A</v>
      </c>
      <c r="E11" s="10">
        <f>Data!C11</f>
        <v>0</v>
      </c>
      <c r="F11" s="10">
        <f ca="1">Data!D11</f>
        <v>0</v>
      </c>
      <c r="G11" s="10">
        <f ca="1">IF(TodaysDate&gt;=$B11,Data!E11,NA())</f>
        <v>1</v>
      </c>
      <c r="H11" s="10">
        <f ca="1">IF(TodaysDate&gt;=$B11,Data!F11,NA())</f>
        <v>7</v>
      </c>
      <c r="I11" s="10">
        <f ca="1">IF(TodaysDate&gt;=$B11,Data!G11,NA())</f>
        <v>0</v>
      </c>
      <c r="J11" s="10">
        <f ca="1">IF(TodaysDate&gt;=$B11,Data!H11,NA())</f>
        <v>0</v>
      </c>
      <c r="K11" s="10">
        <f ca="1">IF(TodaysDate&gt;=$B11,Data!I11,NA())</f>
        <v>2</v>
      </c>
      <c r="L11" s="10">
        <f ca="1">IF(CFDTable[[#This Row],[Done]]&gt;0,(CFDTable[[#This Row],[Done]])-(K10),0)</f>
        <v>0</v>
      </c>
      <c r="M11" s="10">
        <f ca="1">IF(ISNUMBER($L11),SUM(CFDTable[[#This Row],[Done]]),IF(CFDTable[[#This Row],[lookupLow]]&gt;=CFDTable[[#This Row],[Target]]+CFDTable[[#This Row],[lowDaily]],NA(),CFDTable[[#This Row],[lookupLow]]))</f>
        <v>2</v>
      </c>
      <c r="N11" s="10">
        <f ca="1">IF(ISNUMBER($L11),SUM(CFDTable[[#This Row],[Done]]),IF(CFDTable[[#This Row],[lookupMedian]]&gt;=$X11+Q11,NA(),CFDTable[[#This Row],[lookupMedian]]))</f>
        <v>2</v>
      </c>
      <c r="O11" s="10">
        <f ca="1">IF(ISNUMBER(CFDTable[[#This Row],[Done Today]]),SUM(CFDTable[[#This Row],[Done]]),IF(CFDTable[[#This Row],[lookupHigh]]&gt;=CFDTable[[#This Row],[Target]]+CFDTable[[#This Row],[highDaily]],NA(),CFDTable[[#This Row],[lookupHigh]]))</f>
        <v>2</v>
      </c>
      <c r="P11" s="10">
        <f ca="1">CFDTable[[#This Row],[AvgDaily]]-CFDTable[[#This Row],[Deviation]]</f>
        <v>-9.8809523809523514E-2</v>
      </c>
      <c r="Q11" s="10">
        <f ca="1">AVERAGE(IF(ISNUMBER(L11),IF(ISNUMBER(OFFSET(L11,-Historic,0)),OFFSET(L11,-Historic,0),L$2):L11,Q10))</f>
        <v>0.2</v>
      </c>
      <c r="R11" s="10">
        <f ca="1">AVERAGE(IF(ISNUMBER(L11),IF(ISNUMBER(OFFSET(L11,-Historic,0)),OFFSET(L11,-Historic,0),L$2):L11,R10))</f>
        <v>0.2</v>
      </c>
      <c r="S11" s="10">
        <f ca="1">AVERAGE(IF(ISNUMBER(L11),OFFSET(L$2,DaysToIgnoreOnAvg,0):L11,S10))</f>
        <v>0</v>
      </c>
      <c r="T11" s="10">
        <f ca="1">CFDTable[[#This Row],[AvgDaily]]+CFDTable[[#This Row],[Deviation]]</f>
        <v>0.49880952380952354</v>
      </c>
      <c r="U11" s="10">
        <f ca="1">IF(ISNUMBER(L11),((_xlfn.PERCENTILE.INC(IF(ISNUMBER(OFFSET(Q11,-Historic,0)),OFFSET(Q11,-Historic,0),Q$2):Q11,PercentileHigh/100))-(MEDIAN(IF(ISNUMBER(OFFSET(Q11,-Historic,0)),OFFSET(Q11,-Historic,0),Q$2):Q11))),U10)</f>
        <v>0.29880952380952353</v>
      </c>
      <c r="V11" s="10">
        <f ca="1">IF(ISNUMBER(L11),((_xlfn.PERCENTILE.INC(Q$2:Q11,PercentileHigh/100))-(MEDIAN(Q$2:Q11))),U10)</f>
        <v>0.29880952380952353</v>
      </c>
      <c r="W11" s="10">
        <f ca="1">IF(ISNUMBER(CFDTable[[#This Row],[Done Today]]),SUM($F11:$K11),$W10)</f>
        <v>10</v>
      </c>
      <c r="X11" s="10">
        <f ca="1">IF(ISNUMBER(CFDTable[[#This Row],[Done Today]]),SUM($F11:$K11),$X10)</f>
        <v>10</v>
      </c>
      <c r="Y11" s="10">
        <f ca="1">SUM(LOOKUP(2,1/(M$1:M10&lt;&gt;""),M$1:M10)+CFDTable[[#This Row],[lowDaily]])</f>
        <v>1.9011904761904765</v>
      </c>
      <c r="Z11" s="10">
        <f ca="1">SUM(LOOKUP(2,1/(N$1:N10&lt;&gt;""),N$1:N10)+Q11)</f>
        <v>2.2000000000000002</v>
      </c>
      <c r="AA11" s="10">
        <f ca="1">SUM(LOOKUP(2,1/(O$1:O10&lt;&gt;""),O$1:O10)+CFDTable[[#This Row],[highDaily]])</f>
        <v>2.4988095238095234</v>
      </c>
      <c r="AB11" s="12">
        <f>IF(CFDTable[[#This Row],[Date]]=DeadlineDate,CFDTable[Future Work],0)</f>
        <v>0</v>
      </c>
    </row>
    <row r="12" spans="1:28">
      <c r="A12" s="8">
        <f>CFDTable[[#This Row],[Date]]</f>
        <v>42422</v>
      </c>
      <c r="B12" s="9">
        <f>Data!B12</f>
        <v>42422</v>
      </c>
      <c r="C12" s="10" t="e">
        <f ca="1">IF(ISNUMBER(CFDTable[[#This Row],[Ready]]),NA(),CFDTable[[#This Row],[Target]]-CFDTable[[#This Row],[To Do]])</f>
        <v>#N/A</v>
      </c>
      <c r="D12" s="10" t="e">
        <f>IF(CFDTable[[#This Row],[Emergence]]&gt;0,CFDTable[[#This Row],[Future Work]]-CFDTable[[#This Row],[Emergence]],NA())</f>
        <v>#N/A</v>
      </c>
      <c r="E12" s="10">
        <f>Data!C12</f>
        <v>0</v>
      </c>
      <c r="F12" s="10">
        <f ca="1">Data!D12</f>
        <v>1</v>
      </c>
      <c r="G12" s="10">
        <f ca="1">IF(TodaysDate&gt;=$B12,Data!E12,NA())</f>
        <v>0</v>
      </c>
      <c r="H12" s="10">
        <f ca="1">IF(TodaysDate&gt;=$B12,Data!F12,NA())</f>
        <v>3</v>
      </c>
      <c r="I12" s="10">
        <f ca="1">IF(TodaysDate&gt;=$B12,Data!G12,NA())</f>
        <v>4</v>
      </c>
      <c r="J12" s="10">
        <f ca="1">IF(TodaysDate&gt;=$B12,Data!H12,NA())</f>
        <v>1</v>
      </c>
      <c r="K12" s="10">
        <f ca="1">IF(TodaysDate&gt;=$B12,Data!I12,NA())</f>
        <v>3</v>
      </c>
      <c r="L12" s="10">
        <f ca="1">IF(CFDTable[[#This Row],[Done]]&gt;0,(CFDTable[[#This Row],[Done]])-(K11),0)</f>
        <v>1</v>
      </c>
      <c r="M12" s="10">
        <f ca="1">IF(ISNUMBER($L12),SUM(CFDTable[[#This Row],[Done]]),IF(CFDTable[[#This Row],[lookupLow]]&gt;=CFDTable[[#This Row],[Target]]+CFDTable[[#This Row],[lowDaily]],NA(),CFDTable[[#This Row],[lookupLow]]))</f>
        <v>3</v>
      </c>
      <c r="N12" s="10">
        <f ca="1">IF(ISNUMBER($L12),SUM(CFDTable[[#This Row],[Done]]),IF(CFDTable[[#This Row],[lookupMedian]]&gt;=$X12+Q12,NA(),CFDTable[[#This Row],[lookupMedian]]))</f>
        <v>3</v>
      </c>
      <c r="O12" s="10">
        <f ca="1">IF(ISNUMBER(CFDTable[[#This Row],[Done Today]]),SUM(CFDTable[[#This Row],[Done]]),IF(CFDTable[[#This Row],[lookupHigh]]&gt;=CFDTable[[#This Row],[Target]]+CFDTable[[#This Row],[highDaily]],NA(),CFDTable[[#This Row],[lookupHigh]]))</f>
        <v>3</v>
      </c>
      <c r="P12" s="10">
        <f ca="1">CFDTable[[#This Row],[AvgDaily]]-CFDTable[[#This Row],[Deviation]]</f>
        <v>-2.4891774891774854E-2</v>
      </c>
      <c r="Q12" s="10">
        <f ca="1">AVERAGE(IF(ISNUMBER(L12),IF(ISNUMBER(OFFSET(L12,-Historic,0)),OFFSET(L12,-Historic,0),L$2):L12,Q11))</f>
        <v>0.27272727272727271</v>
      </c>
      <c r="R12" s="10">
        <f ca="1">AVERAGE(IF(ISNUMBER(L12),IF(ISNUMBER(OFFSET(L12,-Historic,0)),OFFSET(L12,-Historic,0),L$2):L12,R11))</f>
        <v>0.27272727272727271</v>
      </c>
      <c r="S12" s="10">
        <f ca="1">AVERAGE(IF(ISNUMBER(L12),OFFSET(L$2,DaysToIgnoreOnAvg,0):L12,S11))</f>
        <v>0.1111111111111111</v>
      </c>
      <c r="T12" s="10">
        <f ca="1">CFDTable[[#This Row],[AvgDaily]]+CFDTable[[#This Row],[Deviation]]</f>
        <v>0.57034632034632027</v>
      </c>
      <c r="U12" s="10">
        <f ca="1">IF(ISNUMBER(L12),((_xlfn.PERCENTILE.INC(IF(ISNUMBER(OFFSET(Q12,-Historic,0)),OFFSET(Q12,-Historic,0),Q$2):Q12,PercentileHigh/100))-(MEDIAN(IF(ISNUMBER(OFFSET(Q12,-Historic,0)),OFFSET(Q12,-Historic,0),Q$2):Q12))),U11)</f>
        <v>0.29761904761904756</v>
      </c>
      <c r="V12" s="10">
        <f ca="1">IF(ISNUMBER(L12),((_xlfn.PERCENTILE.INC(Q$2:Q12,PercentileHigh/100))-(MEDIAN(Q$2:Q12))),U11)</f>
        <v>0.29761904761904756</v>
      </c>
      <c r="W12" s="10">
        <f ca="1">IF(ISNUMBER(CFDTable[[#This Row],[Done Today]]),SUM($F12:$K12),$W11)</f>
        <v>12</v>
      </c>
      <c r="X12" s="10">
        <f ca="1">IF(ISNUMBER(CFDTable[[#This Row],[Done Today]]),SUM($F12:$K12),$X11)</f>
        <v>12</v>
      </c>
      <c r="Y12" s="10">
        <f ca="1">SUM(LOOKUP(2,1/(M$1:M11&lt;&gt;""),M$1:M11)+CFDTable[[#This Row],[lowDaily]])</f>
        <v>1.975108225108225</v>
      </c>
      <c r="Z12" s="10">
        <f ca="1">SUM(LOOKUP(2,1/(N$1:N11&lt;&gt;""),N$1:N11)+Q12)</f>
        <v>2.2727272727272725</v>
      </c>
      <c r="AA12" s="10">
        <f ca="1">SUM(LOOKUP(2,1/(O$1:O11&lt;&gt;""),O$1:O11)+CFDTable[[#This Row],[highDaily]])</f>
        <v>2.5703463203463204</v>
      </c>
      <c r="AB12" s="12">
        <f>IF(CFDTable[[#This Row],[Date]]=DeadlineDate,CFDTable[Future Work],0)</f>
        <v>0</v>
      </c>
    </row>
    <row r="13" spans="1:28">
      <c r="A13" s="8">
        <f>CFDTable[[#This Row],[Date]]</f>
        <v>42423</v>
      </c>
      <c r="B13" s="9">
        <f>Data!B13</f>
        <v>42423</v>
      </c>
      <c r="C13" s="10" t="e">
        <f ca="1">IF(ISNUMBER(CFDTable[[#This Row],[Ready]]),NA(),CFDTable[[#This Row],[Target]]-CFDTable[[#This Row],[To Do]])</f>
        <v>#N/A</v>
      </c>
      <c r="D13" s="10" t="e">
        <f>IF(CFDTable[[#This Row],[Emergence]]&gt;0,CFDTable[[#This Row],[Future Work]]-CFDTable[[#This Row],[Emergence]],NA())</f>
        <v>#N/A</v>
      </c>
      <c r="E13" s="10">
        <f>Data!C13</f>
        <v>0</v>
      </c>
      <c r="F13" s="10">
        <f ca="1">Data!D13</f>
        <v>0</v>
      </c>
      <c r="G13" s="10">
        <f ca="1">IF(TodaysDate&gt;=$B13,Data!E13,NA())</f>
        <v>0</v>
      </c>
      <c r="H13" s="10">
        <f ca="1">IF(TodaysDate&gt;=$B13,Data!F13,NA())</f>
        <v>3</v>
      </c>
      <c r="I13" s="10">
        <f ca="1">IF(TodaysDate&gt;=$B13,Data!G13,NA())</f>
        <v>2</v>
      </c>
      <c r="J13" s="10">
        <f ca="1">IF(TodaysDate&gt;=$B13,Data!H13,NA())</f>
        <v>1</v>
      </c>
      <c r="K13" s="10">
        <f ca="1">IF(TodaysDate&gt;=$B13,Data!I13,NA())</f>
        <v>6</v>
      </c>
      <c r="L13" s="10">
        <f ca="1">IF(CFDTable[[#This Row],[Done]]&gt;0,(CFDTable[[#This Row],[Done]])-(K12),0)</f>
        <v>3</v>
      </c>
      <c r="M13" s="10">
        <f ca="1">IF(ISNUMBER($L13),SUM(CFDTable[[#This Row],[Done]]),IF(CFDTable[[#This Row],[lookupLow]]&gt;=CFDTable[[#This Row],[Target]]+CFDTable[[#This Row],[lowDaily]],NA(),CFDTable[[#This Row],[lookupLow]]))</f>
        <v>6</v>
      </c>
      <c r="N13" s="10">
        <f ca="1">IF(ISNUMBER($L13),SUM(CFDTable[[#This Row],[Done]]),IF(CFDTable[[#This Row],[lookupMedian]]&gt;=$X13+Q13,NA(),CFDTable[[#This Row],[lookupMedian]]))</f>
        <v>6</v>
      </c>
      <c r="O13" s="10">
        <f ca="1">IF(ISNUMBER(CFDTable[[#This Row],[Done Today]]),SUM(CFDTable[[#This Row],[Done]]),IF(CFDTable[[#This Row],[lookupHigh]]&gt;=CFDTable[[#This Row],[Target]]+CFDTable[[#This Row],[highDaily]],NA(),CFDTable[[#This Row],[lookupHigh]]))</f>
        <v>6</v>
      </c>
      <c r="P13" s="10">
        <f ca="1">CFDTable[[#This Row],[AvgDaily]]-CFDTable[[#This Row],[Deviation]]</f>
        <v>0.2511904761904763</v>
      </c>
      <c r="Q13" s="10">
        <f ca="1">AVERAGE(IF(ISNUMBER(L13),IF(ISNUMBER(OFFSET(L13,-Historic,0)),OFFSET(L13,-Historic,0),L$2):L13,Q12))</f>
        <v>0.5</v>
      </c>
      <c r="R13" s="10">
        <f ca="1">AVERAGE(IF(ISNUMBER(L13),IF(ISNUMBER(OFFSET(L13,-Historic,0)),OFFSET(L13,-Historic,0),L$2):L13,R12))</f>
        <v>0.5</v>
      </c>
      <c r="S13" s="10">
        <f ca="1">AVERAGE(IF(ISNUMBER(L13),OFFSET(L$2,DaysToIgnoreOnAvg,0):L13,S12))</f>
        <v>0.4</v>
      </c>
      <c r="T13" s="10">
        <f ca="1">CFDTable[[#This Row],[AvgDaily]]+CFDTable[[#This Row],[Deviation]]</f>
        <v>0.7488095238095237</v>
      </c>
      <c r="U13" s="10">
        <f ca="1">IF(ISNUMBER(L13),((_xlfn.PERCENTILE.INC(IF(ISNUMBER(OFFSET(Q13,-Historic,0)),OFFSET(Q13,-Historic,0),Q$2):Q13,PercentileHigh/100))-(MEDIAN(IF(ISNUMBER(OFFSET(Q13,-Historic,0)),OFFSET(Q13,-Historic,0),Q$2):Q13))),U12)</f>
        <v>0.2488095238095237</v>
      </c>
      <c r="V13" s="10">
        <f ca="1">IF(ISNUMBER(L13),((_xlfn.PERCENTILE.INC(Q$2:Q13,PercentileHigh/100))-(MEDIAN(Q$2:Q13))),U12)</f>
        <v>0.2488095238095237</v>
      </c>
      <c r="W13" s="10">
        <f ca="1">IF(ISNUMBER(CFDTable[[#This Row],[Done Today]]),SUM($F13:$K13),$W12)</f>
        <v>12</v>
      </c>
      <c r="X13" s="10">
        <f ca="1">IF(ISNUMBER(CFDTable[[#This Row],[Done Today]]),SUM($F13:$K13),$X12)</f>
        <v>12</v>
      </c>
      <c r="Y13" s="10">
        <f ca="1">SUM(LOOKUP(2,1/(M$1:M12&lt;&gt;""),M$1:M12)+CFDTable[[#This Row],[lowDaily]])</f>
        <v>3.2511904761904762</v>
      </c>
      <c r="Z13" s="10">
        <f ca="1">SUM(LOOKUP(2,1/(N$1:N12&lt;&gt;""),N$1:N12)+Q13)</f>
        <v>3.5</v>
      </c>
      <c r="AA13" s="10">
        <f ca="1">SUM(LOOKUP(2,1/(O$1:O12&lt;&gt;""),O$1:O12)+CFDTable[[#This Row],[highDaily]])</f>
        <v>3.7488095238095238</v>
      </c>
      <c r="AB13" s="12">
        <f>IF(CFDTable[[#This Row],[Date]]=DeadlineDate,CFDTable[Future Work],0)</f>
        <v>0</v>
      </c>
    </row>
    <row r="14" spans="1:28">
      <c r="A14" s="8">
        <f>CFDTable[[#This Row],[Date]]</f>
        <v>42424</v>
      </c>
      <c r="B14" s="9">
        <f>Data!B14</f>
        <v>42424</v>
      </c>
      <c r="C14" s="10" t="e">
        <f ca="1">IF(ISNUMBER(CFDTable[[#This Row],[Ready]]),NA(),CFDTable[[#This Row],[Target]]-CFDTable[[#This Row],[To Do]])</f>
        <v>#N/A</v>
      </c>
      <c r="D14" s="10" t="e">
        <f>IF(CFDTable[[#This Row],[Emergence]]&gt;0,CFDTable[[#This Row],[Future Work]]-CFDTable[[#This Row],[Emergence]],NA())</f>
        <v>#N/A</v>
      </c>
      <c r="E14" s="10">
        <f>Data!C14</f>
        <v>0</v>
      </c>
      <c r="F14" s="10">
        <f ca="1">Data!D14</f>
        <v>1</v>
      </c>
      <c r="G14" s="10">
        <f ca="1">IF(TodaysDate&gt;=$B14,Data!E14,NA())</f>
        <v>0</v>
      </c>
      <c r="H14" s="10">
        <f ca="1">IF(TodaysDate&gt;=$B14,Data!F14,NA())</f>
        <v>2</v>
      </c>
      <c r="I14" s="10">
        <f ca="1">IF(TodaysDate&gt;=$B14,Data!G14,NA())</f>
        <v>1</v>
      </c>
      <c r="J14" s="10">
        <f ca="1">IF(TodaysDate&gt;=$B14,Data!H14,NA())</f>
        <v>1</v>
      </c>
      <c r="K14" s="10">
        <f ca="1">IF(TodaysDate&gt;=$B14,Data!I14,NA())</f>
        <v>8</v>
      </c>
      <c r="L14" s="10">
        <f ca="1">IF(CFDTable[[#This Row],[Done]]&gt;0,(CFDTable[[#This Row],[Done]])-(K13),0)</f>
        <v>2</v>
      </c>
      <c r="M14" s="10">
        <f ca="1">IF(ISNUMBER($L14),SUM(CFDTable[[#This Row],[Done]]),IF(CFDTable[[#This Row],[lookupLow]]&gt;=CFDTable[[#This Row],[Target]]+CFDTable[[#This Row],[lowDaily]],NA(),CFDTable[[#This Row],[lookupLow]]))</f>
        <v>8</v>
      </c>
      <c r="N14" s="10">
        <f ca="1">IF(ISNUMBER($L14),SUM(CFDTable[[#This Row],[Done]]),IF(CFDTable[[#This Row],[lookupMedian]]&gt;=$X14+Q14,NA(),CFDTable[[#This Row],[lookupMedian]]))</f>
        <v>8</v>
      </c>
      <c r="O14" s="10">
        <f ca="1">IF(ISNUMBER(CFDTable[[#This Row],[Done Today]]),SUM(CFDTable[[#This Row],[Done]]),IF(CFDTable[[#This Row],[lookupHigh]]&gt;=CFDTable[[#This Row],[Target]]+CFDTable[[#This Row],[highDaily]],NA(),CFDTable[[#This Row],[lookupHigh]]))</f>
        <v>8</v>
      </c>
      <c r="P14" s="10">
        <f ca="1">CFDTable[[#This Row],[AvgDaily]]-CFDTable[[#This Row],[Deviation]]</f>
        <v>0.32307692307692309</v>
      </c>
      <c r="Q14" s="10">
        <f ca="1">AVERAGE(IF(ISNUMBER(L14),IF(ISNUMBER(OFFSET(L14,-Historic,0)),OFFSET(L14,-Historic,0),L$2):L14,Q13))</f>
        <v>0.61538461538461542</v>
      </c>
      <c r="R14" s="10">
        <f ca="1">AVERAGE(IF(ISNUMBER(L14),IF(ISNUMBER(OFFSET(L14,-Historic,0)),OFFSET(L14,-Historic,0),L$2):L14,R13))</f>
        <v>0.61538461538461542</v>
      </c>
      <c r="S14" s="10">
        <f ca="1">AVERAGE(IF(ISNUMBER(L14),OFFSET(L$2,DaysToIgnoreOnAvg,0):L14,S13))</f>
        <v>0.54545454545454541</v>
      </c>
      <c r="T14" s="10">
        <f ca="1">CFDTable[[#This Row],[AvgDaily]]+CFDTable[[#This Row],[Deviation]]</f>
        <v>0.9076923076923078</v>
      </c>
      <c r="U14" s="10">
        <f ca="1">IF(ISNUMBER(L14),((_xlfn.PERCENTILE.INC(IF(ISNUMBER(OFFSET(Q14,-Historic,0)),OFFSET(Q14,-Historic,0),Q$2):Q14,PercentileHigh/100))-(MEDIAN(IF(ISNUMBER(OFFSET(Q14,-Historic,0)),OFFSET(Q14,-Historic,0),Q$2):Q14))),U13)</f>
        <v>0.29230769230769232</v>
      </c>
      <c r="V14" s="10">
        <f ca="1">IF(ISNUMBER(L14),((_xlfn.PERCENTILE.INC(Q$2:Q14,PercentileHigh/100))-(MEDIAN(Q$2:Q14))),U13)</f>
        <v>0.29230769230769232</v>
      </c>
      <c r="W14" s="10">
        <f ca="1">IF(ISNUMBER(CFDTable[[#This Row],[Done Today]]),SUM($F14:$K14),$W13)</f>
        <v>13</v>
      </c>
      <c r="X14" s="10">
        <f ca="1">IF(ISNUMBER(CFDTable[[#This Row],[Done Today]]),SUM($F14:$K14),$X13)</f>
        <v>13</v>
      </c>
      <c r="Y14" s="10">
        <f ca="1">SUM(LOOKUP(2,1/(M$1:M13&lt;&gt;""),M$1:M13)+CFDTable[[#This Row],[lowDaily]])</f>
        <v>6.3230769230769228</v>
      </c>
      <c r="Z14" s="10">
        <f ca="1">SUM(LOOKUP(2,1/(N$1:N13&lt;&gt;""),N$1:N13)+Q14)</f>
        <v>6.615384615384615</v>
      </c>
      <c r="AA14" s="10">
        <f ca="1">SUM(LOOKUP(2,1/(O$1:O13&lt;&gt;""),O$1:O13)+CFDTable[[#This Row],[highDaily]])</f>
        <v>6.907692307692308</v>
      </c>
      <c r="AB14" s="12">
        <f>IF(CFDTable[[#This Row],[Date]]=DeadlineDate,CFDTable[Future Work],0)</f>
        <v>0</v>
      </c>
    </row>
    <row r="15" spans="1:28">
      <c r="A15" s="8">
        <f>CFDTable[[#This Row],[Date]]</f>
        <v>42425</v>
      </c>
      <c r="B15" s="9">
        <f>Data!B15</f>
        <v>42425</v>
      </c>
      <c r="C15" s="10" t="e">
        <f ca="1">IF(ISNUMBER(CFDTable[[#This Row],[Ready]]),NA(),CFDTable[[#This Row],[Target]]-CFDTable[[#This Row],[To Do]])</f>
        <v>#N/A</v>
      </c>
      <c r="D15" s="10" t="e">
        <f>IF(CFDTable[[#This Row],[Emergence]]&gt;0,CFDTable[[#This Row],[Future Work]]-CFDTable[[#This Row],[Emergence]],NA())</f>
        <v>#N/A</v>
      </c>
      <c r="E15" s="10">
        <f>Data!C15</f>
        <v>0</v>
      </c>
      <c r="F15" s="10">
        <f ca="1">Data!D15</f>
        <v>0</v>
      </c>
      <c r="G15" s="10">
        <f ca="1">IF(TodaysDate&gt;=$B15,Data!E15,NA())</f>
        <v>0</v>
      </c>
      <c r="H15" s="10">
        <f ca="1">IF(TodaysDate&gt;=$B15,Data!F15,NA())</f>
        <v>4</v>
      </c>
      <c r="I15" s="10">
        <f ca="1">IF(TodaysDate&gt;=$B15,Data!G15,NA())</f>
        <v>2</v>
      </c>
      <c r="J15" s="10">
        <f ca="1">IF(TodaysDate&gt;=$B15,Data!H15,NA())</f>
        <v>1</v>
      </c>
      <c r="K15" s="10">
        <f ca="1">IF(TodaysDate&gt;=$B15,Data!I15,NA())</f>
        <v>8</v>
      </c>
      <c r="L15" s="10">
        <f ca="1">IF(CFDTable[[#This Row],[Done]]&gt;0,(CFDTable[[#This Row],[Done]])-(K14),0)</f>
        <v>0</v>
      </c>
      <c r="M15" s="10">
        <f ca="1">IF(ISNUMBER($L15),SUM(CFDTable[[#This Row],[Done]]),IF(CFDTable[[#This Row],[lookupLow]]&gt;=CFDTable[[#This Row],[Target]]+CFDTable[[#This Row],[lowDaily]],NA(),CFDTable[[#This Row],[lookupLow]]))</f>
        <v>8</v>
      </c>
      <c r="N15" s="10">
        <f ca="1">IF(ISNUMBER($L15),SUM(CFDTable[[#This Row],[Done]]),IF(CFDTable[[#This Row],[lookupMedian]]&gt;=$X15+Q15,NA(),CFDTable[[#This Row],[lookupMedian]]))</f>
        <v>8</v>
      </c>
      <c r="O15" s="10">
        <f ca="1">IF(ISNUMBER(CFDTable[[#This Row],[Done Today]]),SUM(CFDTable[[#This Row],[Done]]),IF(CFDTable[[#This Row],[lookupHigh]]&gt;=CFDTable[[#This Row],[Target]]+CFDTable[[#This Row],[highDaily]],NA(),CFDTable[[#This Row],[lookupHigh]]))</f>
        <v>8</v>
      </c>
      <c r="P15" s="10">
        <f ca="1">CFDTable[[#This Row],[AvgDaily]]-CFDTable[[#This Row],[Deviation]]</f>
        <v>0.32014652014652012</v>
      </c>
      <c r="Q15" s="10">
        <f ca="1">AVERAGE(IF(ISNUMBER(L15),IF(ISNUMBER(OFFSET(L15,-Historic,0)),OFFSET(L15,-Historic,0),L$2):L15,Q14))</f>
        <v>0.5714285714285714</v>
      </c>
      <c r="R15" s="10">
        <f ca="1">AVERAGE(IF(ISNUMBER(L15),IF(ISNUMBER(OFFSET(L15,-Historic,0)),OFFSET(L15,-Historic,0),L$2):L15,R14))</f>
        <v>0.5714285714285714</v>
      </c>
      <c r="S15" s="10">
        <f ca="1">AVERAGE(IF(ISNUMBER(L15),OFFSET(L$2,DaysToIgnoreOnAvg,0):L15,S14))</f>
        <v>0.5</v>
      </c>
      <c r="T15" s="10">
        <f ca="1">CFDTable[[#This Row],[AvgDaily]]+CFDTable[[#This Row],[Deviation]]</f>
        <v>0.82271062271062267</v>
      </c>
      <c r="U15" s="10">
        <f ca="1">IF(ISNUMBER(L15),((_xlfn.PERCENTILE.INC(IF(ISNUMBER(OFFSET(Q15,-Historic,0)),OFFSET(Q15,-Historic,0),Q$2):Q15,PercentileHigh/100))-(MEDIAN(IF(ISNUMBER(OFFSET(Q15,-Historic,0)),OFFSET(Q15,-Historic,0),Q$2):Q15))),U14)</f>
        <v>0.25128205128205128</v>
      </c>
      <c r="V15" s="10">
        <f ca="1">IF(ISNUMBER(L15),((_xlfn.PERCENTILE.INC(Q$2:Q15,PercentileHigh/100))-(MEDIAN(Q$2:Q15))),U14)</f>
        <v>0.25128205128205128</v>
      </c>
      <c r="W15" s="10">
        <f ca="1">IF(ISNUMBER(CFDTable[[#This Row],[Done Today]]),SUM($F15:$K15),$W14)</f>
        <v>15</v>
      </c>
      <c r="X15" s="10">
        <f ca="1">IF(ISNUMBER(CFDTable[[#This Row],[Done Today]]),SUM($F15:$K15),$X14)</f>
        <v>15</v>
      </c>
      <c r="Y15" s="10">
        <f ca="1">SUM(LOOKUP(2,1/(M$1:M14&lt;&gt;""),M$1:M14)+CFDTable[[#This Row],[lowDaily]])</f>
        <v>8.3201465201465208</v>
      </c>
      <c r="Z15" s="10">
        <f ca="1">SUM(LOOKUP(2,1/(N$1:N14&lt;&gt;""),N$1:N14)+Q15)</f>
        <v>8.5714285714285712</v>
      </c>
      <c r="AA15" s="10">
        <f ca="1">SUM(LOOKUP(2,1/(O$1:O14&lt;&gt;""),O$1:O14)+CFDTable[[#This Row],[highDaily]])</f>
        <v>8.8227106227106233</v>
      </c>
      <c r="AB15" s="12">
        <f>IF(CFDTable[[#This Row],[Date]]=DeadlineDate,CFDTable[Future Work],0)</f>
        <v>0</v>
      </c>
    </row>
    <row r="16" spans="1:28">
      <c r="A16" s="8">
        <f>CFDTable[[#This Row],[Date]]</f>
        <v>42426</v>
      </c>
      <c r="B16" s="9">
        <f>Data!B16</f>
        <v>42426</v>
      </c>
      <c r="C16" s="10" t="e">
        <f ca="1">IF(ISNUMBER(CFDTable[[#This Row],[Ready]]),NA(),CFDTable[[#This Row],[Target]]-CFDTable[[#This Row],[To Do]])</f>
        <v>#N/A</v>
      </c>
      <c r="D16" s="10" t="e">
        <f>IF(CFDTable[[#This Row],[Emergence]]&gt;0,CFDTable[[#This Row],[Future Work]]-CFDTable[[#This Row],[Emergence]],NA())</f>
        <v>#N/A</v>
      </c>
      <c r="E16" s="10">
        <f>Data!C16</f>
        <v>0</v>
      </c>
      <c r="F16" s="10">
        <f ca="1">Data!D16</f>
        <v>0</v>
      </c>
      <c r="G16" s="10">
        <f ca="1">IF(TodaysDate&gt;=$B16,Data!E16,NA())</f>
        <v>0</v>
      </c>
      <c r="H16" s="10">
        <f ca="1">IF(TodaysDate&gt;=$B16,Data!F16,NA())</f>
        <v>4</v>
      </c>
      <c r="I16" s="10">
        <f ca="1">IF(TodaysDate&gt;=$B16,Data!G16,NA())</f>
        <v>2</v>
      </c>
      <c r="J16" s="10">
        <f ca="1">IF(TodaysDate&gt;=$B16,Data!H16,NA())</f>
        <v>1</v>
      </c>
      <c r="K16" s="10">
        <f ca="1">IF(TodaysDate&gt;=$B16,Data!I16,NA())</f>
        <v>8</v>
      </c>
      <c r="L16" s="10">
        <f ca="1">IF(CFDTable[[#This Row],[Done]]&gt;0,(CFDTable[[#This Row],[Done]])-(K15),0)</f>
        <v>0</v>
      </c>
      <c r="M16" s="10">
        <f ca="1">IF(ISNUMBER($L16),SUM(CFDTable[[#This Row],[Done]]),IF(CFDTable[[#This Row],[lookupLow]]&gt;=CFDTable[[#This Row],[Target]]+CFDTable[[#This Row],[lowDaily]],NA(),CFDTable[[#This Row],[lookupLow]]))</f>
        <v>8</v>
      </c>
      <c r="N16" s="10">
        <f ca="1">IF(ISNUMBER($L16),SUM(CFDTable[[#This Row],[Done]]),IF(CFDTable[[#This Row],[lookupMedian]]&gt;=$X16+Q16,NA(),CFDTable[[#This Row],[lookupMedian]]))</f>
        <v>8</v>
      </c>
      <c r="O16" s="10">
        <f ca="1">IF(ISNUMBER(CFDTable[[#This Row],[Done Today]]),SUM(CFDTable[[#This Row],[Done]]),IF(CFDTable[[#This Row],[lookupHigh]]&gt;=CFDTable[[#This Row],[Target]]+CFDTable[[#This Row],[highDaily]],NA(),CFDTable[[#This Row],[lookupHigh]]))</f>
        <v>8</v>
      </c>
      <c r="P16" s="10">
        <f ca="1">CFDTable[[#This Row],[AvgDaily]]-CFDTable[[#This Row],[Deviation]]</f>
        <v>0.32234432234432231</v>
      </c>
      <c r="Q16" s="10">
        <f ca="1">AVERAGE(IF(ISNUMBER(L16),IF(ISNUMBER(OFFSET(L16,-Historic,0)),OFFSET(L16,-Historic,0),L$2):L16,Q15))</f>
        <v>0.53333333333333333</v>
      </c>
      <c r="R16" s="10">
        <f ca="1">AVERAGE(IF(ISNUMBER(L16),IF(ISNUMBER(OFFSET(L16,-Historic,0)),OFFSET(L16,-Historic,0),L$2):L16,R15))</f>
        <v>0.53333333333333333</v>
      </c>
      <c r="S16" s="10">
        <f ca="1">AVERAGE(IF(ISNUMBER(L16),OFFSET(L$2,DaysToIgnoreOnAvg,0):L16,S15))</f>
        <v>0.46153846153846156</v>
      </c>
      <c r="T16" s="10">
        <f ca="1">CFDTable[[#This Row],[AvgDaily]]+CFDTable[[#This Row],[Deviation]]</f>
        <v>0.74432234432234434</v>
      </c>
      <c r="U16" s="10">
        <f ca="1">IF(ISNUMBER(L16),((_xlfn.PERCENTILE.INC(IF(ISNUMBER(OFFSET(Q16,-Historic,0)),OFFSET(Q16,-Historic,0),Q$2):Q16,PercentileHigh/100))-(MEDIAN(IF(ISNUMBER(OFFSET(Q16,-Historic,0)),OFFSET(Q16,-Historic,0),Q$2):Q16))),U15)</f>
        <v>0.21098901098901102</v>
      </c>
      <c r="V16" s="10">
        <f ca="1">IF(ISNUMBER(L16),((_xlfn.PERCENTILE.INC(Q$2:Q16,PercentileHigh/100))-(MEDIAN(Q$2:Q16))),U15)</f>
        <v>0.21098901098901102</v>
      </c>
      <c r="W16" s="10">
        <f ca="1">IF(ISNUMBER(CFDTable[[#This Row],[Done Today]]),SUM($F16:$K16),$W15)</f>
        <v>15</v>
      </c>
      <c r="X16" s="10">
        <f ca="1">IF(ISNUMBER(CFDTable[[#This Row],[Done Today]]),SUM($F16:$K16),$X15)</f>
        <v>15</v>
      </c>
      <c r="Y16" s="10">
        <f ca="1">SUM(LOOKUP(2,1/(M$1:M15&lt;&gt;""),M$1:M15)+CFDTable[[#This Row],[lowDaily]])</f>
        <v>8.322344322344323</v>
      </c>
      <c r="Z16" s="10">
        <f ca="1">SUM(LOOKUP(2,1/(N$1:N15&lt;&gt;""),N$1:N15)+Q16)</f>
        <v>8.5333333333333332</v>
      </c>
      <c r="AA16" s="10">
        <f ca="1">SUM(LOOKUP(2,1/(O$1:O15&lt;&gt;""),O$1:O15)+CFDTable[[#This Row],[highDaily]])</f>
        <v>8.7443223443223452</v>
      </c>
      <c r="AB16" s="12">
        <f>IF(CFDTable[[#This Row],[Date]]=DeadlineDate,CFDTable[Future Work],0)</f>
        <v>0</v>
      </c>
    </row>
    <row r="17" spans="1:28">
      <c r="A17" s="8">
        <f>CFDTable[[#This Row],[Date]]</f>
        <v>42429</v>
      </c>
      <c r="B17" s="9">
        <f>Data!B17</f>
        <v>42429</v>
      </c>
      <c r="C17" s="10" t="e">
        <f ca="1">IF(ISNUMBER(CFDTable[[#This Row],[Ready]]),NA(),CFDTable[[#This Row],[Target]]-CFDTable[[#This Row],[To Do]])</f>
        <v>#N/A</v>
      </c>
      <c r="D17" s="10" t="e">
        <f>IF(CFDTable[[#This Row],[Emergence]]&gt;0,CFDTable[[#This Row],[Future Work]]-CFDTable[[#This Row],[Emergence]],NA())</f>
        <v>#N/A</v>
      </c>
      <c r="E17" s="10">
        <f>Data!C17</f>
        <v>0</v>
      </c>
      <c r="F17" s="10">
        <f ca="1">Data!D17</f>
        <v>4</v>
      </c>
      <c r="G17" s="10">
        <f ca="1">IF(TodaysDate&gt;=$B17,Data!E17,NA())</f>
        <v>1</v>
      </c>
      <c r="H17" s="10">
        <f ca="1">IF(TodaysDate&gt;=$B17,Data!F17,NA())</f>
        <v>2</v>
      </c>
      <c r="I17" s="10">
        <f ca="1">IF(TodaysDate&gt;=$B17,Data!G17,NA())</f>
        <v>4</v>
      </c>
      <c r="J17" s="10">
        <f ca="1">IF(TodaysDate&gt;=$B17,Data!H17,NA())</f>
        <v>1</v>
      </c>
      <c r="K17" s="10">
        <f ca="1">IF(TodaysDate&gt;=$B17,Data!I17,NA())</f>
        <v>9</v>
      </c>
      <c r="L17" s="10">
        <f ca="1">IF(CFDTable[[#This Row],[Done]]&gt;0,(CFDTable[[#This Row],[Done]])-(K16),0)</f>
        <v>1</v>
      </c>
      <c r="M17" s="10">
        <f ca="1">IF(ISNUMBER($L17),SUM(CFDTable[[#This Row],[Done]]),IF(CFDTable[[#This Row],[lookupLow]]&gt;=CFDTable[[#This Row],[Target]]+CFDTable[[#This Row],[lowDaily]],NA(),CFDTable[[#This Row],[lookupLow]]))</f>
        <v>9</v>
      </c>
      <c r="N17" s="10">
        <f ca="1">IF(ISNUMBER($L17),SUM(CFDTable[[#This Row],[Done]]),IF(CFDTable[[#This Row],[lookupMedian]]&gt;=$X17+Q17,NA(),CFDTable[[#This Row],[lookupMedian]]))</f>
        <v>9</v>
      </c>
      <c r="O17" s="10">
        <f ca="1">IF(ISNUMBER(CFDTable[[#This Row],[Done Today]]),SUM(CFDTable[[#This Row],[Done]]),IF(CFDTable[[#This Row],[lookupHigh]]&gt;=CFDTable[[#This Row],[Target]]+CFDTable[[#This Row],[highDaily]],NA(),CFDTable[[#This Row],[lookupHigh]]))</f>
        <v>9</v>
      </c>
      <c r="P17" s="10">
        <f ca="1">CFDTable[[#This Row],[AvgDaily]]-CFDTable[[#This Row],[Deviation]]</f>
        <v>0.40810439560439554</v>
      </c>
      <c r="Q17" s="10">
        <f ca="1">AVERAGE(IF(ISNUMBER(L17),IF(ISNUMBER(OFFSET(L17,-Historic,0)),OFFSET(L17,-Historic,0),L$2):L17,Q16))</f>
        <v>0.5625</v>
      </c>
      <c r="R17" s="10">
        <f ca="1">AVERAGE(IF(ISNUMBER(L17),IF(ISNUMBER(OFFSET(L17,-Historic,0)),OFFSET(L17,-Historic,0),L$2):L17,R16))</f>
        <v>0.5625</v>
      </c>
      <c r="S17" s="10">
        <f ca="1">AVERAGE(IF(ISNUMBER(L17),OFFSET(L$2,DaysToIgnoreOnAvg,0):L17,S16))</f>
        <v>0.5</v>
      </c>
      <c r="T17" s="10">
        <f ca="1">CFDTable[[#This Row],[AvgDaily]]+CFDTable[[#This Row],[Deviation]]</f>
        <v>0.71689560439560451</v>
      </c>
      <c r="U17" s="10">
        <f ca="1">IF(ISNUMBER(L17),((_xlfn.PERCENTILE.INC(IF(ISNUMBER(OFFSET(Q17,-Historic,0)),OFFSET(Q17,-Historic,0),Q$2):Q17,PercentileHigh/100))-(MEDIAN(IF(ISNUMBER(OFFSET(Q17,-Historic,0)),OFFSET(Q17,-Historic,0),Q$2):Q17))),U16)</f>
        <v>0.15439560439560446</v>
      </c>
      <c r="V17" s="10">
        <f ca="1">IF(ISNUMBER(L17),((_xlfn.PERCENTILE.INC(Q$2:Q17,PercentileHigh/100))-(MEDIAN(Q$2:Q17))),U16)</f>
        <v>0.15439560439560446</v>
      </c>
      <c r="W17" s="10">
        <f ca="1">IF(ISNUMBER(CFDTable[[#This Row],[Done Today]]),SUM($F17:$K17),$W16)</f>
        <v>21</v>
      </c>
      <c r="X17" s="10">
        <f ca="1">IF(ISNUMBER(CFDTable[[#This Row],[Done Today]]),SUM($F17:$K17),$X16)</f>
        <v>21</v>
      </c>
      <c r="Y17" s="10">
        <f ca="1">SUM(LOOKUP(2,1/(M$1:M16&lt;&gt;""),M$1:M16)+CFDTable[[#This Row],[lowDaily]])</f>
        <v>8.4081043956043953</v>
      </c>
      <c r="Z17" s="10">
        <f ca="1">SUM(LOOKUP(2,1/(N$1:N16&lt;&gt;""),N$1:N16)+Q17)</f>
        <v>8.5625</v>
      </c>
      <c r="AA17" s="10">
        <f ca="1">SUM(LOOKUP(2,1/(O$1:O16&lt;&gt;""),O$1:O16)+CFDTable[[#This Row],[highDaily]])</f>
        <v>8.7168956043956047</v>
      </c>
      <c r="AB17" s="12">
        <f>IF(CFDTable[[#This Row],[Date]]=DeadlineDate,CFDTable[Future Work],0)</f>
        <v>0</v>
      </c>
    </row>
    <row r="18" spans="1:28">
      <c r="A18" s="8">
        <f>CFDTable[[#This Row],[Date]]</f>
        <v>42430</v>
      </c>
      <c r="B18" s="9">
        <f>Data!B18</f>
        <v>42430</v>
      </c>
      <c r="C18" s="10" t="e">
        <f ca="1">IF(ISNUMBER(CFDTable[[#This Row],[Ready]]),NA(),CFDTable[[#This Row],[Target]]-CFDTable[[#This Row],[To Do]])</f>
        <v>#N/A</v>
      </c>
      <c r="D18" s="10" t="e">
        <f>IF(CFDTable[[#This Row],[Emergence]]&gt;0,CFDTable[[#This Row],[Future Work]]-CFDTable[[#This Row],[Emergence]],NA())</f>
        <v>#N/A</v>
      </c>
      <c r="E18" s="10">
        <f>Data!C18</f>
        <v>0</v>
      </c>
      <c r="F18" s="10">
        <f ca="1">Data!D18</f>
        <v>1</v>
      </c>
      <c r="G18" s="10">
        <f ca="1">IF(TodaysDate&gt;=$B18,Data!E18,NA())</f>
        <v>2</v>
      </c>
      <c r="H18" s="10">
        <f ca="1">IF(TodaysDate&gt;=$B18,Data!F18,NA())</f>
        <v>3</v>
      </c>
      <c r="I18" s="10">
        <f ca="1">IF(TodaysDate&gt;=$B18,Data!G18,NA())</f>
        <v>1</v>
      </c>
      <c r="J18" s="10">
        <f ca="1">IF(TodaysDate&gt;=$B18,Data!H18,NA())</f>
        <v>1</v>
      </c>
      <c r="K18" s="10">
        <f ca="1">IF(TodaysDate&gt;=$B18,Data!I18,NA())</f>
        <v>13</v>
      </c>
      <c r="L18" s="10">
        <f ca="1">IF(CFDTable[[#This Row],[Done]]&gt;0,(CFDTable[[#This Row],[Done]])-(K17),0)</f>
        <v>4</v>
      </c>
      <c r="M18" s="10">
        <f ca="1">IF(ISNUMBER($L18),SUM(CFDTable[[#This Row],[Done]]),IF(CFDTable[[#This Row],[lookupLow]]&gt;=CFDTable[[#This Row],[Target]]+CFDTable[[#This Row],[lowDaily]],NA(),CFDTable[[#This Row],[lookupLow]]))</f>
        <v>13</v>
      </c>
      <c r="N18" s="10">
        <f ca="1">IF(ISNUMBER($L18),SUM(CFDTable[[#This Row],[Done]]),IF(CFDTable[[#This Row],[lookupMedian]]&gt;=$X18+Q18,NA(),CFDTable[[#This Row],[lookupMedian]]))</f>
        <v>13</v>
      </c>
      <c r="O18" s="10">
        <f ca="1">IF(ISNUMBER(CFDTable[[#This Row],[Done Today]]),SUM(CFDTable[[#This Row],[Done]]),IF(CFDTable[[#This Row],[lookupHigh]]&gt;=CFDTable[[#This Row],[Target]]+CFDTable[[#This Row],[highDaily]],NA(),CFDTable[[#This Row],[lookupHigh]]))</f>
        <v>13</v>
      </c>
      <c r="P18" s="10">
        <f ca="1">CFDTable[[#This Row],[AvgDaily]]-CFDTable[[#This Row],[Deviation]]</f>
        <v>0.61855203619909505</v>
      </c>
      <c r="Q18" s="10">
        <f ca="1">AVERAGE(IF(ISNUMBER(L18),IF(ISNUMBER(OFFSET(L18,-Historic,0)),OFFSET(L18,-Historic,0),L$2):L18,Q17))</f>
        <v>0.76470588235294112</v>
      </c>
      <c r="R18" s="10">
        <f ca="1">AVERAGE(IF(ISNUMBER(L18),IF(ISNUMBER(OFFSET(L18,-Historic,0)),OFFSET(L18,-Historic,0),L$2):L18,R17))</f>
        <v>0.76470588235294112</v>
      </c>
      <c r="S18" s="10">
        <f ca="1">AVERAGE(IF(ISNUMBER(L18),OFFSET(L$2,DaysToIgnoreOnAvg,0):L18,S17))</f>
        <v>0.73333333333333328</v>
      </c>
      <c r="T18" s="10">
        <f ca="1">CFDTable[[#This Row],[AvgDaily]]+CFDTable[[#This Row],[Deviation]]</f>
        <v>0.9108597285067872</v>
      </c>
      <c r="U18" s="10">
        <f ca="1">IF(ISNUMBER(L18),((_xlfn.PERCENTILE.INC(IF(ISNUMBER(OFFSET(Q18,-Historic,0)),OFFSET(Q18,-Historic,0),Q$2):Q18,PercentileHigh/100))-(MEDIAN(IF(ISNUMBER(OFFSET(Q18,-Historic,0)),OFFSET(Q18,-Historic,0),Q$2):Q18))),U17)</f>
        <v>0.14615384615384608</v>
      </c>
      <c r="V18" s="10">
        <f ca="1">IF(ISNUMBER(L18),((_xlfn.PERCENTILE.INC(Q$2:Q18,PercentileHigh/100))-(MEDIAN(Q$2:Q18))),U17)</f>
        <v>0.14615384615384608</v>
      </c>
      <c r="W18" s="10">
        <f ca="1">IF(ISNUMBER(CFDTable[[#This Row],[Done Today]]),SUM($F18:$K18),$W17)</f>
        <v>21</v>
      </c>
      <c r="X18" s="10">
        <f ca="1">IF(ISNUMBER(CFDTable[[#This Row],[Done Today]]),SUM($F18:$K18),$X17)</f>
        <v>21</v>
      </c>
      <c r="Y18" s="10">
        <f ca="1">SUM(LOOKUP(2,1/(M$1:M17&lt;&gt;""),M$1:M17)+CFDTable[[#This Row],[lowDaily]])</f>
        <v>9.6185520361990946</v>
      </c>
      <c r="Z18" s="10">
        <f ca="1">SUM(LOOKUP(2,1/(N$1:N17&lt;&gt;""),N$1:N17)+Q18)</f>
        <v>9.764705882352942</v>
      </c>
      <c r="AA18" s="10">
        <f ca="1">SUM(LOOKUP(2,1/(O$1:O17&lt;&gt;""),O$1:O17)+CFDTable[[#This Row],[highDaily]])</f>
        <v>9.9108597285067876</v>
      </c>
      <c r="AB18" s="12">
        <f>IF(CFDTable[[#This Row],[Date]]=DeadlineDate,CFDTable[Future Work],0)</f>
        <v>0</v>
      </c>
    </row>
    <row r="19" spans="1:28">
      <c r="A19" s="8">
        <f>CFDTable[[#This Row],[Date]]</f>
        <v>42431</v>
      </c>
      <c r="B19" s="9">
        <f>Data!B19</f>
        <v>42431</v>
      </c>
      <c r="C19" s="10" t="e">
        <f ca="1">IF(ISNUMBER(CFDTable[[#This Row],[Ready]]),NA(),CFDTable[[#This Row],[Target]]-CFDTable[[#This Row],[To Do]])</f>
        <v>#N/A</v>
      </c>
      <c r="D19" s="10" t="e">
        <f>IF(CFDTable[[#This Row],[Emergence]]&gt;0,CFDTable[[#This Row],[Future Work]]-CFDTable[[#This Row],[Emergence]],NA())</f>
        <v>#N/A</v>
      </c>
      <c r="E19" s="10">
        <f>Data!C19</f>
        <v>0</v>
      </c>
      <c r="F19" s="10">
        <f ca="1">Data!D19</f>
        <v>16</v>
      </c>
      <c r="G19" s="10">
        <f ca="1">IF(TodaysDate&gt;=$B19,Data!E19,NA())</f>
        <v>2</v>
      </c>
      <c r="H19" s="10">
        <f ca="1">IF(TodaysDate&gt;=$B19,Data!F19,NA())</f>
        <v>3</v>
      </c>
      <c r="I19" s="10">
        <f ca="1">IF(TodaysDate&gt;=$B19,Data!G19,NA())</f>
        <v>1</v>
      </c>
      <c r="J19" s="10">
        <f ca="1">IF(TodaysDate&gt;=$B19,Data!H19,NA())</f>
        <v>1</v>
      </c>
      <c r="K19" s="10">
        <f ca="1">IF(TodaysDate&gt;=$B19,Data!I19,NA())</f>
        <v>13</v>
      </c>
      <c r="L19" s="10">
        <f ca="1">IF(CFDTable[[#This Row],[Done]]&gt;0,(CFDTable[[#This Row],[Done]])-(K18),0)</f>
        <v>0</v>
      </c>
      <c r="M19" s="10">
        <f ca="1">IF(ISNUMBER($L19),SUM(CFDTable[[#This Row],[Done]]),IF(CFDTable[[#This Row],[lookupLow]]&gt;=CFDTable[[#This Row],[Target]]+CFDTable[[#This Row],[lowDaily]],NA(),CFDTable[[#This Row],[lookupLow]]))</f>
        <v>13</v>
      </c>
      <c r="N19" s="10">
        <f ca="1">IF(ISNUMBER($L19),SUM(CFDTable[[#This Row],[Done]]),IF(CFDTable[[#This Row],[lookupMedian]]&gt;=$X19+Q19,NA(),CFDTable[[#This Row],[lookupMedian]]))</f>
        <v>13</v>
      </c>
      <c r="O19" s="10">
        <f ca="1">IF(ISNUMBER(CFDTable[[#This Row],[Done Today]]),SUM(CFDTable[[#This Row],[Done]]),IF(CFDTable[[#This Row],[lookupHigh]]&gt;=CFDTable[[#This Row],[Target]]+CFDTable[[#This Row],[highDaily]],NA(),CFDTable[[#This Row],[lookupHigh]]))</f>
        <v>13</v>
      </c>
      <c r="P19" s="10">
        <f ca="1">CFDTable[[#This Row],[AvgDaily]]-CFDTable[[#This Row],[Deviation]]</f>
        <v>0.53055555555555556</v>
      </c>
      <c r="Q19" s="10">
        <f ca="1">AVERAGE(IF(ISNUMBER(L19),IF(ISNUMBER(OFFSET(L19,-Historic,0)),OFFSET(L19,-Historic,0),L$2):L19,Q18))</f>
        <v>0.72222222222222221</v>
      </c>
      <c r="R19" s="10">
        <f ca="1">AVERAGE(IF(ISNUMBER(L19),IF(ISNUMBER(OFFSET(L19,-Historic,0)),OFFSET(L19,-Historic,0),L$2):L19,R18))</f>
        <v>0.72222222222222221</v>
      </c>
      <c r="S19" s="10">
        <f ca="1">AVERAGE(IF(ISNUMBER(L19),OFFSET(L$2,DaysToIgnoreOnAvg,0):L19,S18))</f>
        <v>0.6875</v>
      </c>
      <c r="T19" s="10">
        <f ca="1">CFDTable[[#This Row],[AvgDaily]]+CFDTable[[#This Row],[Deviation]]</f>
        <v>0.91388888888888886</v>
      </c>
      <c r="U19" s="10">
        <f ca="1">IF(ISNUMBER(L19),((_xlfn.PERCENTILE.INC(IF(ISNUMBER(OFFSET(Q19,-Historic,0)),OFFSET(Q19,-Historic,0),Q$2):Q19,PercentileHigh/100))-(MEDIAN(IF(ISNUMBER(OFFSET(Q19,-Historic,0)),OFFSET(Q19,-Historic,0),Q$2):Q19))),U18)</f>
        <v>0.19166666666666665</v>
      </c>
      <c r="V19" s="10">
        <f ca="1">IF(ISNUMBER(L19),((_xlfn.PERCENTILE.INC(Q$2:Q19,PercentileHigh/100))-(MEDIAN(Q$2:Q19))),U18)</f>
        <v>0.19166666666666665</v>
      </c>
      <c r="W19" s="10">
        <f ca="1">IF(ISNUMBER(CFDTable[[#This Row],[Done Today]]),SUM($F19:$K19),$W18)</f>
        <v>36</v>
      </c>
      <c r="X19" s="10">
        <f ca="1">IF(ISNUMBER(CFDTable[[#This Row],[Done Today]]),SUM($F19:$K19),$X18)</f>
        <v>36</v>
      </c>
      <c r="Y19" s="10">
        <f ca="1">SUM(LOOKUP(2,1/(M$1:M18&lt;&gt;""),M$1:M18)+CFDTable[[#This Row],[lowDaily]])</f>
        <v>13.530555555555555</v>
      </c>
      <c r="Z19" s="10">
        <f ca="1">SUM(LOOKUP(2,1/(N$1:N18&lt;&gt;""),N$1:N18)+Q19)</f>
        <v>13.722222222222221</v>
      </c>
      <c r="AA19" s="10">
        <f ca="1">SUM(LOOKUP(2,1/(O$1:O18&lt;&gt;""),O$1:O18)+CFDTable[[#This Row],[highDaily]])</f>
        <v>13.91388888888889</v>
      </c>
      <c r="AB19" s="12">
        <f>IF(CFDTable[[#This Row],[Date]]=DeadlineDate,CFDTable[Future Work],0)</f>
        <v>0</v>
      </c>
    </row>
    <row r="20" spans="1:28">
      <c r="A20" s="8">
        <f>CFDTable[[#This Row],[Date]]</f>
        <v>42432</v>
      </c>
      <c r="B20" s="9">
        <f>Data!B20</f>
        <v>42432</v>
      </c>
      <c r="C20" s="10" t="e">
        <f ca="1">IF(ISNUMBER(CFDTable[[#This Row],[Ready]]),NA(),CFDTable[[#This Row],[Target]]-CFDTable[[#This Row],[To Do]])</f>
        <v>#N/A</v>
      </c>
      <c r="D20" s="10" t="e">
        <f>IF(CFDTable[[#This Row],[Emergence]]&gt;0,CFDTable[[#This Row],[Future Work]]-CFDTable[[#This Row],[Emergence]],NA())</f>
        <v>#N/A</v>
      </c>
      <c r="E20" s="10">
        <f>Data!C20</f>
        <v>0</v>
      </c>
      <c r="F20" s="10">
        <f ca="1">Data!D20</f>
        <v>15</v>
      </c>
      <c r="G20" s="10">
        <f ca="1">IF(TodaysDate&gt;=$B20,Data!E20,NA())</f>
        <v>3</v>
      </c>
      <c r="H20" s="10">
        <f ca="1">IF(TodaysDate&gt;=$B20,Data!F20,NA())</f>
        <v>1</v>
      </c>
      <c r="I20" s="10">
        <f ca="1">IF(TodaysDate&gt;=$B20,Data!G20,NA())</f>
        <v>0</v>
      </c>
      <c r="J20" s="10">
        <f ca="1">IF(TodaysDate&gt;=$B20,Data!H20,NA())</f>
        <v>1</v>
      </c>
      <c r="K20" s="10">
        <f ca="1">IF(TodaysDate&gt;=$B20,Data!I20,NA())</f>
        <v>16</v>
      </c>
      <c r="L20" s="10">
        <f ca="1">IF(CFDTable[[#This Row],[Done]]&gt;0,(CFDTable[[#This Row],[Done]])-(K19),0)</f>
        <v>3</v>
      </c>
      <c r="M20" s="10">
        <f ca="1">IF(ISNUMBER($L20),SUM(CFDTable[[#This Row],[Done]]),IF(CFDTable[[#This Row],[lookupLow]]&gt;=CFDTable[[#This Row],[Target]]+CFDTable[[#This Row],[lowDaily]],NA(),CFDTable[[#This Row],[lookupLow]]))</f>
        <v>16</v>
      </c>
      <c r="N20" s="10">
        <f ca="1">IF(ISNUMBER($L20),SUM(CFDTable[[#This Row],[Done]]),IF(CFDTable[[#This Row],[lookupMedian]]&gt;=$X20+Q20,NA(),CFDTable[[#This Row],[lookupMedian]]))</f>
        <v>16</v>
      </c>
      <c r="O20" s="10">
        <f ca="1">IF(ISNUMBER(CFDTable[[#This Row],[Done Today]]),SUM(CFDTable[[#This Row],[Done]]),IF(CFDTable[[#This Row],[lookupHigh]]&gt;=CFDTable[[#This Row],[Target]]+CFDTable[[#This Row],[highDaily]],NA(),CFDTable[[#This Row],[lookupHigh]]))</f>
        <v>16</v>
      </c>
      <c r="P20" s="10">
        <f ca="1">CFDTable[[#This Row],[AvgDaily]]-CFDTable[[#This Row],[Deviation]]</f>
        <v>0.60713794289645695</v>
      </c>
      <c r="Q20" s="10">
        <f ca="1">AVERAGE(IF(ISNUMBER(L20),IF(ISNUMBER(OFFSET(L20,-Historic,0)),OFFSET(L20,-Historic,0),L$2):L20,Q19))</f>
        <v>0.84210526315789469</v>
      </c>
      <c r="R20" s="10">
        <f ca="1">AVERAGE(IF(ISNUMBER(L20),IF(ISNUMBER(OFFSET(L20,-Historic,0)),OFFSET(L20,-Historic,0),L$2):L20,R19))</f>
        <v>0.84210526315789469</v>
      </c>
      <c r="S20" s="10">
        <f ca="1">AVERAGE(IF(ISNUMBER(L20),OFFSET(L$2,DaysToIgnoreOnAvg,0):L20,S19))</f>
        <v>0.82352941176470584</v>
      </c>
      <c r="T20" s="10">
        <f ca="1">CFDTable[[#This Row],[AvgDaily]]+CFDTable[[#This Row],[Deviation]]</f>
        <v>1.0770725834193324</v>
      </c>
      <c r="U20" s="10">
        <f ca="1">IF(ISNUMBER(L20),((_xlfn.PERCENTILE.INC(IF(ISNUMBER(OFFSET(Q20,-Historic,0)),OFFSET(Q20,-Historic,0),Q$2):Q20,PercentileHigh/100))-(MEDIAN(IF(ISNUMBER(OFFSET(Q20,-Historic,0)),OFFSET(Q20,-Historic,0),Q$2):Q20))),U19)</f>
        <v>0.23496732026143774</v>
      </c>
      <c r="V20" s="10">
        <f ca="1">IF(ISNUMBER(L20),((_xlfn.PERCENTILE.INC(Q$2:Q20,PercentileHigh/100))-(MEDIAN(Q$2:Q20))),U19)</f>
        <v>0.23496732026143774</v>
      </c>
      <c r="W20" s="10">
        <f ca="1">IF(ISNUMBER(CFDTable[[#This Row],[Done Today]]),SUM($F20:$K20),$W19)</f>
        <v>36</v>
      </c>
      <c r="X20" s="10">
        <f ca="1">IF(ISNUMBER(CFDTable[[#This Row],[Done Today]]),SUM($F20:$K20),$X19)</f>
        <v>36</v>
      </c>
      <c r="Y20" s="10">
        <f ca="1">SUM(LOOKUP(2,1/(M$1:M19&lt;&gt;""),M$1:M19)+CFDTable[[#This Row],[lowDaily]])</f>
        <v>13.607137942896458</v>
      </c>
      <c r="Z20" s="10">
        <f ca="1">SUM(LOOKUP(2,1/(N$1:N19&lt;&gt;""),N$1:N19)+Q20)</f>
        <v>13.842105263157894</v>
      </c>
      <c r="AA20" s="10">
        <f ca="1">SUM(LOOKUP(2,1/(O$1:O19&lt;&gt;""),O$1:O19)+CFDTable[[#This Row],[highDaily]])</f>
        <v>14.077072583419332</v>
      </c>
      <c r="AB20" s="12">
        <f>IF(CFDTable[[#This Row],[Date]]=DeadlineDate,CFDTable[Future Work],0)</f>
        <v>0</v>
      </c>
    </row>
    <row r="21" spans="1:28">
      <c r="A21" s="8">
        <f>CFDTable[[#This Row],[Date]]</f>
        <v>42433</v>
      </c>
      <c r="B21" s="9">
        <f>Data!B21</f>
        <v>42433</v>
      </c>
      <c r="C21" s="10" t="e">
        <f ca="1">IF(ISNUMBER(CFDTable[[#This Row],[Ready]]),NA(),CFDTable[[#This Row],[Target]]-CFDTable[[#This Row],[To Do]])</f>
        <v>#N/A</v>
      </c>
      <c r="D21" s="10" t="e">
        <f>IF(CFDTable[[#This Row],[Emergence]]&gt;0,CFDTable[[#This Row],[Future Work]]-CFDTable[[#This Row],[Emergence]],NA())</f>
        <v>#N/A</v>
      </c>
      <c r="E21" s="10">
        <f>Data!C21</f>
        <v>0</v>
      </c>
      <c r="F21" s="10">
        <f ca="1">Data!D21</f>
        <v>14</v>
      </c>
      <c r="G21" s="10">
        <f ca="1">IF(TodaysDate&gt;=$B21,Data!E21,NA())</f>
        <v>4</v>
      </c>
      <c r="H21" s="10">
        <f ca="1">IF(TodaysDate&gt;=$B21,Data!F21,NA())</f>
        <v>1</v>
      </c>
      <c r="I21" s="10">
        <f ca="1">IF(TodaysDate&gt;=$B21,Data!G21,NA())</f>
        <v>0</v>
      </c>
      <c r="J21" s="10">
        <f ca="1">IF(TodaysDate&gt;=$B21,Data!H21,NA())</f>
        <v>1</v>
      </c>
      <c r="K21" s="10">
        <f ca="1">IF(TodaysDate&gt;=$B21,Data!I21,NA())</f>
        <v>16</v>
      </c>
      <c r="L21" s="10">
        <f ca="1">IF(CFDTable[[#This Row],[Done]]&gt;0,(CFDTable[[#This Row],[Done]])-(K20),0)</f>
        <v>0</v>
      </c>
      <c r="M21" s="10">
        <f ca="1">IF(ISNUMBER($L21),SUM(CFDTable[[#This Row],[Done]]),IF(CFDTable[[#This Row],[lookupLow]]&gt;=CFDTable[[#This Row],[Target]]+CFDTable[[#This Row],[lowDaily]],NA(),CFDTable[[#This Row],[lookupLow]]))</f>
        <v>16</v>
      </c>
      <c r="N21" s="10">
        <f ca="1">IF(ISNUMBER($L21),SUM(CFDTable[[#This Row],[Done]]),IF(CFDTable[[#This Row],[lookupMedian]]&gt;=$X21+Q21,NA(),CFDTable[[#This Row],[lookupMedian]]))</f>
        <v>16</v>
      </c>
      <c r="O21" s="10">
        <f ca="1">IF(ISNUMBER(CFDTable[[#This Row],[Done Today]]),SUM(CFDTable[[#This Row],[Done]]),IF(CFDTable[[#This Row],[lookupHigh]]&gt;=CFDTable[[#This Row],[Target]]+CFDTable[[#This Row],[highDaily]],NA(),CFDTable[[#This Row],[lookupHigh]]))</f>
        <v>16</v>
      </c>
      <c r="P21" s="10">
        <f ca="1">CFDTable[[#This Row],[AvgDaily]]-CFDTable[[#This Row],[Deviation]]</f>
        <v>0.54666666666666675</v>
      </c>
      <c r="Q21" s="10">
        <f ca="1">AVERAGE(IF(ISNUMBER(L21),IF(ISNUMBER(OFFSET(L21,-Historic,0)),OFFSET(L21,-Historic,0),L$2):L21,Q20))</f>
        <v>0.8</v>
      </c>
      <c r="R21" s="10">
        <f ca="1">AVERAGE(IF(ISNUMBER(L21),IF(ISNUMBER(OFFSET(L21,-Historic,0)),OFFSET(L21,-Historic,0),L$2):L21,R20))</f>
        <v>0.8</v>
      </c>
      <c r="S21" s="10">
        <f ca="1">AVERAGE(IF(ISNUMBER(L21),OFFSET(L$2,DaysToIgnoreOnAvg,0):L21,S20))</f>
        <v>0.77777777777777779</v>
      </c>
      <c r="T21" s="10">
        <f ca="1">CFDTable[[#This Row],[AvgDaily]]+CFDTable[[#This Row],[Deviation]]</f>
        <v>1.0533333333333332</v>
      </c>
      <c r="U21" s="10">
        <f ca="1">IF(ISNUMBER(L21),((_xlfn.PERCENTILE.INC(IF(ISNUMBER(OFFSET(Q21,-Historic,0)),OFFSET(Q21,-Historic,0),Q$2):Q21,PercentileHigh/100))-(MEDIAN(IF(ISNUMBER(OFFSET(Q21,-Historic,0)),OFFSET(Q21,-Historic,0),Q$2):Q21))),U20)</f>
        <v>0.2533333333333333</v>
      </c>
      <c r="V21" s="10">
        <f ca="1">IF(ISNUMBER(L21),((_xlfn.PERCENTILE.INC(Q$2:Q21,PercentileHigh/100))-(MEDIAN(Q$2:Q21))),U20)</f>
        <v>0.2533333333333333</v>
      </c>
      <c r="W21" s="10">
        <f ca="1">IF(ISNUMBER(CFDTable[[#This Row],[Done Today]]),SUM($F21:$K21),$W20)</f>
        <v>36</v>
      </c>
      <c r="X21" s="10">
        <f ca="1">IF(ISNUMBER(CFDTable[[#This Row],[Done Today]]),SUM($F21:$K21),$X20)</f>
        <v>36</v>
      </c>
      <c r="Y21" s="10">
        <f ca="1">SUM(LOOKUP(2,1/(M$1:M20&lt;&gt;""),M$1:M20)+CFDTable[[#This Row],[lowDaily]])</f>
        <v>16.546666666666667</v>
      </c>
      <c r="Z21" s="10">
        <f ca="1">SUM(LOOKUP(2,1/(N$1:N20&lt;&gt;""),N$1:N20)+Q21)</f>
        <v>16.8</v>
      </c>
      <c r="AA21" s="10">
        <f ca="1">SUM(LOOKUP(2,1/(O$1:O20&lt;&gt;""),O$1:O20)+CFDTable[[#This Row],[highDaily]])</f>
        <v>17.053333333333335</v>
      </c>
      <c r="AB21" s="12">
        <f>IF(CFDTable[[#This Row],[Date]]=DeadlineDate,CFDTable[Future Work],0)</f>
        <v>0</v>
      </c>
    </row>
    <row r="22" spans="1:28">
      <c r="A22" s="8">
        <f>CFDTable[[#This Row],[Date]]</f>
        <v>42436</v>
      </c>
      <c r="B22" s="9">
        <f>Data!B22</f>
        <v>42436</v>
      </c>
      <c r="C22" s="10" t="e">
        <f ca="1">IF(ISNUMBER(CFDTable[[#This Row],[Ready]]),NA(),CFDTable[[#This Row],[Target]]-CFDTable[[#This Row],[To Do]])</f>
        <v>#N/A</v>
      </c>
      <c r="D22" s="10" t="e">
        <f>IF(CFDTable[[#This Row],[Emergence]]&gt;0,CFDTable[[#This Row],[Future Work]]-CFDTable[[#This Row],[Emergence]],NA())</f>
        <v>#N/A</v>
      </c>
      <c r="E22" s="10">
        <f>Data!C22</f>
        <v>0</v>
      </c>
      <c r="F22" s="10">
        <f ca="1">Data!D22</f>
        <v>14</v>
      </c>
      <c r="G22" s="10">
        <f ca="1">IF(TodaysDate&gt;=$B22,Data!E22,NA())</f>
        <v>2</v>
      </c>
      <c r="H22" s="10">
        <f ca="1">IF(TodaysDate&gt;=$B22,Data!F22,NA())</f>
        <v>2</v>
      </c>
      <c r="I22" s="10">
        <f ca="1">IF(TodaysDate&gt;=$B22,Data!G22,NA())</f>
        <v>0</v>
      </c>
      <c r="J22" s="10">
        <f ca="1">IF(TodaysDate&gt;=$B22,Data!H22,NA())</f>
        <v>0</v>
      </c>
      <c r="K22" s="10">
        <f ca="1">IF(TodaysDate&gt;=$B22,Data!I22,NA())</f>
        <v>18</v>
      </c>
      <c r="L22" s="10">
        <f ca="1">IF(CFDTable[[#This Row],[Done]]&gt;0,(CFDTable[[#This Row],[Done]])-(K21),0)</f>
        <v>2</v>
      </c>
      <c r="M22" s="10">
        <f ca="1">IF(ISNUMBER($L22),SUM(CFDTable[[#This Row],[Done]]),IF(CFDTable[[#This Row],[lookupLow]]&gt;=CFDTable[[#This Row],[Target]]+CFDTable[[#This Row],[lowDaily]],NA(),CFDTable[[#This Row],[lookupLow]]))</f>
        <v>18</v>
      </c>
      <c r="N22" s="10">
        <f ca="1">IF(ISNUMBER($L22),SUM(CFDTable[[#This Row],[Done]]),IF(CFDTable[[#This Row],[lookupMedian]]&gt;=$X22+Q22,NA(),CFDTable[[#This Row],[lookupMedian]]))</f>
        <v>18</v>
      </c>
      <c r="O22" s="10">
        <f ca="1">IF(ISNUMBER(CFDTable[[#This Row],[Done Today]]),SUM(CFDTable[[#This Row],[Done]]),IF(CFDTable[[#This Row],[lookupHigh]]&gt;=CFDTable[[#This Row],[Target]]+CFDTable[[#This Row],[highDaily]],NA(),CFDTable[[#This Row],[lookupHigh]]))</f>
        <v>18</v>
      </c>
      <c r="P22" s="10">
        <f ca="1">CFDTable[[#This Row],[AvgDaily]]-CFDTable[[#This Row],[Deviation]]</f>
        <v>0.59047619047619038</v>
      </c>
      <c r="Q22" s="10">
        <f ca="1">AVERAGE(IF(ISNUMBER(L22),IF(ISNUMBER(OFFSET(L22,-Historic,0)),OFFSET(L22,-Historic,0),L$2):L22,Q21))</f>
        <v>0.8571428571428571</v>
      </c>
      <c r="R22" s="10">
        <f ca="1">AVERAGE(IF(ISNUMBER(L22),IF(ISNUMBER(OFFSET(L22,-Historic,0)),OFFSET(L22,-Historic,0),L$2):L22,R21))</f>
        <v>0.8571428571428571</v>
      </c>
      <c r="S22" s="10">
        <f ca="1">AVERAGE(IF(ISNUMBER(L22),OFFSET(L$2,DaysToIgnoreOnAvg,0):L22,S21))</f>
        <v>0.84210526315789469</v>
      </c>
      <c r="T22" s="10">
        <f ca="1">CFDTable[[#This Row],[AvgDaily]]+CFDTable[[#This Row],[Deviation]]</f>
        <v>1.1238095238095238</v>
      </c>
      <c r="U22" s="10">
        <f ca="1">IF(ISNUMBER(L22),((_xlfn.PERCENTILE.INC(IF(ISNUMBER(OFFSET(Q22,-Historic,0)),OFFSET(Q22,-Historic,0),Q$2):Q22,PercentileHigh/100))-(MEDIAN(IF(ISNUMBER(OFFSET(Q22,-Historic,0)),OFFSET(Q22,-Historic,0),Q$2):Q22))),U21)</f>
        <v>0.26666666666666672</v>
      </c>
      <c r="V22" s="10">
        <f ca="1">IF(ISNUMBER(L22),((_xlfn.PERCENTILE.INC(Q$2:Q22,PercentileHigh/100))-(MEDIAN(Q$2:Q22))),U21)</f>
        <v>0.26666666666666672</v>
      </c>
      <c r="W22" s="10">
        <f ca="1">IF(ISNUMBER(CFDTable[[#This Row],[Done Today]]),SUM($F22:$K22),$W21)</f>
        <v>36</v>
      </c>
      <c r="X22" s="10">
        <f ca="1">IF(ISNUMBER(CFDTable[[#This Row],[Done Today]]),SUM($F22:$K22),$X21)</f>
        <v>36</v>
      </c>
      <c r="Y22" s="10">
        <f ca="1">SUM(LOOKUP(2,1/(M$1:M21&lt;&gt;""),M$1:M21)+CFDTable[[#This Row],[lowDaily]])</f>
        <v>16.590476190476192</v>
      </c>
      <c r="Z22" s="10">
        <f ca="1">SUM(LOOKUP(2,1/(N$1:N21&lt;&gt;""),N$1:N21)+Q22)</f>
        <v>16.857142857142858</v>
      </c>
      <c r="AA22" s="10">
        <f ca="1">SUM(LOOKUP(2,1/(O$1:O21&lt;&gt;""),O$1:O21)+CFDTable[[#This Row],[highDaily]])</f>
        <v>17.123809523809523</v>
      </c>
      <c r="AB22" s="12">
        <f>IF(CFDTable[[#This Row],[Date]]=DeadlineDate,CFDTable[Future Work],0)</f>
        <v>0</v>
      </c>
    </row>
    <row r="23" spans="1:28">
      <c r="A23" s="8">
        <f>CFDTable[[#This Row],[Date]]</f>
        <v>42437</v>
      </c>
      <c r="B23" s="9">
        <f>Data!B23</f>
        <v>42437</v>
      </c>
      <c r="C23" s="10" t="e">
        <f ca="1">IF(ISNUMBER(CFDTable[[#This Row],[Ready]]),NA(),CFDTable[[#This Row],[Target]]-CFDTable[[#This Row],[To Do]])</f>
        <v>#N/A</v>
      </c>
      <c r="D23" s="10" t="e">
        <f>IF(CFDTable[[#This Row],[Emergence]]&gt;0,CFDTable[[#This Row],[Future Work]]-CFDTable[[#This Row],[Emergence]],NA())</f>
        <v>#N/A</v>
      </c>
      <c r="E23" s="10">
        <f>Data!C23</f>
        <v>0</v>
      </c>
      <c r="F23" s="10">
        <f ca="1">Data!D23</f>
        <v>14</v>
      </c>
      <c r="G23" s="10">
        <f ca="1">IF(TodaysDate&gt;=$B23,Data!E23,NA())</f>
        <v>0</v>
      </c>
      <c r="H23" s="10">
        <f ca="1">IF(TodaysDate&gt;=$B23,Data!F23,NA())</f>
        <v>2</v>
      </c>
      <c r="I23" s="10">
        <f ca="1">IF(TodaysDate&gt;=$B23,Data!G23,NA())</f>
        <v>1</v>
      </c>
      <c r="J23" s="10">
        <f ca="1">IF(TodaysDate&gt;=$B23,Data!H23,NA())</f>
        <v>0</v>
      </c>
      <c r="K23" s="10">
        <f ca="1">IF(TodaysDate&gt;=$B23,Data!I23,NA())</f>
        <v>19</v>
      </c>
      <c r="L23" s="10">
        <f ca="1">IF(CFDTable[[#This Row],[Done]]&gt;0,(CFDTable[[#This Row],[Done]])-(K22),0)</f>
        <v>1</v>
      </c>
      <c r="M23" s="10">
        <f ca="1">IF(ISNUMBER($L23),SUM(CFDTable[[#This Row],[Done]]),IF(CFDTable[[#This Row],[lookupLow]]&gt;=CFDTable[[#This Row],[Target]]+CFDTable[[#This Row],[lowDaily]],NA(),CFDTable[[#This Row],[lookupLow]]))</f>
        <v>19</v>
      </c>
      <c r="N23" s="10">
        <f ca="1">IF(ISNUMBER($L23),SUM(CFDTable[[#This Row],[Done]]),IF(CFDTable[[#This Row],[lookupMedian]]&gt;=$X23+Q23,NA(),CFDTable[[#This Row],[lookupMedian]]))</f>
        <v>19</v>
      </c>
      <c r="O23" s="10">
        <f ca="1">IF(ISNUMBER(CFDTable[[#This Row],[Done Today]]),SUM(CFDTable[[#This Row],[Done]]),IF(CFDTable[[#This Row],[lookupHigh]]&gt;=CFDTable[[#This Row],[Target]]+CFDTable[[#This Row],[highDaily]],NA(),CFDTable[[#This Row],[lookupHigh]]))</f>
        <v>19</v>
      </c>
      <c r="P23" s="10">
        <f ca="1">CFDTable[[#This Row],[AvgDaily]]-CFDTable[[#This Row],[Deviation]]</f>
        <v>0.62515664160401008</v>
      </c>
      <c r="Q23" s="10">
        <f ca="1">AVERAGE(IF(ISNUMBER(L23),IF(ISNUMBER(OFFSET(L23,-Historic,0)),OFFSET(L23,-Historic,0),L$2):L23,Q22))</f>
        <v>0.90476190476190477</v>
      </c>
      <c r="R23" s="10">
        <f ca="1">AVERAGE(IF(ISNUMBER(L23),IF(ISNUMBER(OFFSET(L23,-Historic,0)),OFFSET(L23,-Historic,0),L$2):L23,R22))</f>
        <v>0.90476190476190477</v>
      </c>
      <c r="S23" s="10">
        <f ca="1">AVERAGE(IF(ISNUMBER(L23),OFFSET(L$2,DaysToIgnoreOnAvg,0):L23,S22))</f>
        <v>0.85</v>
      </c>
      <c r="T23" s="10">
        <f ca="1">CFDTable[[#This Row],[AvgDaily]]+CFDTable[[#This Row],[Deviation]]</f>
        <v>1.1843671679197993</v>
      </c>
      <c r="U23" s="10">
        <f ca="1">IF(ISNUMBER(L23),((_xlfn.PERCENTILE.INC(IF(ISNUMBER(OFFSET(Q23,-Historic,0)),OFFSET(Q23,-Historic,0),Q$2):Q23,PercentileHigh/100))-(MEDIAN(IF(ISNUMBER(OFFSET(Q23,-Historic,0)),OFFSET(Q23,-Historic,0),Q$2):Q23))),U22)</f>
        <v>0.27960526315789469</v>
      </c>
      <c r="V23" s="10">
        <f ca="1">IF(ISNUMBER(L23),((_xlfn.PERCENTILE.INC(Q$2:Q23,PercentileHigh/100))-(MEDIAN(Q$2:Q23))),U22)</f>
        <v>0.28787280701754381</v>
      </c>
      <c r="W23" s="10">
        <f ca="1">IF(ISNUMBER(CFDTable[[#This Row],[Done Today]]),SUM($F23:$K23),$W22)</f>
        <v>36</v>
      </c>
      <c r="X23" s="10">
        <f ca="1">IF(ISNUMBER(CFDTable[[#This Row],[Done Today]]),SUM($F23:$K23),$X22)</f>
        <v>36</v>
      </c>
      <c r="Y23" s="10">
        <f ca="1">SUM(LOOKUP(2,1/(M$1:M22&lt;&gt;""),M$1:M22)+CFDTable[[#This Row],[lowDaily]])</f>
        <v>18.625156641604011</v>
      </c>
      <c r="Z23" s="10">
        <f ca="1">SUM(LOOKUP(2,1/(N$1:N22&lt;&gt;""),N$1:N22)+Q23)</f>
        <v>18.904761904761905</v>
      </c>
      <c r="AA23" s="10">
        <f ca="1">SUM(LOOKUP(2,1/(O$1:O22&lt;&gt;""),O$1:O22)+CFDTable[[#This Row],[highDaily]])</f>
        <v>19.184367167919799</v>
      </c>
      <c r="AB23" s="12">
        <f>IF(CFDTable[[#This Row],[Date]]=DeadlineDate,CFDTable[Future Work],0)</f>
        <v>0</v>
      </c>
    </row>
    <row r="24" spans="1:28">
      <c r="A24" s="8">
        <f>CFDTable[[#This Row],[Date]]</f>
        <v>42438</v>
      </c>
      <c r="B24" s="9">
        <f>Data!B24</f>
        <v>42438</v>
      </c>
      <c r="C24" s="10" t="e">
        <f ca="1">IF(ISNUMBER(CFDTable[[#This Row],[Ready]]),NA(),CFDTable[[#This Row],[Target]]-CFDTable[[#This Row],[To Do]])</f>
        <v>#N/A</v>
      </c>
      <c r="D24" s="10">
        <f ca="1">IF(CFDTable[[#This Row],[Emergence]]&gt;0,CFDTable[[#This Row],[Future Work]]-CFDTable[[#This Row],[Emergence]],NA())</f>
        <v>36</v>
      </c>
      <c r="E24" s="10">
        <f>Data!C24</f>
        <v>43</v>
      </c>
      <c r="F24" s="10">
        <f ca="1">Data!D24</f>
        <v>56</v>
      </c>
      <c r="G24" s="10">
        <f ca="1">IF(TodaysDate&gt;=$B24,Data!E24,NA())</f>
        <v>0</v>
      </c>
      <c r="H24" s="10">
        <f ca="1">IF(TodaysDate&gt;=$B24,Data!F24,NA())</f>
        <v>3</v>
      </c>
      <c r="I24" s="10">
        <f ca="1">IF(TodaysDate&gt;=$B24,Data!G24,NA())</f>
        <v>1</v>
      </c>
      <c r="J24" s="10">
        <f ca="1">IF(TodaysDate&gt;=$B24,Data!H24,NA())</f>
        <v>0</v>
      </c>
      <c r="K24" s="10">
        <f ca="1">IF(TodaysDate&gt;=$B24,Data!I24,NA())</f>
        <v>19</v>
      </c>
      <c r="L24" s="10">
        <f ca="1">IF(CFDTable[[#This Row],[Done]]&gt;0,(CFDTable[[#This Row],[Done]])-(K23),0)</f>
        <v>0</v>
      </c>
      <c r="M24" s="10">
        <f ca="1">IF(ISNUMBER($L24),SUM(CFDTable[[#This Row],[Done]]),IF(CFDTable[[#This Row],[lookupLow]]&gt;=CFDTable[[#This Row],[Target]]+CFDTable[[#This Row],[lowDaily]],NA(),CFDTable[[#This Row],[lookupLow]]))</f>
        <v>19</v>
      </c>
      <c r="N24" s="10">
        <f ca="1">IF(ISNUMBER($L24),SUM(CFDTable[[#This Row],[Done]]),IF(CFDTable[[#This Row],[lookupMedian]]&gt;=$X24+Q24,NA(),CFDTable[[#This Row],[lookupMedian]]))</f>
        <v>19</v>
      </c>
      <c r="O24" s="10">
        <f ca="1">IF(ISNUMBER(CFDTable[[#This Row],[Done Today]]),SUM(CFDTable[[#This Row],[Done]]),IF(CFDTable[[#This Row],[lookupHigh]]&gt;=CFDTable[[#This Row],[Target]]+CFDTable[[#This Row],[highDaily]],NA(),CFDTable[[#This Row],[lookupHigh]]))</f>
        <v>19</v>
      </c>
      <c r="P24" s="10">
        <f ca="1">CFDTable[[#This Row],[AvgDaily]]-CFDTable[[#This Row],[Deviation]]</f>
        <v>0.5625</v>
      </c>
      <c r="Q24" s="10">
        <f ca="1">AVERAGE(IF(ISNUMBER(L24),IF(ISNUMBER(OFFSET(L24,-Historic,0)),OFFSET(L24,-Historic,0),L$2):L24,Q23))</f>
        <v>0.80952380952380953</v>
      </c>
      <c r="R24" s="10">
        <f ca="1">AVERAGE(IF(ISNUMBER(L24),IF(ISNUMBER(OFFSET(L24,-Historic,0)),OFFSET(L24,-Historic,0),L$2):L24,R23))</f>
        <v>0.80952380952380953</v>
      </c>
      <c r="S24" s="10">
        <f ca="1">AVERAGE(IF(ISNUMBER(L24),OFFSET(L$2,DaysToIgnoreOnAvg,0):L24,S23))</f>
        <v>0.80952380952380953</v>
      </c>
      <c r="T24" s="10">
        <f ca="1">CFDTable[[#This Row],[AvgDaily]]+CFDTable[[#This Row],[Deviation]]</f>
        <v>1.0565476190476191</v>
      </c>
      <c r="U24" s="10">
        <f ca="1">IF(ISNUMBER(L24),((_xlfn.PERCENTILE.INC(IF(ISNUMBER(OFFSET(Q24,-Historic,0)),OFFSET(Q24,-Historic,0),Q$2):Q24,PercentileHigh/100))-(MEDIAN(IF(ISNUMBER(OFFSET(Q24,-Historic,0)),OFFSET(Q24,-Historic,0),Q$2):Q24))),U23)</f>
        <v>0.24702380952380953</v>
      </c>
      <c r="V24" s="10">
        <f ca="1">IF(ISNUMBER(L24),((_xlfn.PERCENTILE.INC(Q$2:Q24,PercentileHigh/100))-(MEDIAN(Q$2:Q24))),U23)</f>
        <v>0.26983082706766914</v>
      </c>
      <c r="W24" s="10">
        <f ca="1">IF(ISNUMBER(CFDTable[[#This Row],[Done Today]]),SUM($F24:$K24),$W23)</f>
        <v>79</v>
      </c>
      <c r="X24" s="10">
        <f ca="1">IF(ISNUMBER(CFDTable[[#This Row],[Done Today]]),SUM($F24:$K24),$X23)</f>
        <v>79</v>
      </c>
      <c r="Y24" s="10">
        <f ca="1">SUM(LOOKUP(2,1/(M$1:M23&lt;&gt;""),M$1:M23)+CFDTable[[#This Row],[lowDaily]])</f>
        <v>19.5625</v>
      </c>
      <c r="Z24" s="10">
        <f ca="1">SUM(LOOKUP(2,1/(N$1:N23&lt;&gt;""),N$1:N23)+Q24)</f>
        <v>19.80952380952381</v>
      </c>
      <c r="AA24" s="10">
        <f ca="1">SUM(LOOKUP(2,1/(O$1:O23&lt;&gt;""),O$1:O23)+CFDTable[[#This Row],[highDaily]])</f>
        <v>20.05654761904762</v>
      </c>
      <c r="AB24" s="12">
        <f>IF(CFDTable[[#This Row],[Date]]=DeadlineDate,CFDTable[Future Work],0)</f>
        <v>0</v>
      </c>
    </row>
    <row r="25" spans="1:28">
      <c r="A25" s="8">
        <f>CFDTable[[#This Row],[Date]]</f>
        <v>42439</v>
      </c>
      <c r="B25" s="9">
        <f>Data!B25</f>
        <v>42439</v>
      </c>
      <c r="C25" s="10" t="e">
        <f ca="1">IF(ISNUMBER(CFDTable[[#This Row],[Ready]]),NA(),CFDTable[[#This Row],[Target]]-CFDTable[[#This Row],[To Do]])</f>
        <v>#N/A</v>
      </c>
      <c r="D25" s="10">
        <f ca="1">IF(CFDTable[[#This Row],[Emergence]]&gt;0,CFDTable[[#This Row],[Future Work]]-CFDTable[[#This Row],[Emergence]],NA())</f>
        <v>39</v>
      </c>
      <c r="E25" s="10">
        <f>Data!C25</f>
        <v>43</v>
      </c>
      <c r="F25" s="10">
        <f ca="1">Data!D25</f>
        <v>59</v>
      </c>
      <c r="G25" s="10">
        <f ca="1">IF(TodaysDate&gt;=$B25,Data!E25,NA())</f>
        <v>0</v>
      </c>
      <c r="H25" s="10">
        <f ca="1">IF(TodaysDate&gt;=$B25,Data!F25,NA())</f>
        <v>3</v>
      </c>
      <c r="I25" s="10">
        <f ca="1">IF(TodaysDate&gt;=$B25,Data!G25,NA())</f>
        <v>0</v>
      </c>
      <c r="J25" s="10">
        <f ca="1">IF(TodaysDate&gt;=$B25,Data!H25,NA())</f>
        <v>0</v>
      </c>
      <c r="K25" s="10">
        <f ca="1">IF(TodaysDate&gt;=$B25,Data!I25,NA())</f>
        <v>20</v>
      </c>
      <c r="L25" s="10">
        <f ca="1">IF(CFDTable[[#This Row],[Done]]&gt;0,(CFDTable[[#This Row],[Done]])-(K24),0)</f>
        <v>1</v>
      </c>
      <c r="M25" s="10">
        <f ca="1">IF(ISNUMBER($L25),SUM(CFDTable[[#This Row],[Done]]),IF(CFDTable[[#This Row],[lookupLow]]&gt;=CFDTable[[#This Row],[Target]]+CFDTable[[#This Row],[lowDaily]],NA(),CFDTable[[#This Row],[lookupLow]]))</f>
        <v>20</v>
      </c>
      <c r="N25" s="10">
        <f ca="1">IF(ISNUMBER($L25),SUM(CFDTable[[#This Row],[Done]]),IF(CFDTable[[#This Row],[lookupMedian]]&gt;=$X25+Q25,NA(),CFDTable[[#This Row],[lookupMedian]]))</f>
        <v>20</v>
      </c>
      <c r="O25" s="10">
        <f ca="1">IF(ISNUMBER(CFDTable[[#This Row],[Done Today]]),SUM(CFDTable[[#This Row],[Done]]),IF(CFDTable[[#This Row],[lookupHigh]]&gt;=CFDTable[[#This Row],[Target]]+CFDTable[[#This Row],[highDaily]],NA(),CFDTable[[#This Row],[lookupHigh]]))</f>
        <v>20</v>
      </c>
      <c r="P25" s="10">
        <f ca="1">CFDTable[[#This Row],[AvgDaily]]-CFDTable[[#This Row],[Deviation]]</f>
        <v>0.57753759398496241</v>
      </c>
      <c r="Q25" s="10">
        <f ca="1">AVERAGE(IF(ISNUMBER(L25),IF(ISNUMBER(OFFSET(L25,-Historic,0)),OFFSET(L25,-Historic,0),L$2):L25,Q24))</f>
        <v>0.8571428571428571</v>
      </c>
      <c r="R25" s="10">
        <f ca="1">AVERAGE(IF(ISNUMBER(L25),IF(ISNUMBER(OFFSET(L25,-Historic,0)),OFFSET(L25,-Historic,0),L$2):L25,R24))</f>
        <v>0.8571428571428571</v>
      </c>
      <c r="S25" s="10">
        <f ca="1">AVERAGE(IF(ISNUMBER(L25),OFFSET(L$2,DaysToIgnoreOnAvg,0):L25,S24))</f>
        <v>0.81818181818181823</v>
      </c>
      <c r="T25" s="10">
        <f ca="1">CFDTable[[#This Row],[AvgDaily]]+CFDTable[[#This Row],[Deviation]]</f>
        <v>1.1367481203007519</v>
      </c>
      <c r="U25" s="10">
        <f ca="1">IF(ISNUMBER(L25),((_xlfn.PERCENTILE.INC(IF(ISNUMBER(OFFSET(Q25,-Historic,0)),OFFSET(Q25,-Historic,0),Q$2):Q25,PercentileHigh/100))-(MEDIAN(IF(ISNUMBER(OFFSET(Q25,-Historic,0)),OFFSET(Q25,-Historic,0),Q$2):Q25))),U24)</f>
        <v>0.27960526315789469</v>
      </c>
      <c r="V25" s="10">
        <f ca="1">IF(ISNUMBER(L25),((_xlfn.PERCENTILE.INC(Q$2:Q25,PercentileHigh/100))-(MEDIAN(Q$2:Q25))),U24)</f>
        <v>0.28341165413533831</v>
      </c>
      <c r="W25" s="10">
        <f ca="1">IF(ISNUMBER(CFDTable[[#This Row],[Done Today]]),SUM($F25:$K25),$W24)</f>
        <v>82</v>
      </c>
      <c r="X25" s="10">
        <f ca="1">IF(ISNUMBER(CFDTable[[#This Row],[Done Today]]),SUM($F25:$K25),$X24)</f>
        <v>82</v>
      </c>
      <c r="Y25" s="10">
        <f ca="1">SUM(LOOKUP(2,1/(M$1:M24&lt;&gt;""),M$1:M24)+CFDTable[[#This Row],[lowDaily]])</f>
        <v>19.577537593984964</v>
      </c>
      <c r="Z25" s="10">
        <f ca="1">SUM(LOOKUP(2,1/(N$1:N24&lt;&gt;""),N$1:N24)+Q25)</f>
        <v>19.857142857142858</v>
      </c>
      <c r="AA25" s="10">
        <f ca="1">SUM(LOOKUP(2,1/(O$1:O24&lt;&gt;""),O$1:O24)+CFDTable[[#This Row],[highDaily]])</f>
        <v>20.136748120300751</v>
      </c>
      <c r="AB25" s="12">
        <f>IF(CFDTable[[#This Row],[Date]]=DeadlineDate,CFDTable[Future Work],0)</f>
        <v>0</v>
      </c>
    </row>
    <row r="26" spans="1:28">
      <c r="A26" s="8">
        <f>CFDTable[[#This Row],[Date]]</f>
        <v>42440</v>
      </c>
      <c r="B26" s="9">
        <f>Data!B26</f>
        <v>42440</v>
      </c>
      <c r="C26" s="10" t="e">
        <f ca="1">IF(ISNUMBER(CFDTable[[#This Row],[Ready]]),NA(),CFDTable[[#This Row],[Target]]-CFDTable[[#This Row],[To Do]])</f>
        <v>#N/A</v>
      </c>
      <c r="D26" s="10">
        <f ca="1">IF(CFDTable[[#This Row],[Emergence]]&gt;0,CFDTable[[#This Row],[Future Work]]-CFDTable[[#This Row],[Emergence]],NA())</f>
        <v>39</v>
      </c>
      <c r="E26" s="10">
        <f>Data!C26</f>
        <v>43</v>
      </c>
      <c r="F26" s="10">
        <f ca="1">Data!D26</f>
        <v>59</v>
      </c>
      <c r="G26" s="10">
        <f ca="1">IF(TodaysDate&gt;=$B26,Data!E26,NA())</f>
        <v>0</v>
      </c>
      <c r="H26" s="10">
        <f ca="1">IF(TodaysDate&gt;=$B26,Data!F26,NA())</f>
        <v>3</v>
      </c>
      <c r="I26" s="10">
        <f ca="1">IF(TodaysDate&gt;=$B26,Data!G26,NA())</f>
        <v>0</v>
      </c>
      <c r="J26" s="10">
        <f ca="1">IF(TodaysDate&gt;=$B26,Data!H26,NA())</f>
        <v>0</v>
      </c>
      <c r="K26" s="10">
        <f ca="1">IF(TodaysDate&gt;=$B26,Data!I26,NA())</f>
        <v>20</v>
      </c>
      <c r="L26" s="10">
        <f ca="1">IF(CFDTable[[#This Row],[Done]]&gt;0,(CFDTable[[#This Row],[Done]])-(K25),0)</f>
        <v>0</v>
      </c>
      <c r="M26" s="10">
        <f ca="1">IF(ISNUMBER($L26),SUM(CFDTable[[#This Row],[Done]]),IF(CFDTable[[#This Row],[lookupLow]]&gt;=CFDTable[[#This Row],[Target]]+CFDTable[[#This Row],[lowDaily]],NA(),CFDTable[[#This Row],[lookupLow]]))</f>
        <v>20</v>
      </c>
      <c r="N26" s="10">
        <f ca="1">IF(ISNUMBER($L26),SUM(CFDTable[[#This Row],[Done]]),IF(CFDTable[[#This Row],[lookupMedian]]&gt;=$X26+Q26,NA(),CFDTable[[#This Row],[lookupMedian]]))</f>
        <v>20</v>
      </c>
      <c r="O26" s="10">
        <f ca="1">IF(ISNUMBER(CFDTable[[#This Row],[Done Today]]),SUM(CFDTable[[#This Row],[Done]]),IF(CFDTable[[#This Row],[lookupHigh]]&gt;=CFDTable[[#This Row],[Target]]+CFDTable[[#This Row],[highDaily]],NA(),CFDTable[[#This Row],[lookupHigh]]))</f>
        <v>20</v>
      </c>
      <c r="P26" s="10">
        <f ca="1">CFDTable[[#This Row],[AvgDaily]]-CFDTable[[#This Row],[Deviation]]</f>
        <v>0.5714285714285714</v>
      </c>
      <c r="Q26" s="10">
        <f ca="1">AVERAGE(IF(ISNUMBER(L26),IF(ISNUMBER(OFFSET(L26,-Historic,0)),OFFSET(L26,-Historic,0),L$2):L26,Q25))</f>
        <v>0.8571428571428571</v>
      </c>
      <c r="R26" s="10">
        <f ca="1">AVERAGE(IF(ISNUMBER(L26),IF(ISNUMBER(OFFSET(L26,-Historic,0)),OFFSET(L26,-Historic,0),L$2):L26,R25))</f>
        <v>0.8571428571428571</v>
      </c>
      <c r="S26" s="10">
        <f ca="1">AVERAGE(IF(ISNUMBER(L26),OFFSET(L$2,DaysToIgnoreOnAvg,0):L26,S25))</f>
        <v>0.78260869565217395</v>
      </c>
      <c r="T26" s="10">
        <f ca="1">CFDTable[[#This Row],[AvgDaily]]+CFDTable[[#This Row],[Deviation]]</f>
        <v>1.1428571428571428</v>
      </c>
      <c r="U26" s="10">
        <f ca="1">IF(ISNUMBER(L26),((_xlfn.PERCENTILE.INC(IF(ISNUMBER(OFFSET(Q26,-Historic,0)),OFFSET(Q26,-Historic,0),Q$2):Q26,PercentileHigh/100))-(MEDIAN(IF(ISNUMBER(OFFSET(Q26,-Historic,0)),OFFSET(Q26,-Historic,0),Q$2):Q26))),U25)</f>
        <v>0.2857142857142857</v>
      </c>
      <c r="V26" s="10">
        <f ca="1">IF(ISNUMBER(L26),((_xlfn.PERCENTILE.INC(Q$2:Q26,PercentileHigh/100))-(MEDIAN(Q$2:Q26))),U25)</f>
        <v>0.2857142857142857</v>
      </c>
      <c r="W26" s="10">
        <f ca="1">IF(ISNUMBER(CFDTable[[#This Row],[Done Today]]),SUM($F26:$K26),$W25)</f>
        <v>82</v>
      </c>
      <c r="X26" s="10">
        <f ca="1">IF(ISNUMBER(CFDTable[[#This Row],[Done Today]]),SUM($F26:$K26),$X25)</f>
        <v>82</v>
      </c>
      <c r="Y26" s="10">
        <f ca="1">SUM(LOOKUP(2,1/(M$1:M25&lt;&gt;""),M$1:M25)+CFDTable[[#This Row],[lowDaily]])</f>
        <v>20.571428571428573</v>
      </c>
      <c r="Z26" s="10">
        <f ca="1">SUM(LOOKUP(2,1/(N$1:N25&lt;&gt;""),N$1:N25)+Q26)</f>
        <v>20.857142857142858</v>
      </c>
      <c r="AA26" s="10">
        <f ca="1">SUM(LOOKUP(2,1/(O$1:O25&lt;&gt;""),O$1:O25)+CFDTable[[#This Row],[highDaily]])</f>
        <v>21.142857142857142</v>
      </c>
      <c r="AB26" s="12">
        <f>IF(CFDTable[[#This Row],[Date]]=DeadlineDate,CFDTable[Future Work],0)</f>
        <v>0</v>
      </c>
    </row>
    <row r="27" spans="1:28">
      <c r="A27" s="8">
        <f>CFDTable[[#This Row],[Date]]</f>
        <v>42443</v>
      </c>
      <c r="B27" s="9">
        <f>Data!B27</f>
        <v>42443</v>
      </c>
      <c r="C27" s="10" t="e">
        <f ca="1">IF(ISNUMBER(CFDTable[[#This Row],[Ready]]),NA(),CFDTable[[#This Row],[Target]]-CFDTable[[#This Row],[To Do]])</f>
        <v>#N/A</v>
      </c>
      <c r="D27" s="10">
        <f ca="1">IF(CFDTable[[#This Row],[Emergence]]&gt;0,CFDTable[[#This Row],[Future Work]]-CFDTable[[#This Row],[Emergence]],NA())</f>
        <v>39</v>
      </c>
      <c r="E27" s="10">
        <f>Data!C27</f>
        <v>43</v>
      </c>
      <c r="F27" s="10">
        <f ca="1">Data!D27</f>
        <v>58</v>
      </c>
      <c r="G27" s="10">
        <f ca="1">IF(TodaysDate&gt;=$B27,Data!E27,NA())</f>
        <v>0</v>
      </c>
      <c r="H27" s="10">
        <f ca="1">IF(TodaysDate&gt;=$B27,Data!F27,NA())</f>
        <v>3</v>
      </c>
      <c r="I27" s="10">
        <f ca="1">IF(TodaysDate&gt;=$B27,Data!G27,NA())</f>
        <v>0</v>
      </c>
      <c r="J27" s="10">
        <f ca="1">IF(TodaysDate&gt;=$B27,Data!H27,NA())</f>
        <v>0</v>
      </c>
      <c r="K27" s="10">
        <f ca="1">IF(TodaysDate&gt;=$B27,Data!I27,NA())</f>
        <v>21</v>
      </c>
      <c r="L27" s="10">
        <f ca="1">IF(CFDTable[[#This Row],[Done]]&gt;0,(CFDTable[[#This Row],[Done]])-(K26),0)</f>
        <v>1</v>
      </c>
      <c r="M27" s="10">
        <f ca="1">IF(ISNUMBER($L27),SUM(CFDTable[[#This Row],[Done]]),IF(CFDTable[[#This Row],[lookupLow]]&gt;=CFDTable[[#This Row],[Target]]+CFDTable[[#This Row],[lowDaily]],NA(),CFDTable[[#This Row],[lookupLow]]))</f>
        <v>21</v>
      </c>
      <c r="N27" s="10">
        <f ca="1">IF(ISNUMBER($L27),SUM(CFDTable[[#This Row],[Done]]),IF(CFDTable[[#This Row],[lookupMedian]]&gt;=$X27+Q27,NA(),CFDTable[[#This Row],[lookupMedian]]))</f>
        <v>21</v>
      </c>
      <c r="O27" s="10">
        <f ca="1">IF(ISNUMBER(CFDTable[[#This Row],[Done Today]]),SUM(CFDTable[[#This Row],[Done]]),IF(CFDTable[[#This Row],[lookupHigh]]&gt;=CFDTable[[#This Row],[Target]]+CFDTable[[#This Row],[highDaily]],NA(),CFDTable[[#This Row],[lookupHigh]]))</f>
        <v>21</v>
      </c>
      <c r="P27" s="10">
        <f ca="1">CFDTable[[#This Row],[AvgDaily]]-CFDTable[[#This Row],[Deviation]]</f>
        <v>0.66300366300366309</v>
      </c>
      <c r="Q27" s="10">
        <f ca="1">AVERAGE(IF(ISNUMBER(L27),IF(ISNUMBER(OFFSET(L27,-Historic,0)),OFFSET(L27,-Historic,0),L$2):L27,Q26))</f>
        <v>0.90476190476190477</v>
      </c>
      <c r="R27" s="10">
        <f ca="1">AVERAGE(IF(ISNUMBER(L27),IF(ISNUMBER(OFFSET(L27,-Historic,0)),OFFSET(L27,-Historic,0),L$2):L27,R26))</f>
        <v>0.90476190476190477</v>
      </c>
      <c r="S27" s="10">
        <f ca="1">AVERAGE(IF(ISNUMBER(L27),OFFSET(L$2,DaysToIgnoreOnAvg,0):L27,S26))</f>
        <v>0.79166666666666663</v>
      </c>
      <c r="T27" s="10">
        <f ca="1">CFDTable[[#This Row],[AvgDaily]]+CFDTable[[#This Row],[Deviation]]</f>
        <v>1.1465201465201464</v>
      </c>
      <c r="U27" s="10">
        <f ca="1">IF(ISNUMBER(L27),((_xlfn.PERCENTILE.INC(IF(ISNUMBER(OFFSET(Q27,-Historic,0)),OFFSET(Q27,-Historic,0),Q$2):Q27,PercentileHigh/100))-(MEDIAN(IF(ISNUMBER(OFFSET(Q27,-Historic,0)),OFFSET(Q27,-Historic,0),Q$2):Q27))),U26)</f>
        <v>0.24175824175824168</v>
      </c>
      <c r="V27" s="10">
        <f ca="1">IF(ISNUMBER(L27),((_xlfn.PERCENTILE.INC(Q$2:Q27,PercentileHigh/100))-(MEDIAN(Q$2:Q27))),U26)</f>
        <v>0.26373626373626369</v>
      </c>
      <c r="W27" s="10">
        <f ca="1">IF(ISNUMBER(CFDTable[[#This Row],[Done Today]]),SUM($F27:$K27),$W26)</f>
        <v>82</v>
      </c>
      <c r="X27" s="10">
        <f ca="1">IF(ISNUMBER(CFDTable[[#This Row],[Done Today]]),SUM($F27:$K27),$X26)</f>
        <v>82</v>
      </c>
      <c r="Y27" s="10">
        <f ca="1">SUM(LOOKUP(2,1/(M$1:M26&lt;&gt;""),M$1:M26)+CFDTable[[#This Row],[lowDaily]])</f>
        <v>20.663003663003664</v>
      </c>
      <c r="Z27" s="10">
        <f ca="1">SUM(LOOKUP(2,1/(N$1:N26&lt;&gt;""),N$1:N26)+Q27)</f>
        <v>20.904761904761905</v>
      </c>
      <c r="AA27" s="10">
        <f ca="1">SUM(LOOKUP(2,1/(O$1:O26&lt;&gt;""),O$1:O26)+CFDTable[[#This Row],[highDaily]])</f>
        <v>21.146520146520146</v>
      </c>
      <c r="AB27" s="12">
        <f>IF(CFDTable[[#This Row],[Date]]=DeadlineDate,CFDTable[Future Work],0)</f>
        <v>0</v>
      </c>
    </row>
    <row r="28" spans="1:28">
      <c r="A28" s="8">
        <f>CFDTable[[#This Row],[Date]]</f>
        <v>42444</v>
      </c>
      <c r="B28" s="9">
        <f>Data!B28</f>
        <v>42444</v>
      </c>
      <c r="C28" s="10" t="e">
        <f ca="1">IF(ISNUMBER(CFDTable[[#This Row],[Ready]]),NA(),CFDTable[[#This Row],[Target]]-CFDTable[[#This Row],[To Do]])</f>
        <v>#N/A</v>
      </c>
      <c r="D28" s="10">
        <f ca="1">IF(CFDTable[[#This Row],[Emergence]]&gt;0,CFDTable[[#This Row],[Future Work]]-CFDTable[[#This Row],[Emergence]],NA())</f>
        <v>41</v>
      </c>
      <c r="E28" s="10">
        <f>Data!C28</f>
        <v>43</v>
      </c>
      <c r="F28" s="10">
        <f ca="1">Data!D28</f>
        <v>57</v>
      </c>
      <c r="G28" s="10">
        <f ca="1">IF(TodaysDate&gt;=$B28,Data!E28,NA())</f>
        <v>0</v>
      </c>
      <c r="H28" s="10">
        <f ca="1">IF(TodaysDate&gt;=$B28,Data!F28,NA())</f>
        <v>6</v>
      </c>
      <c r="I28" s="10">
        <f ca="1">IF(TodaysDate&gt;=$B28,Data!G28,NA())</f>
        <v>0</v>
      </c>
      <c r="J28" s="10">
        <f ca="1">IF(TodaysDate&gt;=$B28,Data!H28,NA())</f>
        <v>0</v>
      </c>
      <c r="K28" s="10">
        <f ca="1">IF(TodaysDate&gt;=$B28,Data!I28,NA())</f>
        <v>21</v>
      </c>
      <c r="L28" s="10">
        <f ca="1">IF(CFDTable[[#This Row],[Done]]&gt;0,(CFDTable[[#This Row],[Done]])-(K27),0)</f>
        <v>0</v>
      </c>
      <c r="M28" s="10">
        <f ca="1">IF(ISNUMBER($L28),SUM(CFDTable[[#This Row],[Done]]),IF(CFDTable[[#This Row],[lookupLow]]&gt;=CFDTable[[#This Row],[Target]]+CFDTable[[#This Row],[lowDaily]],NA(),CFDTable[[#This Row],[lookupLow]]))</f>
        <v>21</v>
      </c>
      <c r="N28" s="10">
        <f ca="1">IF(ISNUMBER($L28),SUM(CFDTable[[#This Row],[Done]]),IF(CFDTable[[#This Row],[lookupMedian]]&gt;=$X28+Q28,NA(),CFDTable[[#This Row],[lookupMedian]]))</f>
        <v>21</v>
      </c>
      <c r="O28" s="10">
        <f ca="1">IF(ISNUMBER(CFDTable[[#This Row],[Done Today]]),SUM(CFDTable[[#This Row],[Done]]),IF(CFDTable[[#This Row],[lookupHigh]]&gt;=CFDTable[[#This Row],[Target]]+CFDTable[[#This Row],[highDaily]],NA(),CFDTable[[#This Row],[lookupHigh]]))</f>
        <v>21</v>
      </c>
      <c r="P28" s="10">
        <f ca="1">CFDTable[[#This Row],[AvgDaily]]-CFDTable[[#This Row],[Deviation]]</f>
        <v>0.76984126984126988</v>
      </c>
      <c r="Q28" s="10">
        <f ca="1">AVERAGE(IF(ISNUMBER(L28),IF(ISNUMBER(OFFSET(L28,-Historic,0)),OFFSET(L28,-Historic,0),L$2):L28,Q27))</f>
        <v>0.90476190476190477</v>
      </c>
      <c r="R28" s="10">
        <f ca="1">AVERAGE(IF(ISNUMBER(L28),IF(ISNUMBER(OFFSET(L28,-Historic,0)),OFFSET(L28,-Historic,0),L$2):L28,R27))</f>
        <v>0.90476190476190477</v>
      </c>
      <c r="S28" s="10">
        <f ca="1">AVERAGE(IF(ISNUMBER(L28),OFFSET(L$2,DaysToIgnoreOnAvg,0):L28,S27))</f>
        <v>0.76</v>
      </c>
      <c r="T28" s="10">
        <f ca="1">CFDTable[[#This Row],[AvgDaily]]+CFDTable[[#This Row],[Deviation]]</f>
        <v>1.0396825396825395</v>
      </c>
      <c r="U28" s="10">
        <f ca="1">IF(ISNUMBER(L28),((_xlfn.PERCENTILE.INC(IF(ISNUMBER(OFFSET(Q28,-Historic,0)),OFFSET(Q28,-Historic,0),Q$2):Q28,PercentileHigh/100))-(MEDIAN(IF(ISNUMBER(OFFSET(Q28,-Historic,0)),OFFSET(Q28,-Historic,0),Q$2):Q28))),U27)</f>
        <v>0.13492063492063489</v>
      </c>
      <c r="V28" s="10">
        <f ca="1">IF(ISNUMBER(L28),((_xlfn.PERCENTILE.INC(Q$2:Q28,PercentileHigh/100))-(MEDIAN(Q$2:Q28))),U27)</f>
        <v>0.24652014652014631</v>
      </c>
      <c r="W28" s="10">
        <f ca="1">IF(ISNUMBER(CFDTable[[#This Row],[Done Today]]),SUM($F28:$K28),$W27)</f>
        <v>84</v>
      </c>
      <c r="X28" s="10">
        <f ca="1">IF(ISNUMBER(CFDTable[[#This Row],[Done Today]]),SUM($F28:$K28),$X27)</f>
        <v>84</v>
      </c>
      <c r="Y28" s="10">
        <f ca="1">SUM(LOOKUP(2,1/(M$1:M27&lt;&gt;""),M$1:M27)+CFDTable[[#This Row],[lowDaily]])</f>
        <v>21.769841269841269</v>
      </c>
      <c r="Z28" s="10">
        <f ca="1">SUM(LOOKUP(2,1/(N$1:N27&lt;&gt;""),N$1:N27)+Q28)</f>
        <v>21.904761904761905</v>
      </c>
      <c r="AA28" s="10">
        <f ca="1">SUM(LOOKUP(2,1/(O$1:O27&lt;&gt;""),O$1:O27)+CFDTable[[#This Row],[highDaily]])</f>
        <v>22.039682539682538</v>
      </c>
      <c r="AB28" s="12">
        <f>IF(CFDTable[[#This Row],[Date]]=DeadlineDate,CFDTable[Future Work],0)</f>
        <v>0</v>
      </c>
    </row>
    <row r="29" spans="1:28">
      <c r="A29" s="8">
        <f>CFDTable[[#This Row],[Date]]</f>
        <v>42445</v>
      </c>
      <c r="B29" s="9">
        <f>Data!B29</f>
        <v>42445</v>
      </c>
      <c r="C29" s="10" t="e">
        <f ca="1">IF(ISNUMBER(CFDTable[[#This Row],[Ready]]),NA(),CFDTable[[#This Row],[Target]]-CFDTable[[#This Row],[To Do]])</f>
        <v>#N/A</v>
      </c>
      <c r="D29" s="10">
        <f ca="1">IF(CFDTable[[#This Row],[Emergence]]&gt;0,CFDTable[[#This Row],[Future Work]]-CFDTable[[#This Row],[Emergence]],NA())</f>
        <v>41</v>
      </c>
      <c r="E29" s="10">
        <f>Data!C29</f>
        <v>43</v>
      </c>
      <c r="F29" s="10">
        <f ca="1">Data!D29</f>
        <v>56</v>
      </c>
      <c r="G29" s="10">
        <f ca="1">IF(TodaysDate&gt;=$B29,Data!E29,NA())</f>
        <v>0</v>
      </c>
      <c r="H29" s="10">
        <f ca="1">IF(TodaysDate&gt;=$B29,Data!F29,NA())</f>
        <v>6</v>
      </c>
      <c r="I29" s="10">
        <f ca="1">IF(TodaysDate&gt;=$B29,Data!G29,NA())</f>
        <v>0</v>
      </c>
      <c r="J29" s="10">
        <f ca="1">IF(TodaysDate&gt;=$B29,Data!H29,NA())</f>
        <v>0</v>
      </c>
      <c r="K29" s="10">
        <f ca="1">IF(TodaysDate&gt;=$B29,Data!I29,NA())</f>
        <v>22</v>
      </c>
      <c r="L29" s="10">
        <f ca="1">IF(CFDTable[[#This Row],[Done]]&gt;0,(CFDTable[[#This Row],[Done]])-(K28),0)</f>
        <v>1</v>
      </c>
      <c r="M29" s="10">
        <f ca="1">IF(ISNUMBER($L29),SUM(CFDTable[[#This Row],[Done]]),IF(CFDTable[[#This Row],[lookupLow]]&gt;=CFDTable[[#This Row],[Target]]+CFDTable[[#This Row],[lowDaily]],NA(),CFDTable[[#This Row],[lookupLow]]))</f>
        <v>22</v>
      </c>
      <c r="N29" s="10">
        <f ca="1">IF(ISNUMBER($L29),SUM(CFDTable[[#This Row],[Done]]),IF(CFDTable[[#This Row],[lookupMedian]]&gt;=$X29+Q29,NA(),CFDTable[[#This Row],[lookupMedian]]))</f>
        <v>22</v>
      </c>
      <c r="O29" s="10">
        <f ca="1">IF(ISNUMBER(CFDTable[[#This Row],[Done Today]]),SUM(CFDTable[[#This Row],[Done]]),IF(CFDTable[[#This Row],[lookupHigh]]&gt;=CFDTable[[#This Row],[Target]]+CFDTable[[#This Row],[highDaily]],NA(),CFDTable[[#This Row],[lookupHigh]]))</f>
        <v>22</v>
      </c>
      <c r="P29" s="10">
        <f ca="1">CFDTable[[#This Row],[AvgDaily]]-CFDTable[[#This Row],[Deviation]]</f>
        <v>0.81232492997198869</v>
      </c>
      <c r="Q29" s="10">
        <f ca="1">AVERAGE(IF(ISNUMBER(L29),IF(ISNUMBER(OFFSET(L29,-Historic,0)),OFFSET(L29,-Historic,0),L$2):L29,Q28))</f>
        <v>0.95238095238095233</v>
      </c>
      <c r="R29" s="10">
        <f ca="1">AVERAGE(IF(ISNUMBER(L29),IF(ISNUMBER(OFFSET(L29,-Historic,0)),OFFSET(L29,-Historic,0),L$2):L29,R28))</f>
        <v>0.95238095238095233</v>
      </c>
      <c r="S29" s="10">
        <f ca="1">AVERAGE(IF(ISNUMBER(L29),OFFSET(L$2,DaysToIgnoreOnAvg,0):L29,S28))</f>
        <v>0.76923076923076927</v>
      </c>
      <c r="T29" s="10">
        <f ca="1">CFDTable[[#This Row],[AvgDaily]]+CFDTable[[#This Row],[Deviation]]</f>
        <v>1.0924369747899161</v>
      </c>
      <c r="U29" s="10">
        <f ca="1">IF(ISNUMBER(L29),((_xlfn.PERCENTILE.INC(IF(ISNUMBER(OFFSET(Q29,-Historic,0)),OFFSET(Q29,-Historic,0),Q$2):Q29,PercentileHigh/100))-(MEDIAN(IF(ISNUMBER(OFFSET(Q29,-Historic,0)),OFFSET(Q29,-Historic,0),Q$2):Q29))),U28)</f>
        <v>0.14005602240896364</v>
      </c>
      <c r="V29" s="10">
        <f ca="1">IF(ISNUMBER(L29),((_xlfn.PERCENTILE.INC(Q$2:Q29,PercentileHigh/100))-(MEDIAN(Q$2:Q29))),U28)</f>
        <v>0.26135531135531143</v>
      </c>
      <c r="W29" s="10">
        <f ca="1">IF(ISNUMBER(CFDTable[[#This Row],[Done Today]]),SUM($F29:$K29),$W28)</f>
        <v>84</v>
      </c>
      <c r="X29" s="10">
        <f ca="1">IF(ISNUMBER(CFDTable[[#This Row],[Done Today]]),SUM($F29:$K29),$X28)</f>
        <v>84</v>
      </c>
      <c r="Y29" s="10">
        <f ca="1">SUM(LOOKUP(2,1/(M$1:M28&lt;&gt;""),M$1:M28)+CFDTable[[#This Row],[lowDaily]])</f>
        <v>21.812324929971989</v>
      </c>
      <c r="Z29" s="10">
        <f ca="1">SUM(LOOKUP(2,1/(N$1:N28&lt;&gt;""),N$1:N28)+Q29)</f>
        <v>21.952380952380953</v>
      </c>
      <c r="AA29" s="10">
        <f ca="1">SUM(LOOKUP(2,1/(O$1:O28&lt;&gt;""),O$1:O28)+CFDTable[[#This Row],[highDaily]])</f>
        <v>22.092436974789916</v>
      </c>
      <c r="AB29" s="12">
        <f>IF(CFDTable[[#This Row],[Date]]=DeadlineDate,CFDTable[Future Work],0)</f>
        <v>0</v>
      </c>
    </row>
    <row r="30" spans="1:28">
      <c r="A30" s="8">
        <f>CFDTable[[#This Row],[Date]]</f>
        <v>42446</v>
      </c>
      <c r="B30" s="9">
        <f>Data!B30</f>
        <v>42446</v>
      </c>
      <c r="C30" s="10" t="e">
        <f ca="1">IF(ISNUMBER(CFDTable[[#This Row],[Ready]]),NA(),CFDTable[[#This Row],[Target]]-CFDTable[[#This Row],[To Do]])</f>
        <v>#N/A</v>
      </c>
      <c r="D30" s="10">
        <f ca="1">IF(CFDTable[[#This Row],[Emergence]]&gt;0,CFDTable[[#This Row],[Future Work]]-CFDTable[[#This Row],[Emergence]],NA())</f>
        <v>41</v>
      </c>
      <c r="E30" s="10">
        <f>Data!C30</f>
        <v>43</v>
      </c>
      <c r="F30" s="10">
        <f ca="1">Data!D30</f>
        <v>56</v>
      </c>
      <c r="G30" s="10">
        <f ca="1">IF(TodaysDate&gt;=$B30,Data!E30,NA())</f>
        <v>0</v>
      </c>
      <c r="H30" s="10">
        <f ca="1">IF(TodaysDate&gt;=$B30,Data!F30,NA())</f>
        <v>6</v>
      </c>
      <c r="I30" s="10">
        <f ca="1">IF(TodaysDate&gt;=$B30,Data!G30,NA())</f>
        <v>0</v>
      </c>
      <c r="J30" s="10">
        <f ca="1">IF(TodaysDate&gt;=$B30,Data!H30,NA())</f>
        <v>0</v>
      </c>
      <c r="K30" s="10">
        <f ca="1">IF(TodaysDate&gt;=$B30,Data!I30,NA())</f>
        <v>22</v>
      </c>
      <c r="L30" s="10">
        <f ca="1">IF(CFDTable[[#This Row],[Done]]&gt;0,(CFDTable[[#This Row],[Done]])-(K29),0)</f>
        <v>0</v>
      </c>
      <c r="M30" s="10">
        <f ca="1">IF(ISNUMBER($L30),SUM(CFDTable[[#This Row],[Done]]),IF(CFDTable[[#This Row],[lookupLow]]&gt;=CFDTable[[#This Row],[Target]]+CFDTable[[#This Row],[lowDaily]],NA(),CFDTable[[#This Row],[lookupLow]]))</f>
        <v>22</v>
      </c>
      <c r="N30" s="10">
        <f ca="1">IF(ISNUMBER($L30),SUM(CFDTable[[#This Row],[Done]]),IF(CFDTable[[#This Row],[lookupMedian]]&gt;=$X30+Q30,NA(),CFDTable[[#This Row],[lookupMedian]]))</f>
        <v>22</v>
      </c>
      <c r="O30" s="10">
        <f ca="1">IF(ISNUMBER(CFDTable[[#This Row],[Done Today]]),SUM(CFDTable[[#This Row],[Done]]),IF(CFDTable[[#This Row],[lookupHigh]]&gt;=CFDTable[[#This Row],[Target]]+CFDTable[[#This Row],[highDaily]],NA(),CFDTable[[#This Row],[lookupHigh]]))</f>
        <v>22</v>
      </c>
      <c r="P30" s="10">
        <f ca="1">CFDTable[[#This Row],[AvgDaily]]-CFDTable[[#This Row],[Deviation]]</f>
        <v>0.84761904761904761</v>
      </c>
      <c r="Q30" s="10">
        <f ca="1">AVERAGE(IF(ISNUMBER(L30),IF(ISNUMBER(OFFSET(L30,-Historic,0)),OFFSET(L30,-Historic,0),L$2):L30,Q29))</f>
        <v>0.95238095238095233</v>
      </c>
      <c r="R30" s="10">
        <f ca="1">AVERAGE(IF(ISNUMBER(L30),IF(ISNUMBER(OFFSET(L30,-Historic,0)),OFFSET(L30,-Historic,0),L$2):L30,R29))</f>
        <v>0.95238095238095233</v>
      </c>
      <c r="S30" s="10">
        <f ca="1">AVERAGE(IF(ISNUMBER(L30),OFFSET(L$2,DaysToIgnoreOnAvg,0):L30,S29))</f>
        <v>0.7407407407407407</v>
      </c>
      <c r="T30" s="10">
        <f ca="1">CFDTable[[#This Row],[AvgDaily]]+CFDTable[[#This Row],[Deviation]]</f>
        <v>1.0571428571428569</v>
      </c>
      <c r="U30" s="10">
        <f ca="1">IF(ISNUMBER(L30),((_xlfn.PERCENTILE.INC(IF(ISNUMBER(OFFSET(Q30,-Historic,0)),OFFSET(Q30,-Historic,0),Q$2):Q30,PercentileHigh/100))-(MEDIAN(IF(ISNUMBER(OFFSET(Q30,-Historic,0)),OFFSET(Q30,-Historic,0),Q$2):Q30))),U29)</f>
        <v>0.10476190476190472</v>
      </c>
      <c r="V30" s="10">
        <f ca="1">IF(ISNUMBER(L30),((_xlfn.PERCENTILE.INC(Q$2:Q30,PercentileHigh/100))-(MEDIAN(Q$2:Q30))),U29)</f>
        <v>0.23809523809523814</v>
      </c>
      <c r="W30" s="10">
        <f ca="1">IF(ISNUMBER(CFDTable[[#This Row],[Done Today]]),SUM($F30:$K30),$W29)</f>
        <v>84</v>
      </c>
      <c r="X30" s="10">
        <f ca="1">IF(ISNUMBER(CFDTable[[#This Row],[Done Today]]),SUM($F30:$K30),$X29)</f>
        <v>84</v>
      </c>
      <c r="Y30" s="10">
        <f ca="1">SUM(LOOKUP(2,1/(M$1:M29&lt;&gt;""),M$1:M29)+CFDTable[[#This Row],[lowDaily]])</f>
        <v>22.847619047619048</v>
      </c>
      <c r="Z30" s="10">
        <f ca="1">SUM(LOOKUP(2,1/(N$1:N29&lt;&gt;""),N$1:N29)+Q30)</f>
        <v>22.952380952380953</v>
      </c>
      <c r="AA30" s="10">
        <f ca="1">SUM(LOOKUP(2,1/(O$1:O29&lt;&gt;""),O$1:O29)+CFDTable[[#This Row],[highDaily]])</f>
        <v>23.057142857142857</v>
      </c>
      <c r="AB30" s="12">
        <f>IF(CFDTable[[#This Row],[Date]]=DeadlineDate,CFDTable[Future Work],0)</f>
        <v>0</v>
      </c>
    </row>
    <row r="31" spans="1:28">
      <c r="A31" s="8">
        <f>CFDTable[[#This Row],[Date]]</f>
        <v>42447</v>
      </c>
      <c r="B31" s="9">
        <f>Data!B31</f>
        <v>42447</v>
      </c>
      <c r="C31" s="10" t="e">
        <f ca="1">IF(ISNUMBER(CFDTable[[#This Row],[Ready]]),NA(),CFDTable[[#This Row],[Target]]-CFDTable[[#This Row],[To Do]])</f>
        <v>#N/A</v>
      </c>
      <c r="D31" s="10">
        <f ca="1">IF(CFDTable[[#This Row],[Emergence]]&gt;0,CFDTable[[#This Row],[Future Work]]-CFDTable[[#This Row],[Emergence]],NA())</f>
        <v>41</v>
      </c>
      <c r="E31" s="10">
        <f>Data!C31</f>
        <v>43</v>
      </c>
      <c r="F31" s="10">
        <f ca="1">Data!D31</f>
        <v>56</v>
      </c>
      <c r="G31" s="10">
        <f ca="1">IF(TodaysDate&gt;=$B31,Data!E31,NA())</f>
        <v>0</v>
      </c>
      <c r="H31" s="10">
        <f ca="1">IF(TodaysDate&gt;=$B31,Data!F31,NA())</f>
        <v>6</v>
      </c>
      <c r="I31" s="10">
        <f ca="1">IF(TodaysDate&gt;=$B31,Data!G31,NA())</f>
        <v>0</v>
      </c>
      <c r="J31" s="10">
        <f ca="1">IF(TodaysDate&gt;=$B31,Data!H31,NA())</f>
        <v>0</v>
      </c>
      <c r="K31" s="10">
        <f ca="1">IF(TodaysDate&gt;=$B31,Data!I31,NA())</f>
        <v>22</v>
      </c>
      <c r="L31" s="10">
        <f ca="1">IF(CFDTable[[#This Row],[Done]]&gt;0,(CFDTable[[#This Row],[Done]])-(K30),0)</f>
        <v>0</v>
      </c>
      <c r="M31" s="10">
        <f ca="1">IF(ISNUMBER($L31),SUM(CFDTable[[#This Row],[Done]]),IF(CFDTable[[#This Row],[lookupLow]]&gt;=CFDTable[[#This Row],[Target]]+CFDTable[[#This Row],[lowDaily]],NA(),CFDTable[[#This Row],[lookupLow]]))</f>
        <v>22</v>
      </c>
      <c r="N31" s="10">
        <f ca="1">IF(ISNUMBER($L31),SUM(CFDTable[[#This Row],[Done]]),IF(CFDTable[[#This Row],[lookupMedian]]&gt;=$X31+Q31,NA(),CFDTable[[#This Row],[lookupMedian]]))</f>
        <v>22</v>
      </c>
      <c r="O31" s="10">
        <f ca="1">IF(ISNUMBER(CFDTable[[#This Row],[Done Today]]),SUM(CFDTable[[#This Row],[Done]]),IF(CFDTable[[#This Row],[lookupHigh]]&gt;=CFDTable[[#This Row],[Target]]+CFDTable[[#This Row],[highDaily]],NA(),CFDTable[[#This Row],[lookupHigh]]))</f>
        <v>22</v>
      </c>
      <c r="P31" s="10">
        <f ca="1">CFDTable[[#This Row],[AvgDaily]]-CFDTable[[#This Row],[Deviation]]</f>
        <v>0.8571428571428571</v>
      </c>
      <c r="Q31" s="10">
        <f ca="1">AVERAGE(IF(ISNUMBER(L31),IF(ISNUMBER(OFFSET(L31,-Historic,0)),OFFSET(L31,-Historic,0),L$2):L31,Q30))</f>
        <v>0.95238095238095233</v>
      </c>
      <c r="R31" s="10">
        <f ca="1">AVERAGE(IF(ISNUMBER(L31),IF(ISNUMBER(OFFSET(L31,-Historic,0)),OFFSET(L31,-Historic,0),L$2):L31,R30))</f>
        <v>0.95238095238095233</v>
      </c>
      <c r="S31" s="10">
        <f ca="1">AVERAGE(IF(ISNUMBER(L31),OFFSET(L$2,DaysToIgnoreOnAvg,0):L31,S30))</f>
        <v>0.7142857142857143</v>
      </c>
      <c r="T31" s="10">
        <f ca="1">CFDTable[[#This Row],[AvgDaily]]+CFDTable[[#This Row],[Deviation]]</f>
        <v>1.0476190476190474</v>
      </c>
      <c r="U31" s="10">
        <f ca="1">IF(ISNUMBER(L31),((_xlfn.PERCENTILE.INC(IF(ISNUMBER(OFFSET(Q31,-Historic,0)),OFFSET(Q31,-Historic,0),Q$2):Q31,PercentileHigh/100))-(MEDIAN(IF(ISNUMBER(OFFSET(Q31,-Historic,0)),OFFSET(Q31,-Historic,0),Q$2):Q31))),U30)</f>
        <v>9.5238095238095233E-2</v>
      </c>
      <c r="V31" s="10">
        <f ca="1">IF(ISNUMBER(L31),((_xlfn.PERCENTILE.INC(Q$2:Q31,PercentileHigh/100))-(MEDIAN(Q$2:Q31))),U30)</f>
        <v>0.21031746031746035</v>
      </c>
      <c r="W31" s="10">
        <f ca="1">IF(ISNUMBER(CFDTable[[#This Row],[Done Today]]),SUM($F31:$K31),$W30)</f>
        <v>84</v>
      </c>
      <c r="X31" s="10">
        <f ca="1">IF(ISNUMBER(CFDTable[[#This Row],[Done Today]]),SUM($F31:$K31),$X30)</f>
        <v>84</v>
      </c>
      <c r="Y31" s="10">
        <f ca="1">SUM(LOOKUP(2,1/(M$1:M30&lt;&gt;""),M$1:M30)+CFDTable[[#This Row],[lowDaily]])</f>
        <v>22.857142857142858</v>
      </c>
      <c r="Z31" s="10">
        <f ca="1">SUM(LOOKUP(2,1/(N$1:N30&lt;&gt;""),N$1:N30)+Q31)</f>
        <v>22.952380952380953</v>
      </c>
      <c r="AA31" s="10">
        <f ca="1">SUM(LOOKUP(2,1/(O$1:O30&lt;&gt;""),O$1:O30)+CFDTable[[#This Row],[highDaily]])</f>
        <v>23.047619047619047</v>
      </c>
      <c r="AB31" s="12">
        <f>IF(CFDTable[[#This Row],[Date]]=DeadlineDate,CFDTable[Future Work],0)</f>
        <v>0</v>
      </c>
    </row>
    <row r="32" spans="1:28">
      <c r="A32" s="8">
        <f>CFDTable[[#This Row],[Date]]</f>
        <v>42450</v>
      </c>
      <c r="B32" s="9">
        <f>Data!B32</f>
        <v>42450</v>
      </c>
      <c r="C32" s="10" t="e">
        <f ca="1">IF(ISNUMBER(CFDTable[[#This Row],[Ready]]),NA(),CFDTable[[#This Row],[Target]]-CFDTable[[#This Row],[To Do]])</f>
        <v>#N/A</v>
      </c>
      <c r="D32" s="10">
        <f ca="1">IF(CFDTable[[#This Row],[Emergence]]&gt;0,CFDTable[[#This Row],[Future Work]]-CFDTable[[#This Row],[Emergence]],NA())</f>
        <v>41</v>
      </c>
      <c r="E32" s="10">
        <f>Data!C32</f>
        <v>43</v>
      </c>
      <c r="F32" s="10">
        <f ca="1">Data!D32</f>
        <v>56</v>
      </c>
      <c r="G32" s="10">
        <f ca="1">IF(TodaysDate&gt;=$B32,Data!E32,NA())</f>
        <v>0</v>
      </c>
      <c r="H32" s="10">
        <f ca="1">IF(TodaysDate&gt;=$B32,Data!F32,NA())</f>
        <v>3</v>
      </c>
      <c r="I32" s="10">
        <f ca="1">IF(TodaysDate&gt;=$B32,Data!G32,NA())</f>
        <v>0</v>
      </c>
      <c r="J32" s="10">
        <f ca="1">IF(TodaysDate&gt;=$B32,Data!H32,NA())</f>
        <v>0</v>
      </c>
      <c r="K32" s="10">
        <f ca="1">IF(TodaysDate&gt;=$B32,Data!I32,NA())</f>
        <v>25</v>
      </c>
      <c r="L32" s="10">
        <f ca="1">IF(CFDTable[[#This Row],[Done]]&gt;0,(CFDTable[[#This Row],[Done]])-(K31),0)</f>
        <v>3</v>
      </c>
      <c r="M32" s="10">
        <f ca="1">IF(ISNUMBER($L32),SUM(CFDTable[[#This Row],[Done]]),IF(CFDTable[[#This Row],[lookupLow]]&gt;=CFDTable[[#This Row],[Target]]+CFDTable[[#This Row],[lowDaily]],NA(),CFDTable[[#This Row],[lookupLow]]))</f>
        <v>25</v>
      </c>
      <c r="N32" s="10">
        <f ca="1">IF(ISNUMBER($L32),SUM(CFDTable[[#This Row],[Done]]),IF(CFDTable[[#This Row],[lookupMedian]]&gt;=$X32+Q32,NA(),CFDTable[[#This Row],[lookupMedian]]))</f>
        <v>25</v>
      </c>
      <c r="O32" s="10">
        <f ca="1">IF(ISNUMBER(CFDTable[[#This Row],[Done Today]]),SUM(CFDTable[[#This Row],[Done]]),IF(CFDTable[[#This Row],[lookupHigh]]&gt;=CFDTable[[#This Row],[Target]]+CFDTable[[#This Row],[highDaily]],NA(),CFDTable[[#This Row],[lookupHigh]]))</f>
        <v>25</v>
      </c>
      <c r="P32" s="10">
        <f ca="1">CFDTable[[#This Row],[AvgDaily]]-CFDTable[[#This Row],[Deviation]]</f>
        <v>0.98496240601503771</v>
      </c>
      <c r="Q32" s="10">
        <f ca="1">AVERAGE(IF(ISNUMBER(L32),IF(ISNUMBER(OFFSET(L32,-Historic,0)),OFFSET(L32,-Historic,0),L$2):L32,Q31))</f>
        <v>1.0952380952380953</v>
      </c>
      <c r="R32" s="10">
        <f ca="1">AVERAGE(IF(ISNUMBER(L32),IF(ISNUMBER(OFFSET(L32,-Historic,0)),OFFSET(L32,-Historic,0),L$2):L32,R31))</f>
        <v>1.0952380952380953</v>
      </c>
      <c r="S32" s="10">
        <f ca="1">AVERAGE(IF(ISNUMBER(L32),OFFSET(L$2,DaysToIgnoreOnAvg,0):L32,S31))</f>
        <v>0.7931034482758621</v>
      </c>
      <c r="T32" s="10">
        <f ca="1">CFDTable[[#This Row],[AvgDaily]]+CFDTable[[#This Row],[Deviation]]</f>
        <v>1.205513784461153</v>
      </c>
      <c r="U32" s="10">
        <f ca="1">IF(ISNUMBER(L32),((_xlfn.PERCENTILE.INC(IF(ISNUMBER(OFFSET(Q32,-Historic,0)),OFFSET(Q32,-Historic,0),Q$2):Q32,PercentileHigh/100))-(MEDIAN(IF(ISNUMBER(OFFSET(Q32,-Historic,0)),OFFSET(Q32,-Historic,0),Q$2):Q32))),U31)</f>
        <v>0.11027568922305764</v>
      </c>
      <c r="V32" s="10">
        <f ca="1">IF(ISNUMBER(L32),((_xlfn.PERCENTILE.INC(Q$2:Q32,PercentileHigh/100))-(MEDIAN(Q$2:Q32))),U31)</f>
        <v>0.20634920634920639</v>
      </c>
      <c r="W32" s="10">
        <f ca="1">IF(ISNUMBER(CFDTable[[#This Row],[Done Today]]),SUM($F32:$K32),$W31)</f>
        <v>84</v>
      </c>
      <c r="X32" s="10">
        <f ca="1">IF(ISNUMBER(CFDTable[[#This Row],[Done Today]]),SUM($F32:$K32),$X31)</f>
        <v>84</v>
      </c>
      <c r="Y32" s="10">
        <f ca="1">SUM(LOOKUP(2,1/(M$1:M31&lt;&gt;""),M$1:M31)+CFDTable[[#This Row],[lowDaily]])</f>
        <v>22.984962406015036</v>
      </c>
      <c r="Z32" s="10">
        <f ca="1">SUM(LOOKUP(2,1/(N$1:N31&lt;&gt;""),N$1:N31)+Q32)</f>
        <v>23.095238095238095</v>
      </c>
      <c r="AA32" s="10">
        <f ca="1">SUM(LOOKUP(2,1/(O$1:O31&lt;&gt;""),O$1:O31)+CFDTable[[#This Row],[highDaily]])</f>
        <v>23.205513784461154</v>
      </c>
      <c r="AB32" s="12">
        <f>IF(CFDTable[[#This Row],[Date]]=DeadlineDate,CFDTable[Future Work],0)</f>
        <v>0</v>
      </c>
    </row>
    <row r="33" spans="1:28">
      <c r="A33" s="8">
        <f>CFDTable[[#This Row],[Date]]</f>
        <v>42451</v>
      </c>
      <c r="B33" s="9">
        <f>Data!B33</f>
        <v>42451</v>
      </c>
      <c r="C33" s="10" t="e">
        <f ca="1">IF(ISNUMBER(CFDTable[[#This Row],[Ready]]),NA(),CFDTable[[#This Row],[Target]]-CFDTable[[#This Row],[To Do]])</f>
        <v>#N/A</v>
      </c>
      <c r="D33" s="10">
        <f ca="1">IF(CFDTable[[#This Row],[Emergence]]&gt;0,CFDTable[[#This Row],[Future Work]]-CFDTable[[#This Row],[Emergence]],NA())</f>
        <v>43</v>
      </c>
      <c r="E33" s="10">
        <f>Data!C33</f>
        <v>43</v>
      </c>
      <c r="F33" s="10">
        <f ca="1">Data!D33</f>
        <v>58</v>
      </c>
      <c r="G33" s="10">
        <f ca="1">IF(TodaysDate&gt;=$B33,Data!E33,NA())</f>
        <v>0</v>
      </c>
      <c r="H33" s="10">
        <f ca="1">IF(TodaysDate&gt;=$B33,Data!F33,NA())</f>
        <v>2</v>
      </c>
      <c r="I33" s="10">
        <f ca="1">IF(TodaysDate&gt;=$B33,Data!G33,NA())</f>
        <v>0</v>
      </c>
      <c r="J33" s="10">
        <f ca="1">IF(TodaysDate&gt;=$B33,Data!H33,NA())</f>
        <v>0</v>
      </c>
      <c r="K33" s="10">
        <f ca="1">IF(TodaysDate&gt;=$B33,Data!I33,NA())</f>
        <v>26</v>
      </c>
      <c r="L33" s="10">
        <f ca="1">IF(CFDTable[[#This Row],[Done]]&gt;0,(CFDTable[[#This Row],[Done]])-(K32),0)</f>
        <v>1</v>
      </c>
      <c r="M33" s="10">
        <f ca="1">IF(ISNUMBER($L33),SUM(CFDTable[[#This Row],[Done]]),IF(CFDTable[[#This Row],[lookupLow]]&gt;=CFDTable[[#This Row],[Target]]+CFDTable[[#This Row],[lowDaily]],NA(),CFDTable[[#This Row],[lookupLow]]))</f>
        <v>26</v>
      </c>
      <c r="N33" s="10">
        <f ca="1">IF(ISNUMBER($L33),SUM(CFDTable[[#This Row],[Done]]),IF(CFDTable[[#This Row],[lookupMedian]]&gt;=$X33+Q33,NA(),CFDTable[[#This Row],[lookupMedian]]))</f>
        <v>26</v>
      </c>
      <c r="O33" s="10">
        <f ca="1">IF(ISNUMBER(CFDTable[[#This Row],[Done Today]]),SUM(CFDTable[[#This Row],[Done]]),IF(CFDTable[[#This Row],[lookupHigh]]&gt;=CFDTable[[#This Row],[Target]]+CFDTable[[#This Row],[highDaily]],NA(),CFDTable[[#This Row],[lookupHigh]]))</f>
        <v>26</v>
      </c>
      <c r="P33" s="10">
        <f ca="1">CFDTable[[#This Row],[AvgDaily]]-CFDTable[[#This Row],[Deviation]]</f>
        <v>1</v>
      </c>
      <c r="Q33" s="10">
        <f ca="1">AVERAGE(IF(ISNUMBER(L33),IF(ISNUMBER(OFFSET(L33,-Historic,0)),OFFSET(L33,-Historic,0),L$2):L33,Q32))</f>
        <v>1.0952380952380953</v>
      </c>
      <c r="R33" s="10">
        <f ca="1">AVERAGE(IF(ISNUMBER(L33),IF(ISNUMBER(OFFSET(L33,-Historic,0)),OFFSET(L33,-Historic,0),L$2):L33,R32))</f>
        <v>1.0952380952380953</v>
      </c>
      <c r="S33" s="10">
        <f ca="1">AVERAGE(IF(ISNUMBER(L33),OFFSET(L$2,DaysToIgnoreOnAvg,0):L33,S32))</f>
        <v>0.8</v>
      </c>
      <c r="T33" s="10">
        <f ca="1">CFDTable[[#This Row],[AvgDaily]]+CFDTable[[#This Row],[Deviation]]</f>
        <v>1.1904761904761907</v>
      </c>
      <c r="U33" s="10">
        <f ca="1">IF(ISNUMBER(L33),((_xlfn.PERCENTILE.INC(IF(ISNUMBER(OFFSET(Q33,-Historic,0)),OFFSET(Q33,-Historic,0),Q$2):Q33,PercentileHigh/100))-(MEDIAN(IF(ISNUMBER(OFFSET(Q33,-Historic,0)),OFFSET(Q33,-Historic,0),Q$2):Q33))),U32)</f>
        <v>9.5238095238095233E-2</v>
      </c>
      <c r="V33" s="10">
        <f ca="1">IF(ISNUMBER(L33),((_xlfn.PERCENTILE.INC(Q$2:Q33,PercentileHigh/100))-(MEDIAN(Q$2:Q33))),U32)</f>
        <v>0.20891690009337061</v>
      </c>
      <c r="W33" s="10">
        <f ca="1">IF(ISNUMBER(CFDTable[[#This Row],[Done Today]]),SUM($F33:$K33),$W32)</f>
        <v>86</v>
      </c>
      <c r="X33" s="10">
        <f ca="1">IF(ISNUMBER(CFDTable[[#This Row],[Done Today]]),SUM($F33:$K33),$X32)</f>
        <v>86</v>
      </c>
      <c r="Y33" s="10">
        <f ca="1">SUM(LOOKUP(2,1/(M$1:M32&lt;&gt;""),M$1:M32)+CFDTable[[#This Row],[lowDaily]])</f>
        <v>26</v>
      </c>
      <c r="Z33" s="10">
        <f ca="1">SUM(LOOKUP(2,1/(N$1:N32&lt;&gt;""),N$1:N32)+Q33)</f>
        <v>26.095238095238095</v>
      </c>
      <c r="AA33" s="10">
        <f ca="1">SUM(LOOKUP(2,1/(O$1:O32&lt;&gt;""),O$1:O32)+CFDTable[[#This Row],[highDaily]])</f>
        <v>26.19047619047619</v>
      </c>
      <c r="AB33" s="12">
        <f>IF(CFDTable[[#This Row],[Date]]=DeadlineDate,CFDTable[Future Work],0)</f>
        <v>0</v>
      </c>
    </row>
    <row r="34" spans="1:28">
      <c r="A34" s="8">
        <f>CFDTable[[#This Row],[Date]]</f>
        <v>42452</v>
      </c>
      <c r="B34" s="9">
        <f>Data!B34</f>
        <v>42452</v>
      </c>
      <c r="C34" s="10" t="e">
        <f ca="1">IF(ISNUMBER(CFDTable[[#This Row],[Ready]]),NA(),CFDTable[[#This Row],[Target]]-CFDTable[[#This Row],[To Do]])</f>
        <v>#N/A</v>
      </c>
      <c r="D34" s="10">
        <f ca="1">IF(CFDTable[[#This Row],[Emergence]]&gt;0,CFDTable[[#This Row],[Future Work]]-CFDTable[[#This Row],[Emergence]],NA())</f>
        <v>43</v>
      </c>
      <c r="E34" s="10">
        <f>Data!C34</f>
        <v>43</v>
      </c>
      <c r="F34" s="10">
        <f ca="1">Data!D34</f>
        <v>54</v>
      </c>
      <c r="G34" s="10">
        <f ca="1">IF(TodaysDate&gt;=$B34,Data!E34,NA())</f>
        <v>0</v>
      </c>
      <c r="H34" s="10">
        <f ca="1">IF(TodaysDate&gt;=$B34,Data!F34,NA())</f>
        <v>5</v>
      </c>
      <c r="I34" s="10">
        <f ca="1">IF(TodaysDate&gt;=$B34,Data!G34,NA())</f>
        <v>0</v>
      </c>
      <c r="J34" s="10">
        <f ca="1">IF(TodaysDate&gt;=$B34,Data!H34,NA())</f>
        <v>0</v>
      </c>
      <c r="K34" s="10">
        <f ca="1">IF(TodaysDate&gt;=$B34,Data!I34,NA())</f>
        <v>27</v>
      </c>
      <c r="L34" s="10">
        <f ca="1">IF(CFDTable[[#This Row],[Done]]&gt;0,(CFDTable[[#This Row],[Done]])-(K33),0)</f>
        <v>1</v>
      </c>
      <c r="M34" s="10">
        <f ca="1">IF(ISNUMBER($L34),SUM(CFDTable[[#This Row],[Done]]),IF(CFDTable[[#This Row],[lookupLow]]&gt;=CFDTable[[#This Row],[Target]]+CFDTable[[#This Row],[lowDaily]],NA(),CFDTable[[#This Row],[lookupLow]]))</f>
        <v>27</v>
      </c>
      <c r="N34" s="10">
        <f ca="1">IF(ISNUMBER($L34),SUM(CFDTable[[#This Row],[Done]]),IF(CFDTable[[#This Row],[lookupMedian]]&gt;=$X34+Q34,NA(),CFDTable[[#This Row],[lookupMedian]]))</f>
        <v>27</v>
      </c>
      <c r="O34" s="10">
        <f ca="1">IF(ISNUMBER(CFDTable[[#This Row],[Done Today]]),SUM(CFDTable[[#This Row],[Done]]),IF(CFDTable[[#This Row],[lookupHigh]]&gt;=CFDTable[[#This Row],[Target]]+CFDTable[[#This Row],[highDaily]],NA(),CFDTable[[#This Row],[lookupHigh]]))</f>
        <v>27</v>
      </c>
      <c r="P34" s="10">
        <f ca="1">CFDTable[[#This Row],[AvgDaily]]-CFDTable[[#This Row],[Deviation]]</f>
        <v>0.90476190476190477</v>
      </c>
      <c r="Q34" s="10">
        <f ca="1">AVERAGE(IF(ISNUMBER(L34),IF(ISNUMBER(OFFSET(L34,-Historic,0)),OFFSET(L34,-Historic,0),L$2):L34,Q33))</f>
        <v>1</v>
      </c>
      <c r="R34" s="10">
        <f ca="1">AVERAGE(IF(ISNUMBER(L34),IF(ISNUMBER(OFFSET(L34,-Historic,0)),OFFSET(L34,-Historic,0),L$2):L34,R33))</f>
        <v>1</v>
      </c>
      <c r="S34" s="10">
        <f ca="1">AVERAGE(IF(ISNUMBER(L34),OFFSET(L$2,DaysToIgnoreOnAvg,0):L34,S33))</f>
        <v>0.80645161290322576</v>
      </c>
      <c r="T34" s="10">
        <f ca="1">CFDTable[[#This Row],[AvgDaily]]+CFDTable[[#This Row],[Deviation]]</f>
        <v>1.0952380952380953</v>
      </c>
      <c r="U34" s="10">
        <f ca="1">IF(ISNUMBER(L34),((_xlfn.PERCENTILE.INC(IF(ISNUMBER(OFFSET(Q34,-Historic,0)),OFFSET(Q34,-Historic,0),Q$2):Q34,PercentileHigh/100))-(MEDIAN(IF(ISNUMBER(OFFSET(Q34,-Historic,0)),OFFSET(Q34,-Historic,0),Q$2):Q34))),U33)</f>
        <v>9.5238095238095233E-2</v>
      </c>
      <c r="V34" s="10">
        <f ca="1">IF(ISNUMBER(L34),((_xlfn.PERCENTILE.INC(Q$2:Q34,PercentileHigh/100))-(MEDIAN(Q$2:Q34))),U33)</f>
        <v>0.1876750700280112</v>
      </c>
      <c r="W34" s="10">
        <f ca="1">IF(ISNUMBER(CFDTable[[#This Row],[Done Today]]),SUM($F34:$K34),$W33)</f>
        <v>86</v>
      </c>
      <c r="X34" s="10">
        <f ca="1">IF(ISNUMBER(CFDTable[[#This Row],[Done Today]]),SUM($F34:$K34),$X33)</f>
        <v>86</v>
      </c>
      <c r="Y34" s="10">
        <f ca="1">SUM(LOOKUP(2,1/(M$1:M33&lt;&gt;""),M$1:M33)+CFDTable[[#This Row],[lowDaily]])</f>
        <v>26.904761904761905</v>
      </c>
      <c r="Z34" s="10">
        <f ca="1">SUM(LOOKUP(2,1/(N$1:N33&lt;&gt;""),N$1:N33)+Q34)</f>
        <v>27</v>
      </c>
      <c r="AA34" s="10">
        <f ca="1">SUM(LOOKUP(2,1/(O$1:O33&lt;&gt;""),O$1:O33)+CFDTable[[#This Row],[highDaily]])</f>
        <v>27.095238095238095</v>
      </c>
      <c r="AB34" s="12">
        <f>IF(CFDTable[[#This Row],[Date]]=DeadlineDate,CFDTable[Future Work],0)</f>
        <v>0</v>
      </c>
    </row>
    <row r="35" spans="1:28">
      <c r="A35" s="8">
        <f>CFDTable[[#This Row],[Date]]</f>
        <v>42453</v>
      </c>
      <c r="B35" s="9">
        <f>Data!B35</f>
        <v>42453</v>
      </c>
      <c r="C35" s="10" t="e">
        <f ca="1">IF(ISNUMBER(CFDTable[[#This Row],[Ready]]),NA(),CFDTable[[#This Row],[Target]]-CFDTable[[#This Row],[To Do]])</f>
        <v>#N/A</v>
      </c>
      <c r="D35" s="10">
        <f ca="1">IF(CFDTable[[#This Row],[Emergence]]&gt;0,CFDTable[[#This Row],[Future Work]]-CFDTable[[#This Row],[Emergence]],NA())</f>
        <v>43</v>
      </c>
      <c r="E35" s="10">
        <f>Data!C35</f>
        <v>43</v>
      </c>
      <c r="F35" s="10">
        <f ca="1">Data!D35</f>
        <v>53</v>
      </c>
      <c r="G35" s="10">
        <f ca="1">IF(TodaysDate&gt;=$B35,Data!E35,NA())</f>
        <v>0</v>
      </c>
      <c r="H35" s="10">
        <f ca="1">IF(TodaysDate&gt;=$B35,Data!F35,NA())</f>
        <v>5</v>
      </c>
      <c r="I35" s="10">
        <f ca="1">IF(TodaysDate&gt;=$B35,Data!G35,NA())</f>
        <v>1</v>
      </c>
      <c r="J35" s="10">
        <f ca="1">IF(TodaysDate&gt;=$B35,Data!H35,NA())</f>
        <v>0</v>
      </c>
      <c r="K35" s="10">
        <f ca="1">IF(TodaysDate&gt;=$B35,Data!I35,NA())</f>
        <v>27</v>
      </c>
      <c r="L35" s="10">
        <f ca="1">IF(CFDTable[[#This Row],[Done]]&gt;0,(CFDTable[[#This Row],[Done]])-(K34),0)</f>
        <v>0</v>
      </c>
      <c r="M35" s="10">
        <f ca="1">IF(ISNUMBER($L35),SUM(CFDTable[[#This Row],[Done]]),IF(CFDTable[[#This Row],[lookupLow]]&gt;=CFDTable[[#This Row],[Target]]+CFDTable[[#This Row],[lowDaily]],NA(),CFDTable[[#This Row],[lookupLow]]))</f>
        <v>27</v>
      </c>
      <c r="N35" s="10">
        <f ca="1">IF(ISNUMBER($L35),SUM(CFDTable[[#This Row],[Done]]),IF(CFDTable[[#This Row],[lookupMedian]]&gt;=$X35+Q35,NA(),CFDTable[[#This Row],[lookupMedian]]))</f>
        <v>27</v>
      </c>
      <c r="O35" s="10">
        <f ca="1">IF(ISNUMBER(CFDTable[[#This Row],[Done Today]]),SUM(CFDTable[[#This Row],[Done]]),IF(CFDTable[[#This Row],[lookupHigh]]&gt;=CFDTable[[#This Row],[Target]]+CFDTable[[#This Row],[highDaily]],NA(),CFDTable[[#This Row],[lookupHigh]]))</f>
        <v>27</v>
      </c>
      <c r="P35" s="10">
        <f ca="1">CFDTable[[#This Row],[AvgDaily]]-CFDTable[[#This Row],[Deviation]]</f>
        <v>0.80952380952380953</v>
      </c>
      <c r="Q35" s="10">
        <f ca="1">AVERAGE(IF(ISNUMBER(L35),IF(ISNUMBER(OFFSET(L35,-Historic,0)),OFFSET(L35,-Historic,0),L$2):L35,Q34))</f>
        <v>0.90476190476190477</v>
      </c>
      <c r="R35" s="10">
        <f ca="1">AVERAGE(IF(ISNUMBER(L35),IF(ISNUMBER(OFFSET(L35,-Historic,0)),OFFSET(L35,-Historic,0),L$2):L35,R34))</f>
        <v>0.90476190476190477</v>
      </c>
      <c r="S35" s="10">
        <f ca="1">AVERAGE(IF(ISNUMBER(L35),OFFSET(L$2,DaysToIgnoreOnAvg,0):L35,S34))</f>
        <v>0.78125</v>
      </c>
      <c r="T35" s="10">
        <f ca="1">CFDTable[[#This Row],[AvgDaily]]+CFDTable[[#This Row],[Deviation]]</f>
        <v>1</v>
      </c>
      <c r="U35" s="10">
        <f ca="1">IF(ISNUMBER(L35),((_xlfn.PERCENTILE.INC(IF(ISNUMBER(OFFSET(Q35,-Historic,0)),OFFSET(Q35,-Historic,0),Q$2):Q35,PercentileHigh/100))-(MEDIAN(IF(ISNUMBER(OFFSET(Q35,-Historic,0)),OFFSET(Q35,-Historic,0),Q$2):Q35))),U34)</f>
        <v>9.5238095238095233E-2</v>
      </c>
      <c r="V35" s="10">
        <f ca="1">IF(ISNUMBER(L35),((_xlfn.PERCENTILE.INC(Q$2:Q35,PercentileHigh/100))-(MEDIAN(Q$2:Q35))),U34)</f>
        <v>0.17002801120448174</v>
      </c>
      <c r="W35" s="10">
        <f ca="1">IF(ISNUMBER(CFDTable[[#This Row],[Done Today]]),SUM($F35:$K35),$W34)</f>
        <v>86</v>
      </c>
      <c r="X35" s="10">
        <f ca="1">IF(ISNUMBER(CFDTable[[#This Row],[Done Today]]),SUM($F35:$K35),$X34)</f>
        <v>86</v>
      </c>
      <c r="Y35" s="10">
        <f ca="1">SUM(LOOKUP(2,1/(M$1:M34&lt;&gt;""),M$1:M34)+CFDTable[[#This Row],[lowDaily]])</f>
        <v>27.80952380952381</v>
      </c>
      <c r="Z35" s="10">
        <f ca="1">SUM(LOOKUP(2,1/(N$1:N34&lt;&gt;""),N$1:N34)+Q35)</f>
        <v>27.904761904761905</v>
      </c>
      <c r="AA35" s="10">
        <f ca="1">SUM(LOOKUP(2,1/(O$1:O34&lt;&gt;""),O$1:O34)+CFDTable[[#This Row],[highDaily]])</f>
        <v>28</v>
      </c>
      <c r="AB35" s="12">
        <f>IF(CFDTable[[#This Row],[Date]]=DeadlineDate,CFDTable[Future Work],0)</f>
        <v>0</v>
      </c>
    </row>
    <row r="36" spans="1:28">
      <c r="A36" s="8">
        <f>CFDTable[[#This Row],[Date]]</f>
        <v>42458</v>
      </c>
      <c r="B36" s="9">
        <f>Data!B36</f>
        <v>42458</v>
      </c>
      <c r="C36" s="10" t="e">
        <f ca="1">IF(ISNUMBER(CFDTable[[#This Row],[Ready]]),NA(),CFDTable[[#This Row],[Target]]-CFDTable[[#This Row],[To Do]])</f>
        <v>#N/A</v>
      </c>
      <c r="D36" s="10">
        <f ca="1">IF(CFDTable[[#This Row],[Emergence]]&gt;0,CFDTable[[#This Row],[Future Work]]-CFDTable[[#This Row],[Emergence]],NA())</f>
        <v>43</v>
      </c>
      <c r="E36" s="10">
        <f>Data!C36</f>
        <v>43</v>
      </c>
      <c r="F36" s="10">
        <f ca="1">Data!D36</f>
        <v>52</v>
      </c>
      <c r="G36" s="10">
        <f ca="1">IF(TodaysDate&gt;=$B36,Data!E36,NA())</f>
        <v>0</v>
      </c>
      <c r="H36" s="10">
        <f ca="1">IF(TodaysDate&gt;=$B36,Data!F36,NA())</f>
        <v>4</v>
      </c>
      <c r="I36" s="10">
        <f ca="1">IF(TodaysDate&gt;=$B36,Data!G36,NA())</f>
        <v>0</v>
      </c>
      <c r="J36" s="10">
        <f ca="1">IF(TodaysDate&gt;=$B36,Data!H36,NA())</f>
        <v>0</v>
      </c>
      <c r="K36" s="10">
        <f ca="1">IF(TodaysDate&gt;=$B36,Data!I36,NA())</f>
        <v>30</v>
      </c>
      <c r="L36" s="10">
        <f ca="1">IF(CFDTable[[#This Row],[Done]]&gt;0,(CFDTable[[#This Row],[Done]])-(K35),0)</f>
        <v>3</v>
      </c>
      <c r="M36" s="10">
        <f ca="1">IF(ISNUMBER($L36),SUM(CFDTable[[#This Row],[Done]]),IF(CFDTable[[#This Row],[lookupLow]]&gt;=CFDTable[[#This Row],[Target]]+CFDTable[[#This Row],[lowDaily]],NA(),CFDTable[[#This Row],[lookupLow]]))</f>
        <v>30</v>
      </c>
      <c r="N36" s="10">
        <f ca="1">IF(ISNUMBER($L36),SUM(CFDTable[[#This Row],[Done]]),IF(CFDTable[[#This Row],[lookupMedian]]&gt;=$X36+Q36,NA(),CFDTable[[#This Row],[lookupMedian]]))</f>
        <v>30</v>
      </c>
      <c r="O36" s="10">
        <f ca="1">IF(ISNUMBER(CFDTable[[#This Row],[Done Today]]),SUM(CFDTable[[#This Row],[Done]]),IF(CFDTable[[#This Row],[lookupHigh]]&gt;=CFDTable[[#This Row],[Target]]+CFDTable[[#This Row],[highDaily]],NA(),CFDTable[[#This Row],[lookupHigh]]))</f>
        <v>30</v>
      </c>
      <c r="P36" s="10">
        <f ca="1">CFDTable[[#This Row],[AvgDaily]]-CFDTable[[#This Row],[Deviation]]</f>
        <v>0.95238095238095244</v>
      </c>
      <c r="Q36" s="10">
        <f ca="1">AVERAGE(IF(ISNUMBER(L36),IF(ISNUMBER(OFFSET(L36,-Historic,0)),OFFSET(L36,-Historic,0),L$2):L36,Q35))</f>
        <v>1.0476190476190477</v>
      </c>
      <c r="R36" s="10">
        <f ca="1">AVERAGE(IF(ISNUMBER(L36),IF(ISNUMBER(OFFSET(L36,-Historic,0)),OFFSET(L36,-Historic,0),L$2):L36,R35))</f>
        <v>1.0476190476190477</v>
      </c>
      <c r="S36" s="10">
        <f ca="1">AVERAGE(IF(ISNUMBER(L36),OFFSET(L$2,DaysToIgnoreOnAvg,0):L36,S35))</f>
        <v>0.84848484848484851</v>
      </c>
      <c r="T36" s="10">
        <f ca="1">CFDTable[[#This Row],[AvgDaily]]+CFDTable[[#This Row],[Deviation]]</f>
        <v>1.1428571428571428</v>
      </c>
      <c r="U36" s="10">
        <f ca="1">IF(ISNUMBER(L36),((_xlfn.PERCENTILE.INC(IF(ISNUMBER(OFFSET(Q36,-Historic,0)),OFFSET(Q36,-Historic,0),Q$2):Q36,PercentileHigh/100))-(MEDIAN(IF(ISNUMBER(OFFSET(Q36,-Historic,0)),OFFSET(Q36,-Historic,0),Q$2):Q36))),U35)</f>
        <v>9.5238095238095233E-2</v>
      </c>
      <c r="V36" s="10">
        <f ca="1">IF(ISNUMBER(L36),((_xlfn.PERCENTILE.INC(Q$2:Q36,PercentileHigh/100))-(MEDIAN(Q$2:Q36))),U35)</f>
        <v>0.15238095238095228</v>
      </c>
      <c r="W36" s="10">
        <f ca="1">IF(ISNUMBER(CFDTable[[#This Row],[Done Today]]),SUM($F36:$K36),$W35)</f>
        <v>86</v>
      </c>
      <c r="X36" s="10">
        <f ca="1">IF(ISNUMBER(CFDTable[[#This Row],[Done Today]]),SUM($F36:$K36),$X35)</f>
        <v>86</v>
      </c>
      <c r="Y36" s="10">
        <f ca="1">SUM(LOOKUP(2,1/(M$1:M35&lt;&gt;""),M$1:M35)+CFDTable[[#This Row],[lowDaily]])</f>
        <v>27.952380952380953</v>
      </c>
      <c r="Z36" s="10">
        <f ca="1">SUM(LOOKUP(2,1/(N$1:N35&lt;&gt;""),N$1:N35)+Q36)</f>
        <v>28.047619047619047</v>
      </c>
      <c r="AA36" s="10">
        <f ca="1">SUM(LOOKUP(2,1/(O$1:O35&lt;&gt;""),O$1:O35)+CFDTable[[#This Row],[highDaily]])</f>
        <v>28.142857142857142</v>
      </c>
      <c r="AB36" s="12">
        <f>IF(CFDTable[[#This Row],[Date]]=DeadlineDate,CFDTable[Future Work],0)</f>
        <v>0</v>
      </c>
    </row>
    <row r="37" spans="1:28">
      <c r="A37" s="8">
        <f>CFDTable[[#This Row],[Date]]</f>
        <v>42459</v>
      </c>
      <c r="B37" s="9">
        <f>Data!B37</f>
        <v>42459</v>
      </c>
      <c r="C37" s="10" t="e">
        <f ca="1">IF(ISNUMBER(CFDTable[[#This Row],[Ready]]),NA(),CFDTable[[#This Row],[Target]]-CFDTable[[#This Row],[To Do]])</f>
        <v>#N/A</v>
      </c>
      <c r="D37" s="10">
        <f ca="1">IF(CFDTable[[#This Row],[Emergence]]&gt;0,CFDTable[[#This Row],[Future Work]]-CFDTable[[#This Row],[Emergence]],NA())</f>
        <v>43</v>
      </c>
      <c r="E37" s="10">
        <f>Data!C37</f>
        <v>43</v>
      </c>
      <c r="F37" s="10">
        <f ca="1">Data!D37</f>
        <v>51</v>
      </c>
      <c r="G37" s="10">
        <f ca="1">IF(TodaysDate&gt;=$B37,Data!E37,NA())</f>
        <v>0</v>
      </c>
      <c r="H37" s="10">
        <f ca="1">IF(TodaysDate&gt;=$B37,Data!F37,NA())</f>
        <v>5</v>
      </c>
      <c r="I37" s="10">
        <f ca="1">IF(TodaysDate&gt;=$B37,Data!G37,NA())</f>
        <v>0</v>
      </c>
      <c r="J37" s="10">
        <f ca="1">IF(TodaysDate&gt;=$B37,Data!H37,NA())</f>
        <v>0</v>
      </c>
      <c r="K37" s="10">
        <f ca="1">IF(TodaysDate&gt;=$B37,Data!I37,NA())</f>
        <v>30</v>
      </c>
      <c r="L37" s="10">
        <f ca="1">IF(CFDTable[[#This Row],[Done]]&gt;0,(CFDTable[[#This Row],[Done]])-(K36),0)</f>
        <v>0</v>
      </c>
      <c r="M37" s="10">
        <f ca="1">IF(ISNUMBER($L37),SUM(CFDTable[[#This Row],[Done]]),IF(CFDTable[[#This Row],[lookupLow]]&gt;=CFDTable[[#This Row],[Target]]+CFDTable[[#This Row],[lowDaily]],NA(),CFDTable[[#This Row],[lookupLow]]))</f>
        <v>30</v>
      </c>
      <c r="N37" s="10">
        <f ca="1">IF(ISNUMBER($L37),SUM(CFDTable[[#This Row],[Done]]),IF(CFDTable[[#This Row],[lookupMedian]]&gt;=$X37+Q37,NA(),CFDTable[[#This Row],[lookupMedian]]))</f>
        <v>30</v>
      </c>
      <c r="O37" s="10">
        <f ca="1">IF(ISNUMBER(CFDTable[[#This Row],[Done Today]]),SUM(CFDTable[[#This Row],[Done]]),IF(CFDTable[[#This Row],[lookupHigh]]&gt;=CFDTable[[#This Row],[Target]]+CFDTable[[#This Row],[highDaily]],NA(),CFDTable[[#This Row],[lookupHigh]]))</f>
        <v>30</v>
      </c>
      <c r="P37" s="10">
        <f ca="1">CFDTable[[#This Row],[AvgDaily]]-CFDTable[[#This Row],[Deviation]]</f>
        <v>0.90476190476190477</v>
      </c>
      <c r="Q37" s="10">
        <f ca="1">AVERAGE(IF(ISNUMBER(L37),IF(ISNUMBER(OFFSET(L37,-Historic,0)),OFFSET(L37,-Historic,0),L$2):L37,Q36))</f>
        <v>1.0476190476190477</v>
      </c>
      <c r="R37" s="10">
        <f ca="1">AVERAGE(IF(ISNUMBER(L37),IF(ISNUMBER(OFFSET(L37,-Historic,0)),OFFSET(L37,-Historic,0),L$2):L37,R36))</f>
        <v>1.0476190476190477</v>
      </c>
      <c r="S37" s="10">
        <f ca="1">AVERAGE(IF(ISNUMBER(L37),OFFSET(L$2,DaysToIgnoreOnAvg,0):L37,S36))</f>
        <v>0.82352941176470584</v>
      </c>
      <c r="T37" s="10">
        <f ca="1">CFDTable[[#This Row],[AvgDaily]]+CFDTable[[#This Row],[Deviation]]</f>
        <v>1.1904761904761907</v>
      </c>
      <c r="U37" s="10">
        <f ca="1">IF(ISNUMBER(L37),((_xlfn.PERCENTILE.INC(IF(ISNUMBER(OFFSET(Q37,-Historic,0)),OFFSET(Q37,-Historic,0),Q$2):Q37,PercentileHigh/100))-(MEDIAN(IF(ISNUMBER(OFFSET(Q37,-Historic,0)),OFFSET(Q37,-Historic,0),Q$2):Q37))),U36)</f>
        <v>0.1428571428571429</v>
      </c>
      <c r="V37" s="10">
        <f ca="1">IF(ISNUMBER(L37),((_xlfn.PERCENTILE.INC(Q$2:Q37,PercentileHigh/100))-(MEDIAN(Q$2:Q37))),U36)</f>
        <v>0.18333333333333335</v>
      </c>
      <c r="W37" s="10">
        <f ca="1">IF(ISNUMBER(CFDTable[[#This Row],[Done Today]]),SUM($F37:$K37),$W36)</f>
        <v>86</v>
      </c>
      <c r="X37" s="10">
        <f ca="1">IF(ISNUMBER(CFDTable[[#This Row],[Done Today]]),SUM($F37:$K37),$X36)</f>
        <v>86</v>
      </c>
      <c r="Y37" s="10">
        <f ca="1">SUM(LOOKUP(2,1/(M$1:M36&lt;&gt;""),M$1:M36)+CFDTable[[#This Row],[lowDaily]])</f>
        <v>30.904761904761905</v>
      </c>
      <c r="Z37" s="10">
        <f ca="1">SUM(LOOKUP(2,1/(N$1:N36&lt;&gt;""),N$1:N36)+Q37)</f>
        <v>31.047619047619047</v>
      </c>
      <c r="AA37" s="10">
        <f ca="1">SUM(LOOKUP(2,1/(O$1:O36&lt;&gt;""),O$1:O36)+CFDTable[[#This Row],[highDaily]])</f>
        <v>31.19047619047619</v>
      </c>
      <c r="AB37" s="12">
        <f>IF(CFDTable[[#This Row],[Date]]=DeadlineDate,CFDTable[Future Work],0)</f>
        <v>0</v>
      </c>
    </row>
    <row r="38" spans="1:28">
      <c r="A38" s="8">
        <f>CFDTable[[#This Row],[Date]]</f>
        <v>42460</v>
      </c>
      <c r="B38" s="9">
        <f>Data!B38</f>
        <v>42460</v>
      </c>
      <c r="C38" s="10" t="e">
        <f ca="1">IF(ISNUMBER(CFDTable[[#This Row],[Ready]]),NA(),CFDTable[[#This Row],[Target]]-CFDTable[[#This Row],[To Do]])</f>
        <v>#N/A</v>
      </c>
      <c r="D38" s="10">
        <f ca="1">IF(CFDTable[[#This Row],[Emergence]]&gt;0,CFDTable[[#This Row],[Future Work]]-CFDTable[[#This Row],[Emergence]],NA())</f>
        <v>43</v>
      </c>
      <c r="E38" s="10">
        <f>Data!C38</f>
        <v>43</v>
      </c>
      <c r="F38" s="10">
        <f ca="1">Data!D38</f>
        <v>51</v>
      </c>
      <c r="G38" s="10">
        <f ca="1">IF(TodaysDate&gt;=$B38,Data!E38,NA())</f>
        <v>0</v>
      </c>
      <c r="H38" s="10">
        <f ca="1">IF(TodaysDate&gt;=$B38,Data!F38,NA())</f>
        <v>5</v>
      </c>
      <c r="I38" s="10">
        <f ca="1">IF(TodaysDate&gt;=$B38,Data!G38,NA())</f>
        <v>0</v>
      </c>
      <c r="J38" s="10">
        <f ca="1">IF(TodaysDate&gt;=$B38,Data!H38,NA())</f>
        <v>0</v>
      </c>
      <c r="K38" s="10">
        <f ca="1">IF(TodaysDate&gt;=$B38,Data!I38,NA())</f>
        <v>30</v>
      </c>
      <c r="L38" s="10">
        <f ca="1">IF(CFDTable[[#This Row],[Done]]&gt;0,(CFDTable[[#This Row],[Done]])-(K37),0)</f>
        <v>0</v>
      </c>
      <c r="M38" s="10">
        <f ca="1">IF(ISNUMBER($L38),SUM(CFDTable[[#This Row],[Done]]),IF(CFDTable[[#This Row],[lookupLow]]&gt;=CFDTable[[#This Row],[Target]]+CFDTable[[#This Row],[lowDaily]],NA(),CFDTable[[#This Row],[lookupLow]]))</f>
        <v>30</v>
      </c>
      <c r="N38" s="10">
        <f ca="1">IF(ISNUMBER($L38),SUM(CFDTable[[#This Row],[Done]]),IF(CFDTable[[#This Row],[lookupMedian]]&gt;=$X38+Q38,NA(),CFDTable[[#This Row],[lookupMedian]]))</f>
        <v>30</v>
      </c>
      <c r="O38" s="10">
        <f ca="1">IF(ISNUMBER(CFDTable[[#This Row],[Done Today]]),SUM(CFDTable[[#This Row],[Done]]),IF(CFDTable[[#This Row],[lookupHigh]]&gt;=CFDTable[[#This Row],[Target]]+CFDTable[[#This Row],[highDaily]],NA(),CFDTable[[#This Row],[lookupHigh]]))</f>
        <v>30</v>
      </c>
      <c r="P38" s="10">
        <f ca="1">CFDTable[[#This Row],[AvgDaily]]-CFDTable[[#This Row],[Deviation]]</f>
        <v>0.8571428571428571</v>
      </c>
      <c r="Q38" s="10">
        <f ca="1">AVERAGE(IF(ISNUMBER(L38),IF(ISNUMBER(OFFSET(L38,-Historic,0)),OFFSET(L38,-Historic,0),L$2):L38,Q37))</f>
        <v>1</v>
      </c>
      <c r="R38" s="10">
        <f ca="1">AVERAGE(IF(ISNUMBER(L38),IF(ISNUMBER(OFFSET(L38,-Historic,0)),OFFSET(L38,-Historic,0),L$2):L38,R37))</f>
        <v>1</v>
      </c>
      <c r="S38" s="10">
        <f ca="1">AVERAGE(IF(ISNUMBER(L38),OFFSET(L$2,DaysToIgnoreOnAvg,0):L38,S37))</f>
        <v>0.8</v>
      </c>
      <c r="T38" s="10">
        <f ca="1">CFDTable[[#This Row],[AvgDaily]]+CFDTable[[#This Row],[Deviation]]</f>
        <v>1.1428571428571428</v>
      </c>
      <c r="U38" s="10">
        <f ca="1">IF(ISNUMBER(L38),((_xlfn.PERCENTILE.INC(IF(ISNUMBER(OFFSET(Q38,-Historic,0)),OFFSET(Q38,-Historic,0),Q$2):Q38,PercentileHigh/100))-(MEDIAN(IF(ISNUMBER(OFFSET(Q38,-Historic,0)),OFFSET(Q38,-Historic,0),Q$2):Q38))),U37)</f>
        <v>0.1428571428571429</v>
      </c>
      <c r="V38" s="10">
        <f ca="1">IF(ISNUMBER(L38),((_xlfn.PERCENTILE.INC(Q$2:Q38,PercentileHigh/100))-(MEDIAN(Q$2:Q38))),U37)</f>
        <v>0.19047619047619047</v>
      </c>
      <c r="W38" s="10">
        <f ca="1">IF(ISNUMBER(CFDTable[[#This Row],[Done Today]]),SUM($F38:$K38),$W37)</f>
        <v>86</v>
      </c>
      <c r="X38" s="10">
        <f ca="1">IF(ISNUMBER(CFDTable[[#This Row],[Done Today]]),SUM($F38:$K38),$X37)</f>
        <v>86</v>
      </c>
      <c r="Y38" s="10">
        <f ca="1">SUM(LOOKUP(2,1/(M$1:M37&lt;&gt;""),M$1:M37)+CFDTable[[#This Row],[lowDaily]])</f>
        <v>30.857142857142858</v>
      </c>
      <c r="Z38" s="10">
        <f ca="1">SUM(LOOKUP(2,1/(N$1:N37&lt;&gt;""),N$1:N37)+Q38)</f>
        <v>31</v>
      </c>
      <c r="AA38" s="10">
        <f ca="1">SUM(LOOKUP(2,1/(O$1:O37&lt;&gt;""),O$1:O37)+CFDTable[[#This Row],[highDaily]])</f>
        <v>31.142857142857142</v>
      </c>
      <c r="AB38" s="12">
        <f>IF(CFDTable[[#This Row],[Date]]=DeadlineDate,CFDTable[Future Work],0)</f>
        <v>0</v>
      </c>
    </row>
    <row r="39" spans="1:28">
      <c r="A39" s="8">
        <f>CFDTable[[#This Row],[Date]]</f>
        <v>42461</v>
      </c>
      <c r="B39" s="9">
        <f>Data!B39</f>
        <v>42461</v>
      </c>
      <c r="C39" s="10" t="e">
        <f ca="1">IF(ISNUMBER(CFDTable[[#This Row],[Ready]]),NA(),CFDTable[[#This Row],[Target]]-CFDTable[[#This Row],[To Do]])</f>
        <v>#N/A</v>
      </c>
      <c r="D39" s="10">
        <f ca="1">IF(CFDTable[[#This Row],[Emergence]]&gt;0,CFDTable[[#This Row],[Future Work]]-CFDTable[[#This Row],[Emergence]],NA())</f>
        <v>44</v>
      </c>
      <c r="E39" s="10">
        <f>Data!C39</f>
        <v>43</v>
      </c>
      <c r="F39" s="10">
        <f ca="1">Data!D39</f>
        <v>51</v>
      </c>
      <c r="G39" s="10">
        <f ca="1">IF(TodaysDate&gt;=$B39,Data!E39,NA())</f>
        <v>0</v>
      </c>
      <c r="H39" s="10">
        <f ca="1">IF(TodaysDate&gt;=$B39,Data!F39,NA())</f>
        <v>5</v>
      </c>
      <c r="I39" s="10">
        <f ca="1">IF(TodaysDate&gt;=$B39,Data!G39,NA())</f>
        <v>0</v>
      </c>
      <c r="J39" s="10">
        <f ca="1">IF(TodaysDate&gt;=$B39,Data!H39,NA())</f>
        <v>0</v>
      </c>
      <c r="K39" s="10">
        <f ca="1">IF(TodaysDate&gt;=$B39,Data!I39,NA())</f>
        <v>31</v>
      </c>
      <c r="L39" s="10">
        <f ca="1">IF(CFDTable[[#This Row],[Done]]&gt;0,(CFDTable[[#This Row],[Done]])-(K38),0)</f>
        <v>1</v>
      </c>
      <c r="M39" s="10">
        <f ca="1">IF(ISNUMBER($L39),SUM(CFDTable[[#This Row],[Done]]),IF(CFDTable[[#This Row],[lookupLow]]&gt;=CFDTable[[#This Row],[Target]]+CFDTable[[#This Row],[lowDaily]],NA(),CFDTable[[#This Row],[lookupLow]]))</f>
        <v>31</v>
      </c>
      <c r="N39" s="10">
        <f ca="1">IF(ISNUMBER($L39),SUM(CFDTable[[#This Row],[Done]]),IF(CFDTable[[#This Row],[lookupMedian]]&gt;=$X39+Q39,NA(),CFDTable[[#This Row],[lookupMedian]]))</f>
        <v>31</v>
      </c>
      <c r="O39" s="10">
        <f ca="1">IF(ISNUMBER(CFDTable[[#This Row],[Done Today]]),SUM(CFDTable[[#This Row],[Done]]),IF(CFDTable[[#This Row],[lookupHigh]]&gt;=CFDTable[[#This Row],[Target]]+CFDTable[[#This Row],[highDaily]],NA(),CFDTable[[#This Row],[lookupHigh]]))</f>
        <v>31</v>
      </c>
      <c r="P39" s="10">
        <f ca="1">CFDTable[[#This Row],[AvgDaily]]-CFDTable[[#This Row],[Deviation]]</f>
        <v>0.71428571428571419</v>
      </c>
      <c r="Q39" s="10">
        <f ca="1">AVERAGE(IF(ISNUMBER(L39),IF(ISNUMBER(OFFSET(L39,-Historic,0)),OFFSET(L39,-Historic,0),L$2):L39,Q38))</f>
        <v>0.8571428571428571</v>
      </c>
      <c r="R39" s="10">
        <f ca="1">AVERAGE(IF(ISNUMBER(L39),IF(ISNUMBER(OFFSET(L39,-Historic,0)),OFFSET(L39,-Historic,0),L$2):L39,R38))</f>
        <v>0.8571428571428571</v>
      </c>
      <c r="S39" s="10">
        <f ca="1">AVERAGE(IF(ISNUMBER(L39),OFFSET(L$2,DaysToIgnoreOnAvg,0):L39,S38))</f>
        <v>0.80555555555555558</v>
      </c>
      <c r="T39" s="10">
        <f ca="1">CFDTable[[#This Row],[AvgDaily]]+CFDTable[[#This Row],[Deviation]]</f>
        <v>1</v>
      </c>
      <c r="U39" s="10">
        <f ca="1">IF(ISNUMBER(L39),((_xlfn.PERCENTILE.INC(IF(ISNUMBER(OFFSET(Q39,-Historic,0)),OFFSET(Q39,-Historic,0),Q$2):Q39,PercentileHigh/100))-(MEDIAN(IF(ISNUMBER(OFFSET(Q39,-Historic,0)),OFFSET(Q39,-Historic,0),Q$2):Q39))),U38)</f>
        <v>0.1428571428571429</v>
      </c>
      <c r="V39" s="10">
        <f ca="1">IF(ISNUMBER(L39),((_xlfn.PERCENTILE.INC(Q$2:Q39,PercentileHigh/100))-(MEDIAN(Q$2:Q39))),U38)</f>
        <v>0.17418546365914789</v>
      </c>
      <c r="W39" s="10">
        <f ca="1">IF(ISNUMBER(CFDTable[[#This Row],[Done Today]]),SUM($F39:$K39),$W38)</f>
        <v>87</v>
      </c>
      <c r="X39" s="10">
        <f ca="1">IF(ISNUMBER(CFDTable[[#This Row],[Done Today]]),SUM($F39:$K39),$X38)</f>
        <v>87</v>
      </c>
      <c r="Y39" s="10">
        <f ca="1">SUM(LOOKUP(2,1/(M$1:M38&lt;&gt;""),M$1:M38)+CFDTable[[#This Row],[lowDaily]])</f>
        <v>30.714285714285715</v>
      </c>
      <c r="Z39" s="10">
        <f ca="1">SUM(LOOKUP(2,1/(N$1:N38&lt;&gt;""),N$1:N38)+Q39)</f>
        <v>30.857142857142858</v>
      </c>
      <c r="AA39" s="10">
        <f ca="1">SUM(LOOKUP(2,1/(O$1:O38&lt;&gt;""),O$1:O38)+CFDTable[[#This Row],[highDaily]])</f>
        <v>31</v>
      </c>
      <c r="AB39" s="12">
        <f>IF(CFDTable[[#This Row],[Date]]=DeadlineDate,CFDTable[Future Work],0)</f>
        <v>0</v>
      </c>
    </row>
    <row r="40" spans="1:28">
      <c r="A40" s="8">
        <f>CFDTable[[#This Row],[Date]]</f>
        <v>42464</v>
      </c>
      <c r="B40" s="9">
        <f>Data!B40</f>
        <v>42464</v>
      </c>
      <c r="C40" s="10" t="e">
        <f ca="1">IF(ISNUMBER(CFDTable[[#This Row],[Ready]]),NA(),CFDTable[[#This Row],[Target]]-CFDTable[[#This Row],[To Do]])</f>
        <v>#N/A</v>
      </c>
      <c r="D40" s="10">
        <f ca="1">IF(CFDTable[[#This Row],[Emergence]]&gt;0,CFDTable[[#This Row],[Future Work]]-CFDTable[[#This Row],[Emergence]],NA())</f>
        <v>44</v>
      </c>
      <c r="E40" s="10">
        <f>Data!C40</f>
        <v>43</v>
      </c>
      <c r="F40" s="10">
        <f ca="1">Data!D40</f>
        <v>51</v>
      </c>
      <c r="G40" s="10">
        <f ca="1">IF(TodaysDate&gt;=$B40,Data!E40,NA())</f>
        <v>0</v>
      </c>
      <c r="H40" s="10">
        <f ca="1">IF(TodaysDate&gt;=$B40,Data!F40,NA())</f>
        <v>4</v>
      </c>
      <c r="I40" s="10">
        <f ca="1">IF(TodaysDate&gt;=$B40,Data!G40,NA())</f>
        <v>0</v>
      </c>
      <c r="J40" s="10">
        <f ca="1">IF(TodaysDate&gt;=$B40,Data!H40,NA())</f>
        <v>0</v>
      </c>
      <c r="K40" s="10">
        <f ca="1">IF(TodaysDate&gt;=$B40,Data!I40,NA())</f>
        <v>32</v>
      </c>
      <c r="L40" s="10">
        <f ca="1">IF(CFDTable[[#This Row],[Done]]&gt;0,(CFDTable[[#This Row],[Done]])-(K39),0)</f>
        <v>1</v>
      </c>
      <c r="M40" s="10">
        <f ca="1">IF(ISNUMBER($L40),SUM(CFDTable[[#This Row],[Done]]),IF(CFDTable[[#This Row],[lookupLow]]&gt;=CFDTable[[#This Row],[Target]]+CFDTable[[#This Row],[lowDaily]],NA(),CFDTable[[#This Row],[lookupLow]]))</f>
        <v>32</v>
      </c>
      <c r="N40" s="10">
        <f ca="1">IF(ISNUMBER($L40),SUM(CFDTable[[#This Row],[Done]]),IF(CFDTable[[#This Row],[lookupMedian]]&gt;=$X40+Q40,NA(),CFDTable[[#This Row],[lookupMedian]]))</f>
        <v>32</v>
      </c>
      <c r="O40" s="10">
        <f ca="1">IF(ISNUMBER(CFDTable[[#This Row],[Done Today]]),SUM(CFDTable[[#This Row],[Done]]),IF(CFDTable[[#This Row],[lookupHigh]]&gt;=CFDTable[[#This Row],[Target]]+CFDTable[[#This Row],[highDaily]],NA(),CFDTable[[#This Row],[lookupHigh]]))</f>
        <v>32</v>
      </c>
      <c r="P40" s="10">
        <f ca="1">CFDTable[[#This Row],[AvgDaily]]-CFDTable[[#This Row],[Deviation]]</f>
        <v>0.76190476190476186</v>
      </c>
      <c r="Q40" s="10">
        <f ca="1">AVERAGE(IF(ISNUMBER(L40),IF(ISNUMBER(OFFSET(L40,-Historic,0)),OFFSET(L40,-Historic,0),L$2):L40,Q39))</f>
        <v>0.90476190476190477</v>
      </c>
      <c r="R40" s="10">
        <f ca="1">AVERAGE(IF(ISNUMBER(L40),IF(ISNUMBER(OFFSET(L40,-Historic,0)),OFFSET(L40,-Historic,0),L$2):L40,R39))</f>
        <v>0.90476190476190477</v>
      </c>
      <c r="S40" s="10">
        <f ca="1">AVERAGE(IF(ISNUMBER(L40),OFFSET(L$2,DaysToIgnoreOnAvg,0):L40,S39))</f>
        <v>0.81081081081081086</v>
      </c>
      <c r="T40" s="10">
        <f ca="1">CFDTable[[#This Row],[AvgDaily]]+CFDTable[[#This Row],[Deviation]]</f>
        <v>1.0476190476190477</v>
      </c>
      <c r="U40" s="10">
        <f ca="1">IF(ISNUMBER(L40),((_xlfn.PERCENTILE.INC(IF(ISNUMBER(OFFSET(Q40,-Historic,0)),OFFSET(Q40,-Historic,0),Q$2):Q40,PercentileHigh/100))-(MEDIAN(IF(ISNUMBER(OFFSET(Q40,-Historic,0)),OFFSET(Q40,-Historic,0),Q$2):Q40))),U39)</f>
        <v>0.1428571428571429</v>
      </c>
      <c r="V40" s="10">
        <f ca="1">IF(ISNUMBER(L40),((_xlfn.PERCENTILE.INC(Q$2:Q40,PercentileHigh/100))-(MEDIAN(Q$2:Q40))),U39)</f>
        <v>0.15789473684210531</v>
      </c>
      <c r="W40" s="10">
        <f ca="1">IF(ISNUMBER(CFDTable[[#This Row],[Done Today]]),SUM($F40:$K40),$W39)</f>
        <v>87</v>
      </c>
      <c r="X40" s="10">
        <f ca="1">IF(ISNUMBER(CFDTable[[#This Row],[Done Today]]),SUM($F40:$K40),$X39)</f>
        <v>87</v>
      </c>
      <c r="Y40" s="10">
        <f ca="1">SUM(LOOKUP(2,1/(M$1:M39&lt;&gt;""),M$1:M39)+CFDTable[[#This Row],[lowDaily]])</f>
        <v>31.761904761904763</v>
      </c>
      <c r="Z40" s="10">
        <f ca="1">SUM(LOOKUP(2,1/(N$1:N39&lt;&gt;""),N$1:N39)+Q40)</f>
        <v>31.904761904761905</v>
      </c>
      <c r="AA40" s="10">
        <f ca="1">SUM(LOOKUP(2,1/(O$1:O39&lt;&gt;""),O$1:O39)+CFDTable[[#This Row],[highDaily]])</f>
        <v>32.047619047619051</v>
      </c>
      <c r="AB40" s="12">
        <f>IF(CFDTable[[#This Row],[Date]]=DeadlineDate,CFDTable[Future Work],0)</f>
        <v>0</v>
      </c>
    </row>
    <row r="41" spans="1:28">
      <c r="A41" s="8">
        <f>CFDTable[[#This Row],[Date]]</f>
        <v>42465</v>
      </c>
      <c r="B41" s="9">
        <f>Data!B41</f>
        <v>42465</v>
      </c>
      <c r="C41" s="10" t="e">
        <f ca="1">IF(ISNUMBER(CFDTable[[#This Row],[Ready]]),NA(),CFDTable[[#This Row],[Target]]-CFDTable[[#This Row],[To Do]])</f>
        <v>#N/A</v>
      </c>
      <c r="D41" s="10">
        <f ca="1">IF(CFDTable[[#This Row],[Emergence]]&gt;0,CFDTable[[#This Row],[Future Work]]-CFDTable[[#This Row],[Emergence]],NA())</f>
        <v>44</v>
      </c>
      <c r="E41" s="10">
        <f>Data!C41</f>
        <v>43</v>
      </c>
      <c r="F41" s="10">
        <f ca="1">Data!D41</f>
        <v>51</v>
      </c>
      <c r="G41" s="10">
        <f ca="1">IF(TodaysDate&gt;=$B41,Data!E41,NA())</f>
        <v>0</v>
      </c>
      <c r="H41" s="10">
        <f ca="1">IF(TodaysDate&gt;=$B41,Data!F41,NA())</f>
        <v>4</v>
      </c>
      <c r="I41" s="10">
        <f ca="1">IF(TodaysDate&gt;=$B41,Data!G41,NA())</f>
        <v>0</v>
      </c>
      <c r="J41" s="10">
        <f ca="1">IF(TodaysDate&gt;=$B41,Data!H41,NA())</f>
        <v>0</v>
      </c>
      <c r="K41" s="10">
        <f ca="1">IF(TodaysDate&gt;=$B41,Data!I41,NA())</f>
        <v>32</v>
      </c>
      <c r="L41" s="10">
        <f ca="1">IF(CFDTable[[#This Row],[Done]]&gt;0,(CFDTable[[#This Row],[Done]])-(K40),0)</f>
        <v>0</v>
      </c>
      <c r="M41" s="10">
        <f ca="1">IF(ISNUMBER($L41),SUM(CFDTable[[#This Row],[Done]]),IF(CFDTable[[#This Row],[lookupLow]]&gt;=CFDTable[[#This Row],[Target]]+CFDTable[[#This Row],[lowDaily]],NA(),CFDTable[[#This Row],[lookupLow]]))</f>
        <v>32</v>
      </c>
      <c r="N41" s="10">
        <f ca="1">IF(ISNUMBER($L41),SUM(CFDTable[[#This Row],[Done]]),IF(CFDTable[[#This Row],[lookupMedian]]&gt;=$X41+Q41,NA(),CFDTable[[#This Row],[lookupMedian]]))</f>
        <v>32</v>
      </c>
      <c r="O41" s="10">
        <f ca="1">IF(ISNUMBER(CFDTable[[#This Row],[Done Today]]),SUM(CFDTable[[#This Row],[Done]]),IF(CFDTable[[#This Row],[lookupHigh]]&gt;=CFDTable[[#This Row],[Target]]+CFDTable[[#This Row],[highDaily]],NA(),CFDTable[[#This Row],[lookupHigh]]))</f>
        <v>32</v>
      </c>
      <c r="P41" s="10">
        <f ca="1">CFDTable[[#This Row],[AvgDaily]]-CFDTable[[#This Row],[Deviation]]</f>
        <v>0.61904761904761896</v>
      </c>
      <c r="Q41" s="10">
        <f ca="1">AVERAGE(IF(ISNUMBER(L41),IF(ISNUMBER(OFFSET(L41,-Historic,0)),OFFSET(L41,-Historic,0),L$2):L41,Q40))</f>
        <v>0.76190476190476186</v>
      </c>
      <c r="R41" s="10">
        <f ca="1">AVERAGE(IF(ISNUMBER(L41),IF(ISNUMBER(OFFSET(L41,-Historic,0)),OFFSET(L41,-Historic,0),L$2):L41,R40))</f>
        <v>0.76190476190476186</v>
      </c>
      <c r="S41" s="10">
        <f ca="1">AVERAGE(IF(ISNUMBER(L41),OFFSET(L$2,DaysToIgnoreOnAvg,0):L41,S40))</f>
        <v>0.78947368421052633</v>
      </c>
      <c r="T41" s="10">
        <f ca="1">CFDTable[[#This Row],[AvgDaily]]+CFDTable[[#This Row],[Deviation]]</f>
        <v>0.90476190476190477</v>
      </c>
      <c r="U41" s="10">
        <f ca="1">IF(ISNUMBER(L41),((_xlfn.PERCENTILE.INC(IF(ISNUMBER(OFFSET(Q41,-Historic,0)),OFFSET(Q41,-Historic,0),Q$2):Q41,PercentileHigh/100))-(MEDIAN(IF(ISNUMBER(OFFSET(Q41,-Historic,0)),OFFSET(Q41,-Historic,0),Q$2):Q41))),U40)</f>
        <v>0.1428571428571429</v>
      </c>
      <c r="V41" s="10">
        <f ca="1">IF(ISNUMBER(L41),((_xlfn.PERCENTILE.INC(Q$2:Q41,PercentileHigh/100))-(MEDIAN(Q$2:Q41))),U40)</f>
        <v>0.17418546365914789</v>
      </c>
      <c r="W41" s="10">
        <f ca="1">IF(ISNUMBER(CFDTable[[#This Row],[Done Today]]),SUM($F41:$K41),$W40)</f>
        <v>87</v>
      </c>
      <c r="X41" s="10">
        <f ca="1">IF(ISNUMBER(CFDTable[[#This Row],[Done Today]]),SUM($F41:$K41),$X40)</f>
        <v>87</v>
      </c>
      <c r="Y41" s="10">
        <f ca="1">SUM(LOOKUP(2,1/(M$1:M40&lt;&gt;""),M$1:M40)+CFDTable[[#This Row],[lowDaily]])</f>
        <v>32.61904761904762</v>
      </c>
      <c r="Z41" s="10">
        <f ca="1">SUM(LOOKUP(2,1/(N$1:N40&lt;&gt;""),N$1:N40)+Q41)</f>
        <v>32.761904761904759</v>
      </c>
      <c r="AA41" s="10">
        <f ca="1">SUM(LOOKUP(2,1/(O$1:O40&lt;&gt;""),O$1:O40)+CFDTable[[#This Row],[highDaily]])</f>
        <v>32.904761904761905</v>
      </c>
      <c r="AB41" s="12">
        <f>IF(CFDTable[[#This Row],[Date]]=DeadlineDate,CFDTable[Future Work],0)</f>
        <v>0</v>
      </c>
    </row>
    <row r="42" spans="1:28">
      <c r="A42" s="8">
        <f>CFDTable[[#This Row],[Date]]</f>
        <v>42466</v>
      </c>
      <c r="B42" s="9">
        <f>Data!B42</f>
        <v>42466</v>
      </c>
      <c r="C42" s="10" t="e">
        <f ca="1">IF(ISNUMBER(CFDTable[[#This Row],[Ready]]),NA(),CFDTable[[#This Row],[Target]]-CFDTable[[#This Row],[To Do]])</f>
        <v>#N/A</v>
      </c>
      <c r="D42" s="10">
        <f ca="1">IF(CFDTable[[#This Row],[Emergence]]&gt;0,CFDTable[[#This Row],[Future Work]]-CFDTable[[#This Row],[Emergence]],NA())</f>
        <v>44</v>
      </c>
      <c r="E42" s="10">
        <f>Data!C42</f>
        <v>43</v>
      </c>
      <c r="F42" s="10">
        <f ca="1">Data!D42</f>
        <v>50</v>
      </c>
      <c r="G42" s="10">
        <f ca="1">IF(TodaysDate&gt;=$B42,Data!E42,NA())</f>
        <v>0</v>
      </c>
      <c r="H42" s="10">
        <f ca="1">IF(TodaysDate&gt;=$B42,Data!F42,NA())</f>
        <v>3</v>
      </c>
      <c r="I42" s="10">
        <f ca="1">IF(TodaysDate&gt;=$B42,Data!G42,NA())</f>
        <v>0</v>
      </c>
      <c r="J42" s="10">
        <f ca="1">IF(TodaysDate&gt;=$B42,Data!H42,NA())</f>
        <v>0</v>
      </c>
      <c r="K42" s="10">
        <f ca="1">IF(TodaysDate&gt;=$B42,Data!I42,NA())</f>
        <v>34</v>
      </c>
      <c r="L42" s="10">
        <f ca="1">IF(CFDTable[[#This Row],[Done]]&gt;0,(CFDTable[[#This Row],[Done]])-(K41),0)</f>
        <v>2</v>
      </c>
      <c r="M42" s="10">
        <f ca="1">IF(ISNUMBER($L42),SUM(CFDTable[[#This Row],[Done]]),IF(CFDTable[[#This Row],[lookupLow]]&gt;=CFDTable[[#This Row],[Target]]+CFDTable[[#This Row],[lowDaily]],NA(),CFDTable[[#This Row],[lookupLow]]))</f>
        <v>34</v>
      </c>
      <c r="N42" s="10">
        <f ca="1">IF(ISNUMBER($L42),SUM(CFDTable[[#This Row],[Done]]),IF(CFDTable[[#This Row],[lookupMedian]]&gt;=$X42+Q42,NA(),CFDTable[[#This Row],[lookupMedian]]))</f>
        <v>34</v>
      </c>
      <c r="O42" s="10">
        <f ca="1">IF(ISNUMBER(CFDTable[[#This Row],[Done Today]]),SUM(CFDTable[[#This Row],[Done]]),IF(CFDTable[[#This Row],[lookupHigh]]&gt;=CFDTable[[#This Row],[Target]]+CFDTable[[#This Row],[highDaily]],NA(),CFDTable[[#This Row],[lookupHigh]]))</f>
        <v>34</v>
      </c>
      <c r="P42" s="10">
        <f ca="1">CFDTable[[#This Row],[AvgDaily]]-CFDTable[[#This Row],[Deviation]]</f>
        <v>0.71428571428571419</v>
      </c>
      <c r="Q42" s="10">
        <f ca="1">AVERAGE(IF(ISNUMBER(L42),IF(ISNUMBER(OFFSET(L42,-Historic,0)),OFFSET(L42,-Historic,0),L$2):L42,Q41))</f>
        <v>0.8571428571428571</v>
      </c>
      <c r="R42" s="10">
        <f ca="1">AVERAGE(IF(ISNUMBER(L42),IF(ISNUMBER(OFFSET(L42,-Historic,0)),OFFSET(L42,-Historic,0),L$2):L42,R41))</f>
        <v>0.8571428571428571</v>
      </c>
      <c r="S42" s="10">
        <f ca="1">AVERAGE(IF(ISNUMBER(L42),OFFSET(L$2,DaysToIgnoreOnAvg,0):L42,S41))</f>
        <v>0.82051282051282048</v>
      </c>
      <c r="T42" s="10">
        <f ca="1">CFDTable[[#This Row],[AvgDaily]]+CFDTable[[#This Row],[Deviation]]</f>
        <v>1</v>
      </c>
      <c r="U42" s="10">
        <f ca="1">IF(ISNUMBER(L42),((_xlfn.PERCENTILE.INC(IF(ISNUMBER(OFFSET(Q42,-Historic,0)),OFFSET(Q42,-Historic,0),Q$2):Q42,PercentileHigh/100))-(MEDIAN(IF(ISNUMBER(OFFSET(Q42,-Historic,0)),OFFSET(Q42,-Historic,0),Q$2):Q42))),U41)</f>
        <v>0.1428571428571429</v>
      </c>
      <c r="V42" s="10">
        <f ca="1">IF(ISNUMBER(L42),((_xlfn.PERCENTILE.INC(Q$2:Q42,PercentileHigh/100))-(MEDIAN(Q$2:Q42))),U41)</f>
        <v>0.15789473684210531</v>
      </c>
      <c r="W42" s="10">
        <f ca="1">IF(ISNUMBER(CFDTable[[#This Row],[Done Today]]),SUM($F42:$K42),$W41)</f>
        <v>87</v>
      </c>
      <c r="X42" s="10">
        <f ca="1">IF(ISNUMBER(CFDTable[[#This Row],[Done Today]]),SUM($F42:$K42),$X41)</f>
        <v>87</v>
      </c>
      <c r="Y42" s="10">
        <f ca="1">SUM(LOOKUP(2,1/(M$1:M41&lt;&gt;""),M$1:M41)+CFDTable[[#This Row],[lowDaily]])</f>
        <v>32.714285714285715</v>
      </c>
      <c r="Z42" s="10">
        <f ca="1">SUM(LOOKUP(2,1/(N$1:N41&lt;&gt;""),N$1:N41)+Q42)</f>
        <v>32.857142857142854</v>
      </c>
      <c r="AA42" s="10">
        <f ca="1">SUM(LOOKUP(2,1/(O$1:O41&lt;&gt;""),O$1:O41)+CFDTable[[#This Row],[highDaily]])</f>
        <v>33</v>
      </c>
      <c r="AB42" s="12">
        <f>IF(CFDTable[[#This Row],[Date]]=DeadlineDate,CFDTable[Future Work],0)</f>
        <v>0</v>
      </c>
    </row>
    <row r="43" spans="1:28">
      <c r="A43" s="8">
        <f>CFDTable[[#This Row],[Date]]</f>
        <v>42467</v>
      </c>
      <c r="B43" s="9">
        <f>Data!B43</f>
        <v>42467</v>
      </c>
      <c r="C43" s="10" t="e">
        <f ca="1">IF(ISNUMBER(CFDTable[[#This Row],[Ready]]),NA(),CFDTable[[#This Row],[Target]]-CFDTable[[#This Row],[To Do]])</f>
        <v>#N/A</v>
      </c>
      <c r="D43" s="10">
        <f ca="1">IF(CFDTable[[#This Row],[Emergence]]&gt;0,CFDTable[[#This Row],[Future Work]]-CFDTable[[#This Row],[Emergence]],NA())</f>
        <v>44</v>
      </c>
      <c r="E43" s="10">
        <f>Data!C43</f>
        <v>43</v>
      </c>
      <c r="F43" s="10">
        <f ca="1">Data!D43</f>
        <v>49</v>
      </c>
      <c r="G43" s="10">
        <f ca="1">IF(TodaysDate&gt;=$B43,Data!E43,NA())</f>
        <v>0</v>
      </c>
      <c r="H43" s="10">
        <f ca="1">IF(TodaysDate&gt;=$B43,Data!F43,NA())</f>
        <v>4</v>
      </c>
      <c r="I43" s="10">
        <f ca="1">IF(TodaysDate&gt;=$B43,Data!G43,NA())</f>
        <v>0</v>
      </c>
      <c r="J43" s="10">
        <f ca="1">IF(TodaysDate&gt;=$B43,Data!H43,NA())</f>
        <v>0</v>
      </c>
      <c r="K43" s="10">
        <f ca="1">IF(TodaysDate&gt;=$B43,Data!I43,NA())</f>
        <v>34</v>
      </c>
      <c r="L43" s="10">
        <f ca="1">IF(CFDTable[[#This Row],[Done]]&gt;0,(CFDTable[[#This Row],[Done]])-(K42),0)</f>
        <v>0</v>
      </c>
      <c r="M43" s="10">
        <f ca="1">IF(ISNUMBER($L43),SUM(CFDTable[[#This Row],[Done]]),IF(CFDTable[[#This Row],[lookupLow]]&gt;=CFDTable[[#This Row],[Target]]+CFDTable[[#This Row],[lowDaily]],NA(),CFDTable[[#This Row],[lookupLow]]))</f>
        <v>34</v>
      </c>
      <c r="N43" s="10">
        <f ca="1">IF(ISNUMBER($L43),SUM(CFDTable[[#This Row],[Done]]),IF(CFDTable[[#This Row],[lookupMedian]]&gt;=$X43+Q43,NA(),CFDTable[[#This Row],[lookupMedian]]))</f>
        <v>34</v>
      </c>
      <c r="O43" s="10">
        <f ca="1">IF(ISNUMBER(CFDTable[[#This Row],[Done Today]]),SUM(CFDTable[[#This Row],[Done]]),IF(CFDTable[[#This Row],[lookupHigh]]&gt;=CFDTable[[#This Row],[Target]]+CFDTable[[#This Row],[highDaily]],NA(),CFDTable[[#This Row],[lookupHigh]]))</f>
        <v>34</v>
      </c>
      <c r="P43" s="10">
        <f ca="1">CFDTable[[#This Row],[AvgDaily]]-CFDTable[[#This Row],[Deviation]]</f>
        <v>0.61904761904761896</v>
      </c>
      <c r="Q43" s="10">
        <f ca="1">AVERAGE(IF(ISNUMBER(L43),IF(ISNUMBER(OFFSET(L43,-Historic,0)),OFFSET(L43,-Historic,0),L$2):L43,Q42))</f>
        <v>0.76190476190476186</v>
      </c>
      <c r="R43" s="10">
        <f ca="1">AVERAGE(IF(ISNUMBER(L43),IF(ISNUMBER(OFFSET(L43,-Historic,0)),OFFSET(L43,-Historic,0),L$2):L43,R42))</f>
        <v>0.76190476190476186</v>
      </c>
      <c r="S43" s="10">
        <f ca="1">AVERAGE(IF(ISNUMBER(L43),OFFSET(L$2,DaysToIgnoreOnAvg,0):L43,S42))</f>
        <v>0.8</v>
      </c>
      <c r="T43" s="10">
        <f ca="1">CFDTable[[#This Row],[AvgDaily]]+CFDTable[[#This Row],[Deviation]]</f>
        <v>0.90476190476190477</v>
      </c>
      <c r="U43" s="10">
        <f ca="1">IF(ISNUMBER(L43),((_xlfn.PERCENTILE.INC(IF(ISNUMBER(OFFSET(Q43,-Historic,0)),OFFSET(Q43,-Historic,0),Q$2):Q43,PercentileHigh/100))-(MEDIAN(IF(ISNUMBER(OFFSET(Q43,-Historic,0)),OFFSET(Q43,-Historic,0),Q$2):Q43))),U42)</f>
        <v>0.1428571428571429</v>
      </c>
      <c r="V43" s="10">
        <f ca="1">IF(ISNUMBER(L43),((_xlfn.PERCENTILE.INC(Q$2:Q43,PercentileHigh/100))-(MEDIAN(Q$2:Q43))),U42)</f>
        <v>0.16704260651629077</v>
      </c>
      <c r="W43" s="10">
        <f ca="1">IF(ISNUMBER(CFDTable[[#This Row],[Done Today]]),SUM($F43:$K43),$W42)</f>
        <v>87</v>
      </c>
      <c r="X43" s="10">
        <f ca="1">IF(ISNUMBER(CFDTable[[#This Row],[Done Today]]),SUM($F43:$K43),$X42)</f>
        <v>87</v>
      </c>
      <c r="Y43" s="10">
        <f ca="1">SUM(LOOKUP(2,1/(M$1:M42&lt;&gt;""),M$1:M42)+CFDTable[[#This Row],[lowDaily]])</f>
        <v>34.61904761904762</v>
      </c>
      <c r="Z43" s="10">
        <f ca="1">SUM(LOOKUP(2,1/(N$1:N42&lt;&gt;""),N$1:N42)+Q43)</f>
        <v>34.761904761904759</v>
      </c>
      <c r="AA43" s="10">
        <f ca="1">SUM(LOOKUP(2,1/(O$1:O42&lt;&gt;""),O$1:O42)+CFDTable[[#This Row],[highDaily]])</f>
        <v>34.904761904761905</v>
      </c>
      <c r="AB43" s="12">
        <f>IF(CFDTable[[#This Row],[Date]]=DeadlineDate,CFDTable[Future Work],0)</f>
        <v>0</v>
      </c>
    </row>
    <row r="44" spans="1:28">
      <c r="A44" s="8">
        <f>CFDTable[[#This Row],[Date]]</f>
        <v>42468</v>
      </c>
      <c r="B44" s="9">
        <f>Data!B44</f>
        <v>42468</v>
      </c>
      <c r="C44" s="10" t="e">
        <f ca="1">IF(ISNUMBER(CFDTable[[#This Row],[Ready]]),NA(),CFDTable[[#This Row],[Target]]-CFDTable[[#This Row],[To Do]])</f>
        <v>#N/A</v>
      </c>
      <c r="D44" s="10">
        <f ca="1">IF(CFDTable[[#This Row],[Emergence]]&gt;0,CFDTable[[#This Row],[Future Work]]-CFDTable[[#This Row],[Emergence]],NA())</f>
        <v>44</v>
      </c>
      <c r="E44" s="10">
        <f>Data!C44</f>
        <v>43</v>
      </c>
      <c r="F44" s="10">
        <f ca="1">Data!D44</f>
        <v>49</v>
      </c>
      <c r="G44" s="10">
        <f ca="1">IF(TodaysDate&gt;=$B44,Data!E44,NA())</f>
        <v>0</v>
      </c>
      <c r="H44" s="10">
        <f ca="1">IF(TodaysDate&gt;=$B44,Data!F44,NA())</f>
        <v>4</v>
      </c>
      <c r="I44" s="10">
        <f ca="1">IF(TodaysDate&gt;=$B44,Data!G44,NA())</f>
        <v>0</v>
      </c>
      <c r="J44" s="10">
        <f ca="1">IF(TodaysDate&gt;=$B44,Data!H44,NA())</f>
        <v>0</v>
      </c>
      <c r="K44" s="10">
        <f ca="1">IF(TodaysDate&gt;=$B44,Data!I44,NA())</f>
        <v>34</v>
      </c>
      <c r="L44" s="10">
        <f ca="1">IF(CFDTable[[#This Row],[Done]]&gt;0,(CFDTable[[#This Row],[Done]])-(K43),0)</f>
        <v>0</v>
      </c>
      <c r="M44" s="10">
        <f ca="1">IF(ISNUMBER($L44),SUM(CFDTable[[#This Row],[Done]]),IF(CFDTable[[#This Row],[lookupLow]]&gt;=CFDTable[[#This Row],[Target]]+CFDTable[[#This Row],[lowDaily]],NA(),CFDTable[[#This Row],[lookupLow]]))</f>
        <v>34</v>
      </c>
      <c r="N44" s="10">
        <f ca="1">IF(ISNUMBER($L44),SUM(CFDTable[[#This Row],[Done]]),IF(CFDTable[[#This Row],[lookupMedian]]&gt;=$X44+Q44,NA(),CFDTable[[#This Row],[lookupMedian]]))</f>
        <v>34</v>
      </c>
      <c r="O44" s="10">
        <f ca="1">IF(ISNUMBER(CFDTable[[#This Row],[Done Today]]),SUM(CFDTable[[#This Row],[Done]]),IF(CFDTable[[#This Row],[lookupHigh]]&gt;=CFDTable[[#This Row],[Target]]+CFDTable[[#This Row],[highDaily]],NA(),CFDTable[[#This Row],[lookupHigh]]))</f>
        <v>34</v>
      </c>
      <c r="P44" s="10">
        <f ca="1">CFDTable[[#This Row],[AvgDaily]]-CFDTable[[#This Row],[Deviation]]</f>
        <v>0.5714285714285714</v>
      </c>
      <c r="Q44" s="10">
        <f ca="1">AVERAGE(IF(ISNUMBER(L44),IF(ISNUMBER(OFFSET(L44,-Historic,0)),OFFSET(L44,-Historic,0),L$2):L44,Q43))</f>
        <v>0.7142857142857143</v>
      </c>
      <c r="R44" s="10">
        <f ca="1">AVERAGE(IF(ISNUMBER(L44),IF(ISNUMBER(OFFSET(L44,-Historic,0)),OFFSET(L44,-Historic,0),L$2):L44,R43))</f>
        <v>0.7142857142857143</v>
      </c>
      <c r="S44" s="10">
        <f ca="1">AVERAGE(IF(ISNUMBER(L44),OFFSET(L$2,DaysToIgnoreOnAvg,0):L44,S43))</f>
        <v>0.78048780487804881</v>
      </c>
      <c r="T44" s="10">
        <f ca="1">CFDTable[[#This Row],[AvgDaily]]+CFDTable[[#This Row],[Deviation]]</f>
        <v>0.85714285714285721</v>
      </c>
      <c r="U44" s="10">
        <f ca="1">IF(ISNUMBER(L44),((_xlfn.PERCENTILE.INC(IF(ISNUMBER(OFFSET(Q44,-Historic,0)),OFFSET(Q44,-Historic,0),Q$2):Q44,PercentileHigh/100))-(MEDIAN(IF(ISNUMBER(OFFSET(Q44,-Historic,0)),OFFSET(Q44,-Historic,0),Q$2):Q44))),U43)</f>
        <v>0.1428571428571429</v>
      </c>
      <c r="V44" s="10">
        <f ca="1">IF(ISNUMBER(L44),((_xlfn.PERCENTILE.INC(Q$2:Q44,PercentileHigh/100))-(MEDIAN(Q$2:Q44))),U43)</f>
        <v>0.17619047619047601</v>
      </c>
      <c r="W44" s="10">
        <f ca="1">IF(ISNUMBER(CFDTable[[#This Row],[Done Today]]),SUM($F44:$K44),$W43)</f>
        <v>87</v>
      </c>
      <c r="X44" s="10">
        <f ca="1">IF(ISNUMBER(CFDTable[[#This Row],[Done Today]]),SUM($F44:$K44),$X43)</f>
        <v>87</v>
      </c>
      <c r="Y44" s="10">
        <f ca="1">SUM(LOOKUP(2,1/(M$1:M43&lt;&gt;""),M$1:M43)+CFDTable[[#This Row],[lowDaily]])</f>
        <v>34.571428571428569</v>
      </c>
      <c r="Z44" s="10">
        <f ca="1">SUM(LOOKUP(2,1/(N$1:N43&lt;&gt;""),N$1:N43)+Q44)</f>
        <v>34.714285714285715</v>
      </c>
      <c r="AA44" s="10">
        <f ca="1">SUM(LOOKUP(2,1/(O$1:O43&lt;&gt;""),O$1:O43)+CFDTable[[#This Row],[highDaily]])</f>
        <v>34.857142857142854</v>
      </c>
      <c r="AB44" s="12">
        <f>IF(CFDTable[[#This Row],[Date]]=DeadlineDate,CFDTable[Future Work],0)</f>
        <v>0</v>
      </c>
    </row>
    <row r="45" spans="1:28">
      <c r="A45" s="8">
        <f>CFDTable[[#This Row],[Date]]</f>
        <v>42471</v>
      </c>
      <c r="B45" s="9">
        <f>Data!B45</f>
        <v>42471</v>
      </c>
      <c r="C45" s="10" t="e">
        <f ca="1">IF(ISNUMBER(CFDTable[[#This Row],[Ready]]),NA(),CFDTable[[#This Row],[Target]]-CFDTable[[#This Row],[To Do]])</f>
        <v>#N/A</v>
      </c>
      <c r="D45" s="10">
        <f ca="1">IF(CFDTable[[#This Row],[Emergence]]&gt;0,CFDTable[[#This Row],[Future Work]]-CFDTable[[#This Row],[Emergence]],NA())</f>
        <v>46</v>
      </c>
      <c r="E45" s="10">
        <f>Data!C45</f>
        <v>43</v>
      </c>
      <c r="F45" s="10">
        <f ca="1">Data!D45</f>
        <v>48</v>
      </c>
      <c r="G45" s="10">
        <f ca="1">IF(TodaysDate&gt;=$B45,Data!E45,NA())</f>
        <v>0</v>
      </c>
      <c r="H45" s="10">
        <f ca="1">IF(TodaysDate&gt;=$B45,Data!F45,NA())</f>
        <v>5</v>
      </c>
      <c r="I45" s="10">
        <f ca="1">IF(TodaysDate&gt;=$B45,Data!G45,NA())</f>
        <v>0</v>
      </c>
      <c r="J45" s="10">
        <f ca="1">IF(TodaysDate&gt;=$B45,Data!H45,NA())</f>
        <v>0</v>
      </c>
      <c r="K45" s="10">
        <f ca="1">IF(TodaysDate&gt;=$B45,Data!I45,NA())</f>
        <v>36</v>
      </c>
      <c r="L45" s="10">
        <f ca="1">IF(CFDTable[[#This Row],[Done]]&gt;0,(CFDTable[[#This Row],[Done]])-(K44),0)</f>
        <v>2</v>
      </c>
      <c r="M45" s="10">
        <f ca="1">IF(ISNUMBER($L45),SUM(CFDTable[[#This Row],[Done]]),IF(CFDTable[[#This Row],[lookupLow]]&gt;=CFDTable[[#This Row],[Target]]+CFDTable[[#This Row],[lowDaily]],NA(),CFDTable[[#This Row],[lookupLow]]))</f>
        <v>36</v>
      </c>
      <c r="N45" s="10">
        <f ca="1">IF(ISNUMBER($L45),SUM(CFDTable[[#This Row],[Done]]),IF(CFDTable[[#This Row],[lookupMedian]]&gt;=$X45+Q45,NA(),CFDTable[[#This Row],[lookupMedian]]))</f>
        <v>36</v>
      </c>
      <c r="O45" s="10">
        <f ca="1">IF(ISNUMBER(CFDTable[[#This Row],[Done Today]]),SUM(CFDTable[[#This Row],[Done]]),IF(CFDTable[[#This Row],[lookupHigh]]&gt;=CFDTable[[#This Row],[Target]]+CFDTable[[#This Row],[highDaily]],NA(),CFDTable[[#This Row],[lookupHigh]]))</f>
        <v>36</v>
      </c>
      <c r="P45" s="10">
        <f ca="1">CFDTable[[#This Row],[AvgDaily]]-CFDTable[[#This Row],[Deviation]]</f>
        <v>0.66666666666666663</v>
      </c>
      <c r="Q45" s="10">
        <f ca="1">AVERAGE(IF(ISNUMBER(L45),IF(ISNUMBER(OFFSET(L45,-Historic,0)),OFFSET(L45,-Historic,0),L$2):L45,Q44))</f>
        <v>0.80952380952380953</v>
      </c>
      <c r="R45" s="10">
        <f ca="1">AVERAGE(IF(ISNUMBER(L45),IF(ISNUMBER(OFFSET(L45,-Historic,0)),OFFSET(L45,-Historic,0),L$2):L45,R44))</f>
        <v>0.80952380952380953</v>
      </c>
      <c r="S45" s="10">
        <f ca="1">AVERAGE(IF(ISNUMBER(L45),OFFSET(L$2,DaysToIgnoreOnAvg,0):L45,S44))</f>
        <v>0.80952380952380953</v>
      </c>
      <c r="T45" s="10">
        <f ca="1">CFDTable[[#This Row],[AvgDaily]]+CFDTable[[#This Row],[Deviation]]</f>
        <v>0.95238095238095244</v>
      </c>
      <c r="U45" s="10">
        <f ca="1">IF(ISNUMBER(L45),((_xlfn.PERCENTILE.INC(IF(ISNUMBER(OFFSET(Q45,-Historic,0)),OFFSET(Q45,-Historic,0),Q$2):Q45,PercentileHigh/100))-(MEDIAN(IF(ISNUMBER(OFFSET(Q45,-Historic,0)),OFFSET(Q45,-Historic,0),Q$2):Q45))),U44)</f>
        <v>0.1428571428571429</v>
      </c>
      <c r="V45" s="10">
        <f ca="1">IF(ISNUMBER(L45),((_xlfn.PERCENTILE.INC(Q$2:Q45,PercentileHigh/100))-(MEDIAN(Q$2:Q45))),U44)</f>
        <v>0.16904761904761889</v>
      </c>
      <c r="W45" s="10">
        <f ca="1">IF(ISNUMBER(CFDTable[[#This Row],[Done Today]]),SUM($F45:$K45),$W44)</f>
        <v>89</v>
      </c>
      <c r="X45" s="10">
        <f ca="1">IF(ISNUMBER(CFDTable[[#This Row],[Done Today]]),SUM($F45:$K45),$X44)</f>
        <v>89</v>
      </c>
      <c r="Y45" s="10">
        <f ca="1">SUM(LOOKUP(2,1/(M$1:M44&lt;&gt;""),M$1:M44)+CFDTable[[#This Row],[lowDaily]])</f>
        <v>34.666666666666664</v>
      </c>
      <c r="Z45" s="10">
        <f ca="1">SUM(LOOKUP(2,1/(N$1:N44&lt;&gt;""),N$1:N44)+Q45)</f>
        <v>34.80952380952381</v>
      </c>
      <c r="AA45" s="10">
        <f ca="1">SUM(LOOKUP(2,1/(O$1:O44&lt;&gt;""),O$1:O44)+CFDTable[[#This Row],[highDaily]])</f>
        <v>34.952380952380949</v>
      </c>
      <c r="AB45" s="12">
        <f>IF(CFDTable[[#This Row],[Date]]=DeadlineDate,CFDTable[Future Work],0)</f>
        <v>0</v>
      </c>
    </row>
    <row r="46" spans="1:28">
      <c r="A46" s="8">
        <f>CFDTable[[#This Row],[Date]]</f>
        <v>42472</v>
      </c>
      <c r="B46" s="9">
        <f>Data!B46</f>
        <v>42472</v>
      </c>
      <c r="C46" s="10" t="e">
        <f ca="1">IF(ISNUMBER(CFDTable[[#This Row],[Ready]]),NA(),CFDTable[[#This Row],[Target]]-CFDTable[[#This Row],[To Do]])</f>
        <v>#N/A</v>
      </c>
      <c r="D46" s="10">
        <f ca="1">IF(CFDTable[[#This Row],[Emergence]]&gt;0,CFDTable[[#This Row],[Future Work]]-CFDTable[[#This Row],[Emergence]],NA())</f>
        <v>46</v>
      </c>
      <c r="E46" s="10">
        <f>Data!C46</f>
        <v>43</v>
      </c>
      <c r="F46" s="10">
        <f ca="1">Data!D46</f>
        <v>45</v>
      </c>
      <c r="G46" s="10">
        <f ca="1">IF(TodaysDate&gt;=$B46,Data!E46,NA())</f>
        <v>0</v>
      </c>
      <c r="H46" s="10">
        <f ca="1">IF(TodaysDate&gt;=$B46,Data!F46,NA())</f>
        <v>8</v>
      </c>
      <c r="I46" s="10">
        <f ca="1">IF(TodaysDate&gt;=$B46,Data!G46,NA())</f>
        <v>0</v>
      </c>
      <c r="J46" s="10">
        <f ca="1">IF(TodaysDate&gt;=$B46,Data!H46,NA())</f>
        <v>0</v>
      </c>
      <c r="K46" s="10">
        <f ca="1">IF(TodaysDate&gt;=$B46,Data!I46,NA())</f>
        <v>36</v>
      </c>
      <c r="L46" s="10">
        <f ca="1">IF(CFDTable[[#This Row],[Done]]&gt;0,(CFDTable[[#This Row],[Done]])-(K45),0)</f>
        <v>0</v>
      </c>
      <c r="M46" s="10">
        <f ca="1">IF(ISNUMBER($L46),SUM(CFDTable[[#This Row],[Done]]),IF(CFDTable[[#This Row],[lookupLow]]&gt;=CFDTable[[#This Row],[Target]]+CFDTable[[#This Row],[lowDaily]],NA(),CFDTable[[#This Row],[lookupLow]]))</f>
        <v>36</v>
      </c>
      <c r="N46" s="10">
        <f ca="1">IF(ISNUMBER($L46),SUM(CFDTable[[#This Row],[Done]]),IF(CFDTable[[#This Row],[lookupMedian]]&gt;=$X46+Q46,NA(),CFDTable[[#This Row],[lookupMedian]]))</f>
        <v>36</v>
      </c>
      <c r="O46" s="10">
        <f ca="1">IF(ISNUMBER(CFDTable[[#This Row],[Done Today]]),SUM(CFDTable[[#This Row],[Done]]),IF(CFDTable[[#This Row],[lookupHigh]]&gt;=CFDTable[[#This Row],[Target]]+CFDTable[[#This Row],[highDaily]],NA(),CFDTable[[#This Row],[lookupHigh]]))</f>
        <v>36</v>
      </c>
      <c r="P46" s="10">
        <f ca="1">CFDTable[[#This Row],[AvgDaily]]-CFDTable[[#This Row],[Deviation]]</f>
        <v>0.61904761904761896</v>
      </c>
      <c r="Q46" s="10">
        <f ca="1">AVERAGE(IF(ISNUMBER(L46),IF(ISNUMBER(OFFSET(L46,-Historic,0)),OFFSET(L46,-Historic,0),L$2):L46,Q45))</f>
        <v>0.76190476190476186</v>
      </c>
      <c r="R46" s="10">
        <f ca="1">AVERAGE(IF(ISNUMBER(L46),IF(ISNUMBER(OFFSET(L46,-Historic,0)),OFFSET(L46,-Historic,0),L$2):L46,R45))</f>
        <v>0.76190476190476186</v>
      </c>
      <c r="S46" s="10">
        <f ca="1">AVERAGE(IF(ISNUMBER(L46),OFFSET(L$2,DaysToIgnoreOnAvg,0):L46,S45))</f>
        <v>0.79069767441860461</v>
      </c>
      <c r="T46" s="10">
        <f ca="1">CFDTable[[#This Row],[AvgDaily]]+CFDTable[[#This Row],[Deviation]]</f>
        <v>0.90476190476190477</v>
      </c>
      <c r="U46" s="10">
        <f ca="1">IF(ISNUMBER(L46),((_xlfn.PERCENTILE.INC(IF(ISNUMBER(OFFSET(Q46,-Historic,0)),OFFSET(Q46,-Historic,0),Q$2):Q46,PercentileHigh/100))-(MEDIAN(IF(ISNUMBER(OFFSET(Q46,-Historic,0)),OFFSET(Q46,-Historic,0),Q$2):Q46))),U45)</f>
        <v>0.1428571428571429</v>
      </c>
      <c r="V46" s="10">
        <f ca="1">IF(ISNUMBER(L46),((_xlfn.PERCENTILE.INC(Q$2:Q46,PercentileHigh/100))-(MEDIAN(Q$2:Q46))),U45)</f>
        <v>0.16190476190476177</v>
      </c>
      <c r="W46" s="10">
        <f ca="1">IF(ISNUMBER(CFDTable[[#This Row],[Done Today]]),SUM($F46:$K46),$W45)</f>
        <v>89</v>
      </c>
      <c r="X46" s="10">
        <f ca="1">IF(ISNUMBER(CFDTable[[#This Row],[Done Today]]),SUM($F46:$K46),$X45)</f>
        <v>89</v>
      </c>
      <c r="Y46" s="10">
        <f ca="1">SUM(LOOKUP(2,1/(M$1:M45&lt;&gt;""),M$1:M45)+CFDTable[[#This Row],[lowDaily]])</f>
        <v>36.61904761904762</v>
      </c>
      <c r="Z46" s="10">
        <f ca="1">SUM(LOOKUP(2,1/(N$1:N45&lt;&gt;""),N$1:N45)+Q46)</f>
        <v>36.761904761904759</v>
      </c>
      <c r="AA46" s="10">
        <f ca="1">SUM(LOOKUP(2,1/(O$1:O45&lt;&gt;""),O$1:O45)+CFDTable[[#This Row],[highDaily]])</f>
        <v>36.904761904761905</v>
      </c>
      <c r="AB46" s="12">
        <f>IF(CFDTable[[#This Row],[Date]]=DeadlineDate,CFDTable[Future Work],0)</f>
        <v>0</v>
      </c>
    </row>
    <row r="47" spans="1:28">
      <c r="A47" s="8">
        <f>CFDTable[[#This Row],[Date]]</f>
        <v>42473</v>
      </c>
      <c r="B47" s="9">
        <f>Data!B47</f>
        <v>42473</v>
      </c>
      <c r="C47" s="10" t="e">
        <f ca="1">IF(ISNUMBER(CFDTable[[#This Row],[Ready]]),NA(),CFDTable[[#This Row],[Target]]-CFDTable[[#This Row],[To Do]])</f>
        <v>#N/A</v>
      </c>
      <c r="D47" s="10">
        <f ca="1">IF(CFDTable[[#This Row],[Emergence]]&gt;0,CFDTable[[#This Row],[Future Work]]-CFDTable[[#This Row],[Emergence]],NA())</f>
        <v>46</v>
      </c>
      <c r="E47" s="10">
        <f>Data!C47</f>
        <v>43</v>
      </c>
      <c r="F47" s="10">
        <f ca="1">Data!D47</f>
        <v>45</v>
      </c>
      <c r="G47" s="10">
        <f ca="1">IF(TodaysDate&gt;=$B47,Data!E47,NA())</f>
        <v>0</v>
      </c>
      <c r="H47" s="10">
        <f ca="1">IF(TodaysDate&gt;=$B47,Data!F47,NA())</f>
        <v>7</v>
      </c>
      <c r="I47" s="10">
        <f ca="1">IF(TodaysDate&gt;=$B47,Data!G47,NA())</f>
        <v>0</v>
      </c>
      <c r="J47" s="10">
        <f ca="1">IF(TodaysDate&gt;=$B47,Data!H47,NA())</f>
        <v>1</v>
      </c>
      <c r="K47" s="10">
        <f ca="1">IF(TodaysDate&gt;=$B47,Data!I47,NA())</f>
        <v>36</v>
      </c>
      <c r="L47" s="10">
        <f ca="1">IF(CFDTable[[#This Row],[Done]]&gt;0,(CFDTable[[#This Row],[Done]])-(K46),0)</f>
        <v>0</v>
      </c>
      <c r="M47" s="10">
        <f ca="1">IF(ISNUMBER($L47),SUM(CFDTable[[#This Row],[Done]]),IF(CFDTable[[#This Row],[lookupLow]]&gt;=CFDTable[[#This Row],[Target]]+CFDTable[[#This Row],[lowDaily]],NA(),CFDTable[[#This Row],[lookupLow]]))</f>
        <v>36</v>
      </c>
      <c r="N47" s="10">
        <f ca="1">IF(ISNUMBER($L47),SUM(CFDTable[[#This Row],[Done]]),IF(CFDTable[[#This Row],[lookupMedian]]&gt;=$X47+Q47,NA(),CFDTable[[#This Row],[lookupMedian]]))</f>
        <v>36</v>
      </c>
      <c r="O47" s="10">
        <f ca="1">IF(ISNUMBER(CFDTable[[#This Row],[Done Today]]),SUM(CFDTable[[#This Row],[Done]]),IF(CFDTable[[#This Row],[lookupHigh]]&gt;=CFDTable[[#This Row],[Target]]+CFDTable[[#This Row],[highDaily]],NA(),CFDTable[[#This Row],[lookupHigh]]))</f>
        <v>36</v>
      </c>
      <c r="P47" s="10">
        <f ca="1">CFDTable[[#This Row],[AvgDaily]]-CFDTable[[#This Row],[Deviation]]</f>
        <v>0.61904761904761896</v>
      </c>
      <c r="Q47" s="10">
        <f ca="1">AVERAGE(IF(ISNUMBER(L47),IF(ISNUMBER(OFFSET(L47,-Historic,0)),OFFSET(L47,-Historic,0),L$2):L47,Q46))</f>
        <v>0.76190476190476186</v>
      </c>
      <c r="R47" s="10">
        <f ca="1">AVERAGE(IF(ISNUMBER(L47),IF(ISNUMBER(OFFSET(L47,-Historic,0)),OFFSET(L47,-Historic,0),L$2):L47,R46))</f>
        <v>0.76190476190476186</v>
      </c>
      <c r="S47" s="10">
        <f ca="1">AVERAGE(IF(ISNUMBER(L47),OFFSET(L$2,DaysToIgnoreOnAvg,0):L47,S46))</f>
        <v>0.77272727272727271</v>
      </c>
      <c r="T47" s="10">
        <f ca="1">CFDTable[[#This Row],[AvgDaily]]+CFDTable[[#This Row],[Deviation]]</f>
        <v>0.90476190476190477</v>
      </c>
      <c r="U47" s="10">
        <f ca="1">IF(ISNUMBER(L47),((_xlfn.PERCENTILE.INC(IF(ISNUMBER(OFFSET(Q47,-Historic,0)),OFFSET(Q47,-Historic,0),Q$2):Q47,PercentileHigh/100))-(MEDIAN(IF(ISNUMBER(OFFSET(Q47,-Historic,0)),OFFSET(Q47,-Historic,0),Q$2):Q47))),U46)</f>
        <v>0.1428571428571429</v>
      </c>
      <c r="V47" s="10">
        <f ca="1">IF(ISNUMBER(L47),((_xlfn.PERCENTILE.INC(Q$2:Q47,PercentileHigh/100))-(MEDIAN(Q$2:Q47))),U46)</f>
        <v>0.1595238095238094</v>
      </c>
      <c r="W47" s="10">
        <f ca="1">IF(ISNUMBER(CFDTable[[#This Row],[Done Today]]),SUM($F47:$K47),$W46)</f>
        <v>89</v>
      </c>
      <c r="X47" s="10">
        <f ca="1">IF(ISNUMBER(CFDTable[[#This Row],[Done Today]]),SUM($F47:$K47),$X46)</f>
        <v>89</v>
      </c>
      <c r="Y47" s="10">
        <f ca="1">SUM(LOOKUP(2,1/(M$1:M46&lt;&gt;""),M$1:M46)+CFDTable[[#This Row],[lowDaily]])</f>
        <v>36.61904761904762</v>
      </c>
      <c r="Z47" s="10">
        <f ca="1">SUM(LOOKUP(2,1/(N$1:N46&lt;&gt;""),N$1:N46)+Q47)</f>
        <v>36.761904761904759</v>
      </c>
      <c r="AA47" s="10">
        <f ca="1">SUM(LOOKUP(2,1/(O$1:O46&lt;&gt;""),O$1:O46)+CFDTable[[#This Row],[highDaily]])</f>
        <v>36.904761904761905</v>
      </c>
      <c r="AB47" s="12">
        <f>IF(CFDTable[[#This Row],[Date]]=DeadlineDate,CFDTable[Future Work],0)</f>
        <v>0</v>
      </c>
    </row>
    <row r="48" spans="1:28">
      <c r="A48" s="8">
        <f>CFDTable[[#This Row],[Date]]</f>
        <v>42474</v>
      </c>
      <c r="B48" s="9">
        <f>Data!B48</f>
        <v>42474</v>
      </c>
      <c r="C48" s="10" t="e">
        <f ca="1">IF(ISNUMBER(CFDTable[[#This Row],[Ready]]),NA(),CFDTable[[#This Row],[Target]]-CFDTable[[#This Row],[To Do]])</f>
        <v>#N/A</v>
      </c>
      <c r="D48" s="10">
        <f ca="1">IF(CFDTable[[#This Row],[Emergence]]&gt;0,CFDTable[[#This Row],[Future Work]]-CFDTable[[#This Row],[Emergence]],NA())</f>
        <v>48</v>
      </c>
      <c r="E48" s="10">
        <f>Data!C48</f>
        <v>43</v>
      </c>
      <c r="F48" s="10">
        <f ca="1">Data!D48</f>
        <v>45</v>
      </c>
      <c r="G48" s="10">
        <f ca="1">IF(TodaysDate&gt;=$B48,Data!E48,NA())</f>
        <v>0</v>
      </c>
      <c r="H48" s="10">
        <f ca="1">IF(TodaysDate&gt;=$B48,Data!F48,NA())</f>
        <v>9</v>
      </c>
      <c r="I48" s="10">
        <f ca="1">IF(TodaysDate&gt;=$B48,Data!G48,NA())</f>
        <v>0</v>
      </c>
      <c r="J48" s="10">
        <f ca="1">IF(TodaysDate&gt;=$B48,Data!H48,NA())</f>
        <v>1</v>
      </c>
      <c r="K48" s="10">
        <f ca="1">IF(TodaysDate&gt;=$B48,Data!I48,NA())</f>
        <v>36</v>
      </c>
      <c r="L48" s="10">
        <f ca="1">IF(CFDTable[[#This Row],[Done]]&gt;0,(CFDTable[[#This Row],[Done]])-(K47),0)</f>
        <v>0</v>
      </c>
      <c r="M48" s="10">
        <f ca="1">IF(ISNUMBER($L48),SUM(CFDTable[[#This Row],[Done]]),IF(CFDTable[[#This Row],[lookupLow]]&gt;=CFDTable[[#This Row],[Target]]+CFDTable[[#This Row],[lowDaily]],NA(),CFDTable[[#This Row],[lookupLow]]))</f>
        <v>36</v>
      </c>
      <c r="N48" s="10">
        <f ca="1">IF(ISNUMBER($L48),SUM(CFDTable[[#This Row],[Done]]),IF(CFDTable[[#This Row],[lookupMedian]]&gt;=$X48+Q48,NA(),CFDTable[[#This Row],[lookupMedian]]))</f>
        <v>36</v>
      </c>
      <c r="O48" s="10">
        <f ca="1">IF(ISNUMBER(CFDTable[[#This Row],[Done Today]]),SUM(CFDTable[[#This Row],[Done]]),IF(CFDTable[[#This Row],[lookupHigh]]&gt;=CFDTable[[#This Row],[Target]]+CFDTable[[#This Row],[highDaily]],NA(),CFDTable[[#This Row],[lookupHigh]]))</f>
        <v>36</v>
      </c>
      <c r="P48" s="10">
        <f ca="1">CFDTable[[#This Row],[AvgDaily]]-CFDTable[[#This Row],[Deviation]]</f>
        <v>0.5714285714285714</v>
      </c>
      <c r="Q48" s="10">
        <f ca="1">AVERAGE(IF(ISNUMBER(L48),IF(ISNUMBER(OFFSET(L48,-Historic,0)),OFFSET(L48,-Historic,0),L$2):L48,Q47))</f>
        <v>0.7142857142857143</v>
      </c>
      <c r="R48" s="10">
        <f ca="1">AVERAGE(IF(ISNUMBER(L48),IF(ISNUMBER(OFFSET(L48,-Historic,0)),OFFSET(L48,-Historic,0),L$2):L48,R47))</f>
        <v>0.7142857142857143</v>
      </c>
      <c r="S48" s="10">
        <f ca="1">AVERAGE(IF(ISNUMBER(L48),OFFSET(L$2,DaysToIgnoreOnAvg,0):L48,S47))</f>
        <v>0.75555555555555554</v>
      </c>
      <c r="T48" s="10">
        <f ca="1">CFDTable[[#This Row],[AvgDaily]]+CFDTable[[#This Row],[Deviation]]</f>
        <v>0.85714285714285721</v>
      </c>
      <c r="U48" s="10">
        <f ca="1">IF(ISNUMBER(L48),((_xlfn.PERCENTILE.INC(IF(ISNUMBER(OFFSET(Q48,-Historic,0)),OFFSET(Q48,-Historic,0),Q$2):Q48,PercentileHigh/100))-(MEDIAN(IF(ISNUMBER(OFFSET(Q48,-Historic,0)),OFFSET(Q48,-Historic,0),Q$2):Q48))),U47)</f>
        <v>0.1428571428571429</v>
      </c>
      <c r="V48" s="10">
        <f ca="1">IF(ISNUMBER(L48),((_xlfn.PERCENTILE.INC(Q$2:Q48,PercentileHigh/100))-(MEDIAN(Q$2:Q48))),U47)</f>
        <v>0.15714285714285714</v>
      </c>
      <c r="W48" s="10">
        <f ca="1">IF(ISNUMBER(CFDTable[[#This Row],[Done Today]]),SUM($F48:$K48),$W47)</f>
        <v>91</v>
      </c>
      <c r="X48" s="10">
        <f ca="1">IF(ISNUMBER(CFDTable[[#This Row],[Done Today]]),SUM($F48:$K48),$X47)</f>
        <v>91</v>
      </c>
      <c r="Y48" s="10">
        <f ca="1">SUM(LOOKUP(2,1/(M$1:M47&lt;&gt;""),M$1:M47)+CFDTable[[#This Row],[lowDaily]])</f>
        <v>36.571428571428569</v>
      </c>
      <c r="Z48" s="10">
        <f ca="1">SUM(LOOKUP(2,1/(N$1:N47&lt;&gt;""),N$1:N47)+Q48)</f>
        <v>36.714285714285715</v>
      </c>
      <c r="AA48" s="10">
        <f ca="1">SUM(LOOKUP(2,1/(O$1:O47&lt;&gt;""),O$1:O47)+CFDTable[[#This Row],[highDaily]])</f>
        <v>36.857142857142854</v>
      </c>
      <c r="AB48" s="12">
        <f>IF(CFDTable[[#This Row],[Date]]=DeadlineDate,CFDTable[Future Work],0)</f>
        <v>0</v>
      </c>
    </row>
    <row r="49" spans="1:28">
      <c r="A49" s="8">
        <f>CFDTable[[#This Row],[Date]]</f>
        <v>42475</v>
      </c>
      <c r="B49" s="9">
        <f>Data!B49</f>
        <v>42475</v>
      </c>
      <c r="C49" s="10" t="e">
        <f ca="1">IF(ISNUMBER(CFDTable[[#This Row],[Ready]]),NA(),CFDTable[[#This Row],[Target]]-CFDTable[[#This Row],[To Do]])</f>
        <v>#N/A</v>
      </c>
      <c r="D49" s="10">
        <f ca="1">IF(CFDTable[[#This Row],[Emergence]]&gt;0,CFDTable[[#This Row],[Future Work]]-CFDTable[[#This Row],[Emergence]],NA())</f>
        <v>48</v>
      </c>
      <c r="E49" s="10">
        <f>Data!C49</f>
        <v>43</v>
      </c>
      <c r="F49" s="10">
        <f ca="1">Data!D49</f>
        <v>45</v>
      </c>
      <c r="G49" s="10">
        <f ca="1">IF(TodaysDate&gt;=$B49,Data!E49,NA())</f>
        <v>0</v>
      </c>
      <c r="H49" s="10">
        <f ca="1">IF(TodaysDate&gt;=$B49,Data!F49,NA())</f>
        <v>4</v>
      </c>
      <c r="I49" s="10">
        <f ca="1">IF(TodaysDate&gt;=$B49,Data!G49,NA())</f>
        <v>0</v>
      </c>
      <c r="J49" s="10">
        <f ca="1">IF(TodaysDate&gt;=$B49,Data!H49,NA())</f>
        <v>1</v>
      </c>
      <c r="K49" s="10">
        <f ca="1">IF(TodaysDate&gt;=$B49,Data!I49,NA())</f>
        <v>41</v>
      </c>
      <c r="L49" s="10">
        <f ca="1">IF(CFDTable[[#This Row],[Done]]&gt;0,(CFDTable[[#This Row],[Done]])-(K48),0)</f>
        <v>5</v>
      </c>
      <c r="M49" s="10">
        <f ca="1">IF(ISNUMBER($L49),SUM(CFDTable[[#This Row],[Done]]),IF(CFDTable[[#This Row],[lookupLow]]&gt;=CFDTable[[#This Row],[Target]]+CFDTable[[#This Row],[lowDaily]],NA(),CFDTable[[#This Row],[lookupLow]]))</f>
        <v>41</v>
      </c>
      <c r="N49" s="10">
        <f ca="1">IF(ISNUMBER($L49),SUM(CFDTable[[#This Row],[Done]]),IF(CFDTable[[#This Row],[lookupMedian]]&gt;=$X49+Q49,NA(),CFDTable[[#This Row],[lookupMedian]]))</f>
        <v>41</v>
      </c>
      <c r="O49" s="10">
        <f ca="1">IF(ISNUMBER(CFDTable[[#This Row],[Done Today]]),SUM(CFDTable[[#This Row],[Done]]),IF(CFDTable[[#This Row],[lookupHigh]]&gt;=CFDTable[[#This Row],[Target]]+CFDTable[[#This Row],[highDaily]],NA(),CFDTable[[#This Row],[lookupHigh]]))</f>
        <v>41</v>
      </c>
      <c r="P49" s="10">
        <f ca="1">CFDTable[[#This Row],[AvgDaily]]-CFDTable[[#This Row],[Deviation]]</f>
        <v>0.80952380952380942</v>
      </c>
      <c r="Q49" s="10">
        <f ca="1">AVERAGE(IF(ISNUMBER(L49),IF(ISNUMBER(OFFSET(L49,-Historic,0)),OFFSET(L49,-Historic,0),L$2):L49,Q48))</f>
        <v>0.95238095238095233</v>
      </c>
      <c r="R49" s="10">
        <f ca="1">AVERAGE(IF(ISNUMBER(L49),IF(ISNUMBER(OFFSET(L49,-Historic,0)),OFFSET(L49,-Historic,0),L$2):L49,R48))</f>
        <v>0.95238095238095233</v>
      </c>
      <c r="S49" s="10">
        <f ca="1">AVERAGE(IF(ISNUMBER(L49),OFFSET(L$2,DaysToIgnoreOnAvg,0):L49,S48))</f>
        <v>0.84782608695652173</v>
      </c>
      <c r="T49" s="10">
        <f ca="1">CFDTable[[#This Row],[AvgDaily]]+CFDTable[[#This Row],[Deviation]]</f>
        <v>1.0952380952380953</v>
      </c>
      <c r="U49" s="10">
        <f ca="1">IF(ISNUMBER(L49),((_xlfn.PERCENTILE.INC(IF(ISNUMBER(OFFSET(Q49,-Historic,0)),OFFSET(Q49,-Historic,0),Q$2):Q49,PercentileHigh/100))-(MEDIAN(IF(ISNUMBER(OFFSET(Q49,-Historic,0)),OFFSET(Q49,-Historic,0),Q$2):Q49))),U48)</f>
        <v>0.1428571428571429</v>
      </c>
      <c r="V49" s="10">
        <f ca="1">IF(ISNUMBER(L49),((_xlfn.PERCENTILE.INC(Q$2:Q49,PercentileHigh/100))-(MEDIAN(Q$2:Q49))),U48)</f>
        <v>0.14761904761904754</v>
      </c>
      <c r="W49" s="10">
        <f ca="1">IF(ISNUMBER(CFDTable[[#This Row],[Done Today]]),SUM($F49:$K49),$W48)</f>
        <v>91</v>
      </c>
      <c r="X49" s="10">
        <f ca="1">IF(ISNUMBER(CFDTable[[#This Row],[Done Today]]),SUM($F49:$K49),$X48)</f>
        <v>91</v>
      </c>
      <c r="Y49" s="10">
        <f ca="1">SUM(LOOKUP(2,1/(M$1:M48&lt;&gt;""),M$1:M48)+CFDTable[[#This Row],[lowDaily]])</f>
        <v>36.80952380952381</v>
      </c>
      <c r="Z49" s="10">
        <f ca="1">SUM(LOOKUP(2,1/(N$1:N48&lt;&gt;""),N$1:N48)+Q49)</f>
        <v>36.952380952380949</v>
      </c>
      <c r="AA49" s="10">
        <f ca="1">SUM(LOOKUP(2,1/(O$1:O48&lt;&gt;""),O$1:O48)+CFDTable[[#This Row],[highDaily]])</f>
        <v>37.095238095238095</v>
      </c>
      <c r="AB49" s="12">
        <f>IF(CFDTable[[#This Row],[Date]]=DeadlineDate,CFDTable[Future Work],0)</f>
        <v>0</v>
      </c>
    </row>
    <row r="50" spans="1:28">
      <c r="A50" s="8">
        <f>CFDTable[[#This Row],[Date]]</f>
        <v>42478</v>
      </c>
      <c r="B50" s="9">
        <f>Data!B50</f>
        <v>42478</v>
      </c>
      <c r="C50" s="10" t="e">
        <f ca="1">IF(ISNUMBER(CFDTable[[#This Row],[Ready]]),NA(),CFDTable[[#This Row],[Target]]-CFDTable[[#This Row],[To Do]])</f>
        <v>#N/A</v>
      </c>
      <c r="D50" s="10">
        <f ca="1">IF(CFDTable[[#This Row],[Emergence]]&gt;0,CFDTable[[#This Row],[Future Work]]-CFDTable[[#This Row],[Emergence]],NA())</f>
        <v>48</v>
      </c>
      <c r="E50" s="10">
        <f>Data!C50</f>
        <v>43</v>
      </c>
      <c r="F50" s="10">
        <f ca="1">Data!D50</f>
        <v>45</v>
      </c>
      <c r="G50" s="10">
        <f ca="1">IF(TodaysDate&gt;=$B50,Data!E50,NA())</f>
        <v>0</v>
      </c>
      <c r="H50" s="10">
        <f ca="1">IF(TodaysDate&gt;=$B50,Data!F50,NA())</f>
        <v>4</v>
      </c>
      <c r="I50" s="10">
        <f ca="1">IF(TodaysDate&gt;=$B50,Data!G50,NA())</f>
        <v>0</v>
      </c>
      <c r="J50" s="10">
        <f ca="1">IF(TodaysDate&gt;=$B50,Data!H50,NA())</f>
        <v>1</v>
      </c>
      <c r="K50" s="10">
        <f ca="1">IF(TodaysDate&gt;=$B50,Data!I50,NA())</f>
        <v>41</v>
      </c>
      <c r="L50" s="10">
        <f ca="1">IF(CFDTable[[#This Row],[Done]]&gt;0,(CFDTable[[#This Row],[Done]])-(K49),0)</f>
        <v>0</v>
      </c>
      <c r="M50" s="10">
        <f ca="1">IF(ISNUMBER($L50),SUM(CFDTable[[#This Row],[Done]]),IF(CFDTable[[#This Row],[lookupLow]]&gt;=CFDTable[[#This Row],[Target]]+CFDTable[[#This Row],[lowDaily]],NA(),CFDTable[[#This Row],[lookupLow]]))</f>
        <v>41</v>
      </c>
      <c r="N50" s="10">
        <f ca="1">IF(ISNUMBER($L50),SUM(CFDTable[[#This Row],[Done]]),IF(CFDTable[[#This Row],[lookupMedian]]&gt;=$X50+Q50,NA(),CFDTable[[#This Row],[lookupMedian]]))</f>
        <v>41</v>
      </c>
      <c r="O50" s="10">
        <f ca="1">IF(ISNUMBER(CFDTable[[#This Row],[Done Today]]),SUM(CFDTable[[#This Row],[Done]]),IF(CFDTable[[#This Row],[lookupHigh]]&gt;=CFDTable[[#This Row],[Target]]+CFDTable[[#This Row],[highDaily]],NA(),CFDTable[[#This Row],[lookupHigh]]))</f>
        <v>41</v>
      </c>
      <c r="P50" s="10">
        <f ca="1">CFDTable[[#This Row],[AvgDaily]]-CFDTable[[#This Row],[Deviation]]</f>
        <v>0.76190476190476186</v>
      </c>
      <c r="Q50" s="10">
        <f ca="1">AVERAGE(IF(ISNUMBER(L50),IF(ISNUMBER(OFFSET(L50,-Historic,0)),OFFSET(L50,-Historic,0),L$2):L50,Q49))</f>
        <v>0.90476190476190477</v>
      </c>
      <c r="R50" s="10">
        <f ca="1">AVERAGE(IF(ISNUMBER(L50),IF(ISNUMBER(OFFSET(L50,-Historic,0)),OFFSET(L50,-Historic,0),L$2):L50,R49))</f>
        <v>0.90476190476190477</v>
      </c>
      <c r="S50" s="10">
        <f ca="1">AVERAGE(IF(ISNUMBER(L50),OFFSET(L$2,DaysToIgnoreOnAvg,0):L50,S49))</f>
        <v>0.82978723404255317</v>
      </c>
      <c r="T50" s="10">
        <f ca="1">CFDTable[[#This Row],[AvgDaily]]+CFDTable[[#This Row],[Deviation]]</f>
        <v>1.0476190476190477</v>
      </c>
      <c r="U50" s="10">
        <f ca="1">IF(ISNUMBER(L50),((_xlfn.PERCENTILE.INC(IF(ISNUMBER(OFFSET(Q50,-Historic,0)),OFFSET(Q50,-Historic,0),Q$2):Q50,PercentileHigh/100))-(MEDIAN(IF(ISNUMBER(OFFSET(Q50,-Historic,0)),OFFSET(Q50,-Historic,0),Q$2):Q50))),U49)</f>
        <v>0.1428571428571429</v>
      </c>
      <c r="V50" s="10">
        <f ca="1">IF(ISNUMBER(L50),((_xlfn.PERCENTILE.INC(Q$2:Q50,PercentileHigh/100))-(MEDIAN(Q$2:Q50))),U49)</f>
        <v>0.14285714285714279</v>
      </c>
      <c r="W50" s="10">
        <f ca="1">IF(ISNUMBER(CFDTable[[#This Row],[Done Today]]),SUM($F50:$K50),$W49)</f>
        <v>91</v>
      </c>
      <c r="X50" s="10">
        <f ca="1">IF(ISNUMBER(CFDTable[[#This Row],[Done Today]]),SUM($F50:$K50),$X49)</f>
        <v>91</v>
      </c>
      <c r="Y50" s="10">
        <f ca="1">SUM(LOOKUP(2,1/(M$1:M49&lt;&gt;""),M$1:M49)+CFDTable[[#This Row],[lowDaily]])</f>
        <v>41.761904761904759</v>
      </c>
      <c r="Z50" s="10">
        <f ca="1">SUM(LOOKUP(2,1/(N$1:N49&lt;&gt;""),N$1:N49)+Q50)</f>
        <v>41.904761904761905</v>
      </c>
      <c r="AA50" s="10">
        <f ca="1">SUM(LOOKUP(2,1/(O$1:O49&lt;&gt;""),O$1:O49)+CFDTable[[#This Row],[highDaily]])</f>
        <v>42.047619047619051</v>
      </c>
      <c r="AB50" s="12">
        <f>IF(CFDTable[[#This Row],[Date]]=DeadlineDate,CFDTable[Future Work],0)</f>
        <v>0</v>
      </c>
    </row>
    <row r="51" spans="1:28">
      <c r="A51" s="8">
        <f>CFDTable[[#This Row],[Date]]</f>
        <v>42479</v>
      </c>
      <c r="B51" s="9">
        <f>Data!B51</f>
        <v>42479</v>
      </c>
      <c r="C51" s="10" t="e">
        <f ca="1">IF(ISNUMBER(CFDTable[[#This Row],[Ready]]),NA(),CFDTable[[#This Row],[Target]]-CFDTable[[#This Row],[To Do]])</f>
        <v>#N/A</v>
      </c>
      <c r="D51" s="10">
        <f ca="1">IF(CFDTable[[#This Row],[Emergence]]&gt;0,CFDTable[[#This Row],[Future Work]]-CFDTable[[#This Row],[Emergence]],NA())</f>
        <v>48</v>
      </c>
      <c r="E51" s="10">
        <f>Data!C51</f>
        <v>43</v>
      </c>
      <c r="F51" s="10">
        <f ca="1">Data!D51</f>
        <v>45</v>
      </c>
      <c r="G51" s="10">
        <f ca="1">IF(TodaysDate&gt;=$B51,Data!E51,NA())</f>
        <v>0</v>
      </c>
      <c r="H51" s="10">
        <f ca="1">IF(TodaysDate&gt;=$B51,Data!F51,NA())</f>
        <v>4</v>
      </c>
      <c r="I51" s="10">
        <f ca="1">IF(TodaysDate&gt;=$B51,Data!G51,NA())</f>
        <v>0</v>
      </c>
      <c r="J51" s="10">
        <f ca="1">IF(TodaysDate&gt;=$B51,Data!H51,NA())</f>
        <v>1</v>
      </c>
      <c r="K51" s="10">
        <f ca="1">IF(TodaysDate&gt;=$B51,Data!I51,NA())</f>
        <v>41</v>
      </c>
      <c r="L51" s="10">
        <f ca="1">IF(CFDTable[[#This Row],[Done]]&gt;0,(CFDTable[[#This Row],[Done]])-(K50),0)</f>
        <v>0</v>
      </c>
      <c r="M51" s="10">
        <f ca="1">IF(ISNUMBER($L51),SUM(CFDTable[[#This Row],[Done]]),IF(CFDTable[[#This Row],[lookupLow]]&gt;=CFDTable[[#This Row],[Target]]+CFDTable[[#This Row],[lowDaily]],NA(),CFDTable[[#This Row],[lookupLow]]))</f>
        <v>41</v>
      </c>
      <c r="N51" s="10">
        <f ca="1">IF(ISNUMBER($L51),SUM(CFDTable[[#This Row],[Done]]),IF(CFDTable[[#This Row],[lookupMedian]]&gt;=$X51+Q51,NA(),CFDTable[[#This Row],[lookupMedian]]))</f>
        <v>41</v>
      </c>
      <c r="O51" s="10">
        <f ca="1">IF(ISNUMBER(CFDTable[[#This Row],[Done Today]]),SUM(CFDTable[[#This Row],[Done]]),IF(CFDTable[[#This Row],[lookupHigh]]&gt;=CFDTable[[#This Row],[Target]]+CFDTable[[#This Row],[highDaily]],NA(),CFDTable[[#This Row],[lookupHigh]]))</f>
        <v>41</v>
      </c>
      <c r="P51" s="10">
        <f ca="1">CFDTable[[#This Row],[AvgDaily]]-CFDTable[[#This Row],[Deviation]]</f>
        <v>0.76190476190476186</v>
      </c>
      <c r="Q51" s="10">
        <f ca="1">AVERAGE(IF(ISNUMBER(L51),IF(ISNUMBER(OFFSET(L51,-Historic,0)),OFFSET(L51,-Historic,0),L$2):L51,Q50))</f>
        <v>0.90476190476190477</v>
      </c>
      <c r="R51" s="10">
        <f ca="1">AVERAGE(IF(ISNUMBER(L51),IF(ISNUMBER(OFFSET(L51,-Historic,0)),OFFSET(L51,-Historic,0),L$2):L51,R50))</f>
        <v>0.90476190476190477</v>
      </c>
      <c r="S51" s="10">
        <f ca="1">AVERAGE(IF(ISNUMBER(L51),OFFSET(L$2,DaysToIgnoreOnAvg,0):L51,S50))</f>
        <v>0.8125</v>
      </c>
      <c r="T51" s="10">
        <f ca="1">CFDTable[[#This Row],[AvgDaily]]+CFDTable[[#This Row],[Deviation]]</f>
        <v>1.0476190476190477</v>
      </c>
      <c r="U51" s="10">
        <f ca="1">IF(ISNUMBER(L51),((_xlfn.PERCENTILE.INC(IF(ISNUMBER(OFFSET(Q51,-Historic,0)),OFFSET(Q51,-Historic,0),Q$2):Q51,PercentileHigh/100))-(MEDIAN(IF(ISNUMBER(OFFSET(Q51,-Historic,0)),OFFSET(Q51,-Historic,0),Q$2):Q51))),U50)</f>
        <v>0.1428571428571429</v>
      </c>
      <c r="V51" s="10">
        <f ca="1">IF(ISNUMBER(L51),((_xlfn.PERCENTILE.INC(Q$2:Q51,PercentileHigh/100))-(MEDIAN(Q$2:Q51))),U50)</f>
        <v>0.14285714285714279</v>
      </c>
      <c r="W51" s="10">
        <f ca="1">IF(ISNUMBER(CFDTable[[#This Row],[Done Today]]),SUM($F51:$K51),$W50)</f>
        <v>91</v>
      </c>
      <c r="X51" s="10">
        <f ca="1">IF(ISNUMBER(CFDTable[[#This Row],[Done Today]]),SUM($F51:$K51),$X50)</f>
        <v>91</v>
      </c>
      <c r="Y51" s="10">
        <f ca="1">SUM(LOOKUP(2,1/(M$1:M50&lt;&gt;""),M$1:M50)+CFDTable[[#This Row],[lowDaily]])</f>
        <v>41.761904761904759</v>
      </c>
      <c r="Z51" s="10">
        <f ca="1">SUM(LOOKUP(2,1/(N$1:N50&lt;&gt;""),N$1:N50)+Q51)</f>
        <v>41.904761904761905</v>
      </c>
      <c r="AA51" s="10">
        <f ca="1">SUM(LOOKUP(2,1/(O$1:O50&lt;&gt;""),O$1:O50)+CFDTable[[#This Row],[highDaily]])</f>
        <v>42.047619047619051</v>
      </c>
      <c r="AB51" s="12">
        <f>IF(CFDTable[[#This Row],[Date]]=DeadlineDate,CFDTable[Future Work],0)</f>
        <v>0</v>
      </c>
    </row>
    <row r="52" spans="1:28">
      <c r="A52" s="8">
        <f>CFDTable[[#This Row],[Date]]</f>
        <v>42480</v>
      </c>
      <c r="B52" s="9">
        <f>Data!B52</f>
        <v>42480</v>
      </c>
      <c r="C52" s="10" t="e">
        <f ca="1">IF(ISNUMBER(CFDTable[[#This Row],[Ready]]),NA(),CFDTable[[#This Row],[Target]]-CFDTable[[#This Row],[To Do]])</f>
        <v>#N/A</v>
      </c>
      <c r="D52" s="10">
        <f ca="1">IF(CFDTable[[#This Row],[Emergence]]&gt;0,CFDTable[[#This Row],[Future Work]]-CFDTable[[#This Row],[Emergence]],NA())</f>
        <v>48</v>
      </c>
      <c r="E52" s="10">
        <f>Data!C52</f>
        <v>43</v>
      </c>
      <c r="F52" s="10">
        <f ca="1">Data!D52</f>
        <v>44</v>
      </c>
      <c r="G52" s="10">
        <f ca="1">IF(TodaysDate&gt;=$B52,Data!E52,NA())</f>
        <v>0</v>
      </c>
      <c r="H52" s="10">
        <f ca="1">IF(TodaysDate&gt;=$B52,Data!F52,NA())</f>
        <v>4</v>
      </c>
      <c r="I52" s="10">
        <f ca="1">IF(TodaysDate&gt;=$B52,Data!G52,NA())</f>
        <v>0</v>
      </c>
      <c r="J52" s="10">
        <f ca="1">IF(TodaysDate&gt;=$B52,Data!H52,NA())</f>
        <v>1</v>
      </c>
      <c r="K52" s="10">
        <f ca="1">IF(TodaysDate&gt;=$B52,Data!I52,NA())</f>
        <v>42</v>
      </c>
      <c r="L52" s="10">
        <f ca="1">IF(CFDTable[[#This Row],[Done]]&gt;0,(CFDTable[[#This Row],[Done]])-(K51),0)</f>
        <v>1</v>
      </c>
      <c r="M52" s="10">
        <f ca="1">IF(ISNUMBER($L52),SUM(CFDTable[[#This Row],[Done]]),IF(CFDTable[[#This Row],[lookupLow]]&gt;=CFDTable[[#This Row],[Target]]+CFDTable[[#This Row],[lowDaily]],NA(),CFDTable[[#This Row],[lookupLow]]))</f>
        <v>42</v>
      </c>
      <c r="N52" s="10">
        <f ca="1">IF(ISNUMBER($L52),SUM(CFDTable[[#This Row],[Done]]),IF(CFDTable[[#This Row],[lookupMedian]]&gt;=$X52+Q52,NA(),CFDTable[[#This Row],[lookupMedian]]))</f>
        <v>42</v>
      </c>
      <c r="O52" s="10">
        <f ca="1">IF(ISNUMBER(CFDTable[[#This Row],[Done Today]]),SUM(CFDTable[[#This Row],[Done]]),IF(CFDTable[[#This Row],[lookupHigh]]&gt;=CFDTable[[#This Row],[Target]]+CFDTable[[#This Row],[highDaily]],NA(),CFDTable[[#This Row],[lookupHigh]]))</f>
        <v>42</v>
      </c>
      <c r="P52" s="10">
        <f ca="1">CFDTable[[#This Row],[AvgDaily]]-CFDTable[[#This Row],[Deviation]]</f>
        <v>0.80952380952380942</v>
      </c>
      <c r="Q52" s="10">
        <f ca="1">AVERAGE(IF(ISNUMBER(L52),IF(ISNUMBER(OFFSET(L52,-Historic,0)),OFFSET(L52,-Historic,0),L$2):L52,Q51))</f>
        <v>0.95238095238095233</v>
      </c>
      <c r="R52" s="10">
        <f ca="1">AVERAGE(IF(ISNUMBER(L52),IF(ISNUMBER(OFFSET(L52,-Historic,0)),OFFSET(L52,-Historic,0),L$2):L52,R51))</f>
        <v>0.95238095238095233</v>
      </c>
      <c r="S52" s="10">
        <f ca="1">AVERAGE(IF(ISNUMBER(L52),OFFSET(L$2,DaysToIgnoreOnAvg,0):L52,S51))</f>
        <v>0.81632653061224492</v>
      </c>
      <c r="T52" s="10">
        <f ca="1">CFDTable[[#This Row],[AvgDaily]]+CFDTable[[#This Row],[Deviation]]</f>
        <v>1.0952380952380953</v>
      </c>
      <c r="U52" s="10">
        <f ca="1">IF(ISNUMBER(L52),((_xlfn.PERCENTILE.INC(IF(ISNUMBER(OFFSET(Q52,-Historic,0)),OFFSET(Q52,-Historic,0),Q$2):Q52,PercentileHigh/100))-(MEDIAN(IF(ISNUMBER(OFFSET(Q52,-Historic,0)),OFFSET(Q52,-Historic,0),Q$2):Q52))),U51)</f>
        <v>0.1428571428571429</v>
      </c>
      <c r="V52" s="10">
        <f ca="1">IF(ISNUMBER(L52),((_xlfn.PERCENTILE.INC(Q$2:Q52,PercentileHigh/100))-(MEDIAN(Q$2:Q52))),U51)</f>
        <v>0.14285714285714279</v>
      </c>
      <c r="W52" s="10">
        <f ca="1">IF(ISNUMBER(CFDTable[[#This Row],[Done Today]]),SUM($F52:$K52),$W51)</f>
        <v>91</v>
      </c>
      <c r="X52" s="10">
        <f ca="1">IF(ISNUMBER(CFDTable[[#This Row],[Done Today]]),SUM($F52:$K52),$X51)</f>
        <v>91</v>
      </c>
      <c r="Y52" s="10">
        <f ca="1">SUM(LOOKUP(2,1/(M$1:M51&lt;&gt;""),M$1:M51)+CFDTable[[#This Row],[lowDaily]])</f>
        <v>41.80952380952381</v>
      </c>
      <c r="Z52" s="10">
        <f ca="1">SUM(LOOKUP(2,1/(N$1:N51&lt;&gt;""),N$1:N51)+Q52)</f>
        <v>41.952380952380949</v>
      </c>
      <c r="AA52" s="10">
        <f ca="1">SUM(LOOKUP(2,1/(O$1:O51&lt;&gt;""),O$1:O51)+CFDTable[[#This Row],[highDaily]])</f>
        <v>42.095238095238095</v>
      </c>
      <c r="AB52" s="12">
        <f>IF(CFDTable[[#This Row],[Date]]=DeadlineDate,CFDTable[Future Work],0)</f>
        <v>0</v>
      </c>
    </row>
    <row r="53" spans="1:28">
      <c r="A53" s="8">
        <f>CFDTable[[#This Row],[Date]]</f>
        <v>42481</v>
      </c>
      <c r="B53" s="9">
        <f>Data!B53</f>
        <v>42481</v>
      </c>
      <c r="C53" s="10" t="e">
        <f ca="1">IF(ISNUMBER(CFDTable[[#This Row],[Ready]]),NA(),CFDTable[[#This Row],[Target]]-CFDTable[[#This Row],[To Do]])</f>
        <v>#N/A</v>
      </c>
      <c r="D53" s="10">
        <f ca="1">IF(CFDTable[[#This Row],[Emergence]]&gt;0,CFDTable[[#This Row],[Future Work]]-CFDTable[[#This Row],[Emergence]],NA())</f>
        <v>51</v>
      </c>
      <c r="E53" s="10">
        <f>Data!C53</f>
        <v>43</v>
      </c>
      <c r="F53" s="10">
        <f ca="1">Data!D53</f>
        <v>45</v>
      </c>
      <c r="G53" s="10">
        <f ca="1">IF(TodaysDate&gt;=$B53,Data!E53,NA())</f>
        <v>0</v>
      </c>
      <c r="H53" s="10">
        <f ca="1">IF(TodaysDate&gt;=$B53,Data!F53,NA())</f>
        <v>6</v>
      </c>
      <c r="I53" s="10">
        <f ca="1">IF(TodaysDate&gt;=$B53,Data!G53,NA())</f>
        <v>0</v>
      </c>
      <c r="J53" s="10">
        <f ca="1">IF(TodaysDate&gt;=$B53,Data!H53,NA())</f>
        <v>0</v>
      </c>
      <c r="K53" s="10">
        <f ca="1">IF(TodaysDate&gt;=$B53,Data!I53,NA())</f>
        <v>43</v>
      </c>
      <c r="L53" s="10">
        <f ca="1">IF(CFDTable[[#This Row],[Done]]&gt;0,(CFDTable[[#This Row],[Done]])-(K52),0)</f>
        <v>1</v>
      </c>
      <c r="M53" s="10">
        <f ca="1">IF(ISNUMBER($L53),SUM(CFDTable[[#This Row],[Done]]),IF(CFDTable[[#This Row],[lookupLow]]&gt;=CFDTable[[#This Row],[Target]]+CFDTable[[#This Row],[lowDaily]],NA(),CFDTable[[#This Row],[lookupLow]]))</f>
        <v>43</v>
      </c>
      <c r="N53" s="10">
        <f ca="1">IF(ISNUMBER($L53),SUM(CFDTable[[#This Row],[Done]]),IF(CFDTable[[#This Row],[lookupMedian]]&gt;=$X53+Q53,NA(),CFDTable[[#This Row],[lookupMedian]]))</f>
        <v>43</v>
      </c>
      <c r="O53" s="10">
        <f ca="1">IF(ISNUMBER(CFDTable[[#This Row],[Done Today]]),SUM(CFDTable[[#This Row],[Done]]),IF(CFDTable[[#This Row],[lookupHigh]]&gt;=CFDTable[[#This Row],[Target]]+CFDTable[[#This Row],[highDaily]],NA(),CFDTable[[#This Row],[lookupHigh]]))</f>
        <v>43</v>
      </c>
      <c r="P53" s="10">
        <f ca="1">CFDTable[[#This Row],[AvgDaily]]-CFDTable[[#This Row],[Deviation]]</f>
        <v>0.76190476190476186</v>
      </c>
      <c r="Q53" s="10">
        <f ca="1">AVERAGE(IF(ISNUMBER(L53),IF(ISNUMBER(OFFSET(L53,-Historic,0)),OFFSET(L53,-Historic,0),L$2):L53,Q52))</f>
        <v>0.8571428571428571</v>
      </c>
      <c r="R53" s="10">
        <f ca="1">AVERAGE(IF(ISNUMBER(L53),IF(ISNUMBER(OFFSET(L53,-Historic,0)),OFFSET(L53,-Historic,0),L$2):L53,R52))</f>
        <v>0.8571428571428571</v>
      </c>
      <c r="S53" s="10">
        <f ca="1">AVERAGE(IF(ISNUMBER(L53),OFFSET(L$2,DaysToIgnoreOnAvg,0):L53,S52))</f>
        <v>0.82</v>
      </c>
      <c r="T53" s="10">
        <f ca="1">CFDTable[[#This Row],[AvgDaily]]+CFDTable[[#This Row],[Deviation]]</f>
        <v>0.95238095238095233</v>
      </c>
      <c r="U53" s="10">
        <f ca="1">IF(ISNUMBER(L53),((_xlfn.PERCENTILE.INC(IF(ISNUMBER(OFFSET(Q53,-Historic,0)),OFFSET(Q53,-Historic,0),Q$2):Q53,PercentileHigh/100))-(MEDIAN(IF(ISNUMBER(OFFSET(Q53,-Historic,0)),OFFSET(Q53,-Historic,0),Q$2):Q53))),U52)</f>
        <v>9.5238095238095233E-2</v>
      </c>
      <c r="V53" s="10">
        <f ca="1">IF(ISNUMBER(L53),((_xlfn.PERCENTILE.INC(Q$2:Q53,PercentileHigh/100))-(MEDIAN(Q$2:Q53))),U52)</f>
        <v>0.12656641604010022</v>
      </c>
      <c r="W53" s="10">
        <f ca="1">IF(ISNUMBER(CFDTable[[#This Row],[Done Today]]),SUM($F53:$K53),$W52)</f>
        <v>94</v>
      </c>
      <c r="X53" s="10">
        <f ca="1">IF(ISNUMBER(CFDTable[[#This Row],[Done Today]]),SUM($F53:$K53),$X52)</f>
        <v>94</v>
      </c>
      <c r="Y53" s="10">
        <f ca="1">SUM(LOOKUP(2,1/(M$1:M52&lt;&gt;""),M$1:M52)+CFDTable[[#This Row],[lowDaily]])</f>
        <v>42.761904761904759</v>
      </c>
      <c r="Z53" s="10">
        <f ca="1">SUM(LOOKUP(2,1/(N$1:N52&lt;&gt;""),N$1:N52)+Q53)</f>
        <v>42.857142857142854</v>
      </c>
      <c r="AA53" s="10">
        <f ca="1">SUM(LOOKUP(2,1/(O$1:O52&lt;&gt;""),O$1:O52)+CFDTable[[#This Row],[highDaily]])</f>
        <v>42.952380952380949</v>
      </c>
      <c r="AB53" s="12">
        <f>IF(CFDTable[[#This Row],[Date]]=DeadlineDate,CFDTable[Future Work],0)</f>
        <v>0</v>
      </c>
    </row>
    <row r="54" spans="1:28">
      <c r="A54" s="8">
        <f>CFDTable[[#This Row],[Date]]</f>
        <v>42482</v>
      </c>
      <c r="B54" s="9">
        <f>Data!B54</f>
        <v>42482</v>
      </c>
      <c r="C54" s="10" t="e">
        <f ca="1">IF(ISNUMBER(CFDTable[[#This Row],[Ready]]),NA(),CFDTable[[#This Row],[Target]]-CFDTable[[#This Row],[To Do]])</f>
        <v>#N/A</v>
      </c>
      <c r="D54" s="10">
        <f ca="1">IF(CFDTable[[#This Row],[Emergence]]&gt;0,CFDTable[[#This Row],[Future Work]]-CFDTable[[#This Row],[Emergence]],NA())</f>
        <v>53</v>
      </c>
      <c r="E54" s="10">
        <f>Data!C54</f>
        <v>43</v>
      </c>
      <c r="F54" s="10">
        <f ca="1">Data!D54</f>
        <v>44</v>
      </c>
      <c r="G54" s="10">
        <f ca="1">IF(TodaysDate&gt;=$B54,Data!E54,NA())</f>
        <v>0</v>
      </c>
      <c r="H54" s="10">
        <f ca="1">IF(TodaysDate&gt;=$B54,Data!F54,NA())</f>
        <v>4</v>
      </c>
      <c r="I54" s="10">
        <f ca="1">IF(TodaysDate&gt;=$B54,Data!G54,NA())</f>
        <v>0</v>
      </c>
      <c r="J54" s="10">
        <f ca="1">IF(TodaysDate&gt;=$B54,Data!H54,NA())</f>
        <v>0</v>
      </c>
      <c r="K54" s="10">
        <f ca="1">IF(TodaysDate&gt;=$B54,Data!I54,NA())</f>
        <v>48</v>
      </c>
      <c r="L54" s="10">
        <f ca="1">IF(CFDTable[[#This Row],[Done]]&gt;0,(CFDTable[[#This Row],[Done]])-(K53),0)</f>
        <v>5</v>
      </c>
      <c r="M54" s="10">
        <f ca="1">IF(ISNUMBER($L54),SUM(CFDTable[[#This Row],[Done]]),IF(CFDTable[[#This Row],[lookupLow]]&gt;=CFDTable[[#This Row],[Target]]+CFDTable[[#This Row],[lowDaily]],NA(),CFDTable[[#This Row],[lookupLow]]))</f>
        <v>48</v>
      </c>
      <c r="N54" s="10">
        <f ca="1">IF(ISNUMBER($L54),SUM(CFDTable[[#This Row],[Done]]),IF(CFDTable[[#This Row],[lookupMedian]]&gt;=$X54+Q54,NA(),CFDTable[[#This Row],[lookupMedian]]))</f>
        <v>48</v>
      </c>
      <c r="O54" s="10">
        <f ca="1">IF(ISNUMBER(CFDTable[[#This Row],[Done Today]]),SUM(CFDTable[[#This Row],[Done]]),IF(CFDTable[[#This Row],[lookupHigh]]&gt;=CFDTable[[#This Row],[Target]]+CFDTable[[#This Row],[highDaily]],NA(),CFDTable[[#This Row],[lookupHigh]]))</f>
        <v>48</v>
      </c>
      <c r="P54" s="10">
        <f ca="1">CFDTable[[#This Row],[AvgDaily]]-CFDTable[[#This Row],[Deviation]]</f>
        <v>0.95238095238095244</v>
      </c>
      <c r="Q54" s="10">
        <f ca="1">AVERAGE(IF(ISNUMBER(L54),IF(ISNUMBER(OFFSET(L54,-Historic,0)),OFFSET(L54,-Historic,0),L$2):L54,Q53))</f>
        <v>1.0476190476190477</v>
      </c>
      <c r="R54" s="10">
        <f ca="1">AVERAGE(IF(ISNUMBER(L54),IF(ISNUMBER(OFFSET(L54,-Historic,0)),OFFSET(L54,-Historic,0),L$2):L54,R53))</f>
        <v>1.0476190476190477</v>
      </c>
      <c r="S54" s="10">
        <f ca="1">AVERAGE(IF(ISNUMBER(L54),OFFSET(L$2,DaysToIgnoreOnAvg,0):L54,S53))</f>
        <v>0.90196078431372551</v>
      </c>
      <c r="T54" s="10">
        <f ca="1">CFDTable[[#This Row],[AvgDaily]]+CFDTable[[#This Row],[Deviation]]</f>
        <v>1.1428571428571428</v>
      </c>
      <c r="U54" s="10">
        <f ca="1">IF(ISNUMBER(L54),((_xlfn.PERCENTILE.INC(IF(ISNUMBER(OFFSET(Q54,-Historic,0)),OFFSET(Q54,-Historic,0),Q$2):Q54,PercentileHigh/100))-(MEDIAN(IF(ISNUMBER(OFFSET(Q54,-Historic,0)),OFFSET(Q54,-Historic,0),Q$2):Q54))),U53)</f>
        <v>9.5238095238095233E-2</v>
      </c>
      <c r="V54" s="10">
        <f ca="1">IF(ISNUMBER(L54),((_xlfn.PERCENTILE.INC(Q$2:Q54,PercentileHigh/100))-(MEDIAN(Q$2:Q54))),U53)</f>
        <v>0.11979949874686702</v>
      </c>
      <c r="W54" s="10">
        <f ca="1">IF(ISNUMBER(CFDTable[[#This Row],[Done Today]]),SUM($F54:$K54),$W53)</f>
        <v>96</v>
      </c>
      <c r="X54" s="10">
        <f ca="1">IF(ISNUMBER(CFDTable[[#This Row],[Done Today]]),SUM($F54:$K54),$X53)</f>
        <v>96</v>
      </c>
      <c r="Y54" s="10">
        <f ca="1">SUM(LOOKUP(2,1/(M$1:M53&lt;&gt;""),M$1:M53)+CFDTable[[#This Row],[lowDaily]])</f>
        <v>43.952380952380949</v>
      </c>
      <c r="Z54" s="10">
        <f ca="1">SUM(LOOKUP(2,1/(N$1:N53&lt;&gt;""),N$1:N53)+Q54)</f>
        <v>44.047619047619051</v>
      </c>
      <c r="AA54" s="10">
        <f ca="1">SUM(LOOKUP(2,1/(O$1:O53&lt;&gt;""),O$1:O53)+CFDTable[[#This Row],[highDaily]])</f>
        <v>44.142857142857146</v>
      </c>
      <c r="AB54" s="12">
        <f>IF(CFDTable[[#This Row],[Date]]=DeadlineDate,CFDTable[Future Work],0)</f>
        <v>0</v>
      </c>
    </row>
    <row r="55" spans="1:28">
      <c r="A55" s="8">
        <f>CFDTable[[#This Row],[Date]]</f>
        <v>42485</v>
      </c>
      <c r="B55" s="9">
        <f>Data!B55</f>
        <v>42485</v>
      </c>
      <c r="C55" s="10" t="e">
        <f ca="1">IF(ISNUMBER(CFDTable[[#This Row],[Ready]]),NA(),CFDTable[[#This Row],[Target]]-CFDTable[[#This Row],[To Do]])</f>
        <v>#N/A</v>
      </c>
      <c r="D55" s="10">
        <f ca="1">IF(CFDTable[[#This Row],[Emergence]]&gt;0,CFDTable[[#This Row],[Future Work]]-CFDTable[[#This Row],[Emergence]],NA())</f>
        <v>53</v>
      </c>
      <c r="E55" s="10">
        <f>Data!C55</f>
        <v>43</v>
      </c>
      <c r="F55" s="10">
        <f ca="1">Data!D55</f>
        <v>44</v>
      </c>
      <c r="G55" s="10">
        <f ca="1">IF(TodaysDate&gt;=$B55,Data!E55,NA())</f>
        <v>0</v>
      </c>
      <c r="H55" s="10">
        <f ca="1">IF(TodaysDate&gt;=$B55,Data!F55,NA())</f>
        <v>4</v>
      </c>
      <c r="I55" s="10">
        <f ca="1">IF(TodaysDate&gt;=$B55,Data!G55,NA())</f>
        <v>0</v>
      </c>
      <c r="J55" s="10">
        <f ca="1">IF(TodaysDate&gt;=$B55,Data!H55,NA())</f>
        <v>0</v>
      </c>
      <c r="K55" s="10">
        <f ca="1">IF(TodaysDate&gt;=$B55,Data!I55,NA())</f>
        <v>48</v>
      </c>
      <c r="L55" s="10">
        <f ca="1">IF(CFDTable[[#This Row],[Done]]&gt;0,(CFDTable[[#This Row],[Done]])-(K54),0)</f>
        <v>0</v>
      </c>
      <c r="M55" s="10">
        <f ca="1">IF(ISNUMBER($L55),SUM(CFDTable[[#This Row],[Done]]),IF(CFDTable[[#This Row],[lookupLow]]&gt;=CFDTable[[#This Row],[Target]]+CFDTable[[#This Row],[lowDaily]],NA(),CFDTable[[#This Row],[lookupLow]]))</f>
        <v>48</v>
      </c>
      <c r="N55" s="10">
        <f ca="1">IF(ISNUMBER($L55),SUM(CFDTable[[#This Row],[Done]]),IF(CFDTable[[#This Row],[lookupMedian]]&gt;=$X55+Q55,NA(),CFDTable[[#This Row],[lookupMedian]]))</f>
        <v>48</v>
      </c>
      <c r="O55" s="10">
        <f ca="1">IF(ISNUMBER(CFDTable[[#This Row],[Done Today]]),SUM(CFDTable[[#This Row],[Done]]),IF(CFDTable[[#This Row],[lookupHigh]]&gt;=CFDTable[[#This Row],[Target]]+CFDTable[[#This Row],[highDaily]],NA(),CFDTable[[#This Row],[lookupHigh]]))</f>
        <v>48</v>
      </c>
      <c r="P55" s="10">
        <f ca="1">CFDTable[[#This Row],[AvgDaily]]-CFDTable[[#This Row],[Deviation]]</f>
        <v>0.90476190476190477</v>
      </c>
      <c r="Q55" s="10">
        <f ca="1">AVERAGE(IF(ISNUMBER(L55),IF(ISNUMBER(OFFSET(L55,-Historic,0)),OFFSET(L55,-Historic,0),L$2):L55,Q54))</f>
        <v>1</v>
      </c>
      <c r="R55" s="10">
        <f ca="1">AVERAGE(IF(ISNUMBER(L55),IF(ISNUMBER(OFFSET(L55,-Historic,0)),OFFSET(L55,-Historic,0),L$2):L55,R54))</f>
        <v>1</v>
      </c>
      <c r="S55" s="10">
        <f ca="1">AVERAGE(IF(ISNUMBER(L55),OFFSET(L$2,DaysToIgnoreOnAvg,0):L55,S54))</f>
        <v>0.88461538461538458</v>
      </c>
      <c r="T55" s="10">
        <f ca="1">CFDTable[[#This Row],[AvgDaily]]+CFDTable[[#This Row],[Deviation]]</f>
        <v>1.0952380952380953</v>
      </c>
      <c r="U55" s="10">
        <f ca="1">IF(ISNUMBER(L55),((_xlfn.PERCENTILE.INC(IF(ISNUMBER(OFFSET(Q55,-Historic,0)),OFFSET(Q55,-Historic,0),Q$2):Q55,PercentileHigh/100))-(MEDIAN(IF(ISNUMBER(OFFSET(Q55,-Historic,0)),OFFSET(Q55,-Historic,0),Q$2):Q55))),U54)</f>
        <v>9.5238095238095233E-2</v>
      </c>
      <c r="V55" s="10">
        <f ca="1">IF(ISNUMBER(L55),((_xlfn.PERCENTILE.INC(Q$2:Q55,PercentileHigh/100))-(MEDIAN(Q$2:Q55))),U54)</f>
        <v>0.15037593984962405</v>
      </c>
      <c r="W55" s="10">
        <f ca="1">IF(ISNUMBER(CFDTable[[#This Row],[Done Today]]),SUM($F55:$K55),$W54)</f>
        <v>96</v>
      </c>
      <c r="X55" s="10">
        <f ca="1">IF(ISNUMBER(CFDTable[[#This Row],[Done Today]]),SUM($F55:$K55),$X54)</f>
        <v>96</v>
      </c>
      <c r="Y55" s="10">
        <f ca="1">SUM(LOOKUP(2,1/(M$1:M54&lt;&gt;""),M$1:M54)+CFDTable[[#This Row],[lowDaily]])</f>
        <v>48.904761904761905</v>
      </c>
      <c r="Z55" s="10">
        <f ca="1">SUM(LOOKUP(2,1/(N$1:N54&lt;&gt;""),N$1:N54)+Q55)</f>
        <v>49</v>
      </c>
      <c r="AA55" s="10">
        <f ca="1">SUM(LOOKUP(2,1/(O$1:O54&lt;&gt;""),O$1:O54)+CFDTable[[#This Row],[highDaily]])</f>
        <v>49.095238095238095</v>
      </c>
      <c r="AB55" s="12">
        <f>IF(CFDTable[[#This Row],[Date]]=DeadlineDate,CFDTable[Future Work],0)</f>
        <v>0</v>
      </c>
    </row>
    <row r="56" spans="1:28">
      <c r="A56" s="8">
        <f>CFDTable[[#This Row],[Date]]</f>
        <v>42486</v>
      </c>
      <c r="B56" s="9">
        <f>Data!B56</f>
        <v>42486</v>
      </c>
      <c r="C56" s="10" t="e">
        <f ca="1">IF(ISNUMBER(CFDTable[[#This Row],[Ready]]),NA(),CFDTable[[#This Row],[Target]]-CFDTable[[#This Row],[To Do]])</f>
        <v>#N/A</v>
      </c>
      <c r="D56" s="10">
        <f ca="1">IF(CFDTable[[#This Row],[Emergence]]&gt;0,CFDTable[[#This Row],[Future Work]]-CFDTable[[#This Row],[Emergence]],NA())</f>
        <v>54</v>
      </c>
      <c r="E56" s="10">
        <f>Data!C56</f>
        <v>43</v>
      </c>
      <c r="F56" s="10">
        <f ca="1">Data!D56</f>
        <v>44</v>
      </c>
      <c r="G56" s="10">
        <f ca="1">IF(TodaysDate&gt;=$B56,Data!E56,NA())</f>
        <v>0</v>
      </c>
      <c r="H56" s="10">
        <f ca="1">IF(TodaysDate&gt;=$B56,Data!F56,NA())</f>
        <v>4</v>
      </c>
      <c r="I56" s="10">
        <f ca="1">IF(TodaysDate&gt;=$B56,Data!G56,NA())</f>
        <v>0</v>
      </c>
      <c r="J56" s="10">
        <f ca="1">IF(TodaysDate&gt;=$B56,Data!H56,NA())</f>
        <v>0</v>
      </c>
      <c r="K56" s="10">
        <f ca="1">IF(TodaysDate&gt;=$B56,Data!I56,NA())</f>
        <v>49</v>
      </c>
      <c r="L56" s="10">
        <f ca="1">IF(CFDTable[[#This Row],[Done]]&gt;0,(CFDTable[[#This Row],[Done]])-(K55),0)</f>
        <v>1</v>
      </c>
      <c r="M56" s="10">
        <f ca="1">IF(ISNUMBER($L56),SUM(CFDTable[[#This Row],[Done]]),IF(CFDTable[[#This Row],[lookupLow]]&gt;=CFDTable[[#This Row],[Target]]+CFDTable[[#This Row],[lowDaily]],NA(),CFDTable[[#This Row],[lookupLow]]))</f>
        <v>49</v>
      </c>
      <c r="N56" s="10">
        <f ca="1">IF(ISNUMBER($L56),SUM(CFDTable[[#This Row],[Done]]),IF(CFDTable[[#This Row],[lookupMedian]]&gt;=$X56+Q56,NA(),CFDTable[[#This Row],[lookupMedian]]))</f>
        <v>49</v>
      </c>
      <c r="O56" s="10">
        <f ca="1">IF(ISNUMBER(CFDTable[[#This Row],[Done Today]]),SUM(CFDTable[[#This Row],[Done]]),IF(CFDTable[[#This Row],[lookupHigh]]&gt;=CFDTable[[#This Row],[Target]]+CFDTable[[#This Row],[highDaily]],NA(),CFDTable[[#This Row],[lookupHigh]]))</f>
        <v>49</v>
      </c>
      <c r="P56" s="10">
        <f ca="1">CFDTable[[#This Row],[AvgDaily]]-CFDTable[[#This Row],[Deviation]]</f>
        <v>0.90476190476190477</v>
      </c>
      <c r="Q56" s="10">
        <f ca="1">AVERAGE(IF(ISNUMBER(L56),IF(ISNUMBER(OFFSET(L56,-Historic,0)),OFFSET(L56,-Historic,0),L$2):L56,Q55))</f>
        <v>1.0476190476190477</v>
      </c>
      <c r="R56" s="10">
        <f ca="1">AVERAGE(IF(ISNUMBER(L56),IF(ISNUMBER(OFFSET(L56,-Historic,0)),OFFSET(L56,-Historic,0),L$2):L56,R55))</f>
        <v>1.0476190476190477</v>
      </c>
      <c r="S56" s="10">
        <f ca="1">AVERAGE(IF(ISNUMBER(L56),OFFSET(L$2,DaysToIgnoreOnAvg,0):L56,S55))</f>
        <v>0.8867924528301887</v>
      </c>
      <c r="T56" s="10">
        <f ca="1">CFDTable[[#This Row],[AvgDaily]]+CFDTable[[#This Row],[Deviation]]</f>
        <v>1.1904761904761907</v>
      </c>
      <c r="U56" s="10">
        <f ca="1">IF(ISNUMBER(L56),((_xlfn.PERCENTILE.INC(IF(ISNUMBER(OFFSET(Q56,-Historic,0)),OFFSET(Q56,-Historic,0),Q$2):Q56,PercentileHigh/100))-(MEDIAN(IF(ISNUMBER(OFFSET(Q56,-Historic,0)),OFFSET(Q56,-Historic,0),Q$2):Q56))),U55)</f>
        <v>0.1428571428571429</v>
      </c>
      <c r="V56" s="10">
        <f ca="1">IF(ISNUMBER(L56),((_xlfn.PERCENTILE.INC(Q$2:Q56,PercentileHigh/100))-(MEDIAN(Q$2:Q56))),U55)</f>
        <v>0.1428571428571429</v>
      </c>
      <c r="W56" s="10">
        <f ca="1">IF(ISNUMBER(CFDTable[[#This Row],[Done Today]]),SUM($F56:$K56),$W55)</f>
        <v>97</v>
      </c>
      <c r="X56" s="10">
        <f ca="1">IF(ISNUMBER(CFDTable[[#This Row],[Done Today]]),SUM($F56:$K56),$X55)</f>
        <v>97</v>
      </c>
      <c r="Y56" s="10">
        <f ca="1">SUM(LOOKUP(2,1/(M$1:M55&lt;&gt;""),M$1:M55)+CFDTable[[#This Row],[lowDaily]])</f>
        <v>48.904761904761905</v>
      </c>
      <c r="Z56" s="10">
        <f ca="1">SUM(LOOKUP(2,1/(N$1:N55&lt;&gt;""),N$1:N55)+Q56)</f>
        <v>49.047619047619051</v>
      </c>
      <c r="AA56" s="10">
        <f ca="1">SUM(LOOKUP(2,1/(O$1:O55&lt;&gt;""),O$1:O55)+CFDTable[[#This Row],[highDaily]])</f>
        <v>49.19047619047619</v>
      </c>
      <c r="AB56" s="12">
        <f>IF(CFDTable[[#This Row],[Date]]=DeadlineDate,CFDTable[Future Work],0)</f>
        <v>0</v>
      </c>
    </row>
    <row r="57" spans="1:28">
      <c r="A57" s="8">
        <f>CFDTable[[#This Row],[Date]]</f>
        <v>42487</v>
      </c>
      <c r="B57" s="9">
        <f>Data!B57</f>
        <v>42487</v>
      </c>
      <c r="C57" s="10" t="e">
        <f ca="1">IF(ISNUMBER(CFDTable[[#This Row],[Ready]]),NA(),CFDTable[[#This Row],[Target]]-CFDTable[[#This Row],[To Do]])</f>
        <v>#N/A</v>
      </c>
      <c r="D57" s="10">
        <f ca="1">IF(CFDTable[[#This Row],[Emergence]]&gt;0,CFDTable[[#This Row],[Future Work]]-CFDTable[[#This Row],[Emergence]],NA())</f>
        <v>56</v>
      </c>
      <c r="E57" s="10">
        <f>Data!C57</f>
        <v>43</v>
      </c>
      <c r="F57" s="10">
        <f ca="1">Data!D57</f>
        <v>44</v>
      </c>
      <c r="G57" s="10">
        <f ca="1">IF(TodaysDate&gt;=$B57,Data!E57,NA())</f>
        <v>0</v>
      </c>
      <c r="H57" s="10">
        <f ca="1">IF(TodaysDate&gt;=$B57,Data!F57,NA())</f>
        <v>6</v>
      </c>
      <c r="I57" s="10">
        <f ca="1">IF(TodaysDate&gt;=$B57,Data!G57,NA())</f>
        <v>0</v>
      </c>
      <c r="J57" s="10">
        <f ca="1">IF(TodaysDate&gt;=$B57,Data!H57,NA())</f>
        <v>0</v>
      </c>
      <c r="K57" s="10">
        <f ca="1">IF(TodaysDate&gt;=$B57,Data!I57,NA())</f>
        <v>49</v>
      </c>
      <c r="L57" s="10">
        <f ca="1">IF(CFDTable[[#This Row],[Done]]&gt;0,(CFDTable[[#This Row],[Done]])-(K56),0)</f>
        <v>0</v>
      </c>
      <c r="M57" s="10">
        <f ca="1">IF(ISNUMBER($L57),SUM(CFDTable[[#This Row],[Done]]),IF(CFDTable[[#This Row],[lookupLow]]&gt;=CFDTable[[#This Row],[Target]]+CFDTable[[#This Row],[lowDaily]],NA(),CFDTable[[#This Row],[lookupLow]]))</f>
        <v>49</v>
      </c>
      <c r="N57" s="10">
        <f ca="1">IF(ISNUMBER($L57),SUM(CFDTable[[#This Row],[Done]]),IF(CFDTable[[#This Row],[lookupMedian]]&gt;=$X57+Q57,NA(),CFDTable[[#This Row],[lookupMedian]]))</f>
        <v>49</v>
      </c>
      <c r="O57" s="10">
        <f ca="1">IF(ISNUMBER(CFDTable[[#This Row],[Done Today]]),SUM(CFDTable[[#This Row],[Done]]),IF(CFDTable[[#This Row],[lookupHigh]]&gt;=CFDTable[[#This Row],[Target]]+CFDTable[[#This Row],[highDaily]],NA(),CFDTable[[#This Row],[lookupHigh]]))</f>
        <v>49</v>
      </c>
      <c r="P57" s="10">
        <f ca="1">CFDTable[[#This Row],[AvgDaily]]-CFDTable[[#This Row],[Deviation]]</f>
        <v>0.80952380952380953</v>
      </c>
      <c r="Q57" s="10">
        <f ca="1">AVERAGE(IF(ISNUMBER(L57),IF(ISNUMBER(OFFSET(L57,-Historic,0)),OFFSET(L57,-Historic,0),L$2):L57,Q56))</f>
        <v>0.90476190476190477</v>
      </c>
      <c r="R57" s="10">
        <f ca="1">AVERAGE(IF(ISNUMBER(L57),IF(ISNUMBER(OFFSET(L57,-Historic,0)),OFFSET(L57,-Historic,0),L$2):L57,R56))</f>
        <v>0.90476190476190477</v>
      </c>
      <c r="S57" s="10">
        <f ca="1">AVERAGE(IF(ISNUMBER(L57),OFFSET(L$2,DaysToIgnoreOnAvg,0):L57,S56))</f>
        <v>0.87037037037037035</v>
      </c>
      <c r="T57" s="10">
        <f ca="1">CFDTable[[#This Row],[AvgDaily]]+CFDTable[[#This Row],[Deviation]]</f>
        <v>1</v>
      </c>
      <c r="U57" s="10">
        <f ca="1">IF(ISNUMBER(L57),((_xlfn.PERCENTILE.INC(IF(ISNUMBER(OFFSET(Q57,-Historic,0)),OFFSET(Q57,-Historic,0),Q$2):Q57,PercentileHigh/100))-(MEDIAN(IF(ISNUMBER(OFFSET(Q57,-Historic,0)),OFFSET(Q57,-Historic,0),Q$2):Q57))),U56)</f>
        <v>9.5238095238095233E-2</v>
      </c>
      <c r="V57" s="10">
        <f ca="1">IF(ISNUMBER(L57),((_xlfn.PERCENTILE.INC(Q$2:Q57,PercentileHigh/100))-(MEDIAN(Q$2:Q57))),U56)</f>
        <v>0.1428571428571429</v>
      </c>
      <c r="W57" s="10">
        <f ca="1">IF(ISNUMBER(CFDTable[[#This Row],[Done Today]]),SUM($F57:$K57),$W56)</f>
        <v>99</v>
      </c>
      <c r="X57" s="10">
        <f ca="1">IF(ISNUMBER(CFDTable[[#This Row],[Done Today]]),SUM($F57:$K57),$X56)</f>
        <v>99</v>
      </c>
      <c r="Y57" s="10">
        <f ca="1">SUM(LOOKUP(2,1/(M$1:M56&lt;&gt;""),M$1:M56)+CFDTable[[#This Row],[lowDaily]])</f>
        <v>49.80952380952381</v>
      </c>
      <c r="Z57" s="10">
        <f ca="1">SUM(LOOKUP(2,1/(N$1:N56&lt;&gt;""),N$1:N56)+Q57)</f>
        <v>49.904761904761905</v>
      </c>
      <c r="AA57" s="10">
        <f ca="1">SUM(LOOKUP(2,1/(O$1:O56&lt;&gt;""),O$1:O56)+CFDTable[[#This Row],[highDaily]])</f>
        <v>50</v>
      </c>
      <c r="AB57" s="12">
        <f>IF(CFDTable[[#This Row],[Date]]=DeadlineDate,CFDTable[Future Work],0)</f>
        <v>0</v>
      </c>
    </row>
    <row r="58" spans="1:28">
      <c r="A58" s="8">
        <f>CFDTable[[#This Row],[Date]]</f>
        <v>42488</v>
      </c>
      <c r="B58" s="9">
        <f>Data!B58</f>
        <v>42488</v>
      </c>
      <c r="C58" s="10" t="e">
        <f ca="1">IF(ISNUMBER(CFDTable[[#This Row],[Ready]]),NA(),CFDTable[[#This Row],[Target]]-CFDTable[[#This Row],[To Do]])</f>
        <v>#N/A</v>
      </c>
      <c r="D58" s="10">
        <f ca="1">IF(CFDTable[[#This Row],[Emergence]]&gt;0,CFDTable[[#This Row],[Future Work]]-CFDTable[[#This Row],[Emergence]],NA())</f>
        <v>57</v>
      </c>
      <c r="E58" s="10">
        <f>Data!C58</f>
        <v>43</v>
      </c>
      <c r="F58" s="10">
        <f ca="1">Data!D58</f>
        <v>44</v>
      </c>
      <c r="G58" s="10">
        <f ca="1">IF(TodaysDate&gt;=$B58,Data!E58,NA())</f>
        <v>0</v>
      </c>
      <c r="H58" s="10">
        <f ca="1">IF(TodaysDate&gt;=$B58,Data!F58,NA())</f>
        <v>6</v>
      </c>
      <c r="I58" s="10">
        <f ca="1">IF(TodaysDate&gt;=$B58,Data!G58,NA())</f>
        <v>0</v>
      </c>
      <c r="J58" s="10">
        <f ca="1">IF(TodaysDate&gt;=$B58,Data!H58,NA())</f>
        <v>0</v>
      </c>
      <c r="K58" s="10">
        <f ca="1">IF(TodaysDate&gt;=$B58,Data!I58,NA())</f>
        <v>50</v>
      </c>
      <c r="L58" s="10">
        <f ca="1">IF(CFDTable[[#This Row],[Done]]&gt;0,(CFDTable[[#This Row],[Done]])-(K57),0)</f>
        <v>1</v>
      </c>
      <c r="M58" s="10">
        <f ca="1">IF(ISNUMBER($L58),SUM(CFDTable[[#This Row],[Done]]),IF(CFDTable[[#This Row],[lookupLow]]&gt;=CFDTable[[#This Row],[Target]]+CFDTable[[#This Row],[lowDaily]],NA(),CFDTable[[#This Row],[lookupLow]]))</f>
        <v>50</v>
      </c>
      <c r="N58" s="10">
        <f ca="1">IF(ISNUMBER($L58),SUM(CFDTable[[#This Row],[Done]]),IF(CFDTable[[#This Row],[lookupMedian]]&gt;=$X58+Q58,NA(),CFDTable[[#This Row],[lookupMedian]]))</f>
        <v>50</v>
      </c>
      <c r="O58" s="10">
        <f ca="1">IF(ISNUMBER(CFDTable[[#This Row],[Done Today]]),SUM(CFDTable[[#This Row],[Done]]),IF(CFDTable[[#This Row],[lookupHigh]]&gt;=CFDTable[[#This Row],[Target]]+CFDTable[[#This Row],[highDaily]],NA(),CFDTable[[#This Row],[lookupHigh]]))</f>
        <v>50</v>
      </c>
      <c r="P58" s="10">
        <f ca="1">CFDTable[[#This Row],[AvgDaily]]-CFDTable[[#This Row],[Deviation]]</f>
        <v>0.8571428571428571</v>
      </c>
      <c r="Q58" s="10">
        <f ca="1">AVERAGE(IF(ISNUMBER(L58),IF(ISNUMBER(OFFSET(L58,-Historic,0)),OFFSET(L58,-Historic,0),L$2):L58,Q57))</f>
        <v>0.95238095238095233</v>
      </c>
      <c r="R58" s="10">
        <f ca="1">AVERAGE(IF(ISNUMBER(L58),IF(ISNUMBER(OFFSET(L58,-Historic,0)),OFFSET(L58,-Historic,0),L$2):L58,R57))</f>
        <v>0.95238095238095233</v>
      </c>
      <c r="S58" s="10">
        <f ca="1">AVERAGE(IF(ISNUMBER(L58),OFFSET(L$2,DaysToIgnoreOnAvg,0):L58,S57))</f>
        <v>0.87272727272727268</v>
      </c>
      <c r="T58" s="10">
        <f ca="1">CFDTable[[#This Row],[AvgDaily]]+CFDTable[[#This Row],[Deviation]]</f>
        <v>1.0476190476190474</v>
      </c>
      <c r="U58" s="10">
        <f ca="1">IF(ISNUMBER(L58),((_xlfn.PERCENTILE.INC(IF(ISNUMBER(OFFSET(Q58,-Historic,0)),OFFSET(Q58,-Historic,0),Q$2):Q58,PercentileHigh/100))-(MEDIAN(IF(ISNUMBER(OFFSET(Q58,-Historic,0)),OFFSET(Q58,-Historic,0),Q$2):Q58))),U57)</f>
        <v>9.5238095238095233E-2</v>
      </c>
      <c r="V58" s="10">
        <f ca="1">IF(ISNUMBER(L58),((_xlfn.PERCENTILE.INC(Q$2:Q58,PercentileHigh/100))-(MEDIAN(Q$2:Q58))),U57)</f>
        <v>0.1428571428571429</v>
      </c>
      <c r="W58" s="10">
        <f ca="1">IF(ISNUMBER(CFDTable[[#This Row],[Done Today]]),SUM($F58:$K58),$W57)</f>
        <v>100</v>
      </c>
      <c r="X58" s="10">
        <f ca="1">IF(ISNUMBER(CFDTable[[#This Row],[Done Today]]),SUM($F58:$K58),$X57)</f>
        <v>100</v>
      </c>
      <c r="Y58" s="10">
        <f ca="1">SUM(LOOKUP(2,1/(M$1:M57&lt;&gt;""),M$1:M57)+CFDTable[[#This Row],[lowDaily]])</f>
        <v>49.857142857142854</v>
      </c>
      <c r="Z58" s="10">
        <f ca="1">SUM(LOOKUP(2,1/(N$1:N57&lt;&gt;""),N$1:N57)+Q58)</f>
        <v>49.952380952380949</v>
      </c>
      <c r="AA58" s="10">
        <f ca="1">SUM(LOOKUP(2,1/(O$1:O57&lt;&gt;""),O$1:O57)+CFDTable[[#This Row],[highDaily]])</f>
        <v>50.047619047619051</v>
      </c>
      <c r="AB58" s="12">
        <f>IF(CFDTable[[#This Row],[Date]]=DeadlineDate,CFDTable[Future Work],0)</f>
        <v>0</v>
      </c>
    </row>
    <row r="59" spans="1:28">
      <c r="A59" s="8">
        <f>CFDTable[[#This Row],[Date]]</f>
        <v>42489</v>
      </c>
      <c r="B59" s="9">
        <f>Data!B59</f>
        <v>42489</v>
      </c>
      <c r="C59" s="10" t="e">
        <f ca="1">IF(ISNUMBER(CFDTable[[#This Row],[Ready]]),NA(),CFDTable[[#This Row],[Target]]-CFDTable[[#This Row],[To Do]])</f>
        <v>#N/A</v>
      </c>
      <c r="D59" s="10">
        <f ca="1">IF(CFDTable[[#This Row],[Emergence]]&gt;0,CFDTable[[#This Row],[Future Work]]-CFDTable[[#This Row],[Emergence]],NA())</f>
        <v>57</v>
      </c>
      <c r="E59" s="10">
        <f>Data!C59</f>
        <v>43</v>
      </c>
      <c r="F59" s="10">
        <f ca="1">Data!D59</f>
        <v>44</v>
      </c>
      <c r="G59" s="10">
        <f ca="1">IF(TodaysDate&gt;=$B59,Data!E59,NA())</f>
        <v>0</v>
      </c>
      <c r="H59" s="10">
        <f ca="1">IF(TodaysDate&gt;=$B59,Data!F59,NA())</f>
        <v>6</v>
      </c>
      <c r="I59" s="10">
        <f ca="1">IF(TodaysDate&gt;=$B59,Data!G59,NA())</f>
        <v>0</v>
      </c>
      <c r="J59" s="10">
        <f ca="1">IF(TodaysDate&gt;=$B59,Data!H59,NA())</f>
        <v>0</v>
      </c>
      <c r="K59" s="10">
        <f ca="1">IF(TodaysDate&gt;=$B59,Data!I59,NA())</f>
        <v>50</v>
      </c>
      <c r="L59" s="10">
        <f ca="1">IF(CFDTable[[#This Row],[Done]]&gt;0,(CFDTable[[#This Row],[Done]])-(K58),0)</f>
        <v>0</v>
      </c>
      <c r="M59" s="10">
        <f ca="1">IF(ISNUMBER($L59),SUM(CFDTable[[#This Row],[Done]]),IF(CFDTable[[#This Row],[lookupLow]]&gt;=CFDTable[[#This Row],[Target]]+CFDTable[[#This Row],[lowDaily]],NA(),CFDTable[[#This Row],[lookupLow]]))</f>
        <v>50</v>
      </c>
      <c r="N59" s="10">
        <f ca="1">IF(ISNUMBER($L59),SUM(CFDTable[[#This Row],[Done]]),IF(CFDTable[[#This Row],[lookupMedian]]&gt;=$X59+Q59,NA(),CFDTable[[#This Row],[lookupMedian]]))</f>
        <v>50</v>
      </c>
      <c r="O59" s="10">
        <f ca="1">IF(ISNUMBER(CFDTable[[#This Row],[Done Today]]),SUM(CFDTable[[#This Row],[Done]]),IF(CFDTable[[#This Row],[lookupHigh]]&gt;=CFDTable[[#This Row],[Target]]+CFDTable[[#This Row],[highDaily]],NA(),CFDTable[[#This Row],[lookupHigh]]))</f>
        <v>50</v>
      </c>
      <c r="P59" s="10">
        <f ca="1">CFDTable[[#This Row],[AvgDaily]]-CFDTable[[#This Row],[Deviation]]</f>
        <v>0.90476190476190477</v>
      </c>
      <c r="Q59" s="10">
        <f ca="1">AVERAGE(IF(ISNUMBER(L59),IF(ISNUMBER(OFFSET(L59,-Historic,0)),OFFSET(L59,-Historic,0),L$2):L59,Q58))</f>
        <v>0.95238095238095233</v>
      </c>
      <c r="R59" s="10">
        <f ca="1">AVERAGE(IF(ISNUMBER(L59),IF(ISNUMBER(OFFSET(L59,-Historic,0)),OFFSET(L59,-Historic,0),L$2):L59,R58))</f>
        <v>0.95238095238095233</v>
      </c>
      <c r="S59" s="10">
        <f ca="1">AVERAGE(IF(ISNUMBER(L59),OFFSET(L$2,DaysToIgnoreOnAvg,0):L59,S58))</f>
        <v>0.8571428571428571</v>
      </c>
      <c r="T59" s="10">
        <f ca="1">CFDTable[[#This Row],[AvgDaily]]+CFDTable[[#This Row],[Deviation]]</f>
        <v>0.99999999999999989</v>
      </c>
      <c r="U59" s="10">
        <f ca="1">IF(ISNUMBER(L59),((_xlfn.PERCENTILE.INC(IF(ISNUMBER(OFFSET(Q59,-Historic,0)),OFFSET(Q59,-Historic,0),Q$2):Q59,PercentileHigh/100))-(MEDIAN(IF(ISNUMBER(OFFSET(Q59,-Historic,0)),OFFSET(Q59,-Historic,0),Q$2):Q59))),U58)</f>
        <v>4.7619047619047561E-2</v>
      </c>
      <c r="V59" s="10">
        <f ca="1">IF(ISNUMBER(L59),((_xlfn.PERCENTILE.INC(Q$2:Q59,PercentileHigh/100))-(MEDIAN(Q$2:Q59))),U58)</f>
        <v>0.1428571428571429</v>
      </c>
      <c r="W59" s="10">
        <f ca="1">IF(ISNUMBER(CFDTable[[#This Row],[Done Today]]),SUM($F59:$K59),$W58)</f>
        <v>100</v>
      </c>
      <c r="X59" s="10">
        <f ca="1">IF(ISNUMBER(CFDTable[[#This Row],[Done Today]]),SUM($F59:$K59),$X58)</f>
        <v>100</v>
      </c>
      <c r="Y59" s="10">
        <f ca="1">SUM(LOOKUP(2,1/(M$1:M58&lt;&gt;""),M$1:M58)+CFDTable[[#This Row],[lowDaily]])</f>
        <v>50.904761904761905</v>
      </c>
      <c r="Z59" s="10">
        <f ca="1">SUM(LOOKUP(2,1/(N$1:N58&lt;&gt;""),N$1:N58)+Q59)</f>
        <v>50.952380952380949</v>
      </c>
      <c r="AA59" s="10">
        <f ca="1">SUM(LOOKUP(2,1/(O$1:O58&lt;&gt;""),O$1:O58)+CFDTable[[#This Row],[highDaily]])</f>
        <v>51</v>
      </c>
      <c r="AB59" s="12">
        <f>IF(CFDTable[[#This Row],[Date]]=DeadlineDate,CFDTable[Future Work],0)</f>
        <v>0</v>
      </c>
    </row>
    <row r="60" spans="1:28">
      <c r="A60" s="8">
        <f>CFDTable[[#This Row],[Date]]</f>
        <v>42493</v>
      </c>
      <c r="B60" s="9">
        <f>Data!B60</f>
        <v>42493</v>
      </c>
      <c r="C60" s="10" t="e">
        <f ca="1">IF(ISNUMBER(CFDTable[[#This Row],[Ready]]),NA(),CFDTable[[#This Row],[Target]]-CFDTable[[#This Row],[To Do]])</f>
        <v>#N/A</v>
      </c>
      <c r="D60" s="10">
        <f ca="1">IF(CFDTable[[#This Row],[Emergence]]&gt;0,CFDTable[[#This Row],[Future Work]]-CFDTable[[#This Row],[Emergence]],NA())</f>
        <v>57</v>
      </c>
      <c r="E60" s="10">
        <f>Data!C60</f>
        <v>43</v>
      </c>
      <c r="F60" s="10">
        <f ca="1">Data!D60</f>
        <v>44</v>
      </c>
      <c r="G60" s="10">
        <f ca="1">IF(TodaysDate&gt;=$B60,Data!E60,NA())</f>
        <v>0</v>
      </c>
      <c r="H60" s="10">
        <f ca="1">IF(TodaysDate&gt;=$B60,Data!F60,NA())</f>
        <v>6</v>
      </c>
      <c r="I60" s="10">
        <f ca="1">IF(TodaysDate&gt;=$B60,Data!G60,NA())</f>
        <v>0</v>
      </c>
      <c r="J60" s="10">
        <f ca="1">IF(TodaysDate&gt;=$B60,Data!H60,NA())</f>
        <v>0</v>
      </c>
      <c r="K60" s="10">
        <f ca="1">IF(TodaysDate&gt;=$B60,Data!I60,NA())</f>
        <v>50</v>
      </c>
      <c r="L60" s="10">
        <f ca="1">IF(CFDTable[[#This Row],[Done]]&gt;0,(CFDTable[[#This Row],[Done]])-(K59),0)</f>
        <v>0</v>
      </c>
      <c r="M60" s="10">
        <f ca="1">IF(ISNUMBER($L60),SUM(CFDTable[[#This Row],[Done]]),IF(CFDTable[[#This Row],[lookupLow]]&gt;=CFDTable[[#This Row],[Target]]+CFDTable[[#This Row],[lowDaily]],NA(),CFDTable[[#This Row],[lookupLow]]))</f>
        <v>50</v>
      </c>
      <c r="N60" s="10">
        <f ca="1">IF(ISNUMBER($L60),SUM(CFDTable[[#This Row],[Done]]),IF(CFDTable[[#This Row],[lookupMedian]]&gt;=$X60+Q60,NA(),CFDTable[[#This Row],[lookupMedian]]))</f>
        <v>50</v>
      </c>
      <c r="O60" s="10">
        <f ca="1">IF(ISNUMBER(CFDTable[[#This Row],[Done Today]]),SUM(CFDTable[[#This Row],[Done]]),IF(CFDTable[[#This Row],[lookupHigh]]&gt;=CFDTable[[#This Row],[Target]]+CFDTable[[#This Row],[highDaily]],NA(),CFDTable[[#This Row],[lookupHigh]]))</f>
        <v>50</v>
      </c>
      <c r="P60" s="10">
        <f ca="1">CFDTable[[#This Row],[AvgDaily]]-CFDTable[[#This Row],[Deviation]]</f>
        <v>0.85714285714285721</v>
      </c>
      <c r="Q60" s="10">
        <f ca="1">AVERAGE(IF(ISNUMBER(L60),IF(ISNUMBER(OFFSET(L60,-Historic,0)),OFFSET(L60,-Historic,0),L$2):L60,Q59))</f>
        <v>0.90476190476190477</v>
      </c>
      <c r="R60" s="10">
        <f ca="1">AVERAGE(IF(ISNUMBER(L60),IF(ISNUMBER(OFFSET(L60,-Historic,0)),OFFSET(L60,-Historic,0),L$2):L60,R59))</f>
        <v>0.90476190476190477</v>
      </c>
      <c r="S60" s="10">
        <f ca="1">AVERAGE(IF(ISNUMBER(L60),OFFSET(L$2,DaysToIgnoreOnAvg,0):L60,S59))</f>
        <v>0.84210526315789469</v>
      </c>
      <c r="T60" s="10">
        <f ca="1">CFDTable[[#This Row],[AvgDaily]]+CFDTable[[#This Row],[Deviation]]</f>
        <v>0.95238095238095233</v>
      </c>
      <c r="U60" s="10">
        <f ca="1">IF(ISNUMBER(L60),((_xlfn.PERCENTILE.INC(IF(ISNUMBER(OFFSET(Q60,-Historic,0)),OFFSET(Q60,-Historic,0),Q$2):Q60,PercentileHigh/100))-(MEDIAN(IF(ISNUMBER(OFFSET(Q60,-Historic,0)),OFFSET(Q60,-Historic,0),Q$2):Q60))),U59)</f>
        <v>4.7619047619047561E-2</v>
      </c>
      <c r="V60" s="10">
        <f ca="1">IF(ISNUMBER(L60),((_xlfn.PERCENTILE.INC(Q$2:Q60,PercentileHigh/100))-(MEDIAN(Q$2:Q60))),U59)</f>
        <v>0.1428571428571429</v>
      </c>
      <c r="W60" s="10">
        <f ca="1">IF(ISNUMBER(CFDTable[[#This Row],[Done Today]]),SUM($F60:$K60),$W59)</f>
        <v>100</v>
      </c>
      <c r="X60" s="10">
        <f ca="1">IF(ISNUMBER(CFDTable[[#This Row],[Done Today]]),SUM($F60:$K60),$X59)</f>
        <v>100</v>
      </c>
      <c r="Y60" s="10">
        <f ca="1">SUM(LOOKUP(2,1/(M$1:M59&lt;&gt;""),M$1:M59)+CFDTable[[#This Row],[lowDaily]])</f>
        <v>50.857142857142854</v>
      </c>
      <c r="Z60" s="10">
        <f ca="1">SUM(LOOKUP(2,1/(N$1:N59&lt;&gt;""),N$1:N59)+Q60)</f>
        <v>50.904761904761905</v>
      </c>
      <c r="AA60" s="10">
        <f ca="1">SUM(LOOKUP(2,1/(O$1:O59&lt;&gt;""),O$1:O59)+CFDTable[[#This Row],[highDaily]])</f>
        <v>50.952380952380949</v>
      </c>
      <c r="AB60" s="12">
        <f>IF(CFDTable[[#This Row],[Date]]=DeadlineDate,CFDTable[Future Work],0)</f>
        <v>0</v>
      </c>
    </row>
    <row r="61" spans="1:28">
      <c r="A61" s="8">
        <f>CFDTable[[#This Row],[Date]]</f>
        <v>42494</v>
      </c>
      <c r="B61" s="9">
        <f>Data!B61</f>
        <v>42494</v>
      </c>
      <c r="C61" s="10" t="e">
        <f ca="1">IF(ISNUMBER(CFDTable[[#This Row],[Ready]]),NA(),CFDTable[[#This Row],[Target]]-CFDTable[[#This Row],[To Do]])</f>
        <v>#N/A</v>
      </c>
      <c r="D61" s="10">
        <f ca="1">IF(CFDTable[[#This Row],[Emergence]]&gt;0,CFDTable[[#This Row],[Future Work]]-CFDTable[[#This Row],[Emergence]],NA())</f>
        <v>58</v>
      </c>
      <c r="E61" s="10">
        <f>Data!C61</f>
        <v>43</v>
      </c>
      <c r="F61" s="10">
        <f ca="1">Data!D61</f>
        <v>44</v>
      </c>
      <c r="G61" s="10">
        <f ca="1">IF(TodaysDate&gt;=$B61,Data!E61,NA())</f>
        <v>0</v>
      </c>
      <c r="H61" s="10">
        <f ca="1">IF(TodaysDate&gt;=$B61,Data!F61,NA())</f>
        <v>7</v>
      </c>
      <c r="I61" s="10">
        <f ca="1">IF(TodaysDate&gt;=$B61,Data!G61,NA())</f>
        <v>0</v>
      </c>
      <c r="J61" s="10">
        <f ca="1">IF(TodaysDate&gt;=$B61,Data!H61,NA())</f>
        <v>0</v>
      </c>
      <c r="K61" s="10">
        <f ca="1">IF(TodaysDate&gt;=$B61,Data!I61,NA())</f>
        <v>50</v>
      </c>
      <c r="L61" s="10">
        <f ca="1">IF(CFDTable[[#This Row],[Done]]&gt;0,(CFDTable[[#This Row],[Done]])-(K60),0)</f>
        <v>0</v>
      </c>
      <c r="M61" s="10">
        <f ca="1">IF(ISNUMBER($L61),SUM(CFDTable[[#This Row],[Done]]),IF(CFDTable[[#This Row],[lookupLow]]&gt;=CFDTable[[#This Row],[Target]]+CFDTable[[#This Row],[lowDaily]],NA(),CFDTable[[#This Row],[lookupLow]]))</f>
        <v>50</v>
      </c>
      <c r="N61" s="10">
        <f ca="1">IF(ISNUMBER($L61),SUM(CFDTable[[#This Row],[Done]]),IF(CFDTable[[#This Row],[lookupMedian]]&gt;=$X61+Q61,NA(),CFDTable[[#This Row],[lookupMedian]]))</f>
        <v>50</v>
      </c>
      <c r="O61" s="10">
        <f ca="1">IF(ISNUMBER(CFDTable[[#This Row],[Done Today]]),SUM(CFDTable[[#This Row],[Done]]),IF(CFDTable[[#This Row],[lookupHigh]]&gt;=CFDTable[[#This Row],[Target]]+CFDTable[[#This Row],[highDaily]],NA(),CFDTable[[#This Row],[lookupHigh]]))</f>
        <v>50</v>
      </c>
      <c r="P61" s="10">
        <f ca="1">CFDTable[[#This Row],[AvgDaily]]-CFDTable[[#This Row],[Deviation]]</f>
        <v>0.80952380952380953</v>
      </c>
      <c r="Q61" s="10">
        <f ca="1">AVERAGE(IF(ISNUMBER(L61),IF(ISNUMBER(OFFSET(L61,-Historic,0)),OFFSET(L61,-Historic,0),L$2):L61,Q60))</f>
        <v>0.8571428571428571</v>
      </c>
      <c r="R61" s="10">
        <f ca="1">AVERAGE(IF(ISNUMBER(L61),IF(ISNUMBER(OFFSET(L61,-Historic,0)),OFFSET(L61,-Historic,0),L$2):L61,R60))</f>
        <v>0.8571428571428571</v>
      </c>
      <c r="S61" s="10">
        <f ca="1">AVERAGE(IF(ISNUMBER(L61),OFFSET(L$2,DaysToIgnoreOnAvg,0):L61,S60))</f>
        <v>0.82758620689655171</v>
      </c>
      <c r="T61" s="10">
        <f ca="1">CFDTable[[#This Row],[AvgDaily]]+CFDTable[[#This Row],[Deviation]]</f>
        <v>0.90476190476190466</v>
      </c>
      <c r="U61" s="10">
        <f ca="1">IF(ISNUMBER(L61),((_xlfn.PERCENTILE.INC(IF(ISNUMBER(OFFSET(Q61,-Historic,0)),OFFSET(Q61,-Historic,0),Q$2):Q61,PercentileHigh/100))-(MEDIAN(IF(ISNUMBER(OFFSET(Q61,-Historic,0)),OFFSET(Q61,-Historic,0),Q$2):Q61))),U60)</f>
        <v>4.7619047619047561E-2</v>
      </c>
      <c r="V61" s="10">
        <f ca="1">IF(ISNUMBER(L61),((_xlfn.PERCENTILE.INC(Q$2:Q61,PercentileHigh/100))-(MEDIAN(Q$2:Q61))),U60)</f>
        <v>0.1428571428571429</v>
      </c>
      <c r="W61" s="10">
        <f ca="1">IF(ISNUMBER(CFDTable[[#This Row],[Done Today]]),SUM($F61:$K61),$W60)</f>
        <v>101</v>
      </c>
      <c r="X61" s="10">
        <f ca="1">IF(ISNUMBER(CFDTable[[#This Row],[Done Today]]),SUM($F61:$K61),$X60)</f>
        <v>101</v>
      </c>
      <c r="Y61" s="10">
        <f ca="1">SUM(LOOKUP(2,1/(M$1:M60&lt;&gt;""),M$1:M60)+CFDTable[[#This Row],[lowDaily]])</f>
        <v>50.80952380952381</v>
      </c>
      <c r="Z61" s="10">
        <f ca="1">SUM(LOOKUP(2,1/(N$1:N60&lt;&gt;""),N$1:N60)+Q61)</f>
        <v>50.857142857142854</v>
      </c>
      <c r="AA61" s="10">
        <f ca="1">SUM(LOOKUP(2,1/(O$1:O60&lt;&gt;""),O$1:O60)+CFDTable[[#This Row],[highDaily]])</f>
        <v>50.904761904761905</v>
      </c>
      <c r="AB61" s="12">
        <f>IF(CFDTable[[#This Row],[Date]]=DeadlineDate,CFDTable[Future Work],0)</f>
        <v>0</v>
      </c>
    </row>
    <row r="62" spans="1:28">
      <c r="A62" s="8">
        <f>CFDTable[[#This Row],[Date]]</f>
        <v>42495</v>
      </c>
      <c r="B62" s="9">
        <f>Data!B62</f>
        <v>42495</v>
      </c>
      <c r="C62" s="10" t="e">
        <f ca="1">IF(ISNUMBER(CFDTable[[#This Row],[Ready]]),NA(),CFDTable[[#This Row],[Target]]-CFDTable[[#This Row],[To Do]])</f>
        <v>#N/A</v>
      </c>
      <c r="D62" s="10">
        <f ca="1">IF(CFDTable[[#This Row],[Emergence]]&gt;0,CFDTable[[#This Row],[Future Work]]-CFDTable[[#This Row],[Emergence]],NA())</f>
        <v>59</v>
      </c>
      <c r="E62" s="10">
        <f>Data!C62</f>
        <v>43</v>
      </c>
      <c r="F62" s="10">
        <f ca="1">Data!D62</f>
        <v>44</v>
      </c>
      <c r="G62" s="10">
        <f ca="1">IF(TodaysDate&gt;=$B62,Data!E62,NA())</f>
        <v>0</v>
      </c>
      <c r="H62" s="10">
        <f ca="1">IF(TodaysDate&gt;=$B62,Data!F62,NA())</f>
        <v>8</v>
      </c>
      <c r="I62" s="10">
        <f ca="1">IF(TodaysDate&gt;=$B62,Data!G62,NA())</f>
        <v>0</v>
      </c>
      <c r="J62" s="10">
        <f ca="1">IF(TodaysDate&gt;=$B62,Data!H62,NA())</f>
        <v>0</v>
      </c>
      <c r="K62" s="10">
        <f ca="1">IF(TodaysDate&gt;=$B62,Data!I62,NA())</f>
        <v>50</v>
      </c>
      <c r="L62" s="10">
        <f ca="1">IF(CFDTable[[#This Row],[Done]]&gt;0,(CFDTable[[#This Row],[Done]])-(K61),0)</f>
        <v>0</v>
      </c>
      <c r="M62" s="10">
        <f ca="1">IF(ISNUMBER($L62),SUM(CFDTable[[#This Row],[Done]]),IF(CFDTable[[#This Row],[lookupLow]]&gt;=CFDTable[[#This Row],[Target]]+CFDTable[[#This Row],[lowDaily]],NA(),CFDTable[[#This Row],[lookupLow]]))</f>
        <v>50</v>
      </c>
      <c r="N62" s="10">
        <f ca="1">IF(ISNUMBER($L62),SUM(CFDTable[[#This Row],[Done]]),IF(CFDTable[[#This Row],[lookupMedian]]&gt;=$X62+Q62,NA(),CFDTable[[#This Row],[lookupMedian]]))</f>
        <v>50</v>
      </c>
      <c r="O62" s="10">
        <f ca="1">IF(ISNUMBER(CFDTable[[#This Row],[Done Today]]),SUM(CFDTable[[#This Row],[Done]]),IF(CFDTable[[#This Row],[lookupHigh]]&gt;=CFDTable[[#This Row],[Target]]+CFDTable[[#This Row],[highDaily]],NA(),CFDTable[[#This Row],[lookupHigh]]))</f>
        <v>50</v>
      </c>
      <c r="P62" s="10">
        <f ca="1">CFDTable[[#This Row],[AvgDaily]]-CFDTable[[#This Row],[Deviation]]</f>
        <v>0.80952380952380953</v>
      </c>
      <c r="Q62" s="10">
        <f ca="1">AVERAGE(IF(ISNUMBER(L62),IF(ISNUMBER(OFFSET(L62,-Historic,0)),OFFSET(L62,-Historic,0),L$2):L62,Q61))</f>
        <v>0.8571428571428571</v>
      </c>
      <c r="R62" s="10">
        <f ca="1">AVERAGE(IF(ISNUMBER(L62),IF(ISNUMBER(OFFSET(L62,-Historic,0)),OFFSET(L62,-Historic,0),L$2):L62,R61))</f>
        <v>0.8571428571428571</v>
      </c>
      <c r="S62" s="10">
        <f ca="1">AVERAGE(IF(ISNUMBER(L62),OFFSET(L$2,DaysToIgnoreOnAvg,0):L62,S61))</f>
        <v>0.81355932203389836</v>
      </c>
      <c r="T62" s="10">
        <f ca="1">CFDTable[[#This Row],[AvgDaily]]+CFDTable[[#This Row],[Deviation]]</f>
        <v>0.90476190476190466</v>
      </c>
      <c r="U62" s="10">
        <f ca="1">IF(ISNUMBER(L62),((_xlfn.PERCENTILE.INC(IF(ISNUMBER(OFFSET(Q62,-Historic,0)),OFFSET(Q62,-Historic,0),Q$2):Q62,PercentileHigh/100))-(MEDIAN(IF(ISNUMBER(OFFSET(Q62,-Historic,0)),OFFSET(Q62,-Historic,0),Q$2):Q62))),U61)</f>
        <v>4.7619047619047561E-2</v>
      </c>
      <c r="V62" s="10">
        <f ca="1">IF(ISNUMBER(L62),((_xlfn.PERCENTILE.INC(Q$2:Q62,PercentileHigh/100))-(MEDIAN(Q$2:Q62))),U61)</f>
        <v>0.1428571428571429</v>
      </c>
      <c r="W62" s="10">
        <f ca="1">IF(ISNUMBER(CFDTable[[#This Row],[Done Today]]),SUM($F62:$K62),$W61)</f>
        <v>102</v>
      </c>
      <c r="X62" s="10">
        <f ca="1">IF(ISNUMBER(CFDTable[[#This Row],[Done Today]]),SUM($F62:$K62),$X61)</f>
        <v>102</v>
      </c>
      <c r="Y62" s="10">
        <f ca="1">SUM(LOOKUP(2,1/(M$1:M61&lt;&gt;""),M$1:M61)+CFDTable[[#This Row],[lowDaily]])</f>
        <v>50.80952380952381</v>
      </c>
      <c r="Z62" s="10">
        <f ca="1">SUM(LOOKUP(2,1/(N$1:N61&lt;&gt;""),N$1:N61)+Q62)</f>
        <v>50.857142857142854</v>
      </c>
      <c r="AA62" s="10">
        <f ca="1">SUM(LOOKUP(2,1/(O$1:O61&lt;&gt;""),O$1:O61)+CFDTable[[#This Row],[highDaily]])</f>
        <v>50.904761904761905</v>
      </c>
      <c r="AB62" s="12">
        <f>IF(CFDTable[[#This Row],[Date]]=DeadlineDate,CFDTable[Future Work],0)</f>
        <v>0</v>
      </c>
    </row>
    <row r="63" spans="1:28">
      <c r="A63" s="8">
        <f>CFDTable[[#This Row],[Date]]</f>
        <v>42496</v>
      </c>
      <c r="B63" s="9">
        <f>Data!B63</f>
        <v>42496</v>
      </c>
      <c r="C63" s="10" t="e">
        <f ca="1">IF(ISNUMBER(CFDTable[[#This Row],[Ready]]),NA(),CFDTable[[#This Row],[Target]]-CFDTable[[#This Row],[To Do]])</f>
        <v>#N/A</v>
      </c>
      <c r="D63" s="10">
        <f ca="1">IF(CFDTable[[#This Row],[Emergence]]&gt;0,CFDTable[[#This Row],[Future Work]]-CFDTable[[#This Row],[Emergence]],NA())</f>
        <v>59</v>
      </c>
      <c r="E63" s="10">
        <f>Data!C63</f>
        <v>43</v>
      </c>
      <c r="F63" s="10">
        <f ca="1">Data!D63</f>
        <v>44</v>
      </c>
      <c r="G63" s="10">
        <f ca="1">IF(TodaysDate&gt;=$B63,Data!E63,NA())</f>
        <v>0</v>
      </c>
      <c r="H63" s="10">
        <f ca="1">IF(TodaysDate&gt;=$B63,Data!F63,NA())</f>
        <v>4</v>
      </c>
      <c r="I63" s="10">
        <f ca="1">IF(TodaysDate&gt;=$B63,Data!G63,NA())</f>
        <v>0</v>
      </c>
      <c r="J63" s="10">
        <f ca="1">IF(TodaysDate&gt;=$B63,Data!H63,NA())</f>
        <v>0</v>
      </c>
      <c r="K63" s="10">
        <f ca="1">IF(TodaysDate&gt;=$B63,Data!I63,NA())</f>
        <v>54</v>
      </c>
      <c r="L63" s="10">
        <f ca="1">IF(CFDTable[[#This Row],[Done]]&gt;0,(CFDTable[[#This Row],[Done]])-(K62),0)</f>
        <v>4</v>
      </c>
      <c r="M63" s="10">
        <f ca="1">IF(ISNUMBER($L63),SUM(CFDTable[[#This Row],[Done]]),IF(CFDTable[[#This Row],[lookupLow]]&gt;=CFDTable[[#This Row],[Target]]+CFDTable[[#This Row],[lowDaily]],NA(),CFDTable[[#This Row],[lookupLow]]))</f>
        <v>54</v>
      </c>
      <c r="N63" s="10">
        <f ca="1">IF(ISNUMBER($L63),SUM(CFDTable[[#This Row],[Done]]),IF(CFDTable[[#This Row],[lookupMedian]]&gt;=$X63+Q63,NA(),CFDTable[[#This Row],[lookupMedian]]))</f>
        <v>54</v>
      </c>
      <c r="O63" s="10">
        <f ca="1">IF(ISNUMBER(CFDTable[[#This Row],[Done Today]]),SUM(CFDTable[[#This Row],[Done]]),IF(CFDTable[[#This Row],[lookupHigh]]&gt;=CFDTable[[#This Row],[Target]]+CFDTable[[#This Row],[highDaily]],NA(),CFDTable[[#This Row],[lookupHigh]]))</f>
        <v>54</v>
      </c>
      <c r="P63" s="10">
        <f ca="1">CFDTable[[#This Row],[AvgDaily]]-CFDTable[[#This Row],[Deviation]]</f>
        <v>0.90476190476190477</v>
      </c>
      <c r="Q63" s="10">
        <f ca="1">AVERAGE(IF(ISNUMBER(L63),IF(ISNUMBER(OFFSET(L63,-Historic,0)),OFFSET(L63,-Historic,0),L$2):L63,Q62))</f>
        <v>0.95238095238095233</v>
      </c>
      <c r="R63" s="10">
        <f ca="1">AVERAGE(IF(ISNUMBER(L63),IF(ISNUMBER(OFFSET(L63,-Historic,0)),OFFSET(L63,-Historic,0),L$2):L63,R62))</f>
        <v>0.95238095238095233</v>
      </c>
      <c r="S63" s="10">
        <f ca="1">AVERAGE(IF(ISNUMBER(L63),OFFSET(L$2,DaysToIgnoreOnAvg,0):L63,S62))</f>
        <v>0.8666666666666667</v>
      </c>
      <c r="T63" s="10">
        <f ca="1">CFDTable[[#This Row],[AvgDaily]]+CFDTable[[#This Row],[Deviation]]</f>
        <v>0.99999999999999989</v>
      </c>
      <c r="U63" s="10">
        <f ca="1">IF(ISNUMBER(L63),((_xlfn.PERCENTILE.INC(IF(ISNUMBER(OFFSET(Q63,-Historic,0)),OFFSET(Q63,-Historic,0),Q$2):Q63,PercentileHigh/100))-(MEDIAN(IF(ISNUMBER(OFFSET(Q63,-Historic,0)),OFFSET(Q63,-Historic,0),Q$2):Q63))),U62)</f>
        <v>4.7619047619047561E-2</v>
      </c>
      <c r="V63" s="10">
        <f ca="1">IF(ISNUMBER(L63),((_xlfn.PERCENTILE.INC(Q$2:Q63,PercentileHigh/100))-(MEDIAN(Q$2:Q63))),U62)</f>
        <v>0.13571428571428579</v>
      </c>
      <c r="W63" s="10">
        <f ca="1">IF(ISNUMBER(CFDTable[[#This Row],[Done Today]]),SUM($F63:$K63),$W62)</f>
        <v>102</v>
      </c>
      <c r="X63" s="10">
        <f ca="1">IF(ISNUMBER(CFDTable[[#This Row],[Done Today]]),SUM($F63:$K63),$X62)</f>
        <v>102</v>
      </c>
      <c r="Y63" s="10">
        <f ca="1">SUM(LOOKUP(2,1/(M$1:M62&lt;&gt;""),M$1:M62)+CFDTable[[#This Row],[lowDaily]])</f>
        <v>50.904761904761905</v>
      </c>
      <c r="Z63" s="10">
        <f ca="1">SUM(LOOKUP(2,1/(N$1:N62&lt;&gt;""),N$1:N62)+Q63)</f>
        <v>50.952380952380949</v>
      </c>
      <c r="AA63" s="10">
        <f ca="1">SUM(LOOKUP(2,1/(O$1:O62&lt;&gt;""),O$1:O62)+CFDTable[[#This Row],[highDaily]])</f>
        <v>51</v>
      </c>
      <c r="AB63" s="12">
        <f>IF(CFDTable[[#This Row],[Date]]=DeadlineDate,CFDTable[Future Work],0)</f>
        <v>0</v>
      </c>
    </row>
    <row r="64" spans="1:28">
      <c r="A64" s="8">
        <f>CFDTable[[#This Row],[Date]]</f>
        <v>42499</v>
      </c>
      <c r="B64" s="9">
        <f>Data!B64</f>
        <v>42499</v>
      </c>
      <c r="C64" s="10" t="e">
        <f ca="1">IF(ISNUMBER(CFDTable[[#This Row],[Ready]]),NA(),CFDTable[[#This Row],[Target]]-CFDTable[[#This Row],[To Do]])</f>
        <v>#N/A</v>
      </c>
      <c r="D64" s="10">
        <f ca="1">IF(CFDTable[[#This Row],[Emergence]]&gt;0,CFDTable[[#This Row],[Future Work]]-CFDTable[[#This Row],[Emergence]],NA())</f>
        <v>64</v>
      </c>
      <c r="E64" s="10">
        <f>Data!C64</f>
        <v>43</v>
      </c>
      <c r="F64" s="10">
        <f ca="1">Data!D64</f>
        <v>49</v>
      </c>
      <c r="G64" s="10">
        <f ca="1">IF(TodaysDate&gt;=$B64,Data!E64,NA())</f>
        <v>0</v>
      </c>
      <c r="H64" s="10">
        <f ca="1">IF(TodaysDate&gt;=$B64,Data!F64,NA())</f>
        <v>2</v>
      </c>
      <c r="I64" s="10">
        <f ca="1">IF(TodaysDate&gt;=$B64,Data!G64,NA())</f>
        <v>0</v>
      </c>
      <c r="J64" s="10">
        <f ca="1">IF(TodaysDate&gt;=$B64,Data!H64,NA())</f>
        <v>0</v>
      </c>
      <c r="K64" s="10">
        <f ca="1">IF(TodaysDate&gt;=$B64,Data!I64,NA())</f>
        <v>56</v>
      </c>
      <c r="L64" s="10">
        <f ca="1">IF(CFDTable[[#This Row],[Done]]&gt;0,(CFDTable[[#This Row],[Done]])-(K63),0)</f>
        <v>2</v>
      </c>
      <c r="M64" s="10">
        <f ca="1">IF(ISNUMBER($L64),SUM(CFDTable[[#This Row],[Done]]),IF(CFDTable[[#This Row],[lookupLow]]&gt;=CFDTable[[#This Row],[Target]]+CFDTable[[#This Row],[lowDaily]],NA(),CFDTable[[#This Row],[lookupLow]]))</f>
        <v>56</v>
      </c>
      <c r="N64" s="10">
        <f ca="1">IF(ISNUMBER($L64),SUM(CFDTable[[#This Row],[Done]]),IF(CFDTable[[#This Row],[lookupMedian]]&gt;=$X64+Q64,NA(),CFDTable[[#This Row],[lookupMedian]]))</f>
        <v>56</v>
      </c>
      <c r="O64" s="10">
        <f ca="1">IF(ISNUMBER(CFDTable[[#This Row],[Done Today]]),SUM(CFDTable[[#This Row],[Done]]),IF(CFDTable[[#This Row],[lookupHigh]]&gt;=CFDTable[[#This Row],[Target]]+CFDTable[[#This Row],[highDaily]],NA(),CFDTable[[#This Row],[lookupHigh]]))</f>
        <v>56</v>
      </c>
      <c r="P64" s="10">
        <f ca="1">CFDTable[[#This Row],[AvgDaily]]-CFDTable[[#This Row],[Deviation]]</f>
        <v>0.95238095238095244</v>
      </c>
      <c r="Q64" s="10">
        <f ca="1">AVERAGE(IF(ISNUMBER(L64),IF(ISNUMBER(OFFSET(L64,-Historic,0)),OFFSET(L64,-Historic,0),L$2):L64,Q63))</f>
        <v>1.0476190476190477</v>
      </c>
      <c r="R64" s="10">
        <f ca="1">AVERAGE(IF(ISNUMBER(L64),IF(ISNUMBER(OFFSET(L64,-Historic,0)),OFFSET(L64,-Historic,0),L$2):L64,R63))</f>
        <v>1.0476190476190477</v>
      </c>
      <c r="S64" s="10">
        <f ca="1">AVERAGE(IF(ISNUMBER(L64),OFFSET(L$2,DaysToIgnoreOnAvg,0):L64,S63))</f>
        <v>0.88524590163934425</v>
      </c>
      <c r="T64" s="10">
        <f ca="1">CFDTable[[#This Row],[AvgDaily]]+CFDTable[[#This Row],[Deviation]]</f>
        <v>1.1428571428571428</v>
      </c>
      <c r="U64" s="10">
        <f ca="1">IF(ISNUMBER(L64),((_xlfn.PERCENTILE.INC(IF(ISNUMBER(OFFSET(Q64,-Historic,0)),OFFSET(Q64,-Historic,0),Q$2):Q64,PercentileHigh/100))-(MEDIAN(IF(ISNUMBER(OFFSET(Q64,-Historic,0)),OFFSET(Q64,-Historic,0),Q$2):Q64))),U63)</f>
        <v>9.5238095238095233E-2</v>
      </c>
      <c r="V64" s="10">
        <f ca="1">IF(ISNUMBER(L64),((_xlfn.PERCENTILE.INC(Q$2:Q64,PercentileHigh/100))-(MEDIAN(Q$2:Q64))),U63)</f>
        <v>0.1428571428571429</v>
      </c>
      <c r="W64" s="10">
        <f ca="1">IF(ISNUMBER(CFDTable[[#This Row],[Done Today]]),SUM($F64:$K64),$W63)</f>
        <v>107</v>
      </c>
      <c r="X64" s="10">
        <f ca="1">IF(ISNUMBER(CFDTable[[#This Row],[Done Today]]),SUM($F64:$K64),$X63)</f>
        <v>107</v>
      </c>
      <c r="Y64" s="10">
        <f ca="1">SUM(LOOKUP(2,1/(M$1:M63&lt;&gt;""),M$1:M63)+CFDTable[[#This Row],[lowDaily]])</f>
        <v>54.952380952380949</v>
      </c>
      <c r="Z64" s="10">
        <f ca="1">SUM(LOOKUP(2,1/(N$1:N63&lt;&gt;""),N$1:N63)+Q64)</f>
        <v>55.047619047619051</v>
      </c>
      <c r="AA64" s="10">
        <f ca="1">SUM(LOOKUP(2,1/(O$1:O63&lt;&gt;""),O$1:O63)+CFDTable[[#This Row],[highDaily]])</f>
        <v>55.142857142857146</v>
      </c>
      <c r="AB64" s="12">
        <f>IF(CFDTable[[#This Row],[Date]]=DeadlineDate,CFDTable[Future Work],0)</f>
        <v>0</v>
      </c>
    </row>
    <row r="65" spans="1:28">
      <c r="A65" s="8">
        <f>CFDTable[[#This Row],[Date]]</f>
        <v>42500</v>
      </c>
      <c r="B65" s="9">
        <f>Data!B65</f>
        <v>42500</v>
      </c>
      <c r="C65" s="10" t="e">
        <f ca="1">IF(ISNUMBER(CFDTable[[#This Row],[Ready]]),NA(),CFDTable[[#This Row],[Target]]-CFDTable[[#This Row],[To Do]])</f>
        <v>#N/A</v>
      </c>
      <c r="D65" s="10">
        <f ca="1">IF(CFDTable[[#This Row],[Emergence]]&gt;0,CFDTable[[#This Row],[Future Work]]-CFDTable[[#This Row],[Emergence]],NA())</f>
        <v>66</v>
      </c>
      <c r="E65" s="10">
        <f>Data!C65</f>
        <v>43</v>
      </c>
      <c r="F65" s="10">
        <f ca="1">Data!D65</f>
        <v>48</v>
      </c>
      <c r="G65" s="10">
        <f ca="1">IF(TodaysDate&gt;=$B65,Data!E65,NA())</f>
        <v>0</v>
      </c>
      <c r="H65" s="10">
        <f ca="1">IF(TodaysDate&gt;=$B65,Data!F65,NA())</f>
        <v>5</v>
      </c>
      <c r="I65" s="10">
        <f ca="1">IF(TodaysDate&gt;=$B65,Data!G65,NA())</f>
        <v>0</v>
      </c>
      <c r="J65" s="10">
        <f ca="1">IF(TodaysDate&gt;=$B65,Data!H65,NA())</f>
        <v>0</v>
      </c>
      <c r="K65" s="10">
        <f ca="1">IF(TodaysDate&gt;=$B65,Data!I65,NA())</f>
        <v>56</v>
      </c>
      <c r="L65" s="10">
        <f ca="1">IF(CFDTable[[#This Row],[Done]]&gt;0,(CFDTable[[#This Row],[Done]])-(K64),0)</f>
        <v>0</v>
      </c>
      <c r="M65" s="10">
        <f ca="1">IF(ISNUMBER($L65),SUM(CFDTable[[#This Row],[Done]]),IF(CFDTable[[#This Row],[lookupLow]]&gt;=CFDTable[[#This Row],[Target]]+CFDTable[[#This Row],[lowDaily]],NA(),CFDTable[[#This Row],[lookupLow]]))</f>
        <v>56</v>
      </c>
      <c r="N65" s="10">
        <f ca="1">IF(ISNUMBER($L65),SUM(CFDTable[[#This Row],[Done]]),IF(CFDTable[[#This Row],[lookupMedian]]&gt;=$X65+Q65,NA(),CFDTable[[#This Row],[lookupMedian]]))</f>
        <v>56</v>
      </c>
      <c r="O65" s="10">
        <f ca="1">IF(ISNUMBER(CFDTable[[#This Row],[Done Today]]),SUM(CFDTable[[#This Row],[Done]]),IF(CFDTable[[#This Row],[lookupHigh]]&gt;=CFDTable[[#This Row],[Target]]+CFDTable[[#This Row],[highDaily]],NA(),CFDTable[[#This Row],[lookupHigh]]))</f>
        <v>56</v>
      </c>
      <c r="P65" s="10">
        <f ca="1">CFDTable[[#This Row],[AvgDaily]]-CFDTable[[#This Row],[Deviation]]</f>
        <v>0.90476190476190477</v>
      </c>
      <c r="Q65" s="10">
        <f ca="1">AVERAGE(IF(ISNUMBER(L65),IF(ISNUMBER(OFFSET(L65,-Historic,0)),OFFSET(L65,-Historic,0),L$2):L65,Q64))</f>
        <v>1.0476190476190477</v>
      </c>
      <c r="R65" s="10">
        <f ca="1">AVERAGE(IF(ISNUMBER(L65),IF(ISNUMBER(OFFSET(L65,-Historic,0)),OFFSET(L65,-Historic,0),L$2):L65,R64))</f>
        <v>1.0476190476190477</v>
      </c>
      <c r="S65" s="10">
        <f ca="1">AVERAGE(IF(ISNUMBER(L65),OFFSET(L$2,DaysToIgnoreOnAvg,0):L65,S64))</f>
        <v>0.87096774193548387</v>
      </c>
      <c r="T65" s="10">
        <f ca="1">CFDTable[[#This Row],[AvgDaily]]+CFDTable[[#This Row],[Deviation]]</f>
        <v>1.1904761904761907</v>
      </c>
      <c r="U65" s="10">
        <f ca="1">IF(ISNUMBER(L65),((_xlfn.PERCENTILE.INC(IF(ISNUMBER(OFFSET(Q65,-Historic,0)),OFFSET(Q65,-Historic,0),Q$2):Q65,PercentileHigh/100))-(MEDIAN(IF(ISNUMBER(OFFSET(Q65,-Historic,0)),OFFSET(Q65,-Historic,0),Q$2):Q65))),U64)</f>
        <v>0.1428571428571429</v>
      </c>
      <c r="V65" s="10">
        <f ca="1">IF(ISNUMBER(L65),((_xlfn.PERCENTILE.INC(Q$2:Q65,PercentileHigh/100))-(MEDIAN(Q$2:Q65))),U64)</f>
        <v>0.1428571428571429</v>
      </c>
      <c r="W65" s="10">
        <f ca="1">IF(ISNUMBER(CFDTable[[#This Row],[Done Today]]),SUM($F65:$K65),$W64)</f>
        <v>109</v>
      </c>
      <c r="X65" s="10">
        <f ca="1">IF(ISNUMBER(CFDTable[[#This Row],[Done Today]]),SUM($F65:$K65),$X64)</f>
        <v>109</v>
      </c>
      <c r="Y65" s="10">
        <f ca="1">SUM(LOOKUP(2,1/(M$1:M64&lt;&gt;""),M$1:M64)+CFDTable[[#This Row],[lowDaily]])</f>
        <v>56.904761904761905</v>
      </c>
      <c r="Z65" s="10">
        <f ca="1">SUM(LOOKUP(2,1/(N$1:N64&lt;&gt;""),N$1:N64)+Q65)</f>
        <v>57.047619047619051</v>
      </c>
      <c r="AA65" s="10">
        <f ca="1">SUM(LOOKUP(2,1/(O$1:O64&lt;&gt;""),O$1:O64)+CFDTable[[#This Row],[highDaily]])</f>
        <v>57.19047619047619</v>
      </c>
      <c r="AB65" s="12">
        <f>IF(CFDTable[[#This Row],[Date]]=DeadlineDate,CFDTable[Future Work],0)</f>
        <v>0</v>
      </c>
    </row>
    <row r="66" spans="1:28">
      <c r="A66" s="8">
        <f>CFDTable[[#This Row],[Date]]</f>
        <v>42501</v>
      </c>
      <c r="B66" s="9">
        <f>Data!B66</f>
        <v>42501</v>
      </c>
      <c r="C66" s="10" t="e">
        <f ca="1">IF(ISNUMBER(CFDTable[[#This Row],[Ready]]),NA(),CFDTable[[#This Row],[Target]]-CFDTable[[#This Row],[To Do]])</f>
        <v>#N/A</v>
      </c>
      <c r="D66" s="10">
        <f ca="1">IF(CFDTable[[#This Row],[Emergence]]&gt;0,CFDTable[[#This Row],[Future Work]]-CFDTable[[#This Row],[Emergence]],NA())</f>
        <v>69</v>
      </c>
      <c r="E66" s="10">
        <f>Data!C66</f>
        <v>43</v>
      </c>
      <c r="F66" s="10">
        <f ca="1">Data!D66</f>
        <v>47</v>
      </c>
      <c r="G66" s="10">
        <f ca="1">IF(TodaysDate&gt;=$B66,Data!E66,NA())</f>
        <v>0</v>
      </c>
      <c r="H66" s="10">
        <f ca="1">IF(TodaysDate&gt;=$B66,Data!F66,NA())</f>
        <v>6</v>
      </c>
      <c r="I66" s="10">
        <f ca="1">IF(TodaysDate&gt;=$B66,Data!G66,NA())</f>
        <v>0</v>
      </c>
      <c r="J66" s="10">
        <f ca="1">IF(TodaysDate&gt;=$B66,Data!H66,NA())</f>
        <v>0</v>
      </c>
      <c r="K66" s="10">
        <f ca="1">IF(TodaysDate&gt;=$B66,Data!I66,NA())</f>
        <v>59</v>
      </c>
      <c r="L66" s="10">
        <f ca="1">IF(CFDTable[[#This Row],[Done]]&gt;0,(CFDTable[[#This Row],[Done]])-(K65),0)</f>
        <v>3</v>
      </c>
      <c r="M66" s="10">
        <f ca="1">IF(ISNUMBER($L66),SUM(CFDTable[[#This Row],[Done]]),IF(CFDTable[[#This Row],[lookupLow]]&gt;=CFDTable[[#This Row],[Target]]+CFDTable[[#This Row],[lowDaily]],NA(),CFDTable[[#This Row],[lookupLow]]))</f>
        <v>59</v>
      </c>
      <c r="N66" s="10">
        <f ca="1">IF(ISNUMBER($L66),SUM(CFDTable[[#This Row],[Done]]),IF(CFDTable[[#This Row],[lookupMedian]]&gt;=$X66+Q66,NA(),CFDTable[[#This Row],[lookupMedian]]))</f>
        <v>59</v>
      </c>
      <c r="O66" s="10">
        <f ca="1">IF(ISNUMBER(CFDTable[[#This Row],[Done Today]]),SUM(CFDTable[[#This Row],[Done]]),IF(CFDTable[[#This Row],[lookupHigh]]&gt;=CFDTable[[#This Row],[Target]]+CFDTable[[#This Row],[highDaily]],NA(),CFDTable[[#This Row],[lookupHigh]]))</f>
        <v>59</v>
      </c>
      <c r="P66" s="10">
        <f ca="1">CFDTable[[#This Row],[AvgDaily]]-CFDTable[[#This Row],[Deviation]]</f>
        <v>1</v>
      </c>
      <c r="Q66" s="10">
        <f ca="1">AVERAGE(IF(ISNUMBER(L66),IF(ISNUMBER(OFFSET(L66,-Historic,0)),OFFSET(L66,-Historic,0),L$2):L66,Q65))</f>
        <v>1.0952380952380953</v>
      </c>
      <c r="R66" s="10">
        <f ca="1">AVERAGE(IF(ISNUMBER(L66),IF(ISNUMBER(OFFSET(L66,-Historic,0)),OFFSET(L66,-Historic,0),L$2):L66,R65))</f>
        <v>1.0952380952380953</v>
      </c>
      <c r="S66" s="10">
        <f ca="1">AVERAGE(IF(ISNUMBER(L66),OFFSET(L$2,DaysToIgnoreOnAvg,0):L66,S65))</f>
        <v>0.90476190476190477</v>
      </c>
      <c r="T66" s="10">
        <f ca="1">CFDTable[[#This Row],[AvgDaily]]+CFDTable[[#This Row],[Deviation]]</f>
        <v>1.1904761904761907</v>
      </c>
      <c r="U66" s="10">
        <f ca="1">IF(ISNUMBER(L66),((_xlfn.PERCENTILE.INC(IF(ISNUMBER(OFFSET(Q66,-Historic,0)),OFFSET(Q66,-Historic,0),Q$2):Q66,PercentileHigh/100))-(MEDIAN(IF(ISNUMBER(OFFSET(Q66,-Historic,0)),OFFSET(Q66,-Historic,0),Q$2):Q66))),U65)</f>
        <v>9.5238095238095344E-2</v>
      </c>
      <c r="V66" s="10">
        <f ca="1">IF(ISNUMBER(L66),((_xlfn.PERCENTILE.INC(Q$2:Q66,PercentileHigh/100))-(MEDIAN(Q$2:Q66))),U65)</f>
        <v>0.1428571428571429</v>
      </c>
      <c r="W66" s="10">
        <f ca="1">IF(ISNUMBER(CFDTable[[#This Row],[Done Today]]),SUM($F66:$K66),$W65)</f>
        <v>112</v>
      </c>
      <c r="X66" s="10">
        <f ca="1">IF(ISNUMBER(CFDTable[[#This Row],[Done Today]]),SUM($F66:$K66),$X65)</f>
        <v>112</v>
      </c>
      <c r="Y66" s="10">
        <f ca="1">SUM(LOOKUP(2,1/(M$1:M65&lt;&gt;""),M$1:M65)+CFDTable[[#This Row],[lowDaily]])</f>
        <v>57</v>
      </c>
      <c r="Z66" s="10">
        <f ca="1">SUM(LOOKUP(2,1/(N$1:N65&lt;&gt;""),N$1:N65)+Q66)</f>
        <v>57.095238095238095</v>
      </c>
      <c r="AA66" s="10">
        <f ca="1">SUM(LOOKUP(2,1/(O$1:O65&lt;&gt;""),O$1:O65)+CFDTable[[#This Row],[highDaily]])</f>
        <v>57.19047619047619</v>
      </c>
      <c r="AB66" s="12">
        <f>IF(CFDTable[[#This Row],[Date]]=DeadlineDate,CFDTable[Future Work],0)</f>
        <v>0</v>
      </c>
    </row>
    <row r="67" spans="1:28">
      <c r="A67" s="8">
        <f>CFDTable[[#This Row],[Date]]</f>
        <v>42502</v>
      </c>
      <c r="B67" s="9">
        <f>Data!B67</f>
        <v>42502</v>
      </c>
      <c r="C67" s="10" t="e">
        <f ca="1">IF(ISNUMBER(CFDTable[[#This Row],[Ready]]),NA(),CFDTable[[#This Row],[Target]]-CFDTable[[#This Row],[To Do]])</f>
        <v>#N/A</v>
      </c>
      <c r="D67" s="10">
        <f ca="1">IF(CFDTable[[#This Row],[Emergence]]&gt;0,CFDTable[[#This Row],[Future Work]]-CFDTable[[#This Row],[Emergence]],NA())</f>
        <v>70</v>
      </c>
      <c r="E67" s="10">
        <f>Data!C67</f>
        <v>43</v>
      </c>
      <c r="F67" s="10">
        <f ca="1">Data!D67</f>
        <v>47</v>
      </c>
      <c r="G67" s="10">
        <f ca="1">IF(TodaysDate&gt;=$B67,Data!E67,NA())</f>
        <v>0</v>
      </c>
      <c r="H67" s="10">
        <f ca="1">IF(TodaysDate&gt;=$B67,Data!F67,NA())</f>
        <v>6</v>
      </c>
      <c r="I67" s="10">
        <f ca="1">IF(TodaysDate&gt;=$B67,Data!G67,NA())</f>
        <v>0</v>
      </c>
      <c r="J67" s="10">
        <f ca="1">IF(TodaysDate&gt;=$B67,Data!H67,NA())</f>
        <v>0</v>
      </c>
      <c r="K67" s="10">
        <f ca="1">IF(TodaysDate&gt;=$B67,Data!I67,NA())</f>
        <v>60</v>
      </c>
      <c r="L67" s="10">
        <f ca="1">IF(CFDTable[[#This Row],[Done]]&gt;0,(CFDTable[[#This Row],[Done]])-(K66),0)</f>
        <v>1</v>
      </c>
      <c r="M67" s="10">
        <f ca="1">IF(ISNUMBER($L67),SUM(CFDTable[[#This Row],[Done]]),IF(CFDTable[[#This Row],[lookupLow]]&gt;=CFDTable[[#This Row],[Target]]+CFDTable[[#This Row],[lowDaily]],NA(),CFDTable[[#This Row],[lookupLow]]))</f>
        <v>60</v>
      </c>
      <c r="N67" s="10">
        <f ca="1">IF(ISNUMBER($L67),SUM(CFDTable[[#This Row],[Done]]),IF(CFDTable[[#This Row],[lookupMedian]]&gt;=$X67+Q67,NA(),CFDTable[[#This Row],[lookupMedian]]))</f>
        <v>60</v>
      </c>
      <c r="O67" s="10">
        <f ca="1">IF(ISNUMBER(CFDTable[[#This Row],[Done Today]]),SUM(CFDTable[[#This Row],[Done]]),IF(CFDTable[[#This Row],[lookupHigh]]&gt;=CFDTable[[#This Row],[Target]]+CFDTable[[#This Row],[highDaily]],NA(),CFDTable[[#This Row],[lookupHigh]]))</f>
        <v>60</v>
      </c>
      <c r="P67" s="10">
        <f ca="1">CFDTable[[#This Row],[AvgDaily]]-CFDTable[[#This Row],[Deviation]]</f>
        <v>1.0476190476190474</v>
      </c>
      <c r="Q67" s="10">
        <f ca="1">AVERAGE(IF(ISNUMBER(L67),IF(ISNUMBER(OFFSET(L67,-Historic,0)),OFFSET(L67,-Historic,0),L$2):L67,Q66))</f>
        <v>1.1428571428571428</v>
      </c>
      <c r="R67" s="10">
        <f ca="1">AVERAGE(IF(ISNUMBER(L67),IF(ISNUMBER(OFFSET(L67,-Historic,0)),OFFSET(L67,-Historic,0),L$2):L67,R66))</f>
        <v>1.1428571428571428</v>
      </c>
      <c r="S67" s="10">
        <f ca="1">AVERAGE(IF(ISNUMBER(L67),OFFSET(L$2,DaysToIgnoreOnAvg,0):L67,S66))</f>
        <v>0.90625</v>
      </c>
      <c r="T67" s="10">
        <f ca="1">CFDTable[[#This Row],[AvgDaily]]+CFDTable[[#This Row],[Deviation]]</f>
        <v>1.2380952380952381</v>
      </c>
      <c r="U67" s="10">
        <f ca="1">IF(ISNUMBER(L67),((_xlfn.PERCENTILE.INC(IF(ISNUMBER(OFFSET(Q67,-Historic,0)),OFFSET(Q67,-Historic,0),Q$2):Q67,PercentileHigh/100))-(MEDIAN(IF(ISNUMBER(OFFSET(Q67,-Historic,0)),OFFSET(Q67,-Historic,0),Q$2):Q67))),U66)</f>
        <v>9.5238095238095344E-2</v>
      </c>
      <c r="V67" s="10">
        <f ca="1">IF(ISNUMBER(L67),((_xlfn.PERCENTILE.INC(Q$2:Q67,PercentileHigh/100))-(MEDIAN(Q$2:Q67))),U66)</f>
        <v>0.15476190476190477</v>
      </c>
      <c r="W67" s="10">
        <f ca="1">IF(ISNUMBER(CFDTable[[#This Row],[Done Today]]),SUM($F67:$K67),$W66)</f>
        <v>113</v>
      </c>
      <c r="X67" s="10">
        <f ca="1">IF(ISNUMBER(CFDTable[[#This Row],[Done Today]]),SUM($F67:$K67),$X66)</f>
        <v>113</v>
      </c>
      <c r="Y67" s="10">
        <f ca="1">SUM(LOOKUP(2,1/(M$1:M66&lt;&gt;""),M$1:M66)+CFDTable[[#This Row],[lowDaily]])</f>
        <v>60.047619047619051</v>
      </c>
      <c r="Z67" s="10">
        <f ca="1">SUM(LOOKUP(2,1/(N$1:N66&lt;&gt;""),N$1:N66)+Q67)</f>
        <v>60.142857142857146</v>
      </c>
      <c r="AA67" s="10">
        <f ca="1">SUM(LOOKUP(2,1/(O$1:O66&lt;&gt;""),O$1:O66)+CFDTable[[#This Row],[highDaily]])</f>
        <v>60.238095238095241</v>
      </c>
      <c r="AB67" s="12">
        <f>IF(CFDTable[[#This Row],[Date]]=DeadlineDate,CFDTable[Future Work],0)</f>
        <v>0</v>
      </c>
    </row>
    <row r="68" spans="1:28">
      <c r="A68" s="8">
        <f>CFDTable[[#This Row],[Date]]</f>
        <v>42503</v>
      </c>
      <c r="B68" s="9">
        <f>Data!B68</f>
        <v>42503</v>
      </c>
      <c r="C68" s="10" t="e">
        <f ca="1">IF(ISNUMBER(CFDTable[[#This Row],[Ready]]),NA(),CFDTable[[#This Row],[Target]]-CFDTable[[#This Row],[To Do]])</f>
        <v>#N/A</v>
      </c>
      <c r="D68" s="10">
        <f ca="1">IF(CFDTable[[#This Row],[Emergence]]&gt;0,CFDTable[[#This Row],[Future Work]]-CFDTable[[#This Row],[Emergence]],NA())</f>
        <v>71</v>
      </c>
      <c r="E68" s="10">
        <f>Data!C68</f>
        <v>43</v>
      </c>
      <c r="F68" s="10">
        <f ca="1">Data!D68</f>
        <v>48</v>
      </c>
      <c r="G68" s="10">
        <f ca="1">IF(TodaysDate&gt;=$B68,Data!E68,NA())</f>
        <v>0</v>
      </c>
      <c r="H68" s="10">
        <f ca="1">IF(TodaysDate&gt;=$B68,Data!F68,NA())</f>
        <v>5</v>
      </c>
      <c r="I68" s="10">
        <f ca="1">IF(TodaysDate&gt;=$B68,Data!G68,NA())</f>
        <v>1</v>
      </c>
      <c r="J68" s="10">
        <f ca="1">IF(TodaysDate&gt;=$B68,Data!H68,NA())</f>
        <v>0</v>
      </c>
      <c r="K68" s="10">
        <f ca="1">IF(TodaysDate&gt;=$B68,Data!I68,NA())</f>
        <v>60</v>
      </c>
      <c r="L68" s="10">
        <f ca="1">IF(CFDTable[[#This Row],[Done]]&gt;0,(CFDTable[[#This Row],[Done]])-(K67),0)</f>
        <v>0</v>
      </c>
      <c r="M68" s="10">
        <f ca="1">IF(ISNUMBER($L68),SUM(CFDTable[[#This Row],[Done]]),IF(CFDTable[[#This Row],[lookupLow]]&gt;=CFDTable[[#This Row],[Target]]+CFDTable[[#This Row],[lowDaily]],NA(),CFDTable[[#This Row],[lookupLow]]))</f>
        <v>60</v>
      </c>
      <c r="N68" s="10">
        <f ca="1">IF(ISNUMBER($L68),SUM(CFDTable[[#This Row],[Done]]),IF(CFDTable[[#This Row],[lookupMedian]]&gt;=$X68+Q68,NA(),CFDTable[[#This Row],[lookupMedian]]))</f>
        <v>60</v>
      </c>
      <c r="O68" s="10">
        <f ca="1">IF(ISNUMBER(CFDTable[[#This Row],[Done Today]]),SUM(CFDTable[[#This Row],[Done]]),IF(CFDTable[[#This Row],[lookupHigh]]&gt;=CFDTable[[#This Row],[Target]]+CFDTable[[#This Row],[highDaily]],NA(),CFDTable[[#This Row],[lookupHigh]]))</f>
        <v>60</v>
      </c>
      <c r="P68" s="10">
        <f ca="1">CFDTable[[#This Row],[AvgDaily]]-CFDTable[[#This Row],[Deviation]]</f>
        <v>1.0476190476190474</v>
      </c>
      <c r="Q68" s="10">
        <f ca="1">AVERAGE(IF(ISNUMBER(L68),IF(ISNUMBER(OFFSET(L68,-Historic,0)),OFFSET(L68,-Historic,0),L$2):L68,Q67))</f>
        <v>1.1428571428571428</v>
      </c>
      <c r="R68" s="10">
        <f ca="1">AVERAGE(IF(ISNUMBER(L68),IF(ISNUMBER(OFFSET(L68,-Historic,0)),OFFSET(L68,-Historic,0),L$2):L68,R67))</f>
        <v>1.1428571428571428</v>
      </c>
      <c r="S68" s="10">
        <f ca="1">AVERAGE(IF(ISNUMBER(L68),OFFSET(L$2,DaysToIgnoreOnAvg,0):L68,S67))</f>
        <v>0.89230769230769236</v>
      </c>
      <c r="T68" s="10">
        <f ca="1">CFDTable[[#This Row],[AvgDaily]]+CFDTable[[#This Row],[Deviation]]</f>
        <v>1.2380952380952381</v>
      </c>
      <c r="U68" s="10">
        <f ca="1">IF(ISNUMBER(L68),((_xlfn.PERCENTILE.INC(IF(ISNUMBER(OFFSET(Q68,-Historic,0)),OFFSET(Q68,-Historic,0),Q$2):Q68,PercentileHigh/100))-(MEDIAN(IF(ISNUMBER(OFFSET(Q68,-Historic,0)),OFFSET(Q68,-Historic,0),Q$2):Q68))),U67)</f>
        <v>9.5238095238095344E-2</v>
      </c>
      <c r="V68" s="10">
        <f ca="1">IF(ISNUMBER(L68),((_xlfn.PERCENTILE.INC(Q$2:Q68,PercentileHigh/100))-(MEDIAN(Q$2:Q68))),U67)</f>
        <v>0.19047619047619058</v>
      </c>
      <c r="W68" s="10">
        <f ca="1">IF(ISNUMBER(CFDTable[[#This Row],[Done Today]]),SUM($F68:$K68),$W67)</f>
        <v>114</v>
      </c>
      <c r="X68" s="10">
        <f ca="1">IF(ISNUMBER(CFDTable[[#This Row],[Done Today]]),SUM($F68:$K68),$X67)</f>
        <v>114</v>
      </c>
      <c r="Y68" s="10">
        <f ca="1">SUM(LOOKUP(2,1/(M$1:M67&lt;&gt;""),M$1:M67)+CFDTable[[#This Row],[lowDaily]])</f>
        <v>61.047619047619051</v>
      </c>
      <c r="Z68" s="10">
        <f ca="1">SUM(LOOKUP(2,1/(N$1:N67&lt;&gt;""),N$1:N67)+Q68)</f>
        <v>61.142857142857146</v>
      </c>
      <c r="AA68" s="10">
        <f ca="1">SUM(LOOKUP(2,1/(O$1:O67&lt;&gt;""),O$1:O67)+CFDTable[[#This Row],[highDaily]])</f>
        <v>61.238095238095241</v>
      </c>
      <c r="AB68" s="12">
        <f>IF(CFDTable[[#This Row],[Date]]=DeadlineDate,CFDTable[Future Work],0)</f>
        <v>0</v>
      </c>
    </row>
    <row r="69" spans="1:28">
      <c r="A69" s="8">
        <f>CFDTable[[#This Row],[Date]]</f>
        <v>42506</v>
      </c>
      <c r="B69" s="9">
        <f>Data!B69</f>
        <v>42506</v>
      </c>
      <c r="C69" s="10" t="e">
        <f ca="1">IF(ISNUMBER(CFDTable[[#This Row],[Ready]]),NA(),CFDTable[[#This Row],[Target]]-CFDTable[[#This Row],[To Do]])</f>
        <v>#N/A</v>
      </c>
      <c r="D69" s="10">
        <f ca="1">IF(CFDTable[[#This Row],[Emergence]]&gt;0,CFDTable[[#This Row],[Future Work]]-CFDTable[[#This Row],[Emergence]],NA())</f>
        <v>72</v>
      </c>
      <c r="E69" s="10">
        <f>Data!C69</f>
        <v>43</v>
      </c>
      <c r="F69" s="10">
        <f ca="1">Data!D69</f>
        <v>47</v>
      </c>
      <c r="G69" s="10">
        <f ca="1">IF(TodaysDate&gt;=$B69,Data!E69,NA())</f>
        <v>0</v>
      </c>
      <c r="H69" s="10">
        <f ca="1">IF(TodaysDate&gt;=$B69,Data!F69,NA())</f>
        <v>6</v>
      </c>
      <c r="I69" s="10">
        <f ca="1">IF(TodaysDate&gt;=$B69,Data!G69,NA())</f>
        <v>2</v>
      </c>
      <c r="J69" s="10">
        <f ca="1">IF(TodaysDate&gt;=$B69,Data!H69,NA())</f>
        <v>0</v>
      </c>
      <c r="K69" s="10">
        <f ca="1">IF(TodaysDate&gt;=$B69,Data!I69,NA())</f>
        <v>60</v>
      </c>
      <c r="L69" s="10">
        <f ca="1">IF(CFDTable[[#This Row],[Done]]&gt;0,(CFDTable[[#This Row],[Done]])-(K68),0)</f>
        <v>0</v>
      </c>
      <c r="M69" s="10">
        <f ca="1">IF(ISNUMBER($L69),SUM(CFDTable[[#This Row],[Done]]),IF(CFDTable[[#This Row],[lookupLow]]&gt;=CFDTable[[#This Row],[Target]]+CFDTable[[#This Row],[lowDaily]],NA(),CFDTable[[#This Row],[lookupLow]]))</f>
        <v>60</v>
      </c>
      <c r="N69" s="10">
        <f ca="1">IF(ISNUMBER($L69),SUM(CFDTable[[#This Row],[Done]]),IF(CFDTable[[#This Row],[lookupMedian]]&gt;=$X69+Q69,NA(),CFDTable[[#This Row],[lookupMedian]]))</f>
        <v>60</v>
      </c>
      <c r="O69" s="10">
        <f ca="1">IF(ISNUMBER(CFDTable[[#This Row],[Done Today]]),SUM(CFDTable[[#This Row],[Done]]),IF(CFDTable[[#This Row],[lookupHigh]]&gt;=CFDTable[[#This Row],[Target]]+CFDTable[[#This Row],[highDaily]],NA(),CFDTable[[#This Row],[lookupHigh]]))</f>
        <v>60</v>
      </c>
      <c r="P69" s="10">
        <f ca="1">CFDTable[[#This Row],[AvgDaily]]-CFDTable[[#This Row],[Deviation]]</f>
        <v>0.99999999999999978</v>
      </c>
      <c r="Q69" s="10">
        <f ca="1">AVERAGE(IF(ISNUMBER(L69),IF(ISNUMBER(OFFSET(L69,-Historic,0)),OFFSET(L69,-Historic,0),L$2):L69,Q68))</f>
        <v>1.1428571428571428</v>
      </c>
      <c r="R69" s="10">
        <f ca="1">AVERAGE(IF(ISNUMBER(L69),IF(ISNUMBER(OFFSET(L69,-Historic,0)),OFFSET(L69,-Historic,0),L$2):L69,R68))</f>
        <v>1.1428571428571428</v>
      </c>
      <c r="S69" s="10">
        <f ca="1">AVERAGE(IF(ISNUMBER(L69),OFFSET(L$2,DaysToIgnoreOnAvg,0):L69,S68))</f>
        <v>0.87878787878787878</v>
      </c>
      <c r="T69" s="10">
        <f ca="1">CFDTable[[#This Row],[AvgDaily]]+CFDTable[[#This Row],[Deviation]]</f>
        <v>1.2857142857142858</v>
      </c>
      <c r="U69" s="10">
        <f ca="1">IF(ISNUMBER(L69),((_xlfn.PERCENTILE.INC(IF(ISNUMBER(OFFSET(Q69,-Historic,0)),OFFSET(Q69,-Historic,0),Q$2):Q69,PercentileHigh/100))-(MEDIAN(IF(ISNUMBER(OFFSET(Q69,-Historic,0)),OFFSET(Q69,-Historic,0),Q$2):Q69))),U68)</f>
        <v>0.14285714285714302</v>
      </c>
      <c r="V69" s="10">
        <f ca="1">IF(ISNUMBER(L69),((_xlfn.PERCENTILE.INC(Q$2:Q69,PercentileHigh/100))-(MEDIAN(Q$2:Q69))),U68)</f>
        <v>0.19047619047619058</v>
      </c>
      <c r="W69" s="10">
        <f ca="1">IF(ISNUMBER(CFDTable[[#This Row],[Done Today]]),SUM($F69:$K69),$W68)</f>
        <v>115</v>
      </c>
      <c r="X69" s="10">
        <f ca="1">IF(ISNUMBER(CFDTable[[#This Row],[Done Today]]),SUM($F69:$K69),$X68)</f>
        <v>115</v>
      </c>
      <c r="Y69" s="10">
        <f ca="1">SUM(LOOKUP(2,1/(M$1:M68&lt;&gt;""),M$1:M68)+CFDTable[[#This Row],[lowDaily]])</f>
        <v>61</v>
      </c>
      <c r="Z69" s="10">
        <f ca="1">SUM(LOOKUP(2,1/(N$1:N68&lt;&gt;""),N$1:N68)+Q69)</f>
        <v>61.142857142857146</v>
      </c>
      <c r="AA69" s="10">
        <f ca="1">SUM(LOOKUP(2,1/(O$1:O68&lt;&gt;""),O$1:O68)+CFDTable[[#This Row],[highDaily]])</f>
        <v>61.285714285714285</v>
      </c>
      <c r="AB69" s="12">
        <f>IF(CFDTable[[#This Row],[Date]]=DeadlineDate,CFDTable[Future Work],0)</f>
        <v>0</v>
      </c>
    </row>
    <row r="70" spans="1:28">
      <c r="A70" s="8">
        <f>CFDTable[[#This Row],[Date]]</f>
        <v>42507</v>
      </c>
      <c r="B70" s="9">
        <f>Data!B70</f>
        <v>42507</v>
      </c>
      <c r="C70" s="10" t="e">
        <f ca="1">IF(ISNUMBER(CFDTable[[#This Row],[Ready]]),NA(),CFDTable[[#This Row],[Target]]-CFDTable[[#This Row],[To Do]])</f>
        <v>#N/A</v>
      </c>
      <c r="D70" s="10">
        <f ca="1">IF(CFDTable[[#This Row],[Emergence]]&gt;0,CFDTable[[#This Row],[Future Work]]-CFDTable[[#This Row],[Emergence]],NA())</f>
        <v>73</v>
      </c>
      <c r="E70" s="10">
        <f>Data!C70</f>
        <v>43</v>
      </c>
      <c r="F70" s="10">
        <f ca="1">Data!D70</f>
        <v>47</v>
      </c>
      <c r="G70" s="10">
        <f ca="1">IF(TodaysDate&gt;=$B70,Data!E70,NA())</f>
        <v>0</v>
      </c>
      <c r="H70" s="10">
        <f ca="1">IF(TodaysDate&gt;=$B70,Data!F70,NA())</f>
        <v>7</v>
      </c>
      <c r="I70" s="10">
        <f ca="1">IF(TodaysDate&gt;=$B70,Data!G70,NA())</f>
        <v>1</v>
      </c>
      <c r="J70" s="10">
        <f ca="1">IF(TodaysDate&gt;=$B70,Data!H70,NA())</f>
        <v>0</v>
      </c>
      <c r="K70" s="10">
        <f ca="1">IF(TodaysDate&gt;=$B70,Data!I70,NA())</f>
        <v>61</v>
      </c>
      <c r="L70" s="10">
        <f ca="1">IF(CFDTable[[#This Row],[Done]]&gt;0,(CFDTable[[#This Row],[Done]])-(K69),0)</f>
        <v>1</v>
      </c>
      <c r="M70" s="10">
        <f ca="1">IF(ISNUMBER($L70),SUM(CFDTable[[#This Row],[Done]]),IF(CFDTable[[#This Row],[lookupLow]]&gt;=CFDTable[[#This Row],[Target]]+CFDTable[[#This Row],[lowDaily]],NA(),CFDTable[[#This Row],[lookupLow]]))</f>
        <v>61</v>
      </c>
      <c r="N70" s="10">
        <f ca="1">IF(ISNUMBER($L70),SUM(CFDTable[[#This Row],[Done]]),IF(CFDTable[[#This Row],[lookupMedian]]&gt;=$X70+Q70,NA(),CFDTable[[#This Row],[lookupMedian]]))</f>
        <v>61</v>
      </c>
      <c r="O70" s="10">
        <f ca="1">IF(ISNUMBER(CFDTable[[#This Row],[Done Today]]),SUM(CFDTable[[#This Row],[Done]]),IF(CFDTable[[#This Row],[lookupHigh]]&gt;=CFDTable[[#This Row],[Target]]+CFDTable[[#This Row],[highDaily]],NA(),CFDTable[[#This Row],[lookupHigh]]))</f>
        <v>61</v>
      </c>
      <c r="P70" s="10">
        <f ca="1">CFDTable[[#This Row],[AvgDaily]]-CFDTable[[#This Row],[Deviation]]</f>
        <v>0.80952380952380931</v>
      </c>
      <c r="Q70" s="10">
        <f ca="1">AVERAGE(IF(ISNUMBER(L70),IF(ISNUMBER(OFFSET(L70,-Historic,0)),OFFSET(L70,-Historic,0),L$2):L70,Q69))</f>
        <v>0.95238095238095233</v>
      </c>
      <c r="R70" s="10">
        <f ca="1">AVERAGE(IF(ISNUMBER(L70),IF(ISNUMBER(OFFSET(L70,-Historic,0)),OFFSET(L70,-Historic,0),L$2):L70,R69))</f>
        <v>0.95238095238095233</v>
      </c>
      <c r="S70" s="10">
        <f ca="1">AVERAGE(IF(ISNUMBER(L70),OFFSET(L$2,DaysToIgnoreOnAvg,0):L70,S69))</f>
        <v>0.88059701492537312</v>
      </c>
      <c r="T70" s="10">
        <f ca="1">CFDTable[[#This Row],[AvgDaily]]+CFDTable[[#This Row],[Deviation]]</f>
        <v>1.0952380952380953</v>
      </c>
      <c r="U70" s="10">
        <f ca="1">IF(ISNUMBER(L70),((_xlfn.PERCENTILE.INC(IF(ISNUMBER(OFFSET(Q70,-Historic,0)),OFFSET(Q70,-Historic,0),Q$2):Q70,PercentileHigh/100))-(MEDIAN(IF(ISNUMBER(OFFSET(Q70,-Historic,0)),OFFSET(Q70,-Historic,0),Q$2):Q70))),U69)</f>
        <v>0.14285714285714302</v>
      </c>
      <c r="V70" s="10">
        <f ca="1">IF(ISNUMBER(L70),((_xlfn.PERCENTILE.INC(Q$2:Q70,PercentileHigh/100))-(MEDIAN(Q$2:Q70))),U69)</f>
        <v>0.19047619047619058</v>
      </c>
      <c r="W70" s="10">
        <f ca="1">IF(ISNUMBER(CFDTable[[#This Row],[Done Today]]),SUM($F70:$K70),$W69)</f>
        <v>116</v>
      </c>
      <c r="X70" s="10">
        <f ca="1">IF(ISNUMBER(CFDTable[[#This Row],[Done Today]]),SUM($F70:$K70),$X69)</f>
        <v>116</v>
      </c>
      <c r="Y70" s="10">
        <f ca="1">SUM(LOOKUP(2,1/(M$1:M69&lt;&gt;""),M$1:M69)+CFDTable[[#This Row],[lowDaily]])</f>
        <v>60.80952380952381</v>
      </c>
      <c r="Z70" s="10">
        <f ca="1">SUM(LOOKUP(2,1/(N$1:N69&lt;&gt;""),N$1:N69)+Q70)</f>
        <v>60.952380952380949</v>
      </c>
      <c r="AA70" s="10">
        <f ca="1">SUM(LOOKUP(2,1/(O$1:O69&lt;&gt;""),O$1:O69)+CFDTable[[#This Row],[highDaily]])</f>
        <v>61.095238095238095</v>
      </c>
      <c r="AB70" s="12">
        <f>IF(CFDTable[[#This Row],[Date]]=DeadlineDate,CFDTable[Future Work],0)</f>
        <v>0</v>
      </c>
    </row>
    <row r="71" spans="1:28">
      <c r="A71" s="8">
        <f>CFDTable[[#This Row],[Date]]</f>
        <v>42508</v>
      </c>
      <c r="B71" s="9">
        <f>Data!B71</f>
        <v>42508</v>
      </c>
      <c r="C71" s="10" t="e">
        <f ca="1">IF(ISNUMBER(CFDTable[[#This Row],[Ready]]),NA(),CFDTable[[#This Row],[Target]]-CFDTable[[#This Row],[To Do]])</f>
        <v>#N/A</v>
      </c>
      <c r="D71" s="10">
        <f ca="1">IF(CFDTable[[#This Row],[Emergence]]&gt;0,CFDTable[[#This Row],[Future Work]]-CFDTable[[#This Row],[Emergence]],NA())</f>
        <v>73</v>
      </c>
      <c r="E71" s="10">
        <f>Data!C71</f>
        <v>43</v>
      </c>
      <c r="F71" s="10">
        <f ca="1">Data!D71</f>
        <v>47</v>
      </c>
      <c r="G71" s="10">
        <f ca="1">IF(TodaysDate&gt;=$B71,Data!E71,NA())</f>
        <v>0</v>
      </c>
      <c r="H71" s="10">
        <f ca="1">IF(TodaysDate&gt;=$B71,Data!F71,NA())</f>
        <v>7</v>
      </c>
      <c r="I71" s="10">
        <f ca="1">IF(TodaysDate&gt;=$B71,Data!G71,NA())</f>
        <v>1</v>
      </c>
      <c r="J71" s="10">
        <f ca="1">IF(TodaysDate&gt;=$B71,Data!H71,NA())</f>
        <v>0</v>
      </c>
      <c r="K71" s="10">
        <f ca="1">IF(TodaysDate&gt;=$B71,Data!I71,NA())</f>
        <v>61</v>
      </c>
      <c r="L71" s="10">
        <f ca="1">IF(CFDTable[[#This Row],[Done]]&gt;0,(CFDTable[[#This Row],[Done]])-(K70),0)</f>
        <v>0</v>
      </c>
      <c r="M71" s="10">
        <f ca="1">IF(ISNUMBER($L71),SUM(CFDTable[[#This Row],[Done]]),IF(CFDTable[[#This Row],[lookupLow]]&gt;=CFDTable[[#This Row],[Target]]+CFDTable[[#This Row],[lowDaily]],NA(),CFDTable[[#This Row],[lookupLow]]))</f>
        <v>61</v>
      </c>
      <c r="N71" s="10">
        <f ca="1">IF(ISNUMBER($L71),SUM(CFDTable[[#This Row],[Done]]),IF(CFDTable[[#This Row],[lookupMedian]]&gt;=$X71+Q71,NA(),CFDTable[[#This Row],[lookupMedian]]))</f>
        <v>61</v>
      </c>
      <c r="O71" s="10">
        <f ca="1">IF(ISNUMBER(CFDTable[[#This Row],[Done Today]]),SUM(CFDTable[[#This Row],[Done]]),IF(CFDTable[[#This Row],[lookupHigh]]&gt;=CFDTable[[#This Row],[Target]]+CFDTable[[#This Row],[highDaily]],NA(),CFDTable[[#This Row],[lookupHigh]]))</f>
        <v>61</v>
      </c>
      <c r="P71" s="10">
        <f ca="1">CFDTable[[#This Row],[AvgDaily]]-CFDTable[[#This Row],[Deviation]]</f>
        <v>0.80952380952380931</v>
      </c>
      <c r="Q71" s="10">
        <f ca="1">AVERAGE(IF(ISNUMBER(L71),IF(ISNUMBER(OFFSET(L71,-Historic,0)),OFFSET(L71,-Historic,0),L$2):L71,Q70))</f>
        <v>0.95238095238095233</v>
      </c>
      <c r="R71" s="10">
        <f ca="1">AVERAGE(IF(ISNUMBER(L71),IF(ISNUMBER(OFFSET(L71,-Historic,0)),OFFSET(L71,-Historic,0),L$2):L71,R70))</f>
        <v>0.95238095238095233</v>
      </c>
      <c r="S71" s="10">
        <f ca="1">AVERAGE(IF(ISNUMBER(L71),OFFSET(L$2,DaysToIgnoreOnAvg,0):L71,S70))</f>
        <v>0.86764705882352944</v>
      </c>
      <c r="T71" s="10">
        <f ca="1">CFDTable[[#This Row],[AvgDaily]]+CFDTable[[#This Row],[Deviation]]</f>
        <v>1.0952380952380953</v>
      </c>
      <c r="U71" s="10">
        <f ca="1">IF(ISNUMBER(L71),((_xlfn.PERCENTILE.INC(IF(ISNUMBER(OFFSET(Q71,-Historic,0)),OFFSET(Q71,-Historic,0),Q$2):Q71,PercentileHigh/100))-(MEDIAN(IF(ISNUMBER(OFFSET(Q71,-Historic,0)),OFFSET(Q71,-Historic,0),Q$2):Q71))),U70)</f>
        <v>0.14285714285714302</v>
      </c>
      <c r="V71" s="10">
        <f ca="1">IF(ISNUMBER(L71),((_xlfn.PERCENTILE.INC(Q$2:Q71,PercentileHigh/100))-(MEDIAN(Q$2:Q71))),U70)</f>
        <v>0.16666666666666674</v>
      </c>
      <c r="W71" s="10">
        <f ca="1">IF(ISNUMBER(CFDTable[[#This Row],[Done Today]]),SUM($F71:$K71),$W70)</f>
        <v>116</v>
      </c>
      <c r="X71" s="10">
        <f ca="1">IF(ISNUMBER(CFDTable[[#This Row],[Done Today]]),SUM($F71:$K71),$X70)</f>
        <v>116</v>
      </c>
      <c r="Y71" s="10">
        <f ca="1">SUM(LOOKUP(2,1/(M$1:M70&lt;&gt;""),M$1:M70)+CFDTable[[#This Row],[lowDaily]])</f>
        <v>61.80952380952381</v>
      </c>
      <c r="Z71" s="10">
        <f ca="1">SUM(LOOKUP(2,1/(N$1:N70&lt;&gt;""),N$1:N70)+Q71)</f>
        <v>61.952380952380949</v>
      </c>
      <c r="AA71" s="10">
        <f ca="1">SUM(LOOKUP(2,1/(O$1:O70&lt;&gt;""),O$1:O70)+CFDTable[[#This Row],[highDaily]])</f>
        <v>62.095238095238095</v>
      </c>
      <c r="AB71" s="12">
        <f>IF(CFDTable[[#This Row],[Date]]=DeadlineDate,CFDTable[Future Work],0)</f>
        <v>0</v>
      </c>
    </row>
    <row r="72" spans="1:28">
      <c r="A72" s="8">
        <f>CFDTable[[#This Row],[Date]]</f>
        <v>42509</v>
      </c>
      <c r="B72" s="9">
        <f>Data!B72</f>
        <v>42509</v>
      </c>
      <c r="C72" s="10" t="e">
        <f ca="1">IF(ISNUMBER(CFDTable[[#This Row],[Ready]]),NA(),CFDTable[[#This Row],[Target]]-CFDTable[[#This Row],[To Do]])</f>
        <v>#N/A</v>
      </c>
      <c r="D72" s="10">
        <f ca="1">IF(CFDTable[[#This Row],[Emergence]]&gt;0,CFDTable[[#This Row],[Future Work]]-CFDTable[[#This Row],[Emergence]],NA())</f>
        <v>73</v>
      </c>
      <c r="E72" s="10">
        <f>Data!C72</f>
        <v>43</v>
      </c>
      <c r="F72" s="10">
        <f ca="1">Data!D72</f>
        <v>47</v>
      </c>
      <c r="G72" s="10">
        <f ca="1">IF(TodaysDate&gt;=$B72,Data!E72,NA())</f>
        <v>0</v>
      </c>
      <c r="H72" s="10">
        <f ca="1">IF(TodaysDate&gt;=$B72,Data!F72,NA())</f>
        <v>7</v>
      </c>
      <c r="I72" s="10">
        <f ca="1">IF(TodaysDate&gt;=$B72,Data!G72,NA())</f>
        <v>0</v>
      </c>
      <c r="J72" s="10">
        <f ca="1">IF(TodaysDate&gt;=$B72,Data!H72,NA())</f>
        <v>0</v>
      </c>
      <c r="K72" s="10">
        <f ca="1">IF(TodaysDate&gt;=$B72,Data!I72,NA())</f>
        <v>62</v>
      </c>
      <c r="L72" s="10">
        <f ca="1">IF(CFDTable[[#This Row],[Done]]&gt;0,(CFDTable[[#This Row],[Done]])-(K71),0)</f>
        <v>1</v>
      </c>
      <c r="M72" s="10">
        <f ca="1">IF(ISNUMBER($L72),SUM(CFDTable[[#This Row],[Done]]),IF(CFDTable[[#This Row],[lookupLow]]&gt;=CFDTable[[#This Row],[Target]]+CFDTable[[#This Row],[lowDaily]],NA(),CFDTable[[#This Row],[lookupLow]]))</f>
        <v>62</v>
      </c>
      <c r="N72" s="10">
        <f ca="1">IF(ISNUMBER($L72),SUM(CFDTable[[#This Row],[Done]]),IF(CFDTable[[#This Row],[lookupMedian]]&gt;=$X72+Q72,NA(),CFDTable[[#This Row],[lookupMedian]]))</f>
        <v>62</v>
      </c>
      <c r="O72" s="10">
        <f ca="1">IF(ISNUMBER(CFDTable[[#This Row],[Done Today]]),SUM(CFDTable[[#This Row],[Done]]),IF(CFDTable[[#This Row],[lookupHigh]]&gt;=CFDTable[[#This Row],[Target]]+CFDTable[[#This Row],[highDaily]],NA(),CFDTable[[#This Row],[lookupHigh]]))</f>
        <v>62</v>
      </c>
      <c r="P72" s="10">
        <f ca="1">CFDTable[[#This Row],[AvgDaily]]-CFDTable[[#This Row],[Deviation]]</f>
        <v>0.85714285714285698</v>
      </c>
      <c r="Q72" s="10">
        <f ca="1">AVERAGE(IF(ISNUMBER(L72),IF(ISNUMBER(OFFSET(L72,-Historic,0)),OFFSET(L72,-Historic,0),L$2):L72,Q71))</f>
        <v>1</v>
      </c>
      <c r="R72" s="10">
        <f ca="1">AVERAGE(IF(ISNUMBER(L72),IF(ISNUMBER(OFFSET(L72,-Historic,0)),OFFSET(L72,-Historic,0),L$2):L72,R71))</f>
        <v>1</v>
      </c>
      <c r="S72" s="10">
        <f ca="1">AVERAGE(IF(ISNUMBER(L72),OFFSET(L$2,DaysToIgnoreOnAvg,0):L72,S71))</f>
        <v>0.86956521739130432</v>
      </c>
      <c r="T72" s="10">
        <f ca="1">CFDTable[[#This Row],[AvgDaily]]+CFDTable[[#This Row],[Deviation]]</f>
        <v>1.142857142857143</v>
      </c>
      <c r="U72" s="10">
        <f ca="1">IF(ISNUMBER(L72),((_xlfn.PERCENTILE.INC(IF(ISNUMBER(OFFSET(Q72,-Historic,0)),OFFSET(Q72,-Historic,0),Q$2):Q72,PercentileHigh/100))-(MEDIAN(IF(ISNUMBER(OFFSET(Q72,-Historic,0)),OFFSET(Q72,-Historic,0),Q$2):Q72))),U71)</f>
        <v>0.14285714285714302</v>
      </c>
      <c r="V72" s="10">
        <f ca="1">IF(ISNUMBER(L72),((_xlfn.PERCENTILE.INC(Q$2:Q72,PercentileHigh/100))-(MEDIAN(Q$2:Q72))),U71)</f>
        <v>0.1428571428571429</v>
      </c>
      <c r="W72" s="10">
        <f ca="1">IF(ISNUMBER(CFDTable[[#This Row],[Done Today]]),SUM($F72:$K72),$W71)</f>
        <v>116</v>
      </c>
      <c r="X72" s="10">
        <f ca="1">IF(ISNUMBER(CFDTable[[#This Row],[Done Today]]),SUM($F72:$K72),$X71)</f>
        <v>116</v>
      </c>
      <c r="Y72" s="10">
        <f ca="1">SUM(LOOKUP(2,1/(M$1:M71&lt;&gt;""),M$1:M71)+CFDTable[[#This Row],[lowDaily]])</f>
        <v>61.857142857142854</v>
      </c>
      <c r="Z72" s="10">
        <f ca="1">SUM(LOOKUP(2,1/(N$1:N71&lt;&gt;""),N$1:N71)+Q72)</f>
        <v>62</v>
      </c>
      <c r="AA72" s="10">
        <f ca="1">SUM(LOOKUP(2,1/(O$1:O71&lt;&gt;""),O$1:O71)+CFDTable[[#This Row],[highDaily]])</f>
        <v>62.142857142857146</v>
      </c>
      <c r="AB72" s="12">
        <f>IF(CFDTable[[#This Row],[Date]]=DeadlineDate,CFDTable[Future Work],0)</f>
        <v>0</v>
      </c>
    </row>
    <row r="73" spans="1:28">
      <c r="A73" s="8">
        <f>CFDTable[[#This Row],[Date]]</f>
        <v>42510</v>
      </c>
      <c r="B73" s="9">
        <f>Data!B73</f>
        <v>42510</v>
      </c>
      <c r="C73" s="10" t="e">
        <f ca="1">IF(ISNUMBER(CFDTable[[#This Row],[Ready]]),NA(),CFDTable[[#This Row],[Target]]-CFDTable[[#This Row],[To Do]])</f>
        <v>#N/A</v>
      </c>
      <c r="D73" s="10">
        <f ca="1">IF(CFDTable[[#This Row],[Emergence]]&gt;0,CFDTable[[#This Row],[Future Work]]-CFDTable[[#This Row],[Emergence]],NA())</f>
        <v>76</v>
      </c>
      <c r="E73" s="10">
        <f>Data!C73</f>
        <v>43</v>
      </c>
      <c r="F73" s="10">
        <f ca="1">Data!D73</f>
        <v>48</v>
      </c>
      <c r="G73" s="10">
        <f ca="1">IF(TodaysDate&gt;=$B73,Data!E73,NA())</f>
        <v>0</v>
      </c>
      <c r="H73" s="10">
        <f ca="1">IF(TodaysDate&gt;=$B73,Data!F73,NA())</f>
        <v>6</v>
      </c>
      <c r="I73" s="10">
        <f ca="1">IF(TodaysDate&gt;=$B73,Data!G73,NA())</f>
        <v>0</v>
      </c>
      <c r="J73" s="10">
        <f ca="1">IF(TodaysDate&gt;=$B73,Data!H73,NA())</f>
        <v>0</v>
      </c>
      <c r="K73" s="10">
        <f ca="1">IF(TodaysDate&gt;=$B73,Data!I73,NA())</f>
        <v>65</v>
      </c>
      <c r="L73" s="10">
        <f ca="1">IF(CFDTable[[#This Row],[Done]]&gt;0,(CFDTable[[#This Row],[Done]])-(K72),0)</f>
        <v>3</v>
      </c>
      <c r="M73" s="10">
        <f ca="1">IF(ISNUMBER($L73),SUM(CFDTable[[#This Row],[Done]]),IF(CFDTable[[#This Row],[lookupLow]]&gt;=CFDTable[[#This Row],[Target]]+CFDTable[[#This Row],[lowDaily]],NA(),CFDTable[[#This Row],[lookupLow]]))</f>
        <v>65</v>
      </c>
      <c r="N73" s="10">
        <f ca="1">IF(ISNUMBER($L73),SUM(CFDTable[[#This Row],[Done]]),IF(CFDTable[[#This Row],[lookupMedian]]&gt;=$X73+Q73,NA(),CFDTable[[#This Row],[lookupMedian]]))</f>
        <v>65</v>
      </c>
      <c r="O73" s="10">
        <f ca="1">IF(ISNUMBER(CFDTable[[#This Row],[Done Today]]),SUM(CFDTable[[#This Row],[Done]]),IF(CFDTable[[#This Row],[lookupHigh]]&gt;=CFDTable[[#This Row],[Target]]+CFDTable[[#This Row],[highDaily]],NA(),CFDTable[[#This Row],[lookupHigh]]))</f>
        <v>65</v>
      </c>
      <c r="P73" s="10">
        <f ca="1">CFDTable[[#This Row],[AvgDaily]]-CFDTable[[#This Row],[Deviation]]</f>
        <v>1</v>
      </c>
      <c r="Q73" s="10">
        <f ca="1">AVERAGE(IF(ISNUMBER(L73),IF(ISNUMBER(OFFSET(L73,-Historic,0)),OFFSET(L73,-Historic,0),L$2):L73,Q72))</f>
        <v>1.0952380952380953</v>
      </c>
      <c r="R73" s="10">
        <f ca="1">AVERAGE(IF(ISNUMBER(L73),IF(ISNUMBER(OFFSET(L73,-Historic,0)),OFFSET(L73,-Historic,0),L$2):L73,R72))</f>
        <v>1.0952380952380953</v>
      </c>
      <c r="S73" s="10">
        <f ca="1">AVERAGE(IF(ISNUMBER(L73),OFFSET(L$2,DaysToIgnoreOnAvg,0):L73,S72))</f>
        <v>0.9</v>
      </c>
      <c r="T73" s="10">
        <f ca="1">CFDTable[[#This Row],[AvgDaily]]+CFDTable[[#This Row],[Deviation]]</f>
        <v>1.1904761904761907</v>
      </c>
      <c r="U73" s="10">
        <f ca="1">IF(ISNUMBER(L73),((_xlfn.PERCENTILE.INC(IF(ISNUMBER(OFFSET(Q73,-Historic,0)),OFFSET(Q73,-Historic,0),Q$2):Q73,PercentileHigh/100))-(MEDIAN(IF(ISNUMBER(OFFSET(Q73,-Historic,0)),OFFSET(Q73,-Historic,0),Q$2):Q73))),U72)</f>
        <v>9.5238095238095344E-2</v>
      </c>
      <c r="V73" s="10">
        <f ca="1">IF(ISNUMBER(L73),((_xlfn.PERCENTILE.INC(Q$2:Q73,PercentileHigh/100))-(MEDIAN(Q$2:Q73))),U72)</f>
        <v>0.1428571428571429</v>
      </c>
      <c r="W73" s="10">
        <f ca="1">IF(ISNUMBER(CFDTable[[#This Row],[Done Today]]),SUM($F73:$K73),$W72)</f>
        <v>119</v>
      </c>
      <c r="X73" s="10">
        <f ca="1">IF(ISNUMBER(CFDTable[[#This Row],[Done Today]]),SUM($F73:$K73),$X72)</f>
        <v>119</v>
      </c>
      <c r="Y73" s="10">
        <f ca="1">SUM(LOOKUP(2,1/(M$1:M72&lt;&gt;""),M$1:M72)+CFDTable[[#This Row],[lowDaily]])</f>
        <v>63</v>
      </c>
      <c r="Z73" s="10">
        <f ca="1">SUM(LOOKUP(2,1/(N$1:N72&lt;&gt;""),N$1:N72)+Q73)</f>
        <v>63.095238095238095</v>
      </c>
      <c r="AA73" s="10">
        <f ca="1">SUM(LOOKUP(2,1/(O$1:O72&lt;&gt;""),O$1:O72)+CFDTable[[#This Row],[highDaily]])</f>
        <v>63.19047619047619</v>
      </c>
      <c r="AB73" s="12">
        <f>IF(CFDTable[[#This Row],[Date]]=DeadlineDate,CFDTable[Future Work],0)</f>
        <v>0</v>
      </c>
    </row>
    <row r="74" spans="1:28">
      <c r="A74" s="8">
        <f>CFDTable[[#This Row],[Date]]</f>
        <v>42513</v>
      </c>
      <c r="B74" s="9">
        <f>Data!B74</f>
        <v>42513</v>
      </c>
      <c r="C74" s="10" t="e">
        <f ca="1">IF(ISNUMBER(CFDTable[[#This Row],[Ready]]),NA(),CFDTable[[#This Row],[Target]]-CFDTable[[#This Row],[To Do]])</f>
        <v>#N/A</v>
      </c>
      <c r="D74" s="10">
        <f ca="1">IF(CFDTable[[#This Row],[Emergence]]&gt;0,CFDTable[[#This Row],[Future Work]]-CFDTable[[#This Row],[Emergence]],NA())</f>
        <v>76</v>
      </c>
      <c r="E74" s="10">
        <f>Data!C74</f>
        <v>43</v>
      </c>
      <c r="F74" s="10">
        <f ca="1">Data!D74</f>
        <v>48</v>
      </c>
      <c r="G74" s="10">
        <f ca="1">IF(TodaysDate&gt;=$B74,Data!E74,NA())</f>
        <v>0</v>
      </c>
      <c r="H74" s="10">
        <f ca="1">IF(TodaysDate&gt;=$B74,Data!F74,NA())</f>
        <v>5</v>
      </c>
      <c r="I74" s="10">
        <f ca="1">IF(TodaysDate&gt;=$B74,Data!G74,NA())</f>
        <v>0</v>
      </c>
      <c r="J74" s="10">
        <f ca="1">IF(TodaysDate&gt;=$B74,Data!H74,NA())</f>
        <v>0</v>
      </c>
      <c r="K74" s="10">
        <f ca="1">IF(TodaysDate&gt;=$B74,Data!I74,NA())</f>
        <v>66</v>
      </c>
      <c r="L74" s="10">
        <f ca="1">IF(CFDTable[[#This Row],[Done]]&gt;0,(CFDTable[[#This Row],[Done]])-(K73),0)</f>
        <v>1</v>
      </c>
      <c r="M74" s="10">
        <f ca="1">IF(ISNUMBER($L74),SUM(CFDTable[[#This Row],[Done]]),IF(CFDTable[[#This Row],[lookupLow]]&gt;=CFDTable[[#This Row],[Target]]+CFDTable[[#This Row],[lowDaily]],NA(),CFDTable[[#This Row],[lookupLow]]))</f>
        <v>66</v>
      </c>
      <c r="N74" s="10">
        <f ca="1">IF(ISNUMBER($L74),SUM(CFDTable[[#This Row],[Done]]),IF(CFDTable[[#This Row],[lookupMedian]]&gt;=$X74+Q74,NA(),CFDTable[[#This Row],[lookupMedian]]))</f>
        <v>66</v>
      </c>
      <c r="O74" s="10">
        <f ca="1">IF(ISNUMBER(CFDTable[[#This Row],[Done Today]]),SUM(CFDTable[[#This Row],[Done]]),IF(CFDTable[[#This Row],[lookupHigh]]&gt;=CFDTable[[#This Row],[Target]]+CFDTable[[#This Row],[highDaily]],NA(),CFDTable[[#This Row],[lookupHigh]]))</f>
        <v>66</v>
      </c>
      <c r="P74" s="10">
        <f ca="1">CFDTable[[#This Row],[AvgDaily]]-CFDTable[[#This Row],[Deviation]]</f>
        <v>1</v>
      </c>
      <c r="Q74" s="10">
        <f ca="1">AVERAGE(IF(ISNUMBER(L74),IF(ISNUMBER(OFFSET(L74,-Historic,0)),OFFSET(L74,-Historic,0),L$2):L74,Q73))</f>
        <v>1.0952380952380953</v>
      </c>
      <c r="R74" s="10">
        <f ca="1">AVERAGE(IF(ISNUMBER(L74),IF(ISNUMBER(OFFSET(L74,-Historic,0)),OFFSET(L74,-Historic,0),L$2):L74,R73))</f>
        <v>1.0952380952380953</v>
      </c>
      <c r="S74" s="10">
        <f ca="1">AVERAGE(IF(ISNUMBER(L74),OFFSET(L$2,DaysToIgnoreOnAvg,0):L74,S73))</f>
        <v>0.90140845070422537</v>
      </c>
      <c r="T74" s="10">
        <f ca="1">CFDTable[[#This Row],[AvgDaily]]+CFDTable[[#This Row],[Deviation]]</f>
        <v>1.1904761904761907</v>
      </c>
      <c r="U74" s="10">
        <f ca="1">IF(ISNUMBER(L74),((_xlfn.PERCENTILE.INC(IF(ISNUMBER(OFFSET(Q74,-Historic,0)),OFFSET(Q74,-Historic,0),Q$2):Q74,PercentileHigh/100))-(MEDIAN(IF(ISNUMBER(OFFSET(Q74,-Historic,0)),OFFSET(Q74,-Historic,0),Q$2):Q74))),U73)</f>
        <v>9.5238095238095344E-2</v>
      </c>
      <c r="V74" s="10">
        <f ca="1">IF(ISNUMBER(L74),((_xlfn.PERCENTILE.INC(Q$2:Q74,PercentileHigh/100))-(MEDIAN(Q$2:Q74))),U73)</f>
        <v>0.1428571428571429</v>
      </c>
      <c r="W74" s="10">
        <f ca="1">IF(ISNUMBER(CFDTable[[#This Row],[Done Today]]),SUM($F74:$K74),$W73)</f>
        <v>119</v>
      </c>
      <c r="X74" s="10">
        <f ca="1">IF(ISNUMBER(CFDTable[[#This Row],[Done Today]]),SUM($F74:$K74),$X73)</f>
        <v>119</v>
      </c>
      <c r="Y74" s="10">
        <f ca="1">SUM(LOOKUP(2,1/(M$1:M73&lt;&gt;""),M$1:M73)+CFDTable[[#This Row],[lowDaily]])</f>
        <v>66</v>
      </c>
      <c r="Z74" s="10">
        <f ca="1">SUM(LOOKUP(2,1/(N$1:N73&lt;&gt;""),N$1:N73)+Q74)</f>
        <v>66.095238095238102</v>
      </c>
      <c r="AA74" s="10">
        <f ca="1">SUM(LOOKUP(2,1/(O$1:O73&lt;&gt;""),O$1:O73)+CFDTable[[#This Row],[highDaily]])</f>
        <v>66.19047619047619</v>
      </c>
      <c r="AB74" s="12">
        <f>IF(CFDTable[[#This Row],[Date]]=DeadlineDate,CFDTable[Future Work],0)</f>
        <v>0</v>
      </c>
    </row>
    <row r="75" spans="1:28">
      <c r="A75" s="8">
        <f>CFDTable[[#This Row],[Date]]</f>
        <v>42514</v>
      </c>
      <c r="B75" s="9">
        <f>Data!B75</f>
        <v>42514</v>
      </c>
      <c r="C75" s="10" t="e">
        <f ca="1">IF(ISNUMBER(CFDTable[[#This Row],[Ready]]),NA(),CFDTable[[#This Row],[Target]]-CFDTable[[#This Row],[To Do]])</f>
        <v>#N/A</v>
      </c>
      <c r="D75" s="10">
        <f ca="1">IF(CFDTable[[#This Row],[Emergence]]&gt;0,CFDTable[[#This Row],[Future Work]]-CFDTable[[#This Row],[Emergence]],NA())</f>
        <v>76</v>
      </c>
      <c r="E75" s="10">
        <f>Data!C75</f>
        <v>43</v>
      </c>
      <c r="F75" s="10">
        <f ca="1">Data!D75</f>
        <v>47</v>
      </c>
      <c r="G75" s="10">
        <f ca="1">IF(TodaysDate&gt;=$B75,Data!E75,NA())</f>
        <v>0</v>
      </c>
      <c r="H75" s="10">
        <f ca="1">IF(TodaysDate&gt;=$B75,Data!F75,NA())</f>
        <v>6</v>
      </c>
      <c r="I75" s="10">
        <f ca="1">IF(TodaysDate&gt;=$B75,Data!G75,NA())</f>
        <v>0</v>
      </c>
      <c r="J75" s="10">
        <f ca="1">IF(TodaysDate&gt;=$B75,Data!H75,NA())</f>
        <v>0</v>
      </c>
      <c r="K75" s="10">
        <f ca="1">IF(TodaysDate&gt;=$B75,Data!I75,NA())</f>
        <v>66</v>
      </c>
      <c r="L75" s="10">
        <f ca="1">IF(CFDTable[[#This Row],[Done]]&gt;0,(CFDTable[[#This Row],[Done]])-(K74),0)</f>
        <v>0</v>
      </c>
      <c r="M75" s="10">
        <f ca="1">IF(ISNUMBER($L75),SUM(CFDTable[[#This Row],[Done]]),IF(CFDTable[[#This Row],[lookupLow]]&gt;=CFDTable[[#This Row],[Target]]+CFDTable[[#This Row],[lowDaily]],NA(),CFDTable[[#This Row],[lookupLow]]))</f>
        <v>66</v>
      </c>
      <c r="N75" s="10">
        <f ca="1">IF(ISNUMBER($L75),SUM(CFDTable[[#This Row],[Done]]),IF(CFDTable[[#This Row],[lookupMedian]]&gt;=$X75+Q75,NA(),CFDTable[[#This Row],[lookupMedian]]))</f>
        <v>66</v>
      </c>
      <c r="O75" s="10">
        <f ca="1">IF(ISNUMBER(CFDTable[[#This Row],[Done Today]]),SUM(CFDTable[[#This Row],[Done]]),IF(CFDTable[[#This Row],[lookupHigh]]&gt;=CFDTable[[#This Row],[Target]]+CFDTable[[#This Row],[highDaily]],NA(),CFDTable[[#This Row],[lookupHigh]]))</f>
        <v>66</v>
      </c>
      <c r="P75" s="10">
        <f ca="1">CFDTable[[#This Row],[AvgDaily]]-CFDTable[[#This Row],[Deviation]]</f>
        <v>0.76190476190476175</v>
      </c>
      <c r="Q75" s="10">
        <f ca="1">AVERAGE(IF(ISNUMBER(L75),IF(ISNUMBER(OFFSET(L75,-Historic,0)),OFFSET(L75,-Historic,0),L$2):L75,Q74))</f>
        <v>0.8571428571428571</v>
      </c>
      <c r="R75" s="10">
        <f ca="1">AVERAGE(IF(ISNUMBER(L75),IF(ISNUMBER(OFFSET(L75,-Historic,0)),OFFSET(L75,-Historic,0),L$2):L75,R74))</f>
        <v>0.8571428571428571</v>
      </c>
      <c r="S75" s="10">
        <f ca="1">AVERAGE(IF(ISNUMBER(L75),OFFSET(L$2,DaysToIgnoreOnAvg,0):L75,S74))</f>
        <v>0.88888888888888884</v>
      </c>
      <c r="T75" s="10">
        <f ca="1">CFDTable[[#This Row],[AvgDaily]]+CFDTable[[#This Row],[Deviation]]</f>
        <v>0.95238095238095244</v>
      </c>
      <c r="U75" s="10">
        <f ca="1">IF(ISNUMBER(L75),((_xlfn.PERCENTILE.INC(IF(ISNUMBER(OFFSET(Q75,-Historic,0)),OFFSET(Q75,-Historic,0),Q$2):Q75,PercentileHigh/100))-(MEDIAN(IF(ISNUMBER(OFFSET(Q75,-Historic,0)),OFFSET(Q75,-Historic,0),Q$2):Q75))),U74)</f>
        <v>9.5238095238095344E-2</v>
      </c>
      <c r="V75" s="10">
        <f ca="1">IF(ISNUMBER(L75),((_xlfn.PERCENTILE.INC(Q$2:Q75,PercentileHigh/100))-(MEDIAN(Q$2:Q75))),U74)</f>
        <v>0.1428571428571429</v>
      </c>
      <c r="W75" s="10">
        <f ca="1">IF(ISNUMBER(CFDTable[[#This Row],[Done Today]]),SUM($F75:$K75),$W74)</f>
        <v>119</v>
      </c>
      <c r="X75" s="10">
        <f ca="1">IF(ISNUMBER(CFDTable[[#This Row],[Done Today]]),SUM($F75:$K75),$X74)</f>
        <v>119</v>
      </c>
      <c r="Y75" s="10">
        <f ca="1">SUM(LOOKUP(2,1/(M$1:M74&lt;&gt;""),M$1:M74)+CFDTable[[#This Row],[lowDaily]])</f>
        <v>66.761904761904759</v>
      </c>
      <c r="Z75" s="10">
        <f ca="1">SUM(LOOKUP(2,1/(N$1:N74&lt;&gt;""),N$1:N74)+Q75)</f>
        <v>66.857142857142861</v>
      </c>
      <c r="AA75" s="10">
        <f ca="1">SUM(LOOKUP(2,1/(O$1:O74&lt;&gt;""),O$1:O74)+CFDTable[[#This Row],[highDaily]])</f>
        <v>66.952380952380949</v>
      </c>
      <c r="AB75" s="12">
        <f>IF(CFDTable[[#This Row],[Date]]=DeadlineDate,CFDTable[Future Work],0)</f>
        <v>0</v>
      </c>
    </row>
    <row r="76" spans="1:28">
      <c r="A76" s="8">
        <f>CFDTable[[#This Row],[Date]]</f>
        <v>42515</v>
      </c>
      <c r="B76" s="9">
        <f>Data!B76</f>
        <v>42515</v>
      </c>
      <c r="C76" s="10" t="e">
        <f ca="1">IF(ISNUMBER(CFDTable[[#This Row],[Ready]]),NA(),CFDTable[[#This Row],[Target]]-CFDTable[[#This Row],[To Do]])</f>
        <v>#N/A</v>
      </c>
      <c r="D76" s="10">
        <f ca="1">IF(CFDTable[[#This Row],[Emergence]]&gt;0,CFDTable[[#This Row],[Future Work]]-CFDTable[[#This Row],[Emergence]],NA())</f>
        <v>78</v>
      </c>
      <c r="E76" s="10">
        <f>Data!C76</f>
        <v>43</v>
      </c>
      <c r="F76" s="10">
        <f ca="1">Data!D76</f>
        <v>48</v>
      </c>
      <c r="G76" s="10">
        <f ca="1">IF(TodaysDate&gt;=$B76,Data!E76,NA())</f>
        <v>0</v>
      </c>
      <c r="H76" s="10">
        <f ca="1">IF(TodaysDate&gt;=$B76,Data!F76,NA())</f>
        <v>6</v>
      </c>
      <c r="I76" s="10">
        <f ca="1">IF(TodaysDate&gt;=$B76,Data!G76,NA())</f>
        <v>0</v>
      </c>
      <c r="J76" s="10">
        <f ca="1">IF(TodaysDate&gt;=$B76,Data!H76,NA())</f>
        <v>0</v>
      </c>
      <c r="K76" s="10">
        <f ca="1">IF(TodaysDate&gt;=$B76,Data!I76,NA())</f>
        <v>67</v>
      </c>
      <c r="L76" s="10">
        <f ca="1">IF(CFDTable[[#This Row],[Done]]&gt;0,(CFDTable[[#This Row],[Done]])-(K75),0)</f>
        <v>1</v>
      </c>
      <c r="M76" s="10">
        <f ca="1">IF(ISNUMBER($L76),SUM(CFDTable[[#This Row],[Done]]),IF(CFDTable[[#This Row],[lookupLow]]&gt;=CFDTable[[#This Row],[Target]]+CFDTable[[#This Row],[lowDaily]],NA(),CFDTable[[#This Row],[lookupLow]]))</f>
        <v>67</v>
      </c>
      <c r="N76" s="10">
        <f ca="1">IF(ISNUMBER($L76),SUM(CFDTable[[#This Row],[Done]]),IF(CFDTable[[#This Row],[lookupMedian]]&gt;=$X76+Q76,NA(),CFDTable[[#This Row],[lookupMedian]]))</f>
        <v>67</v>
      </c>
      <c r="O76" s="10">
        <f ca="1">IF(ISNUMBER(CFDTable[[#This Row],[Done Today]]),SUM(CFDTable[[#This Row],[Done]]),IF(CFDTable[[#This Row],[lookupHigh]]&gt;=CFDTable[[#This Row],[Target]]+CFDTable[[#This Row],[highDaily]],NA(),CFDTable[[#This Row],[lookupHigh]]))</f>
        <v>67</v>
      </c>
      <c r="P76" s="10">
        <f ca="1">CFDTable[[#This Row],[AvgDaily]]-CFDTable[[#This Row],[Deviation]]</f>
        <v>0.76190476190476175</v>
      </c>
      <c r="Q76" s="10">
        <f ca="1">AVERAGE(IF(ISNUMBER(L76),IF(ISNUMBER(OFFSET(L76,-Historic,0)),OFFSET(L76,-Historic,0),L$2):L76,Q75))</f>
        <v>0.90476190476190477</v>
      </c>
      <c r="R76" s="10">
        <f ca="1">AVERAGE(IF(ISNUMBER(L76),IF(ISNUMBER(OFFSET(L76,-Historic,0)),OFFSET(L76,-Historic,0),L$2):L76,R75))</f>
        <v>0.90476190476190477</v>
      </c>
      <c r="S76" s="10">
        <f ca="1">AVERAGE(IF(ISNUMBER(L76),OFFSET(L$2,DaysToIgnoreOnAvg,0):L76,S75))</f>
        <v>0.8904109589041096</v>
      </c>
      <c r="T76" s="10">
        <f ca="1">CFDTable[[#This Row],[AvgDaily]]+CFDTable[[#This Row],[Deviation]]</f>
        <v>1.0476190476190479</v>
      </c>
      <c r="U76" s="10">
        <f ca="1">IF(ISNUMBER(L76),((_xlfn.PERCENTILE.INC(IF(ISNUMBER(OFFSET(Q76,-Historic,0)),OFFSET(Q76,-Historic,0),Q$2):Q76,PercentileHigh/100))-(MEDIAN(IF(ISNUMBER(OFFSET(Q76,-Historic,0)),OFFSET(Q76,-Historic,0),Q$2):Q76))),U75)</f>
        <v>0.14285714285714302</v>
      </c>
      <c r="V76" s="10">
        <f ca="1">IF(ISNUMBER(L76),((_xlfn.PERCENTILE.INC(Q$2:Q76,PercentileHigh/100))-(MEDIAN(Q$2:Q76))),U75)</f>
        <v>0.1428571428571429</v>
      </c>
      <c r="W76" s="10">
        <f ca="1">IF(ISNUMBER(CFDTable[[#This Row],[Done Today]]),SUM($F76:$K76),$W75)</f>
        <v>121</v>
      </c>
      <c r="X76" s="10">
        <f ca="1">IF(ISNUMBER(CFDTable[[#This Row],[Done Today]]),SUM($F76:$K76),$X75)</f>
        <v>121</v>
      </c>
      <c r="Y76" s="10">
        <f ca="1">SUM(LOOKUP(2,1/(M$1:M75&lt;&gt;""),M$1:M75)+CFDTable[[#This Row],[lowDaily]])</f>
        <v>66.761904761904759</v>
      </c>
      <c r="Z76" s="10">
        <f ca="1">SUM(LOOKUP(2,1/(N$1:N75&lt;&gt;""),N$1:N75)+Q76)</f>
        <v>66.904761904761898</v>
      </c>
      <c r="AA76" s="10">
        <f ca="1">SUM(LOOKUP(2,1/(O$1:O75&lt;&gt;""),O$1:O75)+CFDTable[[#This Row],[highDaily]])</f>
        <v>67.047619047619051</v>
      </c>
      <c r="AB76" s="12">
        <f>IF(CFDTable[[#This Row],[Date]]=DeadlineDate,CFDTable[Future Work],0)</f>
        <v>0</v>
      </c>
    </row>
    <row r="77" spans="1:28">
      <c r="A77" s="8">
        <f>CFDTable[[#This Row],[Date]]</f>
        <v>42516</v>
      </c>
      <c r="B77" s="9">
        <f>Data!B77</f>
        <v>42516</v>
      </c>
      <c r="C77" s="10" t="e">
        <f ca="1">IF(ISNUMBER(CFDTable[[#This Row],[Ready]]),NA(),CFDTable[[#This Row],[Target]]-CFDTable[[#This Row],[To Do]])</f>
        <v>#N/A</v>
      </c>
      <c r="D77" s="10">
        <f ca="1">IF(CFDTable[[#This Row],[Emergence]]&gt;0,CFDTable[[#This Row],[Future Work]]-CFDTable[[#This Row],[Emergence]],NA())</f>
        <v>79</v>
      </c>
      <c r="E77" s="10">
        <f>Data!C77</f>
        <v>43</v>
      </c>
      <c r="F77" s="10">
        <f ca="1">Data!D77</f>
        <v>47</v>
      </c>
      <c r="G77" s="10">
        <f ca="1">IF(TodaysDate&gt;=$B77,Data!E77,NA())</f>
        <v>0</v>
      </c>
      <c r="H77" s="10">
        <f ca="1">IF(TodaysDate&gt;=$B77,Data!F77,NA())</f>
        <v>6</v>
      </c>
      <c r="I77" s="10">
        <f ca="1">IF(TodaysDate&gt;=$B77,Data!G77,NA())</f>
        <v>1</v>
      </c>
      <c r="J77" s="10">
        <f ca="1">IF(TodaysDate&gt;=$B77,Data!H77,NA())</f>
        <v>0</v>
      </c>
      <c r="K77" s="10">
        <f ca="1">IF(TodaysDate&gt;=$B77,Data!I77,NA())</f>
        <v>68</v>
      </c>
      <c r="L77" s="10">
        <f ca="1">IF(CFDTable[[#This Row],[Done]]&gt;0,(CFDTable[[#This Row],[Done]])-(K76),0)</f>
        <v>1</v>
      </c>
      <c r="M77" s="10">
        <f ca="1">IF(ISNUMBER($L77),SUM(CFDTable[[#This Row],[Done]]),IF(CFDTable[[#This Row],[lookupLow]]&gt;=CFDTable[[#This Row],[Target]]+CFDTable[[#This Row],[lowDaily]],NA(),CFDTable[[#This Row],[lookupLow]]))</f>
        <v>68</v>
      </c>
      <c r="N77" s="10">
        <f ca="1">IF(ISNUMBER($L77),SUM(CFDTable[[#This Row],[Done]]),IF(CFDTable[[#This Row],[lookupMedian]]&gt;=$X77+Q77,NA(),CFDTable[[#This Row],[lookupMedian]]))</f>
        <v>68</v>
      </c>
      <c r="O77" s="10">
        <f ca="1">IF(ISNUMBER(CFDTable[[#This Row],[Done Today]]),SUM(CFDTable[[#This Row],[Done]]),IF(CFDTable[[#This Row],[lookupHigh]]&gt;=CFDTable[[#This Row],[Target]]+CFDTable[[#This Row],[highDaily]],NA(),CFDTable[[#This Row],[lookupHigh]]))</f>
        <v>68</v>
      </c>
      <c r="P77" s="10">
        <f ca="1">CFDTable[[#This Row],[AvgDaily]]-CFDTable[[#This Row],[Deviation]]</f>
        <v>0.76190476190476175</v>
      </c>
      <c r="Q77" s="10">
        <f ca="1">AVERAGE(IF(ISNUMBER(L77),IF(ISNUMBER(OFFSET(L77,-Historic,0)),OFFSET(L77,-Historic,0),L$2):L77,Q76))</f>
        <v>0.90476190476190477</v>
      </c>
      <c r="R77" s="10">
        <f ca="1">AVERAGE(IF(ISNUMBER(L77),IF(ISNUMBER(OFFSET(L77,-Historic,0)),OFFSET(L77,-Historic,0),L$2):L77,R76))</f>
        <v>0.90476190476190477</v>
      </c>
      <c r="S77" s="10">
        <f ca="1">AVERAGE(IF(ISNUMBER(L77),OFFSET(L$2,DaysToIgnoreOnAvg,0):L77,S76))</f>
        <v>0.89189189189189189</v>
      </c>
      <c r="T77" s="10">
        <f ca="1">CFDTable[[#This Row],[AvgDaily]]+CFDTable[[#This Row],[Deviation]]</f>
        <v>1.0476190476190479</v>
      </c>
      <c r="U77" s="10">
        <f ca="1">IF(ISNUMBER(L77),((_xlfn.PERCENTILE.INC(IF(ISNUMBER(OFFSET(Q77,-Historic,0)),OFFSET(Q77,-Historic,0),Q$2):Q77,PercentileHigh/100))-(MEDIAN(IF(ISNUMBER(OFFSET(Q77,-Historic,0)),OFFSET(Q77,-Historic,0),Q$2):Q77))),U76)</f>
        <v>0.14285714285714302</v>
      </c>
      <c r="V77" s="10">
        <f ca="1">IF(ISNUMBER(L77),((_xlfn.PERCENTILE.INC(Q$2:Q77,PercentileHigh/100))-(MEDIAN(Q$2:Q77))),U76)</f>
        <v>0.1428571428571429</v>
      </c>
      <c r="W77" s="10">
        <f ca="1">IF(ISNUMBER(CFDTable[[#This Row],[Done Today]]),SUM($F77:$K77),$W76)</f>
        <v>122</v>
      </c>
      <c r="X77" s="10">
        <f ca="1">IF(ISNUMBER(CFDTable[[#This Row],[Done Today]]),SUM($F77:$K77),$X76)</f>
        <v>122</v>
      </c>
      <c r="Y77" s="10">
        <f ca="1">SUM(LOOKUP(2,1/(M$1:M76&lt;&gt;""),M$1:M76)+CFDTable[[#This Row],[lowDaily]])</f>
        <v>67.761904761904759</v>
      </c>
      <c r="Z77" s="10">
        <f ca="1">SUM(LOOKUP(2,1/(N$1:N76&lt;&gt;""),N$1:N76)+Q77)</f>
        <v>67.904761904761898</v>
      </c>
      <c r="AA77" s="10">
        <f ca="1">SUM(LOOKUP(2,1/(O$1:O76&lt;&gt;""),O$1:O76)+CFDTable[[#This Row],[highDaily]])</f>
        <v>68.047619047619051</v>
      </c>
      <c r="AB77" s="12">
        <f>IF(CFDTable[[#This Row],[Date]]=DeadlineDate,CFDTable[Future Work],0)</f>
        <v>0</v>
      </c>
    </row>
    <row r="78" spans="1:28">
      <c r="A78" s="8">
        <f>CFDTable[[#This Row],[Date]]</f>
        <v>42517</v>
      </c>
      <c r="B78" s="9">
        <f>Data!B78</f>
        <v>42517</v>
      </c>
      <c r="C78" s="10" t="e">
        <f ca="1">IF(ISNUMBER(CFDTable[[#This Row],[Ready]]),NA(),CFDTable[[#This Row],[Target]]-CFDTable[[#This Row],[To Do]])</f>
        <v>#N/A</v>
      </c>
      <c r="D78" s="10">
        <f ca="1">IF(CFDTable[[#This Row],[Emergence]]&gt;0,CFDTable[[#This Row],[Future Work]]-CFDTable[[#This Row],[Emergence]],NA())</f>
        <v>80</v>
      </c>
      <c r="E78" s="10">
        <f>Data!C78</f>
        <v>43</v>
      </c>
      <c r="F78" s="10">
        <f ca="1">Data!D78</f>
        <v>47</v>
      </c>
      <c r="G78" s="10">
        <f ca="1">IF(TodaysDate&gt;=$B78,Data!E78,NA())</f>
        <v>0</v>
      </c>
      <c r="H78" s="10">
        <f ca="1">IF(TodaysDate&gt;=$B78,Data!F78,NA())</f>
        <v>6</v>
      </c>
      <c r="I78" s="10">
        <f ca="1">IF(TodaysDate&gt;=$B78,Data!G78,NA())</f>
        <v>1</v>
      </c>
      <c r="J78" s="10">
        <f ca="1">IF(TodaysDate&gt;=$B78,Data!H78,NA())</f>
        <v>0</v>
      </c>
      <c r="K78" s="10">
        <f ca="1">IF(TodaysDate&gt;=$B78,Data!I78,NA())</f>
        <v>69</v>
      </c>
      <c r="L78" s="10">
        <f ca="1">IF(CFDTable[[#This Row],[Done]]&gt;0,(CFDTable[[#This Row],[Done]])-(K77),0)</f>
        <v>1</v>
      </c>
      <c r="M78" s="10">
        <f ca="1">IF(ISNUMBER($L78),SUM(CFDTable[[#This Row],[Done]]),IF(CFDTable[[#This Row],[lookupLow]]&gt;=CFDTable[[#This Row],[Target]]+CFDTable[[#This Row],[lowDaily]],NA(),CFDTable[[#This Row],[lookupLow]]))</f>
        <v>69</v>
      </c>
      <c r="N78" s="10">
        <f ca="1">IF(ISNUMBER($L78),SUM(CFDTable[[#This Row],[Done]]),IF(CFDTable[[#This Row],[lookupMedian]]&gt;=$X78+Q78,NA(),CFDTable[[#This Row],[lookupMedian]]))</f>
        <v>69</v>
      </c>
      <c r="O78" s="10">
        <f ca="1">IF(ISNUMBER(CFDTable[[#This Row],[Done Today]]),SUM(CFDTable[[#This Row],[Done]]),IF(CFDTable[[#This Row],[lookupHigh]]&gt;=CFDTable[[#This Row],[Target]]+CFDTable[[#This Row],[highDaily]],NA(),CFDTable[[#This Row],[lookupHigh]]))</f>
        <v>69</v>
      </c>
      <c r="P78" s="10">
        <f ca="1">CFDTable[[#This Row],[AvgDaily]]-CFDTable[[#This Row],[Deviation]]</f>
        <v>0.80952380952380931</v>
      </c>
      <c r="Q78" s="10">
        <f ca="1">AVERAGE(IF(ISNUMBER(L78),IF(ISNUMBER(OFFSET(L78,-Historic,0)),OFFSET(L78,-Historic,0),L$2):L78,Q77))</f>
        <v>0.95238095238095233</v>
      </c>
      <c r="R78" s="10">
        <f ca="1">AVERAGE(IF(ISNUMBER(L78),IF(ISNUMBER(OFFSET(L78,-Historic,0)),OFFSET(L78,-Historic,0),L$2):L78,R77))</f>
        <v>0.95238095238095233</v>
      </c>
      <c r="S78" s="10">
        <f ca="1">AVERAGE(IF(ISNUMBER(L78),OFFSET(L$2,DaysToIgnoreOnAvg,0):L78,S77))</f>
        <v>0.89333333333333331</v>
      </c>
      <c r="T78" s="10">
        <f ca="1">CFDTable[[#This Row],[AvgDaily]]+CFDTable[[#This Row],[Deviation]]</f>
        <v>1.0952380952380953</v>
      </c>
      <c r="U78" s="10">
        <f ca="1">IF(ISNUMBER(L78),((_xlfn.PERCENTILE.INC(IF(ISNUMBER(OFFSET(Q78,-Historic,0)),OFFSET(Q78,-Historic,0),Q$2):Q78,PercentileHigh/100))-(MEDIAN(IF(ISNUMBER(OFFSET(Q78,-Historic,0)),OFFSET(Q78,-Historic,0),Q$2):Q78))),U77)</f>
        <v>0.14285714285714302</v>
      </c>
      <c r="V78" s="10">
        <f ca="1">IF(ISNUMBER(L78),((_xlfn.PERCENTILE.INC(Q$2:Q78,PercentileHigh/100))-(MEDIAN(Q$2:Q78))),U77)</f>
        <v>0.1428571428571429</v>
      </c>
      <c r="W78" s="10">
        <f ca="1">IF(ISNUMBER(CFDTable[[#This Row],[Done Today]]),SUM($F78:$K78),$W77)</f>
        <v>123</v>
      </c>
      <c r="X78" s="10">
        <f ca="1">IF(ISNUMBER(CFDTable[[#This Row],[Done Today]]),SUM($F78:$K78),$X77)</f>
        <v>123</v>
      </c>
      <c r="Y78" s="10">
        <f ca="1">SUM(LOOKUP(2,1/(M$1:M77&lt;&gt;""),M$1:M77)+CFDTable[[#This Row],[lowDaily]])</f>
        <v>68.80952380952381</v>
      </c>
      <c r="Z78" s="10">
        <f ca="1">SUM(LOOKUP(2,1/(N$1:N77&lt;&gt;""),N$1:N77)+Q78)</f>
        <v>68.952380952380949</v>
      </c>
      <c r="AA78" s="10">
        <f ca="1">SUM(LOOKUP(2,1/(O$1:O77&lt;&gt;""),O$1:O77)+CFDTable[[#This Row],[highDaily]])</f>
        <v>69.095238095238102</v>
      </c>
      <c r="AB78" s="12">
        <f>IF(CFDTable[[#This Row],[Date]]=DeadlineDate,CFDTable[Future Work],0)</f>
        <v>0</v>
      </c>
    </row>
    <row r="79" spans="1:28">
      <c r="A79" s="8">
        <f>CFDTable[[#This Row],[Date]]</f>
        <v>42521</v>
      </c>
      <c r="B79" s="9">
        <f>Data!B79</f>
        <v>42521</v>
      </c>
      <c r="C79" s="10" t="e">
        <f ca="1">IF(ISNUMBER(CFDTable[[#This Row],[Ready]]),NA(),CFDTable[[#This Row],[Target]]-CFDTable[[#This Row],[To Do]])</f>
        <v>#N/A</v>
      </c>
      <c r="D79" s="10">
        <f ca="1">IF(CFDTable[[#This Row],[Emergence]]&gt;0,CFDTable[[#This Row],[Future Work]]-CFDTable[[#This Row],[Emergence]],NA())</f>
        <v>80</v>
      </c>
      <c r="E79" s="10">
        <f>Data!C79</f>
        <v>43</v>
      </c>
      <c r="F79" s="10">
        <f ca="1">Data!D79</f>
        <v>47</v>
      </c>
      <c r="G79" s="10">
        <f ca="1">IF(TodaysDate&gt;=$B79,Data!E79,NA())</f>
        <v>0</v>
      </c>
      <c r="H79" s="10">
        <f ca="1">IF(TodaysDate&gt;=$B79,Data!F79,NA())</f>
        <v>6</v>
      </c>
      <c r="I79" s="10">
        <f ca="1">IF(TodaysDate&gt;=$B79,Data!G79,NA())</f>
        <v>1</v>
      </c>
      <c r="J79" s="10">
        <f ca="1">IF(TodaysDate&gt;=$B79,Data!H79,NA())</f>
        <v>0</v>
      </c>
      <c r="K79" s="10">
        <f ca="1">IF(TodaysDate&gt;=$B79,Data!I79,NA())</f>
        <v>69</v>
      </c>
      <c r="L79" s="10">
        <f ca="1">IF(CFDTable[[#This Row],[Done]]&gt;0,(CFDTable[[#This Row],[Done]])-(K78),0)</f>
        <v>0</v>
      </c>
      <c r="M79" s="10">
        <f ca="1">IF(ISNUMBER($L79),SUM(CFDTable[[#This Row],[Done]]),IF(CFDTable[[#This Row],[lookupLow]]&gt;=CFDTable[[#This Row],[Target]]+CFDTable[[#This Row],[lowDaily]],NA(),CFDTable[[#This Row],[lookupLow]]))</f>
        <v>69</v>
      </c>
      <c r="N79" s="10">
        <f ca="1">IF(ISNUMBER($L79),SUM(CFDTable[[#This Row],[Done]]),IF(CFDTable[[#This Row],[lookupMedian]]&gt;=$X79+Q79,NA(),CFDTable[[#This Row],[lookupMedian]]))</f>
        <v>69</v>
      </c>
      <c r="O79" s="10">
        <f ca="1">IF(ISNUMBER(CFDTable[[#This Row],[Done Today]]),SUM(CFDTable[[#This Row],[Done]]),IF(CFDTable[[#This Row],[lookupHigh]]&gt;=CFDTable[[#This Row],[Target]]+CFDTable[[#This Row],[highDaily]],NA(),CFDTable[[#This Row],[lookupHigh]]))</f>
        <v>69</v>
      </c>
      <c r="P79" s="10">
        <f ca="1">CFDTable[[#This Row],[AvgDaily]]-CFDTable[[#This Row],[Deviation]]</f>
        <v>0.76190476190476175</v>
      </c>
      <c r="Q79" s="10">
        <f ca="1">AVERAGE(IF(ISNUMBER(L79),IF(ISNUMBER(OFFSET(L79,-Historic,0)),OFFSET(L79,-Historic,0),L$2):L79,Q78))</f>
        <v>0.90476190476190477</v>
      </c>
      <c r="R79" s="10">
        <f ca="1">AVERAGE(IF(ISNUMBER(L79),IF(ISNUMBER(OFFSET(L79,-Historic,0)),OFFSET(L79,-Historic,0),L$2):L79,R78))</f>
        <v>0.90476190476190477</v>
      </c>
      <c r="S79" s="10">
        <f ca="1">AVERAGE(IF(ISNUMBER(L79),OFFSET(L$2,DaysToIgnoreOnAvg,0):L79,S78))</f>
        <v>0.88157894736842102</v>
      </c>
      <c r="T79" s="10">
        <f ca="1">CFDTable[[#This Row],[AvgDaily]]+CFDTable[[#This Row],[Deviation]]</f>
        <v>1.0476190476190479</v>
      </c>
      <c r="U79" s="10">
        <f ca="1">IF(ISNUMBER(L79),((_xlfn.PERCENTILE.INC(IF(ISNUMBER(OFFSET(Q79,-Historic,0)),OFFSET(Q79,-Historic,0),Q$2):Q79,PercentileHigh/100))-(MEDIAN(IF(ISNUMBER(OFFSET(Q79,-Historic,0)),OFFSET(Q79,-Historic,0),Q$2):Q79))),U78)</f>
        <v>0.14285714285714302</v>
      </c>
      <c r="V79" s="10">
        <f ca="1">IF(ISNUMBER(L79),((_xlfn.PERCENTILE.INC(Q$2:Q79,PercentileHigh/100))-(MEDIAN(Q$2:Q79))),U78)</f>
        <v>0.1428571428571429</v>
      </c>
      <c r="W79" s="10">
        <f ca="1">IF(ISNUMBER(CFDTable[[#This Row],[Done Today]]),SUM($F79:$K79),$W78)</f>
        <v>123</v>
      </c>
      <c r="X79" s="10">
        <f ca="1">IF(ISNUMBER(CFDTable[[#This Row],[Done Today]]),SUM($F79:$K79),$X78)</f>
        <v>123</v>
      </c>
      <c r="Y79" s="10">
        <f ca="1">SUM(LOOKUP(2,1/(M$1:M78&lt;&gt;""),M$1:M78)+CFDTable[[#This Row],[lowDaily]])</f>
        <v>69.761904761904759</v>
      </c>
      <c r="Z79" s="10">
        <f ca="1">SUM(LOOKUP(2,1/(N$1:N78&lt;&gt;""),N$1:N78)+Q79)</f>
        <v>69.904761904761898</v>
      </c>
      <c r="AA79" s="10">
        <f ca="1">SUM(LOOKUP(2,1/(O$1:O78&lt;&gt;""),O$1:O78)+CFDTable[[#This Row],[highDaily]])</f>
        <v>70.047619047619051</v>
      </c>
      <c r="AB79" s="12">
        <f>IF(CFDTable[[#This Row],[Date]]=DeadlineDate,CFDTable[Future Work],0)</f>
        <v>0</v>
      </c>
    </row>
    <row r="80" spans="1:28">
      <c r="A80" s="8">
        <f>CFDTable[[#This Row],[Date]]</f>
        <v>42522</v>
      </c>
      <c r="B80" s="9">
        <f>Data!B80</f>
        <v>42522</v>
      </c>
      <c r="C80" s="10" t="e">
        <f ca="1">IF(ISNUMBER(CFDTable[[#This Row],[Ready]]),NA(),CFDTable[[#This Row],[Target]]-CFDTable[[#This Row],[To Do]])</f>
        <v>#N/A</v>
      </c>
      <c r="D80" s="10">
        <f ca="1">IF(CFDTable[[#This Row],[Emergence]]&gt;0,CFDTable[[#This Row],[Future Work]]-CFDTable[[#This Row],[Emergence]],NA())</f>
        <v>81</v>
      </c>
      <c r="E80" s="10">
        <f>Data!C80</f>
        <v>43</v>
      </c>
      <c r="F80" s="10">
        <f ca="1">Data!D80</f>
        <v>47</v>
      </c>
      <c r="G80" s="10">
        <f ca="1">IF(TodaysDate&gt;=$B80,Data!E80,NA())</f>
        <v>0</v>
      </c>
      <c r="H80" s="10">
        <f ca="1">IF(TodaysDate&gt;=$B80,Data!F80,NA())</f>
        <v>6</v>
      </c>
      <c r="I80" s="10">
        <f ca="1">IF(TodaysDate&gt;=$B80,Data!G80,NA())</f>
        <v>1</v>
      </c>
      <c r="J80" s="10">
        <f ca="1">IF(TodaysDate&gt;=$B80,Data!H80,NA())</f>
        <v>0</v>
      </c>
      <c r="K80" s="10">
        <f ca="1">IF(TodaysDate&gt;=$B80,Data!I80,NA())</f>
        <v>70</v>
      </c>
      <c r="L80" s="10">
        <f ca="1">IF(CFDTable[[#This Row],[Done]]&gt;0,(CFDTable[[#This Row],[Done]])-(K79),0)</f>
        <v>1</v>
      </c>
      <c r="M80" s="10">
        <f ca="1">IF(ISNUMBER($L80),SUM(CFDTable[[#This Row],[Done]]),IF(CFDTable[[#This Row],[lookupLow]]&gt;=CFDTable[[#This Row],[Target]]+CFDTable[[#This Row],[lowDaily]],NA(),CFDTable[[#This Row],[lookupLow]]))</f>
        <v>70</v>
      </c>
      <c r="N80" s="10">
        <f ca="1">IF(ISNUMBER($L80),SUM(CFDTable[[#This Row],[Done]]),IF(CFDTable[[#This Row],[lookupMedian]]&gt;=$X80+Q80,NA(),CFDTable[[#This Row],[lookupMedian]]))</f>
        <v>70</v>
      </c>
      <c r="O80" s="10">
        <f ca="1">IF(ISNUMBER(CFDTable[[#This Row],[Done Today]]),SUM(CFDTable[[#This Row],[Done]]),IF(CFDTable[[#This Row],[lookupHigh]]&gt;=CFDTable[[#This Row],[Target]]+CFDTable[[#This Row],[highDaily]],NA(),CFDTable[[#This Row],[lookupHigh]]))</f>
        <v>70</v>
      </c>
      <c r="P80" s="10">
        <f ca="1">CFDTable[[#This Row],[AvgDaily]]-CFDTable[[#This Row],[Deviation]]</f>
        <v>0.80952380952380931</v>
      </c>
      <c r="Q80" s="10">
        <f ca="1">AVERAGE(IF(ISNUMBER(L80),IF(ISNUMBER(OFFSET(L80,-Historic,0)),OFFSET(L80,-Historic,0),L$2):L80,Q79))</f>
        <v>0.95238095238095233</v>
      </c>
      <c r="R80" s="10">
        <f ca="1">AVERAGE(IF(ISNUMBER(L80),IF(ISNUMBER(OFFSET(L80,-Historic,0)),OFFSET(L80,-Historic,0),L$2):L80,R79))</f>
        <v>0.95238095238095233</v>
      </c>
      <c r="S80" s="10">
        <f ca="1">AVERAGE(IF(ISNUMBER(L80),OFFSET(L$2,DaysToIgnoreOnAvg,0):L80,S79))</f>
        <v>0.88311688311688308</v>
      </c>
      <c r="T80" s="10">
        <f ca="1">CFDTable[[#This Row],[AvgDaily]]+CFDTable[[#This Row],[Deviation]]</f>
        <v>1.0952380952380953</v>
      </c>
      <c r="U80" s="10">
        <f ca="1">IF(ISNUMBER(L80),((_xlfn.PERCENTILE.INC(IF(ISNUMBER(OFFSET(Q80,-Historic,0)),OFFSET(Q80,-Historic,0),Q$2):Q80,PercentileHigh/100))-(MEDIAN(IF(ISNUMBER(OFFSET(Q80,-Historic,0)),OFFSET(Q80,-Historic,0),Q$2):Q80))),U79)</f>
        <v>0.14285714285714302</v>
      </c>
      <c r="V80" s="10">
        <f ca="1">IF(ISNUMBER(L80),((_xlfn.PERCENTILE.INC(Q$2:Q80,PercentileHigh/100))-(MEDIAN(Q$2:Q80))),U79)</f>
        <v>0.1428571428571429</v>
      </c>
      <c r="W80" s="10">
        <f ca="1">IF(ISNUMBER(CFDTable[[#This Row],[Done Today]]),SUM($F80:$K80),$W79)</f>
        <v>124</v>
      </c>
      <c r="X80" s="10">
        <f ca="1">IF(ISNUMBER(CFDTable[[#This Row],[Done Today]]),SUM($F80:$K80),$X79)</f>
        <v>124</v>
      </c>
      <c r="Y80" s="10">
        <f ca="1">SUM(LOOKUP(2,1/(M$1:M79&lt;&gt;""),M$1:M79)+CFDTable[[#This Row],[lowDaily]])</f>
        <v>69.80952380952381</v>
      </c>
      <c r="Z80" s="10">
        <f ca="1">SUM(LOOKUP(2,1/(N$1:N79&lt;&gt;""),N$1:N79)+Q80)</f>
        <v>69.952380952380949</v>
      </c>
      <c r="AA80" s="10">
        <f ca="1">SUM(LOOKUP(2,1/(O$1:O79&lt;&gt;""),O$1:O79)+CFDTable[[#This Row],[highDaily]])</f>
        <v>70.095238095238102</v>
      </c>
      <c r="AB80" s="12">
        <f>IF(CFDTable[[#This Row],[Date]]=DeadlineDate,CFDTable[Future Work],0)</f>
        <v>0</v>
      </c>
    </row>
    <row r="81" spans="1:28">
      <c r="A81" s="8">
        <f>CFDTable[[#This Row],[Date]]</f>
        <v>42523</v>
      </c>
      <c r="B81" s="9">
        <f>Data!B81</f>
        <v>42523</v>
      </c>
      <c r="C81" s="10">
        <f ca="1">IF(ISNUMBER(CFDTable[[#This Row],[Ready]]),NA(),CFDTable[[#This Row],[Target]]-CFDTable[[#This Row],[To Do]])</f>
        <v>77</v>
      </c>
      <c r="D81" s="10">
        <f ca="1">IF(CFDTable[[#This Row],[Emergence]]&gt;0,CFDTable[[#This Row],[Future Work]]-CFDTable[[#This Row],[Emergence]],NA())</f>
        <v>81</v>
      </c>
      <c r="E81" s="10">
        <f>Data!C81</f>
        <v>43</v>
      </c>
      <c r="F81" s="10">
        <f ca="1">Data!D81</f>
        <v>47</v>
      </c>
      <c r="G81" s="10" t="e">
        <f ca="1">IF(TodaysDate&gt;=$B81,Data!E81,NA())</f>
        <v>#N/A</v>
      </c>
      <c r="H81" s="10" t="e">
        <f ca="1">IF(TodaysDate&gt;=$B81,Data!F81,NA())</f>
        <v>#N/A</v>
      </c>
      <c r="I81" s="10" t="e">
        <f ca="1">IF(TodaysDate&gt;=$B81,Data!G81,NA())</f>
        <v>#N/A</v>
      </c>
      <c r="J81" s="10" t="e">
        <f ca="1">IF(TodaysDate&gt;=$B81,Data!H81,NA())</f>
        <v>#N/A</v>
      </c>
      <c r="K81" s="10" t="e">
        <f ca="1">IF(TodaysDate&gt;=$B81,Data!I81,NA())</f>
        <v>#N/A</v>
      </c>
      <c r="L81" s="10" t="e">
        <f ca="1">IF(CFDTable[[#This Row],[Done]]&gt;0,(CFDTable[[#This Row],[Done]])-(K80),0)</f>
        <v>#N/A</v>
      </c>
      <c r="M81" s="10">
        <f ca="1">IF(ISNUMBER($L81),SUM(CFDTable[[#This Row],[Done]]),IF(CFDTable[[#This Row],[lookupLow]]&gt;=CFDTable[[#This Row],[Target]]+CFDTable[[#This Row],[lowDaily]],NA(),CFDTable[[#This Row],[lookupLow]]))</f>
        <v>70.80952380952381</v>
      </c>
      <c r="N81" s="10">
        <f ca="1">IF(ISNUMBER($L81),SUM(CFDTable[[#This Row],[Done]]),IF(CFDTable[[#This Row],[lookupMedian]]&gt;=$X81+Q81,NA(),CFDTable[[#This Row],[lookupMedian]]))</f>
        <v>70.952380952380949</v>
      </c>
      <c r="O81" s="10">
        <f ca="1">IF(ISNUMBER(CFDTable[[#This Row],[Done Today]]),SUM(CFDTable[[#This Row],[Done]]),IF(CFDTable[[#This Row],[lookupHigh]]&gt;=CFDTable[[#This Row],[Target]]+CFDTable[[#This Row],[highDaily]],NA(),CFDTable[[#This Row],[lookupHigh]]))</f>
        <v>71.095238095238102</v>
      </c>
      <c r="P81" s="10">
        <f ca="1">CFDTable[[#This Row],[AvgDaily]]-CFDTable[[#This Row],[Deviation]]</f>
        <v>0.80952380952380931</v>
      </c>
      <c r="Q81" s="10">
        <f ca="1">AVERAGE(IF(ISNUMBER(L81),IF(ISNUMBER(OFFSET(L81,-Historic,0)),OFFSET(L81,-Historic,0),L$2):L81,Q80))</f>
        <v>0.95238095238095233</v>
      </c>
      <c r="R81" s="10">
        <f ca="1">AVERAGE(IF(ISNUMBER(L81),IF(ISNUMBER(OFFSET(L81,-Historic,0)),OFFSET(L81,-Historic,0),L$2):L81,R80))</f>
        <v>0.95238095238095233</v>
      </c>
      <c r="S81" s="10">
        <f ca="1">AVERAGE(IF(ISNUMBER(L81),OFFSET(L$2,DaysToIgnoreOnAvg,0):L81,S80))</f>
        <v>0.88311688311688308</v>
      </c>
      <c r="T81" s="10">
        <f ca="1">CFDTable[[#This Row],[AvgDaily]]+CFDTable[[#This Row],[Deviation]]</f>
        <v>1.0952380952380953</v>
      </c>
      <c r="U81" s="10">
        <f ca="1">IF(ISNUMBER(L81),((_xlfn.PERCENTILE.INC(IF(ISNUMBER(OFFSET(Q81,-Historic,0)),OFFSET(Q81,-Historic,0),Q$2):Q81,PercentileHigh/100))-(MEDIAN(IF(ISNUMBER(OFFSET(Q81,-Historic,0)),OFFSET(Q81,-Historic,0),Q$2):Q81))),U80)</f>
        <v>0.14285714285714302</v>
      </c>
      <c r="V81" s="10">
        <f ca="1">IF(ISNUMBER(L81),((_xlfn.PERCENTILE.INC(Q$2:Q81,PercentileHigh/100))-(MEDIAN(Q$2:Q81))),U80)</f>
        <v>0.14285714285714302</v>
      </c>
      <c r="W81" s="10">
        <f ca="1">IF(ISNUMBER(CFDTable[[#This Row],[Done Today]]),SUM($F81:$K81),$W80)</f>
        <v>124</v>
      </c>
      <c r="X81" s="10">
        <f ca="1">IF(ISNUMBER(CFDTable[[#This Row],[Done Today]]),SUM($F81:$K81),$X80)</f>
        <v>124</v>
      </c>
      <c r="Y81" s="10">
        <f ca="1">SUM(LOOKUP(2,1/(M$1:M80&lt;&gt;""),M$1:M80)+CFDTable[[#This Row],[lowDaily]])</f>
        <v>70.80952380952381</v>
      </c>
      <c r="Z81" s="10">
        <f ca="1">SUM(LOOKUP(2,1/(N$1:N80&lt;&gt;""),N$1:N80)+Q81)</f>
        <v>70.952380952380949</v>
      </c>
      <c r="AA81" s="10">
        <f ca="1">SUM(LOOKUP(2,1/(O$1:O80&lt;&gt;""),O$1:O80)+CFDTable[[#This Row],[highDaily]])</f>
        <v>71.095238095238102</v>
      </c>
      <c r="AB81" s="12">
        <f>IF(CFDTable[[#This Row],[Date]]=DeadlineDate,CFDTable[Future Work],0)</f>
        <v>0</v>
      </c>
    </row>
    <row r="82" spans="1:28">
      <c r="A82" s="8">
        <f>CFDTable[[#This Row],[Date]]</f>
        <v>42524</v>
      </c>
      <c r="B82" s="9">
        <f>Data!B82</f>
        <v>42524</v>
      </c>
      <c r="C82" s="10">
        <f ca="1">IF(ISNUMBER(CFDTable[[#This Row],[Ready]]),NA(),CFDTable[[#This Row],[Target]]-CFDTable[[#This Row],[To Do]])</f>
        <v>77</v>
      </c>
      <c r="D82" s="10">
        <f ca="1">IF(CFDTable[[#This Row],[Emergence]]&gt;0,CFDTable[[#This Row],[Future Work]]-CFDTable[[#This Row],[Emergence]],NA())</f>
        <v>81</v>
      </c>
      <c r="E82" s="10">
        <f>Data!C82</f>
        <v>43</v>
      </c>
      <c r="F82" s="10">
        <f ca="1">Data!D82</f>
        <v>47</v>
      </c>
      <c r="G82" s="10" t="e">
        <f ca="1">IF(TodaysDate&gt;=$B82,Data!E82,NA())</f>
        <v>#N/A</v>
      </c>
      <c r="H82" s="10" t="e">
        <f ca="1">IF(TodaysDate&gt;=$B82,Data!F82,NA())</f>
        <v>#N/A</v>
      </c>
      <c r="I82" s="10" t="e">
        <f ca="1">IF(TodaysDate&gt;=$B82,Data!G82,NA())</f>
        <v>#N/A</v>
      </c>
      <c r="J82" s="10" t="e">
        <f ca="1">IF(TodaysDate&gt;=$B82,Data!H82,NA())</f>
        <v>#N/A</v>
      </c>
      <c r="K82" s="10" t="e">
        <f ca="1">IF(TodaysDate&gt;=$B82,Data!I82,NA())</f>
        <v>#N/A</v>
      </c>
      <c r="L82" s="10" t="e">
        <f ca="1">IF(CFDTable[[#This Row],[Done]]&gt;0,(CFDTable[[#This Row],[Done]])-(K81),0)</f>
        <v>#N/A</v>
      </c>
      <c r="M82" s="10">
        <f ca="1">IF(ISNUMBER($L82),SUM(CFDTable[[#This Row],[Done]]),IF(CFDTable[[#This Row],[lookupLow]]&gt;=CFDTable[[#This Row],[Target]]+CFDTable[[#This Row],[lowDaily]],NA(),CFDTable[[#This Row],[lookupLow]]))</f>
        <v>71.61904761904762</v>
      </c>
      <c r="N82" s="10">
        <f ca="1">IF(ISNUMBER($L82),SUM(CFDTable[[#This Row],[Done]]),IF(CFDTable[[#This Row],[lookupMedian]]&gt;=$X82+Q82,NA(),CFDTable[[#This Row],[lookupMedian]]))</f>
        <v>71.904761904761898</v>
      </c>
      <c r="O82" s="10">
        <f ca="1">IF(ISNUMBER(CFDTable[[#This Row],[Done Today]]),SUM(CFDTable[[#This Row],[Done]]),IF(CFDTable[[#This Row],[lookupHigh]]&gt;=CFDTable[[#This Row],[Target]]+CFDTable[[#This Row],[highDaily]],NA(),CFDTable[[#This Row],[lookupHigh]]))</f>
        <v>72.190476190476204</v>
      </c>
      <c r="P82" s="10">
        <f ca="1">CFDTable[[#This Row],[AvgDaily]]-CFDTable[[#This Row],[Deviation]]</f>
        <v>0.80952380952380931</v>
      </c>
      <c r="Q82" s="10">
        <f ca="1">AVERAGE(IF(ISNUMBER(L82),IF(ISNUMBER(OFFSET(L82,-Historic,0)),OFFSET(L82,-Historic,0),L$2):L82,Q81))</f>
        <v>0.95238095238095233</v>
      </c>
      <c r="R82" s="10">
        <f ca="1">AVERAGE(IF(ISNUMBER(L82),IF(ISNUMBER(OFFSET(L82,-Historic,0)),OFFSET(L82,-Historic,0),L$2):L82,R81))</f>
        <v>0.95238095238095233</v>
      </c>
      <c r="S82" s="10">
        <f ca="1">AVERAGE(IF(ISNUMBER(L82),OFFSET(L$2,DaysToIgnoreOnAvg,0):L82,S81))</f>
        <v>0.88311688311688308</v>
      </c>
      <c r="T82" s="10">
        <f ca="1">CFDTable[[#This Row],[AvgDaily]]+CFDTable[[#This Row],[Deviation]]</f>
        <v>1.0952380952380953</v>
      </c>
      <c r="U82" s="10">
        <f ca="1">IF(ISNUMBER(L82),((_xlfn.PERCENTILE.INC(IF(ISNUMBER(OFFSET(Q82,-Historic,0)),OFFSET(Q82,-Historic,0),Q$2):Q82,PercentileHigh/100))-(MEDIAN(IF(ISNUMBER(OFFSET(Q82,-Historic,0)),OFFSET(Q82,-Historic,0),Q$2):Q82))),U81)</f>
        <v>0.14285714285714302</v>
      </c>
      <c r="V82" s="10">
        <f ca="1">IF(ISNUMBER(L82),((_xlfn.PERCENTILE.INC(Q$2:Q82,PercentileHigh/100))-(MEDIAN(Q$2:Q82))),U81)</f>
        <v>0.14285714285714302</v>
      </c>
      <c r="W82" s="10">
        <f ca="1">IF(ISNUMBER(CFDTable[[#This Row],[Done Today]]),SUM($F82:$K82),$W81)</f>
        <v>124</v>
      </c>
      <c r="X82" s="10">
        <f ca="1">IF(ISNUMBER(CFDTable[[#This Row],[Done Today]]),SUM($F82:$K82),$X81)</f>
        <v>124</v>
      </c>
      <c r="Y82" s="10">
        <f ca="1">SUM(LOOKUP(2,1/(M$1:M81&lt;&gt;""),M$1:M81)+CFDTable[[#This Row],[lowDaily]])</f>
        <v>71.61904761904762</v>
      </c>
      <c r="Z82" s="10">
        <f ca="1">SUM(LOOKUP(2,1/(N$1:N81&lt;&gt;""),N$1:N81)+Q82)</f>
        <v>71.904761904761898</v>
      </c>
      <c r="AA82" s="10">
        <f ca="1">SUM(LOOKUP(2,1/(O$1:O81&lt;&gt;""),O$1:O81)+CFDTable[[#This Row],[highDaily]])</f>
        <v>72.190476190476204</v>
      </c>
      <c r="AB82" s="12">
        <f>IF(CFDTable[[#This Row],[Date]]=DeadlineDate,CFDTable[Future Work],0)</f>
        <v>0</v>
      </c>
    </row>
    <row r="83" spans="1:28">
      <c r="A83" s="8">
        <f>CFDTable[[#This Row],[Date]]</f>
        <v>42527</v>
      </c>
      <c r="B83" s="9">
        <f>Data!B83</f>
        <v>42527</v>
      </c>
      <c r="C83" s="10">
        <f ca="1">IF(ISNUMBER(CFDTable[[#This Row],[Ready]]),NA(),CFDTable[[#This Row],[Target]]-CFDTable[[#This Row],[To Do]])</f>
        <v>77</v>
      </c>
      <c r="D83" s="10">
        <f ca="1">IF(CFDTable[[#This Row],[Emergence]]&gt;0,CFDTable[[#This Row],[Future Work]]-CFDTable[[#This Row],[Emergence]],NA())</f>
        <v>81</v>
      </c>
      <c r="E83" s="10">
        <f>Data!C83</f>
        <v>43</v>
      </c>
      <c r="F83" s="10">
        <f ca="1">Data!D83</f>
        <v>47</v>
      </c>
      <c r="G83" s="10" t="e">
        <f ca="1">IF(TodaysDate&gt;=$B83,Data!E83,NA())</f>
        <v>#N/A</v>
      </c>
      <c r="H83" s="10" t="e">
        <f ca="1">IF(TodaysDate&gt;=$B83,Data!F83,NA())</f>
        <v>#N/A</v>
      </c>
      <c r="I83" s="10" t="e">
        <f ca="1">IF(TodaysDate&gt;=$B83,Data!G83,NA())</f>
        <v>#N/A</v>
      </c>
      <c r="J83" s="10" t="e">
        <f ca="1">IF(TodaysDate&gt;=$B83,Data!H83,NA())</f>
        <v>#N/A</v>
      </c>
      <c r="K83" s="10" t="e">
        <f ca="1">IF(TodaysDate&gt;=$B83,Data!I83,NA())</f>
        <v>#N/A</v>
      </c>
      <c r="L83" s="10" t="e">
        <f ca="1">IF(CFDTable[[#This Row],[Done]]&gt;0,(CFDTable[[#This Row],[Done]])-(K82),0)</f>
        <v>#N/A</v>
      </c>
      <c r="M83" s="10">
        <f ca="1">IF(ISNUMBER($L83),SUM(CFDTable[[#This Row],[Done]]),IF(CFDTable[[#This Row],[lookupLow]]&gt;=CFDTable[[#This Row],[Target]]+CFDTable[[#This Row],[lowDaily]],NA(),CFDTable[[#This Row],[lookupLow]]))</f>
        <v>72.428571428571431</v>
      </c>
      <c r="N83" s="10">
        <f ca="1">IF(ISNUMBER($L83),SUM(CFDTable[[#This Row],[Done]]),IF(CFDTable[[#This Row],[lookupMedian]]&gt;=$X83+Q83,NA(),CFDTable[[#This Row],[lookupMedian]]))</f>
        <v>72.857142857142847</v>
      </c>
      <c r="O83" s="10">
        <f ca="1">IF(ISNUMBER(CFDTable[[#This Row],[Done Today]]),SUM(CFDTable[[#This Row],[Done]]),IF(CFDTable[[#This Row],[lookupHigh]]&gt;=CFDTable[[#This Row],[Target]]+CFDTable[[#This Row],[highDaily]],NA(),CFDTable[[#This Row],[lookupHigh]]))</f>
        <v>73.285714285714306</v>
      </c>
      <c r="P83" s="10">
        <f ca="1">CFDTable[[#This Row],[AvgDaily]]-CFDTable[[#This Row],[Deviation]]</f>
        <v>0.80952380952380931</v>
      </c>
      <c r="Q83" s="10">
        <f ca="1">AVERAGE(IF(ISNUMBER(L83),IF(ISNUMBER(OFFSET(L83,-Historic,0)),OFFSET(L83,-Historic,0),L$2):L83,Q82))</f>
        <v>0.95238095238095233</v>
      </c>
      <c r="R83" s="10">
        <f ca="1">AVERAGE(IF(ISNUMBER(L83),IF(ISNUMBER(OFFSET(L83,-Historic,0)),OFFSET(L83,-Historic,0),L$2):L83,R82))</f>
        <v>0.95238095238095233</v>
      </c>
      <c r="S83" s="10">
        <f ca="1">AVERAGE(IF(ISNUMBER(L83),OFFSET(L$2,DaysToIgnoreOnAvg,0):L83,S82))</f>
        <v>0.88311688311688308</v>
      </c>
      <c r="T83" s="10">
        <f ca="1">CFDTable[[#This Row],[AvgDaily]]+CFDTable[[#This Row],[Deviation]]</f>
        <v>1.0952380952380953</v>
      </c>
      <c r="U83" s="10">
        <f ca="1">IF(ISNUMBER(L83),((_xlfn.PERCENTILE.INC(IF(ISNUMBER(OFFSET(Q83,-Historic,0)),OFFSET(Q83,-Historic,0),Q$2):Q83,PercentileHigh/100))-(MEDIAN(IF(ISNUMBER(OFFSET(Q83,-Historic,0)),OFFSET(Q83,-Historic,0),Q$2):Q83))),U82)</f>
        <v>0.14285714285714302</v>
      </c>
      <c r="V83" s="10">
        <f ca="1">IF(ISNUMBER(L83),((_xlfn.PERCENTILE.INC(Q$2:Q83,PercentileHigh/100))-(MEDIAN(Q$2:Q83))),U82)</f>
        <v>0.14285714285714302</v>
      </c>
      <c r="W83" s="10">
        <f ca="1">IF(ISNUMBER(CFDTable[[#This Row],[Done Today]]),SUM($F83:$K83),$W82)</f>
        <v>124</v>
      </c>
      <c r="X83" s="10">
        <f ca="1">IF(ISNUMBER(CFDTable[[#This Row],[Done Today]]),SUM($F83:$K83),$X82)</f>
        <v>124</v>
      </c>
      <c r="Y83" s="10">
        <f ca="1">SUM(LOOKUP(2,1/(M$1:M82&lt;&gt;""),M$1:M82)+CFDTable[[#This Row],[lowDaily]])</f>
        <v>72.428571428571431</v>
      </c>
      <c r="Z83" s="10">
        <f ca="1">SUM(LOOKUP(2,1/(N$1:N82&lt;&gt;""),N$1:N82)+Q83)</f>
        <v>72.857142857142847</v>
      </c>
      <c r="AA83" s="10">
        <f ca="1">SUM(LOOKUP(2,1/(O$1:O82&lt;&gt;""),O$1:O82)+CFDTable[[#This Row],[highDaily]])</f>
        <v>73.285714285714306</v>
      </c>
      <c r="AB83" s="12">
        <f>IF(CFDTable[[#This Row],[Date]]=DeadlineDate,CFDTable[Future Work],0)</f>
        <v>0</v>
      </c>
    </row>
    <row r="84" spans="1:28">
      <c r="A84" s="8">
        <f>CFDTable[[#This Row],[Date]]</f>
        <v>42528</v>
      </c>
      <c r="B84" s="9">
        <f>Data!B84</f>
        <v>42528</v>
      </c>
      <c r="C84" s="10">
        <f ca="1">IF(ISNUMBER(CFDTable[[#This Row],[Ready]]),NA(),CFDTable[[#This Row],[Target]]-CFDTable[[#This Row],[To Do]])</f>
        <v>77</v>
      </c>
      <c r="D84" s="10">
        <f ca="1">IF(CFDTable[[#This Row],[Emergence]]&gt;0,CFDTable[[#This Row],[Future Work]]-CFDTable[[#This Row],[Emergence]],NA())</f>
        <v>81</v>
      </c>
      <c r="E84" s="10">
        <f>Data!C84</f>
        <v>43</v>
      </c>
      <c r="F84" s="10">
        <f ca="1">Data!D84</f>
        <v>47</v>
      </c>
      <c r="G84" s="10" t="e">
        <f ca="1">IF(TodaysDate&gt;=$B84,Data!E84,NA())</f>
        <v>#N/A</v>
      </c>
      <c r="H84" s="10" t="e">
        <f ca="1">IF(TodaysDate&gt;=$B84,Data!F84,NA())</f>
        <v>#N/A</v>
      </c>
      <c r="I84" s="10" t="e">
        <f ca="1">IF(TodaysDate&gt;=$B84,Data!G84,NA())</f>
        <v>#N/A</v>
      </c>
      <c r="J84" s="10" t="e">
        <f ca="1">IF(TodaysDate&gt;=$B84,Data!H84,NA())</f>
        <v>#N/A</v>
      </c>
      <c r="K84" s="10" t="e">
        <f ca="1">IF(TodaysDate&gt;=$B84,Data!I84,NA())</f>
        <v>#N/A</v>
      </c>
      <c r="L84" s="10" t="e">
        <f ca="1">IF(CFDTable[[#This Row],[Done]]&gt;0,(CFDTable[[#This Row],[Done]])-(K83),0)</f>
        <v>#N/A</v>
      </c>
      <c r="M84" s="10">
        <f ca="1">IF(ISNUMBER($L84),SUM(CFDTable[[#This Row],[Done]]),IF(CFDTable[[#This Row],[lookupLow]]&gt;=CFDTable[[#This Row],[Target]]+CFDTable[[#This Row],[lowDaily]],NA(),CFDTable[[#This Row],[lookupLow]]))</f>
        <v>73.238095238095241</v>
      </c>
      <c r="N84" s="10">
        <f ca="1">IF(ISNUMBER($L84),SUM(CFDTable[[#This Row],[Done]]),IF(CFDTable[[#This Row],[lookupMedian]]&gt;=$X84+Q84,NA(),CFDTable[[#This Row],[lookupMedian]]))</f>
        <v>73.809523809523796</v>
      </c>
      <c r="O84" s="10">
        <f ca="1">IF(ISNUMBER(CFDTable[[#This Row],[Done Today]]),SUM(CFDTable[[#This Row],[Done]]),IF(CFDTable[[#This Row],[lookupHigh]]&gt;=CFDTable[[#This Row],[Target]]+CFDTable[[#This Row],[highDaily]],NA(),CFDTable[[#This Row],[lookupHigh]]))</f>
        <v>74.380952380952408</v>
      </c>
      <c r="P84" s="10">
        <f ca="1">CFDTable[[#This Row],[AvgDaily]]-CFDTable[[#This Row],[Deviation]]</f>
        <v>0.80952380952380931</v>
      </c>
      <c r="Q84" s="10">
        <f ca="1">AVERAGE(IF(ISNUMBER(L84),IF(ISNUMBER(OFFSET(L84,-Historic,0)),OFFSET(L84,-Historic,0),L$2):L84,Q83))</f>
        <v>0.95238095238095233</v>
      </c>
      <c r="R84" s="10">
        <f ca="1">AVERAGE(IF(ISNUMBER(L84),IF(ISNUMBER(OFFSET(L84,-Historic,0)),OFFSET(L84,-Historic,0),L$2):L84,R83))</f>
        <v>0.95238095238095233</v>
      </c>
      <c r="S84" s="10">
        <f ca="1">AVERAGE(IF(ISNUMBER(L84),OFFSET(L$2,DaysToIgnoreOnAvg,0):L84,S83))</f>
        <v>0.88311688311688308</v>
      </c>
      <c r="T84" s="10">
        <f ca="1">CFDTable[[#This Row],[AvgDaily]]+CFDTable[[#This Row],[Deviation]]</f>
        <v>1.0952380952380953</v>
      </c>
      <c r="U84" s="10">
        <f ca="1">IF(ISNUMBER(L84),((_xlfn.PERCENTILE.INC(IF(ISNUMBER(OFFSET(Q84,-Historic,0)),OFFSET(Q84,-Historic,0),Q$2):Q84,PercentileHigh/100))-(MEDIAN(IF(ISNUMBER(OFFSET(Q84,-Historic,0)),OFFSET(Q84,-Historic,0),Q$2):Q84))),U83)</f>
        <v>0.14285714285714302</v>
      </c>
      <c r="V84" s="10">
        <f ca="1">IF(ISNUMBER(L84),((_xlfn.PERCENTILE.INC(Q$2:Q84,PercentileHigh/100))-(MEDIAN(Q$2:Q84))),U83)</f>
        <v>0.14285714285714302</v>
      </c>
      <c r="W84" s="10">
        <f ca="1">IF(ISNUMBER(CFDTable[[#This Row],[Done Today]]),SUM($F84:$K84),$W83)</f>
        <v>124</v>
      </c>
      <c r="X84" s="10">
        <f ca="1">IF(ISNUMBER(CFDTable[[#This Row],[Done Today]]),SUM($F84:$K84),$X83)</f>
        <v>124</v>
      </c>
      <c r="Y84" s="10">
        <f ca="1">SUM(LOOKUP(2,1/(M$1:M83&lt;&gt;""),M$1:M83)+CFDTable[[#This Row],[lowDaily]])</f>
        <v>73.238095238095241</v>
      </c>
      <c r="Z84" s="10">
        <f ca="1">SUM(LOOKUP(2,1/(N$1:N83&lt;&gt;""),N$1:N83)+Q84)</f>
        <v>73.809523809523796</v>
      </c>
      <c r="AA84" s="10">
        <f ca="1">SUM(LOOKUP(2,1/(O$1:O83&lt;&gt;""),O$1:O83)+CFDTable[[#This Row],[highDaily]])</f>
        <v>74.380952380952408</v>
      </c>
      <c r="AB84" s="12">
        <f>IF(CFDTable[[#This Row],[Date]]=DeadlineDate,CFDTable[Future Work],0)</f>
        <v>0</v>
      </c>
    </row>
    <row r="85" spans="1:28">
      <c r="A85" s="8">
        <f>CFDTable[[#This Row],[Date]]</f>
        <v>42529</v>
      </c>
      <c r="B85" s="9">
        <f>Data!B85</f>
        <v>42529</v>
      </c>
      <c r="C85" s="10">
        <f ca="1">IF(ISNUMBER(CFDTable[[#This Row],[Ready]]),NA(),CFDTable[[#This Row],[Target]]-CFDTable[[#This Row],[To Do]])</f>
        <v>77</v>
      </c>
      <c r="D85" s="10">
        <f ca="1">IF(CFDTable[[#This Row],[Emergence]]&gt;0,CFDTable[[#This Row],[Future Work]]-CFDTable[[#This Row],[Emergence]],NA())</f>
        <v>81</v>
      </c>
      <c r="E85" s="10">
        <f>Data!C85</f>
        <v>43</v>
      </c>
      <c r="F85" s="10">
        <f ca="1">Data!D85</f>
        <v>47</v>
      </c>
      <c r="G85" s="10" t="e">
        <f ca="1">IF(TodaysDate&gt;=$B85,Data!E85,NA())</f>
        <v>#N/A</v>
      </c>
      <c r="H85" s="10" t="e">
        <f ca="1">IF(TodaysDate&gt;=$B85,Data!F85,NA())</f>
        <v>#N/A</v>
      </c>
      <c r="I85" s="10" t="e">
        <f ca="1">IF(TodaysDate&gt;=$B85,Data!G85,NA())</f>
        <v>#N/A</v>
      </c>
      <c r="J85" s="10" t="e">
        <f ca="1">IF(TodaysDate&gt;=$B85,Data!H85,NA())</f>
        <v>#N/A</v>
      </c>
      <c r="K85" s="10" t="e">
        <f ca="1">IF(TodaysDate&gt;=$B85,Data!I85,NA())</f>
        <v>#N/A</v>
      </c>
      <c r="L85" s="10" t="e">
        <f ca="1">IF(CFDTable[[#This Row],[Done]]&gt;0,(CFDTable[[#This Row],[Done]])-(K84),0)</f>
        <v>#N/A</v>
      </c>
      <c r="M85" s="10">
        <f ca="1">IF(ISNUMBER($L85),SUM(CFDTable[[#This Row],[Done]]),IF(CFDTable[[#This Row],[lookupLow]]&gt;=CFDTable[[#This Row],[Target]]+CFDTable[[#This Row],[lowDaily]],NA(),CFDTable[[#This Row],[lookupLow]]))</f>
        <v>74.047619047619051</v>
      </c>
      <c r="N85" s="10">
        <f ca="1">IF(ISNUMBER($L85),SUM(CFDTable[[#This Row],[Done]]),IF(CFDTable[[#This Row],[lookupMedian]]&gt;=$X85+Q85,NA(),CFDTable[[#This Row],[lookupMedian]]))</f>
        <v>74.761904761904745</v>
      </c>
      <c r="O85" s="10">
        <f ca="1">IF(ISNUMBER(CFDTable[[#This Row],[Done Today]]),SUM(CFDTable[[#This Row],[Done]]),IF(CFDTable[[#This Row],[lookupHigh]]&gt;=CFDTable[[#This Row],[Target]]+CFDTable[[#This Row],[highDaily]],NA(),CFDTable[[#This Row],[lookupHigh]]))</f>
        <v>75.47619047619051</v>
      </c>
      <c r="P85" s="10">
        <f ca="1">CFDTable[[#This Row],[AvgDaily]]-CFDTable[[#This Row],[Deviation]]</f>
        <v>0.80952380952380931</v>
      </c>
      <c r="Q85" s="10">
        <f ca="1">AVERAGE(IF(ISNUMBER(L85),IF(ISNUMBER(OFFSET(L85,-Historic,0)),OFFSET(L85,-Historic,0),L$2):L85,Q84))</f>
        <v>0.95238095238095233</v>
      </c>
      <c r="R85" s="10">
        <f ca="1">AVERAGE(IF(ISNUMBER(L85),IF(ISNUMBER(OFFSET(L85,-Historic,0)),OFFSET(L85,-Historic,0),L$2):L85,R84))</f>
        <v>0.95238095238095233</v>
      </c>
      <c r="S85" s="10">
        <f ca="1">AVERAGE(IF(ISNUMBER(L85),OFFSET(L$2,DaysToIgnoreOnAvg,0):L85,S84))</f>
        <v>0.88311688311688308</v>
      </c>
      <c r="T85" s="10">
        <f ca="1">CFDTable[[#This Row],[AvgDaily]]+CFDTable[[#This Row],[Deviation]]</f>
        <v>1.0952380952380953</v>
      </c>
      <c r="U85" s="10">
        <f ca="1">IF(ISNUMBER(L85),((_xlfn.PERCENTILE.INC(IF(ISNUMBER(OFFSET(Q85,-Historic,0)),OFFSET(Q85,-Historic,0),Q$2):Q85,PercentileHigh/100))-(MEDIAN(IF(ISNUMBER(OFFSET(Q85,-Historic,0)),OFFSET(Q85,-Historic,0),Q$2):Q85))),U84)</f>
        <v>0.14285714285714302</v>
      </c>
      <c r="V85" s="10">
        <f ca="1">IF(ISNUMBER(L85),((_xlfn.PERCENTILE.INC(Q$2:Q85,PercentileHigh/100))-(MEDIAN(Q$2:Q85))),U84)</f>
        <v>0.14285714285714302</v>
      </c>
      <c r="W85" s="10">
        <f ca="1">IF(ISNUMBER(CFDTable[[#This Row],[Done Today]]),SUM($F85:$K85),$W84)</f>
        <v>124</v>
      </c>
      <c r="X85" s="10">
        <f ca="1">IF(ISNUMBER(CFDTable[[#This Row],[Done Today]]),SUM($F85:$K85),$X84)</f>
        <v>124</v>
      </c>
      <c r="Y85" s="10">
        <f ca="1">SUM(LOOKUP(2,1/(M$1:M84&lt;&gt;""),M$1:M84)+CFDTable[[#This Row],[lowDaily]])</f>
        <v>74.047619047619051</v>
      </c>
      <c r="Z85" s="10">
        <f ca="1">SUM(LOOKUP(2,1/(N$1:N84&lt;&gt;""),N$1:N84)+Q85)</f>
        <v>74.761904761904745</v>
      </c>
      <c r="AA85" s="10">
        <f ca="1">SUM(LOOKUP(2,1/(O$1:O84&lt;&gt;""),O$1:O84)+CFDTable[[#This Row],[highDaily]])</f>
        <v>75.47619047619051</v>
      </c>
      <c r="AB85" s="12">
        <f>IF(CFDTable[[#This Row],[Date]]=DeadlineDate,CFDTable[Future Work],0)</f>
        <v>0</v>
      </c>
    </row>
    <row r="86" spans="1:28">
      <c r="A86" s="8">
        <f>CFDTable[[#This Row],[Date]]</f>
        <v>42530</v>
      </c>
      <c r="B86" s="9">
        <f>Data!B86</f>
        <v>42530</v>
      </c>
      <c r="C86" s="10">
        <f ca="1">IF(ISNUMBER(CFDTable[[#This Row],[Ready]]),NA(),CFDTable[[#This Row],[Target]]-CFDTable[[#This Row],[To Do]])</f>
        <v>77</v>
      </c>
      <c r="D86" s="10">
        <f ca="1">IF(CFDTable[[#This Row],[Emergence]]&gt;0,CFDTable[[#This Row],[Future Work]]-CFDTable[[#This Row],[Emergence]],NA())</f>
        <v>81</v>
      </c>
      <c r="E86" s="10">
        <f>Data!C86</f>
        <v>43</v>
      </c>
      <c r="F86" s="10">
        <f ca="1">Data!D86</f>
        <v>47</v>
      </c>
      <c r="G86" s="10" t="e">
        <f ca="1">IF(TodaysDate&gt;=$B86,Data!E86,NA())</f>
        <v>#N/A</v>
      </c>
      <c r="H86" s="10" t="e">
        <f ca="1">IF(TodaysDate&gt;=$B86,Data!F86,NA())</f>
        <v>#N/A</v>
      </c>
      <c r="I86" s="10" t="e">
        <f ca="1">IF(TodaysDate&gt;=$B86,Data!G86,NA())</f>
        <v>#N/A</v>
      </c>
      <c r="J86" s="10" t="e">
        <f ca="1">IF(TodaysDate&gt;=$B86,Data!H86,NA())</f>
        <v>#N/A</v>
      </c>
      <c r="K86" s="10" t="e">
        <f ca="1">IF(TodaysDate&gt;=$B86,Data!I86,NA())</f>
        <v>#N/A</v>
      </c>
      <c r="L86" s="10" t="e">
        <f ca="1">IF(CFDTable[[#This Row],[Done]]&gt;0,(CFDTable[[#This Row],[Done]])-(K85),0)</f>
        <v>#N/A</v>
      </c>
      <c r="M86" s="10">
        <f ca="1">IF(ISNUMBER($L86),SUM(CFDTable[[#This Row],[Done]]),IF(CFDTable[[#This Row],[lookupLow]]&gt;=CFDTable[[#This Row],[Target]]+CFDTable[[#This Row],[lowDaily]],NA(),CFDTable[[#This Row],[lookupLow]]))</f>
        <v>74.857142857142861</v>
      </c>
      <c r="N86" s="10">
        <f ca="1">IF(ISNUMBER($L86),SUM(CFDTable[[#This Row],[Done]]),IF(CFDTable[[#This Row],[lookupMedian]]&gt;=$X86+Q86,NA(),CFDTable[[#This Row],[lookupMedian]]))</f>
        <v>75.714285714285694</v>
      </c>
      <c r="O86" s="10">
        <f ca="1">IF(ISNUMBER(CFDTable[[#This Row],[Done Today]]),SUM(CFDTable[[#This Row],[Done]]),IF(CFDTable[[#This Row],[lookupHigh]]&gt;=CFDTable[[#This Row],[Target]]+CFDTable[[#This Row],[highDaily]],NA(),CFDTable[[#This Row],[lookupHigh]]))</f>
        <v>76.571428571428612</v>
      </c>
      <c r="P86" s="10">
        <f ca="1">CFDTable[[#This Row],[AvgDaily]]-CFDTable[[#This Row],[Deviation]]</f>
        <v>0.80952380952380931</v>
      </c>
      <c r="Q86" s="10">
        <f ca="1">AVERAGE(IF(ISNUMBER(L86),IF(ISNUMBER(OFFSET(L86,-Historic,0)),OFFSET(L86,-Historic,0),L$2):L86,Q85))</f>
        <v>0.95238095238095233</v>
      </c>
      <c r="R86" s="10">
        <f ca="1">AVERAGE(IF(ISNUMBER(L86),IF(ISNUMBER(OFFSET(L86,-Historic,0)),OFFSET(L86,-Historic,0),L$2):L86,R85))</f>
        <v>0.95238095238095233</v>
      </c>
      <c r="S86" s="10">
        <f ca="1">AVERAGE(IF(ISNUMBER(L86),OFFSET(L$2,DaysToIgnoreOnAvg,0):L86,S85))</f>
        <v>0.88311688311688308</v>
      </c>
      <c r="T86" s="10">
        <f ca="1">CFDTable[[#This Row],[AvgDaily]]+CFDTable[[#This Row],[Deviation]]</f>
        <v>1.0952380952380953</v>
      </c>
      <c r="U86" s="10">
        <f ca="1">IF(ISNUMBER(L86),((_xlfn.PERCENTILE.INC(IF(ISNUMBER(OFFSET(Q86,-Historic,0)),OFFSET(Q86,-Historic,0),Q$2):Q86,PercentileHigh/100))-(MEDIAN(IF(ISNUMBER(OFFSET(Q86,-Historic,0)),OFFSET(Q86,-Historic,0),Q$2):Q86))),U85)</f>
        <v>0.14285714285714302</v>
      </c>
      <c r="V86" s="10">
        <f ca="1">IF(ISNUMBER(L86),((_xlfn.PERCENTILE.INC(Q$2:Q86,PercentileHigh/100))-(MEDIAN(Q$2:Q86))),U85)</f>
        <v>0.14285714285714302</v>
      </c>
      <c r="W86" s="10">
        <f ca="1">IF(ISNUMBER(CFDTable[[#This Row],[Done Today]]),SUM($F86:$K86),$W85)</f>
        <v>124</v>
      </c>
      <c r="X86" s="10">
        <f ca="1">IF(ISNUMBER(CFDTable[[#This Row],[Done Today]]),SUM($F86:$K86),$X85)</f>
        <v>124</v>
      </c>
      <c r="Y86" s="10">
        <f ca="1">SUM(LOOKUP(2,1/(M$1:M85&lt;&gt;""),M$1:M85)+CFDTable[[#This Row],[lowDaily]])</f>
        <v>74.857142857142861</v>
      </c>
      <c r="Z86" s="10">
        <f ca="1">SUM(LOOKUP(2,1/(N$1:N85&lt;&gt;""),N$1:N85)+Q86)</f>
        <v>75.714285714285694</v>
      </c>
      <c r="AA86" s="10">
        <f ca="1">SUM(LOOKUP(2,1/(O$1:O85&lt;&gt;""),O$1:O85)+CFDTable[[#This Row],[highDaily]])</f>
        <v>76.571428571428612</v>
      </c>
      <c r="AB86" s="12">
        <f>IF(CFDTable[[#This Row],[Date]]=DeadlineDate,CFDTable[Future Work],0)</f>
        <v>0</v>
      </c>
    </row>
    <row r="87" spans="1:28">
      <c r="A87" s="8">
        <f>CFDTable[[#This Row],[Date]]</f>
        <v>42531</v>
      </c>
      <c r="B87" s="9">
        <f>Data!B87</f>
        <v>42531</v>
      </c>
      <c r="C87" s="10">
        <f ca="1">IF(ISNUMBER(CFDTable[[#This Row],[Ready]]),NA(),CFDTable[[#This Row],[Target]]-CFDTable[[#This Row],[To Do]])</f>
        <v>77</v>
      </c>
      <c r="D87" s="10">
        <f ca="1">IF(CFDTable[[#This Row],[Emergence]]&gt;0,CFDTable[[#This Row],[Future Work]]-CFDTable[[#This Row],[Emergence]],NA())</f>
        <v>81</v>
      </c>
      <c r="E87" s="10">
        <f>Data!C87</f>
        <v>43</v>
      </c>
      <c r="F87" s="10">
        <f ca="1">Data!D87</f>
        <v>47</v>
      </c>
      <c r="G87" s="10" t="e">
        <f ca="1">IF(TodaysDate&gt;=$B87,Data!E87,NA())</f>
        <v>#N/A</v>
      </c>
      <c r="H87" s="10" t="e">
        <f ca="1">IF(TodaysDate&gt;=$B87,Data!F87,NA())</f>
        <v>#N/A</v>
      </c>
      <c r="I87" s="10" t="e">
        <f ca="1">IF(TodaysDate&gt;=$B87,Data!G87,NA())</f>
        <v>#N/A</v>
      </c>
      <c r="J87" s="10" t="e">
        <f ca="1">IF(TodaysDate&gt;=$B87,Data!H87,NA())</f>
        <v>#N/A</v>
      </c>
      <c r="K87" s="10" t="e">
        <f ca="1">IF(TodaysDate&gt;=$B87,Data!I87,NA())</f>
        <v>#N/A</v>
      </c>
      <c r="L87" s="10" t="e">
        <f ca="1">IF(CFDTable[[#This Row],[Done]]&gt;0,(CFDTable[[#This Row],[Done]])-(K86),0)</f>
        <v>#N/A</v>
      </c>
      <c r="M87" s="10">
        <f ca="1">IF(ISNUMBER($L87),SUM(CFDTable[[#This Row],[Done]]),IF(CFDTable[[#This Row],[lookupLow]]&gt;=CFDTable[[#This Row],[Target]]+CFDTable[[#This Row],[lowDaily]],NA(),CFDTable[[#This Row],[lookupLow]]))</f>
        <v>75.666666666666671</v>
      </c>
      <c r="N87" s="10">
        <f ca="1">IF(ISNUMBER($L87),SUM(CFDTable[[#This Row],[Done]]),IF(CFDTable[[#This Row],[lookupMedian]]&gt;=$X87+Q87,NA(),CFDTable[[#This Row],[lookupMedian]]))</f>
        <v>76.666666666666643</v>
      </c>
      <c r="O87" s="10">
        <f ca="1">IF(ISNUMBER(CFDTable[[#This Row],[Done Today]]),SUM(CFDTable[[#This Row],[Done]]),IF(CFDTable[[#This Row],[lookupHigh]]&gt;=CFDTable[[#This Row],[Target]]+CFDTable[[#This Row],[highDaily]],NA(),CFDTable[[#This Row],[lookupHigh]]))</f>
        <v>77.666666666666714</v>
      </c>
      <c r="P87" s="10">
        <f ca="1">CFDTable[[#This Row],[AvgDaily]]-CFDTable[[#This Row],[Deviation]]</f>
        <v>0.80952380952380931</v>
      </c>
      <c r="Q87" s="10">
        <f ca="1">AVERAGE(IF(ISNUMBER(L87),IF(ISNUMBER(OFFSET(L87,-Historic,0)),OFFSET(L87,-Historic,0),L$2):L87,Q86))</f>
        <v>0.95238095238095233</v>
      </c>
      <c r="R87" s="10">
        <f ca="1">AVERAGE(IF(ISNUMBER(L87),IF(ISNUMBER(OFFSET(L87,-Historic,0)),OFFSET(L87,-Historic,0),L$2):L87,R86))</f>
        <v>0.95238095238095233</v>
      </c>
      <c r="S87" s="10">
        <f ca="1">AVERAGE(IF(ISNUMBER(L87),OFFSET(L$2,DaysToIgnoreOnAvg,0):L87,S86))</f>
        <v>0.88311688311688308</v>
      </c>
      <c r="T87" s="10">
        <f ca="1">CFDTable[[#This Row],[AvgDaily]]+CFDTable[[#This Row],[Deviation]]</f>
        <v>1.0952380952380953</v>
      </c>
      <c r="U87" s="10">
        <f ca="1">IF(ISNUMBER(L87),((_xlfn.PERCENTILE.INC(IF(ISNUMBER(OFFSET(Q87,-Historic,0)),OFFSET(Q87,-Historic,0),Q$2):Q87,PercentileHigh/100))-(MEDIAN(IF(ISNUMBER(OFFSET(Q87,-Historic,0)),OFFSET(Q87,-Historic,0),Q$2):Q87))),U86)</f>
        <v>0.14285714285714302</v>
      </c>
      <c r="V87" s="10">
        <f ca="1">IF(ISNUMBER(L87),((_xlfn.PERCENTILE.INC(Q$2:Q87,PercentileHigh/100))-(MEDIAN(Q$2:Q87))),U86)</f>
        <v>0.14285714285714302</v>
      </c>
      <c r="W87" s="10">
        <f ca="1">IF(ISNUMBER(CFDTable[[#This Row],[Done Today]]),SUM($F87:$K87),$W86)</f>
        <v>124</v>
      </c>
      <c r="X87" s="10">
        <f ca="1">IF(ISNUMBER(CFDTable[[#This Row],[Done Today]]),SUM($F87:$K87),$X86)</f>
        <v>124</v>
      </c>
      <c r="Y87" s="10">
        <f ca="1">SUM(LOOKUP(2,1/(M$1:M86&lt;&gt;""),M$1:M86)+CFDTable[[#This Row],[lowDaily]])</f>
        <v>75.666666666666671</v>
      </c>
      <c r="Z87" s="10">
        <f ca="1">SUM(LOOKUP(2,1/(N$1:N86&lt;&gt;""),N$1:N86)+Q87)</f>
        <v>76.666666666666643</v>
      </c>
      <c r="AA87" s="10">
        <f ca="1">SUM(LOOKUP(2,1/(O$1:O86&lt;&gt;""),O$1:O86)+CFDTable[[#This Row],[highDaily]])</f>
        <v>77.666666666666714</v>
      </c>
      <c r="AB87" s="12">
        <f>IF(CFDTable[[#This Row],[Date]]=DeadlineDate,CFDTable[Future Work],0)</f>
        <v>0</v>
      </c>
    </row>
    <row r="88" spans="1:28">
      <c r="A88" s="8">
        <f>CFDTable[[#This Row],[Date]]</f>
        <v>42534</v>
      </c>
      <c r="B88" s="9">
        <f>Data!B88</f>
        <v>42534</v>
      </c>
      <c r="C88" s="10">
        <f ca="1">IF(ISNUMBER(CFDTable[[#This Row],[Ready]]),NA(),CFDTable[[#This Row],[Target]]-CFDTable[[#This Row],[To Do]])</f>
        <v>77</v>
      </c>
      <c r="D88" s="10">
        <f ca="1">IF(CFDTable[[#This Row],[Emergence]]&gt;0,CFDTable[[#This Row],[Future Work]]-CFDTable[[#This Row],[Emergence]],NA())</f>
        <v>81</v>
      </c>
      <c r="E88" s="10">
        <f>Data!C88</f>
        <v>43</v>
      </c>
      <c r="F88" s="10">
        <f ca="1">Data!D88</f>
        <v>47</v>
      </c>
      <c r="G88" s="10" t="e">
        <f ca="1">IF(TodaysDate&gt;=$B88,Data!E88,NA())</f>
        <v>#N/A</v>
      </c>
      <c r="H88" s="10" t="e">
        <f ca="1">IF(TodaysDate&gt;=$B88,Data!F88,NA())</f>
        <v>#N/A</v>
      </c>
      <c r="I88" s="10" t="e">
        <f ca="1">IF(TodaysDate&gt;=$B88,Data!G88,NA())</f>
        <v>#N/A</v>
      </c>
      <c r="J88" s="10" t="e">
        <f ca="1">IF(TodaysDate&gt;=$B88,Data!H88,NA())</f>
        <v>#N/A</v>
      </c>
      <c r="K88" s="10" t="e">
        <f ca="1">IF(TodaysDate&gt;=$B88,Data!I88,NA())</f>
        <v>#N/A</v>
      </c>
      <c r="L88" s="10" t="e">
        <f ca="1">IF(CFDTable[[#This Row],[Done]]&gt;0,(CFDTable[[#This Row],[Done]])-(K87),0)</f>
        <v>#N/A</v>
      </c>
      <c r="M88" s="10">
        <f ca="1">IF(ISNUMBER($L88),SUM(CFDTable[[#This Row],[Done]]),IF(CFDTable[[#This Row],[lookupLow]]&gt;=CFDTable[[#This Row],[Target]]+CFDTable[[#This Row],[lowDaily]],NA(),CFDTable[[#This Row],[lookupLow]]))</f>
        <v>76.476190476190482</v>
      </c>
      <c r="N88" s="10">
        <f ca="1">IF(ISNUMBER($L88),SUM(CFDTable[[#This Row],[Done]]),IF(CFDTable[[#This Row],[lookupMedian]]&gt;=$X88+Q88,NA(),CFDTable[[#This Row],[lookupMedian]]))</f>
        <v>77.619047619047592</v>
      </c>
      <c r="O88" s="10">
        <f ca="1">IF(ISNUMBER(CFDTable[[#This Row],[Done Today]]),SUM(CFDTable[[#This Row],[Done]]),IF(CFDTable[[#This Row],[lookupHigh]]&gt;=CFDTable[[#This Row],[Target]]+CFDTable[[#This Row],[highDaily]],NA(),CFDTable[[#This Row],[lookupHigh]]))</f>
        <v>78.761904761904816</v>
      </c>
      <c r="P88" s="10">
        <f ca="1">CFDTable[[#This Row],[AvgDaily]]-CFDTable[[#This Row],[Deviation]]</f>
        <v>0.80952380952380931</v>
      </c>
      <c r="Q88" s="10">
        <f ca="1">AVERAGE(IF(ISNUMBER(L88),IF(ISNUMBER(OFFSET(L88,-Historic,0)),OFFSET(L88,-Historic,0),L$2):L88,Q87))</f>
        <v>0.95238095238095233</v>
      </c>
      <c r="R88" s="10">
        <f ca="1">AVERAGE(IF(ISNUMBER(L88),IF(ISNUMBER(OFFSET(L88,-Historic,0)),OFFSET(L88,-Historic,0),L$2):L88,R87))</f>
        <v>0.95238095238095233</v>
      </c>
      <c r="S88" s="10">
        <f ca="1">AVERAGE(IF(ISNUMBER(L88),OFFSET(L$2,DaysToIgnoreOnAvg,0):L88,S87))</f>
        <v>0.88311688311688308</v>
      </c>
      <c r="T88" s="10">
        <f ca="1">CFDTable[[#This Row],[AvgDaily]]+CFDTable[[#This Row],[Deviation]]</f>
        <v>1.0952380952380953</v>
      </c>
      <c r="U88" s="10">
        <f ca="1">IF(ISNUMBER(L88),((_xlfn.PERCENTILE.INC(IF(ISNUMBER(OFFSET(Q88,-Historic,0)),OFFSET(Q88,-Historic,0),Q$2):Q88,PercentileHigh/100))-(MEDIAN(IF(ISNUMBER(OFFSET(Q88,-Historic,0)),OFFSET(Q88,-Historic,0),Q$2):Q88))),U87)</f>
        <v>0.14285714285714302</v>
      </c>
      <c r="V88" s="10">
        <f ca="1">IF(ISNUMBER(L88),((_xlfn.PERCENTILE.INC(Q$2:Q88,PercentileHigh/100))-(MEDIAN(Q$2:Q88))),U87)</f>
        <v>0.14285714285714302</v>
      </c>
      <c r="W88" s="10">
        <f ca="1">IF(ISNUMBER(CFDTable[[#This Row],[Done Today]]),SUM($F88:$K88),$W87)</f>
        <v>124</v>
      </c>
      <c r="X88" s="10">
        <f ca="1">IF(ISNUMBER(CFDTable[[#This Row],[Done Today]]),SUM($F88:$K88),$X87)</f>
        <v>124</v>
      </c>
      <c r="Y88" s="10">
        <f ca="1">SUM(LOOKUP(2,1/(M$1:M87&lt;&gt;""),M$1:M87)+CFDTable[[#This Row],[lowDaily]])</f>
        <v>76.476190476190482</v>
      </c>
      <c r="Z88" s="10">
        <f ca="1">SUM(LOOKUP(2,1/(N$1:N87&lt;&gt;""),N$1:N87)+Q88)</f>
        <v>77.619047619047592</v>
      </c>
      <c r="AA88" s="10">
        <f ca="1">SUM(LOOKUP(2,1/(O$1:O87&lt;&gt;""),O$1:O87)+CFDTable[[#This Row],[highDaily]])</f>
        <v>78.761904761904816</v>
      </c>
      <c r="AB88" s="12">
        <f>IF(CFDTable[[#This Row],[Date]]=DeadlineDate,CFDTable[Future Work],0)</f>
        <v>0</v>
      </c>
    </row>
    <row r="89" spans="1:28">
      <c r="A89" s="8">
        <f>CFDTable[[#This Row],[Date]]</f>
        <v>42535</v>
      </c>
      <c r="B89" s="9">
        <f>Data!B89</f>
        <v>42535</v>
      </c>
      <c r="C89" s="10">
        <f ca="1">IF(ISNUMBER(CFDTable[[#This Row],[Ready]]),NA(),CFDTable[[#This Row],[Target]]-CFDTable[[#This Row],[To Do]])</f>
        <v>77</v>
      </c>
      <c r="D89" s="10">
        <f ca="1">IF(CFDTable[[#This Row],[Emergence]]&gt;0,CFDTable[[#This Row],[Future Work]]-CFDTable[[#This Row],[Emergence]],NA())</f>
        <v>81</v>
      </c>
      <c r="E89" s="10">
        <f>Data!C89</f>
        <v>43</v>
      </c>
      <c r="F89" s="10">
        <f ca="1">Data!D89</f>
        <v>47</v>
      </c>
      <c r="G89" s="10" t="e">
        <f ca="1">IF(TodaysDate&gt;=$B89,Data!E89,NA())</f>
        <v>#N/A</v>
      </c>
      <c r="H89" s="10" t="e">
        <f ca="1">IF(TodaysDate&gt;=$B89,Data!F89,NA())</f>
        <v>#N/A</v>
      </c>
      <c r="I89" s="10" t="e">
        <f ca="1">IF(TodaysDate&gt;=$B89,Data!G89,NA())</f>
        <v>#N/A</v>
      </c>
      <c r="J89" s="10" t="e">
        <f ca="1">IF(TodaysDate&gt;=$B89,Data!H89,NA())</f>
        <v>#N/A</v>
      </c>
      <c r="K89" s="10" t="e">
        <f ca="1">IF(TodaysDate&gt;=$B89,Data!I89,NA())</f>
        <v>#N/A</v>
      </c>
      <c r="L89" s="10" t="e">
        <f ca="1">IF(CFDTable[[#This Row],[Done]]&gt;0,(CFDTable[[#This Row],[Done]])-(K88),0)</f>
        <v>#N/A</v>
      </c>
      <c r="M89" s="10">
        <f ca="1">IF(ISNUMBER($L89),SUM(CFDTable[[#This Row],[Done]]),IF(CFDTable[[#This Row],[lookupLow]]&gt;=CFDTable[[#This Row],[Target]]+CFDTable[[#This Row],[lowDaily]],NA(),CFDTable[[#This Row],[lookupLow]]))</f>
        <v>77.285714285714292</v>
      </c>
      <c r="N89" s="10">
        <f ca="1">IF(ISNUMBER($L89),SUM(CFDTable[[#This Row],[Done]]),IF(CFDTable[[#This Row],[lookupMedian]]&gt;=$X89+Q89,NA(),CFDTable[[#This Row],[lookupMedian]]))</f>
        <v>78.571428571428541</v>
      </c>
      <c r="O89" s="10">
        <f ca="1">IF(ISNUMBER(CFDTable[[#This Row],[Done Today]]),SUM(CFDTable[[#This Row],[Done]]),IF(CFDTable[[#This Row],[lookupHigh]]&gt;=CFDTable[[#This Row],[Target]]+CFDTable[[#This Row],[highDaily]],NA(),CFDTable[[#This Row],[lookupHigh]]))</f>
        <v>79.857142857142918</v>
      </c>
      <c r="P89" s="10">
        <f ca="1">CFDTable[[#This Row],[AvgDaily]]-CFDTable[[#This Row],[Deviation]]</f>
        <v>0.80952380952380931</v>
      </c>
      <c r="Q89" s="10">
        <f ca="1">AVERAGE(IF(ISNUMBER(L89),IF(ISNUMBER(OFFSET(L89,-Historic,0)),OFFSET(L89,-Historic,0),L$2):L89,Q88))</f>
        <v>0.95238095238095233</v>
      </c>
      <c r="R89" s="10">
        <f ca="1">AVERAGE(IF(ISNUMBER(L89),IF(ISNUMBER(OFFSET(L89,-Historic,0)),OFFSET(L89,-Historic,0),L$2):L89,R88))</f>
        <v>0.95238095238095233</v>
      </c>
      <c r="S89" s="10">
        <f ca="1">AVERAGE(IF(ISNUMBER(L89),OFFSET(L$2,DaysToIgnoreOnAvg,0):L89,S88))</f>
        <v>0.88311688311688308</v>
      </c>
      <c r="T89" s="10">
        <f ca="1">CFDTable[[#This Row],[AvgDaily]]+CFDTable[[#This Row],[Deviation]]</f>
        <v>1.0952380952380953</v>
      </c>
      <c r="U89" s="10">
        <f ca="1">IF(ISNUMBER(L89),((_xlfn.PERCENTILE.INC(IF(ISNUMBER(OFFSET(Q89,-Historic,0)),OFFSET(Q89,-Historic,0),Q$2):Q89,PercentileHigh/100))-(MEDIAN(IF(ISNUMBER(OFFSET(Q89,-Historic,0)),OFFSET(Q89,-Historic,0),Q$2):Q89))),U88)</f>
        <v>0.14285714285714302</v>
      </c>
      <c r="V89" s="10">
        <f ca="1">IF(ISNUMBER(L89),((_xlfn.PERCENTILE.INC(Q$2:Q89,PercentileHigh/100))-(MEDIAN(Q$2:Q89))),U88)</f>
        <v>0.14285714285714302</v>
      </c>
      <c r="W89" s="10">
        <f ca="1">IF(ISNUMBER(CFDTable[[#This Row],[Done Today]]),SUM($F89:$K89),$W88)</f>
        <v>124</v>
      </c>
      <c r="X89" s="10">
        <f ca="1">IF(ISNUMBER(CFDTable[[#This Row],[Done Today]]),SUM($F89:$K89),$X88)</f>
        <v>124</v>
      </c>
      <c r="Y89" s="10">
        <f ca="1">SUM(LOOKUP(2,1/(M$1:M88&lt;&gt;""),M$1:M88)+CFDTable[[#This Row],[lowDaily]])</f>
        <v>77.285714285714292</v>
      </c>
      <c r="Z89" s="10">
        <f ca="1">SUM(LOOKUP(2,1/(N$1:N88&lt;&gt;""),N$1:N88)+Q89)</f>
        <v>78.571428571428541</v>
      </c>
      <c r="AA89" s="10">
        <f ca="1">SUM(LOOKUP(2,1/(O$1:O88&lt;&gt;""),O$1:O88)+CFDTable[[#This Row],[highDaily]])</f>
        <v>79.857142857142918</v>
      </c>
      <c r="AB89" s="12">
        <f>IF(CFDTable[[#This Row],[Date]]=DeadlineDate,CFDTable[Future Work],0)</f>
        <v>0</v>
      </c>
    </row>
    <row r="90" spans="1:28">
      <c r="A90" s="8">
        <f>CFDTable[[#This Row],[Date]]</f>
        <v>42536</v>
      </c>
      <c r="B90" s="9">
        <f>Data!B90</f>
        <v>42536</v>
      </c>
      <c r="C90" s="10">
        <f ca="1">IF(ISNUMBER(CFDTable[[#This Row],[Ready]]),NA(),CFDTable[[#This Row],[Target]]-CFDTable[[#This Row],[To Do]])</f>
        <v>77</v>
      </c>
      <c r="D90" s="10">
        <f ca="1">IF(CFDTable[[#This Row],[Emergence]]&gt;0,CFDTable[[#This Row],[Future Work]]-CFDTable[[#This Row],[Emergence]],NA())</f>
        <v>81</v>
      </c>
      <c r="E90" s="10">
        <f>Data!C90</f>
        <v>43</v>
      </c>
      <c r="F90" s="10">
        <f ca="1">Data!D90</f>
        <v>47</v>
      </c>
      <c r="G90" s="10" t="e">
        <f ca="1">IF(TodaysDate&gt;=$B90,Data!E90,NA())</f>
        <v>#N/A</v>
      </c>
      <c r="H90" s="10" t="e">
        <f ca="1">IF(TodaysDate&gt;=$B90,Data!F90,NA())</f>
        <v>#N/A</v>
      </c>
      <c r="I90" s="10" t="e">
        <f ca="1">IF(TodaysDate&gt;=$B90,Data!G90,NA())</f>
        <v>#N/A</v>
      </c>
      <c r="J90" s="10" t="e">
        <f ca="1">IF(TodaysDate&gt;=$B90,Data!H90,NA())</f>
        <v>#N/A</v>
      </c>
      <c r="K90" s="10" t="e">
        <f ca="1">IF(TodaysDate&gt;=$B90,Data!I90,NA())</f>
        <v>#N/A</v>
      </c>
      <c r="L90" s="10" t="e">
        <f ca="1">IF(CFDTable[[#This Row],[Done]]&gt;0,(CFDTable[[#This Row],[Done]])-(K89),0)</f>
        <v>#N/A</v>
      </c>
      <c r="M90" s="10">
        <f ca="1">IF(ISNUMBER($L90),SUM(CFDTable[[#This Row],[Done]]),IF(CFDTable[[#This Row],[lookupLow]]&gt;=CFDTable[[#This Row],[Target]]+CFDTable[[#This Row],[lowDaily]],NA(),CFDTable[[#This Row],[lookupLow]]))</f>
        <v>78.095238095238102</v>
      </c>
      <c r="N90" s="10">
        <f ca="1">IF(ISNUMBER($L90),SUM(CFDTable[[#This Row],[Done]]),IF(CFDTable[[#This Row],[lookupMedian]]&gt;=$X90+Q90,NA(),CFDTable[[#This Row],[lookupMedian]]))</f>
        <v>79.52380952380949</v>
      </c>
      <c r="O90" s="10">
        <f ca="1">IF(ISNUMBER(CFDTable[[#This Row],[Done Today]]),SUM(CFDTable[[#This Row],[Done]]),IF(CFDTable[[#This Row],[lookupHigh]]&gt;=CFDTable[[#This Row],[Target]]+CFDTable[[#This Row],[highDaily]],NA(),CFDTable[[#This Row],[lookupHigh]]))</f>
        <v>80.95238095238102</v>
      </c>
      <c r="P90" s="10">
        <f ca="1">CFDTable[[#This Row],[AvgDaily]]-CFDTable[[#This Row],[Deviation]]</f>
        <v>0.80952380952380931</v>
      </c>
      <c r="Q90" s="10">
        <f ca="1">AVERAGE(IF(ISNUMBER(L90),IF(ISNUMBER(OFFSET(L90,-Historic,0)),OFFSET(L90,-Historic,0),L$2):L90,Q89))</f>
        <v>0.95238095238095233</v>
      </c>
      <c r="R90" s="10">
        <f ca="1">AVERAGE(IF(ISNUMBER(L90),IF(ISNUMBER(OFFSET(L90,-Historic,0)),OFFSET(L90,-Historic,0),L$2):L90,R89))</f>
        <v>0.95238095238095233</v>
      </c>
      <c r="S90" s="10">
        <f ca="1">AVERAGE(IF(ISNUMBER(L90),OFFSET(L$2,DaysToIgnoreOnAvg,0):L90,S89))</f>
        <v>0.88311688311688308</v>
      </c>
      <c r="T90" s="10">
        <f ca="1">CFDTable[[#This Row],[AvgDaily]]+CFDTable[[#This Row],[Deviation]]</f>
        <v>1.0952380952380953</v>
      </c>
      <c r="U90" s="10">
        <f ca="1">IF(ISNUMBER(L90),((_xlfn.PERCENTILE.INC(IF(ISNUMBER(OFFSET(Q90,-Historic,0)),OFFSET(Q90,-Historic,0),Q$2):Q90,PercentileHigh/100))-(MEDIAN(IF(ISNUMBER(OFFSET(Q90,-Historic,0)),OFFSET(Q90,-Historic,0),Q$2):Q90))),U89)</f>
        <v>0.14285714285714302</v>
      </c>
      <c r="V90" s="10">
        <f ca="1">IF(ISNUMBER(L90),((_xlfn.PERCENTILE.INC(Q$2:Q90,PercentileHigh/100))-(MEDIAN(Q$2:Q90))),U89)</f>
        <v>0.14285714285714302</v>
      </c>
      <c r="W90" s="10">
        <f ca="1">IF(ISNUMBER(CFDTable[[#This Row],[Done Today]]),SUM($F90:$K90),$W89)</f>
        <v>124</v>
      </c>
      <c r="X90" s="10">
        <f ca="1">IF(ISNUMBER(CFDTable[[#This Row],[Done Today]]),SUM($F90:$K90),$X89)</f>
        <v>124</v>
      </c>
      <c r="Y90" s="10">
        <f ca="1">SUM(LOOKUP(2,1/(M$1:M89&lt;&gt;""),M$1:M89)+CFDTable[[#This Row],[lowDaily]])</f>
        <v>78.095238095238102</v>
      </c>
      <c r="Z90" s="10">
        <f ca="1">SUM(LOOKUP(2,1/(N$1:N89&lt;&gt;""),N$1:N89)+Q90)</f>
        <v>79.52380952380949</v>
      </c>
      <c r="AA90" s="10">
        <f ca="1">SUM(LOOKUP(2,1/(O$1:O89&lt;&gt;""),O$1:O89)+CFDTable[[#This Row],[highDaily]])</f>
        <v>80.95238095238102</v>
      </c>
      <c r="AB90" s="12">
        <f>IF(CFDTable[[#This Row],[Date]]=DeadlineDate,CFDTable[Future Work],0)</f>
        <v>0</v>
      </c>
    </row>
    <row r="91" spans="1:28">
      <c r="A91" s="8">
        <f>CFDTable[[#This Row],[Date]]</f>
        <v>42537</v>
      </c>
      <c r="B91" s="9">
        <f>Data!B91</f>
        <v>42537</v>
      </c>
      <c r="C91" s="10">
        <f ca="1">IF(ISNUMBER(CFDTable[[#This Row],[Ready]]),NA(),CFDTable[[#This Row],[Target]]-CFDTable[[#This Row],[To Do]])</f>
        <v>77</v>
      </c>
      <c r="D91" s="10">
        <f ca="1">IF(CFDTable[[#This Row],[Emergence]]&gt;0,CFDTable[[#This Row],[Future Work]]-CFDTable[[#This Row],[Emergence]],NA())</f>
        <v>81</v>
      </c>
      <c r="E91" s="10">
        <f>Data!C91</f>
        <v>43</v>
      </c>
      <c r="F91" s="10">
        <f ca="1">Data!D91</f>
        <v>47</v>
      </c>
      <c r="G91" s="10" t="e">
        <f ca="1">IF(TodaysDate&gt;=$B91,Data!E91,NA())</f>
        <v>#N/A</v>
      </c>
      <c r="H91" s="10" t="e">
        <f ca="1">IF(TodaysDate&gt;=$B91,Data!F91,NA())</f>
        <v>#N/A</v>
      </c>
      <c r="I91" s="10" t="e">
        <f ca="1">IF(TodaysDate&gt;=$B91,Data!G91,NA())</f>
        <v>#N/A</v>
      </c>
      <c r="J91" s="10" t="e">
        <f ca="1">IF(TodaysDate&gt;=$B91,Data!H91,NA())</f>
        <v>#N/A</v>
      </c>
      <c r="K91" s="10" t="e">
        <f ca="1">IF(TodaysDate&gt;=$B91,Data!I91,NA())</f>
        <v>#N/A</v>
      </c>
      <c r="L91" s="10" t="e">
        <f ca="1">IF(CFDTable[[#This Row],[Done]]&gt;0,(CFDTable[[#This Row],[Done]])-(K90),0)</f>
        <v>#N/A</v>
      </c>
      <c r="M91" s="10">
        <f ca="1">IF(ISNUMBER($L91),SUM(CFDTable[[#This Row],[Done]]),IF(CFDTable[[#This Row],[lookupLow]]&gt;=CFDTable[[#This Row],[Target]]+CFDTable[[#This Row],[lowDaily]],NA(),CFDTable[[#This Row],[lookupLow]]))</f>
        <v>78.904761904761912</v>
      </c>
      <c r="N91" s="10">
        <f ca="1">IF(ISNUMBER($L91),SUM(CFDTable[[#This Row],[Done]]),IF(CFDTable[[#This Row],[lookupMedian]]&gt;=$X91+Q91,NA(),CFDTable[[#This Row],[lookupMedian]]))</f>
        <v>80.476190476190439</v>
      </c>
      <c r="O91" s="10">
        <f ca="1">IF(ISNUMBER(CFDTable[[#This Row],[Done Today]]),SUM(CFDTable[[#This Row],[Done]]),IF(CFDTable[[#This Row],[lookupHigh]]&gt;=CFDTable[[#This Row],[Target]]+CFDTable[[#This Row],[highDaily]],NA(),CFDTable[[#This Row],[lookupHigh]]))</f>
        <v>82.047619047619122</v>
      </c>
      <c r="P91" s="10">
        <f ca="1">CFDTable[[#This Row],[AvgDaily]]-CFDTable[[#This Row],[Deviation]]</f>
        <v>0.80952380952380931</v>
      </c>
      <c r="Q91" s="10">
        <f ca="1">AVERAGE(IF(ISNUMBER(L91),IF(ISNUMBER(OFFSET(L91,-Historic,0)),OFFSET(L91,-Historic,0),L$2):L91,Q90))</f>
        <v>0.95238095238095233</v>
      </c>
      <c r="R91" s="10">
        <f ca="1">AVERAGE(IF(ISNUMBER(L91),IF(ISNUMBER(OFFSET(L91,-Historic,0)),OFFSET(L91,-Historic,0),L$2):L91,R90))</f>
        <v>0.95238095238095233</v>
      </c>
      <c r="S91" s="10">
        <f ca="1">AVERAGE(IF(ISNUMBER(L91),OFFSET(L$2,DaysToIgnoreOnAvg,0):L91,S90))</f>
        <v>0.88311688311688308</v>
      </c>
      <c r="T91" s="10">
        <f ca="1">CFDTable[[#This Row],[AvgDaily]]+CFDTable[[#This Row],[Deviation]]</f>
        <v>1.0952380952380953</v>
      </c>
      <c r="U91" s="10">
        <f ca="1">IF(ISNUMBER(L91),((_xlfn.PERCENTILE.INC(IF(ISNUMBER(OFFSET(Q91,-Historic,0)),OFFSET(Q91,-Historic,0),Q$2):Q91,PercentileHigh/100))-(MEDIAN(IF(ISNUMBER(OFFSET(Q91,-Historic,0)),OFFSET(Q91,-Historic,0),Q$2):Q91))),U90)</f>
        <v>0.14285714285714302</v>
      </c>
      <c r="V91" s="10">
        <f ca="1">IF(ISNUMBER(L91),((_xlfn.PERCENTILE.INC(Q$2:Q91,PercentileHigh/100))-(MEDIAN(Q$2:Q91))),U90)</f>
        <v>0.14285714285714302</v>
      </c>
      <c r="W91" s="10">
        <f ca="1">IF(ISNUMBER(CFDTable[[#This Row],[Done Today]]),SUM($F91:$K91),$W90)</f>
        <v>124</v>
      </c>
      <c r="X91" s="10">
        <f ca="1">IF(ISNUMBER(CFDTable[[#This Row],[Done Today]]),SUM($F91:$K91),$X90)</f>
        <v>124</v>
      </c>
      <c r="Y91" s="10">
        <f ca="1">SUM(LOOKUP(2,1/(M$1:M90&lt;&gt;""),M$1:M90)+CFDTable[[#This Row],[lowDaily]])</f>
        <v>78.904761904761912</v>
      </c>
      <c r="Z91" s="10">
        <f ca="1">SUM(LOOKUP(2,1/(N$1:N90&lt;&gt;""),N$1:N90)+Q91)</f>
        <v>80.476190476190439</v>
      </c>
      <c r="AA91" s="10">
        <f ca="1">SUM(LOOKUP(2,1/(O$1:O90&lt;&gt;""),O$1:O90)+CFDTable[[#This Row],[highDaily]])</f>
        <v>82.047619047619122</v>
      </c>
      <c r="AB91" s="12">
        <f>IF(CFDTable[[#This Row],[Date]]=DeadlineDate,CFDTable[Future Work],0)</f>
        <v>0</v>
      </c>
    </row>
    <row r="92" spans="1:28">
      <c r="A92" s="8">
        <f>CFDTable[[#This Row],[Date]]</f>
        <v>42538</v>
      </c>
      <c r="B92" s="9">
        <f>Data!B92</f>
        <v>42538</v>
      </c>
      <c r="C92" s="10">
        <f ca="1">IF(ISNUMBER(CFDTable[[#This Row],[Ready]]),NA(),CFDTable[[#This Row],[Target]]-CFDTable[[#This Row],[To Do]])</f>
        <v>77</v>
      </c>
      <c r="D92" s="10">
        <f ca="1">IF(CFDTable[[#This Row],[Emergence]]&gt;0,CFDTable[[#This Row],[Future Work]]-CFDTable[[#This Row],[Emergence]],NA())</f>
        <v>81</v>
      </c>
      <c r="E92" s="10">
        <f>Data!C92</f>
        <v>43</v>
      </c>
      <c r="F92" s="10">
        <f ca="1">Data!D92</f>
        <v>47</v>
      </c>
      <c r="G92" s="10" t="e">
        <f ca="1">IF(TodaysDate&gt;=$B92,Data!E92,NA())</f>
        <v>#N/A</v>
      </c>
      <c r="H92" s="10" t="e">
        <f ca="1">IF(TodaysDate&gt;=$B92,Data!F92,NA())</f>
        <v>#N/A</v>
      </c>
      <c r="I92" s="10" t="e">
        <f ca="1">IF(TodaysDate&gt;=$B92,Data!G92,NA())</f>
        <v>#N/A</v>
      </c>
      <c r="J92" s="10" t="e">
        <f ca="1">IF(TodaysDate&gt;=$B92,Data!H92,NA())</f>
        <v>#N/A</v>
      </c>
      <c r="K92" s="10" t="e">
        <f ca="1">IF(TodaysDate&gt;=$B92,Data!I92,NA())</f>
        <v>#N/A</v>
      </c>
      <c r="L92" s="10" t="e">
        <f ca="1">IF(CFDTable[[#This Row],[Done]]&gt;0,(CFDTable[[#This Row],[Done]])-(K91),0)</f>
        <v>#N/A</v>
      </c>
      <c r="M92" s="10">
        <f ca="1">IF(ISNUMBER($L92),SUM(CFDTable[[#This Row],[Done]]),IF(CFDTable[[#This Row],[lookupLow]]&gt;=CFDTable[[#This Row],[Target]]+CFDTable[[#This Row],[lowDaily]],NA(),CFDTable[[#This Row],[lookupLow]]))</f>
        <v>79.714285714285722</v>
      </c>
      <c r="N92" s="10">
        <f ca="1">IF(ISNUMBER($L92),SUM(CFDTable[[#This Row],[Done]]),IF(CFDTable[[#This Row],[lookupMedian]]&gt;=$X92+Q92,NA(),CFDTable[[#This Row],[lookupMedian]]))</f>
        <v>81.428571428571388</v>
      </c>
      <c r="O92" s="10">
        <f ca="1">IF(ISNUMBER(CFDTable[[#This Row],[Done Today]]),SUM(CFDTable[[#This Row],[Done]]),IF(CFDTable[[#This Row],[lookupHigh]]&gt;=CFDTable[[#This Row],[Target]]+CFDTable[[#This Row],[highDaily]],NA(),CFDTable[[#This Row],[lookupHigh]]))</f>
        <v>83.142857142857224</v>
      </c>
      <c r="P92" s="10">
        <f ca="1">CFDTable[[#This Row],[AvgDaily]]-CFDTable[[#This Row],[Deviation]]</f>
        <v>0.80952380952380931</v>
      </c>
      <c r="Q92" s="10">
        <f ca="1">AVERAGE(IF(ISNUMBER(L92),IF(ISNUMBER(OFFSET(L92,-Historic,0)),OFFSET(L92,-Historic,0),L$2):L92,Q91))</f>
        <v>0.95238095238095233</v>
      </c>
      <c r="R92" s="10">
        <f ca="1">AVERAGE(IF(ISNUMBER(L92),IF(ISNUMBER(OFFSET(L92,-Historic,0)),OFFSET(L92,-Historic,0),L$2):L92,R91))</f>
        <v>0.95238095238095233</v>
      </c>
      <c r="S92" s="10">
        <f ca="1">AVERAGE(IF(ISNUMBER(L92),OFFSET(L$2,DaysToIgnoreOnAvg,0):L92,S91))</f>
        <v>0.88311688311688308</v>
      </c>
      <c r="T92" s="10">
        <f ca="1">CFDTable[[#This Row],[AvgDaily]]+CFDTable[[#This Row],[Deviation]]</f>
        <v>1.0952380952380953</v>
      </c>
      <c r="U92" s="10">
        <f ca="1">IF(ISNUMBER(L92),((_xlfn.PERCENTILE.INC(IF(ISNUMBER(OFFSET(Q92,-Historic,0)),OFFSET(Q92,-Historic,0),Q$2):Q92,PercentileHigh/100))-(MEDIAN(IF(ISNUMBER(OFFSET(Q92,-Historic,0)),OFFSET(Q92,-Historic,0),Q$2):Q92))),U91)</f>
        <v>0.14285714285714302</v>
      </c>
      <c r="V92" s="10">
        <f ca="1">IF(ISNUMBER(L92),((_xlfn.PERCENTILE.INC(Q$2:Q92,PercentileHigh/100))-(MEDIAN(Q$2:Q92))),U91)</f>
        <v>0.14285714285714302</v>
      </c>
      <c r="W92" s="10">
        <f ca="1">IF(ISNUMBER(CFDTable[[#This Row],[Done Today]]),SUM($F92:$K92),$W91)</f>
        <v>124</v>
      </c>
      <c r="X92" s="10">
        <f ca="1">IF(ISNUMBER(CFDTable[[#This Row],[Done Today]]),SUM($F92:$K92),$X91)</f>
        <v>124</v>
      </c>
      <c r="Y92" s="10">
        <f ca="1">SUM(LOOKUP(2,1/(M$1:M91&lt;&gt;""),M$1:M91)+CFDTable[[#This Row],[lowDaily]])</f>
        <v>79.714285714285722</v>
      </c>
      <c r="Z92" s="10">
        <f ca="1">SUM(LOOKUP(2,1/(N$1:N91&lt;&gt;""),N$1:N91)+Q92)</f>
        <v>81.428571428571388</v>
      </c>
      <c r="AA92" s="10">
        <f ca="1">SUM(LOOKUP(2,1/(O$1:O91&lt;&gt;""),O$1:O91)+CFDTable[[#This Row],[highDaily]])</f>
        <v>83.142857142857224</v>
      </c>
      <c r="AB92" s="12">
        <f>IF(CFDTable[[#This Row],[Date]]=DeadlineDate,CFDTable[Future Work],0)</f>
        <v>0</v>
      </c>
    </row>
    <row r="93" spans="1:28">
      <c r="A93" s="8">
        <f>CFDTable[[#This Row],[Date]]</f>
        <v>42541</v>
      </c>
      <c r="B93" s="38">
        <f>Data!B93</f>
        <v>42541</v>
      </c>
      <c r="C93" s="10">
        <f ca="1">IF(ISNUMBER(CFDTable[[#This Row],[Ready]]),NA(),CFDTable[[#This Row],[Target]]-CFDTable[[#This Row],[To Do]])</f>
        <v>77</v>
      </c>
      <c r="D93" s="10">
        <f ca="1">IF(CFDTable[[#This Row],[Emergence]]&gt;0,CFDTable[[#This Row],[Future Work]]-CFDTable[[#This Row],[Emergence]],NA())</f>
        <v>81</v>
      </c>
      <c r="E93" s="10">
        <f>Data!C93</f>
        <v>43</v>
      </c>
      <c r="F93" s="10">
        <f ca="1">Data!D93</f>
        <v>47</v>
      </c>
      <c r="G93" s="10" t="e">
        <f ca="1">IF(TodaysDate&gt;=$B93,Data!E93,NA())</f>
        <v>#N/A</v>
      </c>
      <c r="H93" s="10" t="e">
        <f ca="1">IF(TodaysDate&gt;=$B93,Data!F93,NA())</f>
        <v>#N/A</v>
      </c>
      <c r="I93" s="10" t="e">
        <f ca="1">IF(TodaysDate&gt;=$B93,Data!G93,NA())</f>
        <v>#N/A</v>
      </c>
      <c r="J93" s="10" t="e">
        <f ca="1">IF(TodaysDate&gt;=$B93,Data!H93,NA())</f>
        <v>#N/A</v>
      </c>
      <c r="K93" s="10" t="e">
        <f ca="1">IF(TodaysDate&gt;=$B93,Data!I93,NA())</f>
        <v>#N/A</v>
      </c>
      <c r="L93" s="10" t="e">
        <f ca="1">IF(CFDTable[[#This Row],[Done]]&gt;0,(CFDTable[[#This Row],[Done]])-(K92),0)</f>
        <v>#N/A</v>
      </c>
      <c r="M93" s="10">
        <f ca="1">IF(ISNUMBER($L93),SUM(CFDTable[[#This Row],[Done]]),IF(CFDTable[[#This Row],[lookupLow]]&gt;=CFDTable[[#This Row],[Target]]+CFDTable[[#This Row],[lowDaily]],NA(),CFDTable[[#This Row],[lookupLow]]))</f>
        <v>80.523809523809533</v>
      </c>
      <c r="N93" s="10">
        <f ca="1">IF(ISNUMBER($L93),SUM(CFDTable[[#This Row],[Done]]),IF(CFDTable[[#This Row],[lookupMedian]]&gt;=$X93+Q93,NA(),CFDTable[[#This Row],[lookupMedian]]))</f>
        <v>82.380952380952337</v>
      </c>
      <c r="O93" s="10">
        <f ca="1">IF(ISNUMBER(CFDTable[[#This Row],[Done Today]]),SUM(CFDTable[[#This Row],[Done]]),IF(CFDTable[[#This Row],[lookupHigh]]&gt;=CFDTable[[#This Row],[Target]]+CFDTable[[#This Row],[highDaily]],NA(),CFDTable[[#This Row],[lookupHigh]]))</f>
        <v>84.238095238095326</v>
      </c>
      <c r="P93" s="10">
        <f ca="1">CFDTable[[#This Row],[AvgDaily]]-CFDTable[[#This Row],[Deviation]]</f>
        <v>0.80952380952380931</v>
      </c>
      <c r="Q93" s="10">
        <f ca="1">AVERAGE(IF(ISNUMBER(L93),IF(ISNUMBER(OFFSET(L93,-Historic,0)),OFFSET(L93,-Historic,0),L$2):L93,Q92))</f>
        <v>0.95238095238095233</v>
      </c>
      <c r="R93" s="10">
        <f ca="1">AVERAGE(IF(ISNUMBER(L93),IF(ISNUMBER(OFFSET(L93,-Historic,0)),OFFSET(L93,-Historic,0),L$2):L93,R92))</f>
        <v>0.95238095238095233</v>
      </c>
      <c r="S93" s="10">
        <f ca="1">AVERAGE(IF(ISNUMBER(L93),OFFSET(L$2,DaysToIgnoreOnAvg,0):L93,S92))</f>
        <v>0.88311688311688308</v>
      </c>
      <c r="T93" s="10">
        <f ca="1">CFDTable[[#This Row],[AvgDaily]]+CFDTable[[#This Row],[Deviation]]</f>
        <v>1.0952380952380953</v>
      </c>
      <c r="U93" s="10">
        <f ca="1">IF(ISNUMBER(L93),((_xlfn.PERCENTILE.INC(IF(ISNUMBER(OFFSET(Q93,-Historic,0)),OFFSET(Q93,-Historic,0),Q$2):Q93,PercentileHigh/100))-(MEDIAN(IF(ISNUMBER(OFFSET(Q93,-Historic,0)),OFFSET(Q93,-Historic,0),Q$2):Q93))),U92)</f>
        <v>0.14285714285714302</v>
      </c>
      <c r="V93" s="10">
        <f ca="1">IF(ISNUMBER(L93),((_xlfn.PERCENTILE.INC(Q$2:Q93,PercentileHigh/100))-(MEDIAN(Q$2:Q93))),U92)</f>
        <v>0.14285714285714302</v>
      </c>
      <c r="W93" s="10">
        <f ca="1">IF(ISNUMBER(CFDTable[[#This Row],[Done Today]]),SUM($F93:$K93),$W92)</f>
        <v>124</v>
      </c>
      <c r="X93" s="10">
        <f ca="1">IF(ISNUMBER(CFDTable[[#This Row],[Done Today]]),SUM($F93:$K93),$X92)</f>
        <v>124</v>
      </c>
      <c r="Y93" s="10">
        <f ca="1">SUM(LOOKUP(2,1/(M$1:M92&lt;&gt;""),M$1:M92)+CFDTable[[#This Row],[lowDaily]])</f>
        <v>80.523809523809533</v>
      </c>
      <c r="Z93" s="10">
        <f ca="1">SUM(LOOKUP(2,1/(N$1:N92&lt;&gt;""),N$1:N92)+Q93)</f>
        <v>82.380952380952337</v>
      </c>
      <c r="AA93" s="10">
        <f ca="1">SUM(LOOKUP(2,1/(O$1:O92&lt;&gt;""),O$1:O92)+CFDTable[[#This Row],[highDaily]])</f>
        <v>84.238095238095326</v>
      </c>
      <c r="AB93" s="12">
        <f>IF(CFDTable[[#This Row],[Date]]=DeadlineDate,CFDTable[Future Work],0)</f>
        <v>0</v>
      </c>
    </row>
    <row r="94" spans="1:28">
      <c r="A94" s="8">
        <f>CFDTable[[#This Row],[Date]]</f>
        <v>42542</v>
      </c>
      <c r="B94" s="38">
        <f>Data!B94</f>
        <v>42542</v>
      </c>
      <c r="C94" s="10">
        <f ca="1">IF(ISNUMBER(CFDTable[[#This Row],[Ready]]),NA(),CFDTable[[#This Row],[Target]]-CFDTable[[#This Row],[To Do]])</f>
        <v>77</v>
      </c>
      <c r="D94" s="10">
        <f ca="1">IF(CFDTable[[#This Row],[Emergence]]&gt;0,CFDTable[[#This Row],[Future Work]]-CFDTable[[#This Row],[Emergence]],NA())</f>
        <v>81</v>
      </c>
      <c r="E94" s="10">
        <f>Data!C94</f>
        <v>43</v>
      </c>
      <c r="F94" s="10">
        <f ca="1">Data!D94</f>
        <v>47</v>
      </c>
      <c r="G94" s="10" t="e">
        <f ca="1">IF(TodaysDate&gt;=$B94,Data!E94,NA())</f>
        <v>#N/A</v>
      </c>
      <c r="H94" s="10" t="e">
        <f ca="1">IF(TodaysDate&gt;=$B94,Data!F94,NA())</f>
        <v>#N/A</v>
      </c>
      <c r="I94" s="10" t="e">
        <f ca="1">IF(TodaysDate&gt;=$B94,Data!G94,NA())</f>
        <v>#N/A</v>
      </c>
      <c r="J94" s="10" t="e">
        <f ca="1">IF(TodaysDate&gt;=$B94,Data!H94,NA())</f>
        <v>#N/A</v>
      </c>
      <c r="K94" s="10" t="e">
        <f ca="1">IF(TodaysDate&gt;=$B94,Data!I94,NA())</f>
        <v>#N/A</v>
      </c>
      <c r="L94" s="10" t="e">
        <f ca="1">IF(CFDTable[[#This Row],[Done]]&gt;0,(CFDTable[[#This Row],[Done]])-(K93),0)</f>
        <v>#N/A</v>
      </c>
      <c r="M94" s="10">
        <f ca="1">IF(ISNUMBER($L94),SUM(CFDTable[[#This Row],[Done]]),IF(CFDTable[[#This Row],[lookupLow]]&gt;=CFDTable[[#This Row],[Target]]+CFDTable[[#This Row],[lowDaily]],NA(),CFDTable[[#This Row],[lookupLow]]))</f>
        <v>81.333333333333343</v>
      </c>
      <c r="N94" s="10">
        <f ca="1">IF(ISNUMBER($L94),SUM(CFDTable[[#This Row],[Done]]),IF(CFDTable[[#This Row],[lookupMedian]]&gt;=$X94+Q94,NA(),CFDTable[[#This Row],[lookupMedian]]))</f>
        <v>83.333333333333286</v>
      </c>
      <c r="O94" s="10">
        <f ca="1">IF(ISNUMBER(CFDTable[[#This Row],[Done Today]]),SUM(CFDTable[[#This Row],[Done]]),IF(CFDTable[[#This Row],[lookupHigh]]&gt;=CFDTable[[#This Row],[Target]]+CFDTable[[#This Row],[highDaily]],NA(),CFDTable[[#This Row],[lookupHigh]]))</f>
        <v>85.333333333333428</v>
      </c>
      <c r="P94" s="10">
        <f ca="1">CFDTable[[#This Row],[AvgDaily]]-CFDTable[[#This Row],[Deviation]]</f>
        <v>0.80952380952380931</v>
      </c>
      <c r="Q94" s="10">
        <f ca="1">AVERAGE(IF(ISNUMBER(L94),IF(ISNUMBER(OFFSET(L94,-Historic,0)),OFFSET(L94,-Historic,0),L$2):L94,Q93))</f>
        <v>0.95238095238095233</v>
      </c>
      <c r="R94" s="10">
        <f ca="1">AVERAGE(IF(ISNUMBER(L94),IF(ISNUMBER(OFFSET(L94,-Historic,0)),OFFSET(L94,-Historic,0),L$2):L94,R93))</f>
        <v>0.95238095238095233</v>
      </c>
      <c r="S94" s="10">
        <f ca="1">AVERAGE(IF(ISNUMBER(L94),OFFSET(L$2,DaysToIgnoreOnAvg,0):L94,S93))</f>
        <v>0.88311688311688308</v>
      </c>
      <c r="T94" s="10">
        <f ca="1">CFDTable[[#This Row],[AvgDaily]]+CFDTable[[#This Row],[Deviation]]</f>
        <v>1.0952380952380953</v>
      </c>
      <c r="U94" s="10">
        <f ca="1">IF(ISNUMBER(L94),((_xlfn.PERCENTILE.INC(IF(ISNUMBER(OFFSET(Q94,-Historic,0)),OFFSET(Q94,-Historic,0),Q$2):Q94,PercentileHigh/100))-(MEDIAN(IF(ISNUMBER(OFFSET(Q94,-Historic,0)),OFFSET(Q94,-Historic,0),Q$2):Q94))),U93)</f>
        <v>0.14285714285714302</v>
      </c>
      <c r="V94" s="10">
        <f ca="1">IF(ISNUMBER(L94),((_xlfn.PERCENTILE.INC(Q$2:Q94,PercentileHigh/100))-(MEDIAN(Q$2:Q94))),U93)</f>
        <v>0.14285714285714302</v>
      </c>
      <c r="W94" s="10">
        <f ca="1">IF(ISNUMBER(CFDTable[[#This Row],[Done Today]]),SUM($F94:$K94),$W93)</f>
        <v>124</v>
      </c>
      <c r="X94" s="10">
        <f ca="1">IF(ISNUMBER(CFDTable[[#This Row],[Done Today]]),SUM($F94:$K94),$X93)</f>
        <v>124</v>
      </c>
      <c r="Y94" s="10">
        <f ca="1">SUM(LOOKUP(2,1/(M$1:M93&lt;&gt;""),M$1:M93)+CFDTable[[#This Row],[lowDaily]])</f>
        <v>81.333333333333343</v>
      </c>
      <c r="Z94" s="10">
        <f ca="1">SUM(LOOKUP(2,1/(N$1:N93&lt;&gt;""),N$1:N93)+Q94)</f>
        <v>83.333333333333286</v>
      </c>
      <c r="AA94" s="10">
        <f ca="1">SUM(LOOKUP(2,1/(O$1:O93&lt;&gt;""),O$1:O93)+CFDTable[[#This Row],[highDaily]])</f>
        <v>85.333333333333428</v>
      </c>
      <c r="AB94" s="12">
        <f>IF(CFDTable[[#This Row],[Date]]=DeadlineDate,CFDTable[Future Work],0)</f>
        <v>0</v>
      </c>
    </row>
    <row r="95" spans="1:28">
      <c r="A95" s="8">
        <f>CFDTable[[#This Row],[Date]]</f>
        <v>42543</v>
      </c>
      <c r="B95" s="38">
        <f>Data!B95</f>
        <v>42543</v>
      </c>
      <c r="C95" s="10">
        <f ca="1">IF(ISNUMBER(CFDTable[[#This Row],[Ready]]),NA(),CFDTable[[#This Row],[Target]]-CFDTable[[#This Row],[To Do]])</f>
        <v>77</v>
      </c>
      <c r="D95" s="10">
        <f ca="1">IF(CFDTable[[#This Row],[Emergence]]&gt;0,CFDTable[[#This Row],[Future Work]]-CFDTable[[#This Row],[Emergence]],NA())</f>
        <v>81</v>
      </c>
      <c r="E95" s="10">
        <f>Data!C95</f>
        <v>43</v>
      </c>
      <c r="F95" s="10">
        <f ca="1">Data!D95</f>
        <v>47</v>
      </c>
      <c r="G95" s="10" t="e">
        <f ca="1">IF(TodaysDate&gt;=$B95,Data!E95,NA())</f>
        <v>#N/A</v>
      </c>
      <c r="H95" s="10" t="e">
        <f ca="1">IF(TodaysDate&gt;=$B95,Data!F95,NA())</f>
        <v>#N/A</v>
      </c>
      <c r="I95" s="10" t="e">
        <f ca="1">IF(TodaysDate&gt;=$B95,Data!G95,NA())</f>
        <v>#N/A</v>
      </c>
      <c r="J95" s="10" t="e">
        <f ca="1">IF(TodaysDate&gt;=$B95,Data!H95,NA())</f>
        <v>#N/A</v>
      </c>
      <c r="K95" s="10" t="e">
        <f ca="1">IF(TodaysDate&gt;=$B95,Data!I95,NA())</f>
        <v>#N/A</v>
      </c>
      <c r="L95" s="10" t="e">
        <f ca="1">IF(CFDTable[[#This Row],[Done]]&gt;0,(CFDTable[[#This Row],[Done]])-(K94),0)</f>
        <v>#N/A</v>
      </c>
      <c r="M95" s="10">
        <f ca="1">IF(ISNUMBER($L95),SUM(CFDTable[[#This Row],[Done]]),IF(CFDTable[[#This Row],[lookupLow]]&gt;=CFDTable[[#This Row],[Target]]+CFDTable[[#This Row],[lowDaily]],NA(),CFDTable[[#This Row],[lookupLow]]))</f>
        <v>82.142857142857153</v>
      </c>
      <c r="N95" s="10">
        <f ca="1">IF(ISNUMBER($L95),SUM(CFDTable[[#This Row],[Done]]),IF(CFDTable[[#This Row],[lookupMedian]]&gt;=$X95+Q95,NA(),CFDTable[[#This Row],[lookupMedian]]))</f>
        <v>84.285714285714235</v>
      </c>
      <c r="O95" s="10">
        <f ca="1">IF(ISNUMBER(CFDTable[[#This Row],[Done Today]]),SUM(CFDTable[[#This Row],[Done]]),IF(CFDTable[[#This Row],[lookupHigh]]&gt;=CFDTable[[#This Row],[Target]]+CFDTable[[#This Row],[highDaily]],NA(),CFDTable[[#This Row],[lookupHigh]]))</f>
        <v>86.42857142857153</v>
      </c>
      <c r="P95" s="10">
        <f ca="1">CFDTable[[#This Row],[AvgDaily]]-CFDTable[[#This Row],[Deviation]]</f>
        <v>0.80952380952380931</v>
      </c>
      <c r="Q95" s="10">
        <f ca="1">AVERAGE(IF(ISNUMBER(L95),IF(ISNUMBER(OFFSET(L95,-Historic,0)),OFFSET(L95,-Historic,0),L$2):L95,Q94))</f>
        <v>0.95238095238095233</v>
      </c>
      <c r="R95" s="10">
        <f ca="1">AVERAGE(IF(ISNUMBER(L95),IF(ISNUMBER(OFFSET(L95,-Historic,0)),OFFSET(L95,-Historic,0),L$2):L95,R94))</f>
        <v>0.95238095238095233</v>
      </c>
      <c r="S95" s="10">
        <f ca="1">AVERAGE(IF(ISNUMBER(L95),OFFSET(L$2,DaysToIgnoreOnAvg,0):L95,S94))</f>
        <v>0.88311688311688308</v>
      </c>
      <c r="T95" s="10">
        <f ca="1">CFDTable[[#This Row],[AvgDaily]]+CFDTable[[#This Row],[Deviation]]</f>
        <v>1.0952380952380953</v>
      </c>
      <c r="U95" s="10">
        <f ca="1">IF(ISNUMBER(L95),((_xlfn.PERCENTILE.INC(IF(ISNUMBER(OFFSET(Q95,-Historic,0)),OFFSET(Q95,-Historic,0),Q$2):Q95,PercentileHigh/100))-(MEDIAN(IF(ISNUMBER(OFFSET(Q95,-Historic,0)),OFFSET(Q95,-Historic,0),Q$2):Q95))),U94)</f>
        <v>0.14285714285714302</v>
      </c>
      <c r="V95" s="10">
        <f ca="1">IF(ISNUMBER(L95),((_xlfn.PERCENTILE.INC(Q$2:Q95,PercentileHigh/100))-(MEDIAN(Q$2:Q95))),U94)</f>
        <v>0.14285714285714302</v>
      </c>
      <c r="W95" s="10">
        <f ca="1">IF(ISNUMBER(CFDTable[[#This Row],[Done Today]]),SUM($F95:$K95),$W94)</f>
        <v>124</v>
      </c>
      <c r="X95" s="10">
        <f ca="1">IF(ISNUMBER(CFDTable[[#This Row],[Done Today]]),SUM($F95:$K95),$X94)</f>
        <v>124</v>
      </c>
      <c r="Y95" s="10">
        <f ca="1">SUM(LOOKUP(2,1/(M$1:M94&lt;&gt;""),M$1:M94)+CFDTable[[#This Row],[lowDaily]])</f>
        <v>82.142857142857153</v>
      </c>
      <c r="Z95" s="10">
        <f ca="1">SUM(LOOKUP(2,1/(N$1:N94&lt;&gt;""),N$1:N94)+Q95)</f>
        <v>84.285714285714235</v>
      </c>
      <c r="AA95" s="10">
        <f ca="1">SUM(LOOKUP(2,1/(O$1:O94&lt;&gt;""),O$1:O94)+CFDTable[[#This Row],[highDaily]])</f>
        <v>86.42857142857153</v>
      </c>
      <c r="AB95" s="12">
        <f>IF(CFDTable[[#This Row],[Date]]=DeadlineDate,CFDTable[Future Work],0)</f>
        <v>0</v>
      </c>
    </row>
    <row r="96" spans="1:28">
      <c r="A96" s="8">
        <f>CFDTable[[#This Row],[Date]]</f>
        <v>42544</v>
      </c>
      <c r="B96" s="38">
        <f>Data!B96</f>
        <v>42544</v>
      </c>
      <c r="C96" s="10">
        <f ca="1">IF(ISNUMBER(CFDTable[[#This Row],[Ready]]),NA(),CFDTable[[#This Row],[Target]]-CFDTable[[#This Row],[To Do]])</f>
        <v>77</v>
      </c>
      <c r="D96" s="10">
        <f ca="1">IF(CFDTable[[#This Row],[Emergence]]&gt;0,CFDTable[[#This Row],[Future Work]]-CFDTable[[#This Row],[Emergence]],NA())</f>
        <v>81</v>
      </c>
      <c r="E96" s="10">
        <f>Data!C96</f>
        <v>43</v>
      </c>
      <c r="F96" s="10">
        <f ca="1">Data!D96</f>
        <v>47</v>
      </c>
      <c r="G96" s="10" t="e">
        <f ca="1">IF(TodaysDate&gt;=$B96,Data!E96,NA())</f>
        <v>#N/A</v>
      </c>
      <c r="H96" s="10" t="e">
        <f ca="1">IF(TodaysDate&gt;=$B96,Data!F96,NA())</f>
        <v>#N/A</v>
      </c>
      <c r="I96" s="10" t="e">
        <f ca="1">IF(TodaysDate&gt;=$B96,Data!G96,NA())</f>
        <v>#N/A</v>
      </c>
      <c r="J96" s="10" t="e">
        <f ca="1">IF(TodaysDate&gt;=$B96,Data!H96,NA())</f>
        <v>#N/A</v>
      </c>
      <c r="K96" s="10" t="e">
        <f ca="1">IF(TodaysDate&gt;=$B96,Data!I96,NA())</f>
        <v>#N/A</v>
      </c>
      <c r="L96" s="10" t="e">
        <f ca="1">IF(CFDTable[[#This Row],[Done]]&gt;0,(CFDTable[[#This Row],[Done]])-(K95),0)</f>
        <v>#N/A</v>
      </c>
      <c r="M96" s="10">
        <f ca="1">IF(ISNUMBER($L96),SUM(CFDTable[[#This Row],[Done]]),IF(CFDTable[[#This Row],[lookupLow]]&gt;=CFDTable[[#This Row],[Target]]+CFDTable[[#This Row],[lowDaily]],NA(),CFDTable[[#This Row],[lookupLow]]))</f>
        <v>82.952380952380963</v>
      </c>
      <c r="N96" s="10">
        <f ca="1">IF(ISNUMBER($L96),SUM(CFDTable[[#This Row],[Done]]),IF(CFDTable[[#This Row],[lookupMedian]]&gt;=$X96+Q96,NA(),CFDTable[[#This Row],[lookupMedian]]))</f>
        <v>85.238095238095184</v>
      </c>
      <c r="O96" s="10">
        <f ca="1">IF(ISNUMBER(CFDTable[[#This Row],[Done Today]]),SUM(CFDTable[[#This Row],[Done]]),IF(CFDTable[[#This Row],[lookupHigh]]&gt;=CFDTable[[#This Row],[Target]]+CFDTable[[#This Row],[highDaily]],NA(),CFDTable[[#This Row],[lookupHigh]]))</f>
        <v>87.523809523809632</v>
      </c>
      <c r="P96" s="10">
        <f ca="1">CFDTable[[#This Row],[AvgDaily]]-CFDTable[[#This Row],[Deviation]]</f>
        <v>0.80952380952380931</v>
      </c>
      <c r="Q96" s="10">
        <f ca="1">AVERAGE(IF(ISNUMBER(L96),IF(ISNUMBER(OFFSET(L96,-Historic,0)),OFFSET(L96,-Historic,0),L$2):L96,Q95))</f>
        <v>0.95238095238095233</v>
      </c>
      <c r="R96" s="10">
        <f ca="1">AVERAGE(IF(ISNUMBER(L96),IF(ISNUMBER(OFFSET(L96,-Historic,0)),OFFSET(L96,-Historic,0),L$2):L96,R95))</f>
        <v>0.95238095238095233</v>
      </c>
      <c r="S96" s="10">
        <f ca="1">AVERAGE(IF(ISNUMBER(L96),OFFSET(L$2,DaysToIgnoreOnAvg,0):L96,S95))</f>
        <v>0.88311688311688308</v>
      </c>
      <c r="T96" s="10">
        <f ca="1">CFDTable[[#This Row],[AvgDaily]]+CFDTable[[#This Row],[Deviation]]</f>
        <v>1.0952380952380953</v>
      </c>
      <c r="U96" s="10">
        <f ca="1">IF(ISNUMBER(L96),((_xlfn.PERCENTILE.INC(IF(ISNUMBER(OFFSET(Q96,-Historic,0)),OFFSET(Q96,-Historic,0),Q$2):Q96,PercentileHigh/100))-(MEDIAN(IF(ISNUMBER(OFFSET(Q96,-Historic,0)),OFFSET(Q96,-Historic,0),Q$2):Q96))),U95)</f>
        <v>0.14285714285714302</v>
      </c>
      <c r="V96" s="10">
        <f ca="1">IF(ISNUMBER(L96),((_xlfn.PERCENTILE.INC(Q$2:Q96,PercentileHigh/100))-(MEDIAN(Q$2:Q96))),U95)</f>
        <v>0.14285714285714302</v>
      </c>
      <c r="W96" s="10">
        <f ca="1">IF(ISNUMBER(CFDTable[[#This Row],[Done Today]]),SUM($F96:$K96),$W95)</f>
        <v>124</v>
      </c>
      <c r="X96" s="10">
        <f ca="1">IF(ISNUMBER(CFDTable[[#This Row],[Done Today]]),SUM($F96:$K96),$X95)</f>
        <v>124</v>
      </c>
      <c r="Y96" s="10">
        <f ca="1">SUM(LOOKUP(2,1/(M$1:M95&lt;&gt;""),M$1:M95)+CFDTable[[#This Row],[lowDaily]])</f>
        <v>82.952380952380963</v>
      </c>
      <c r="Z96" s="10">
        <f ca="1">SUM(LOOKUP(2,1/(N$1:N95&lt;&gt;""),N$1:N95)+Q96)</f>
        <v>85.238095238095184</v>
      </c>
      <c r="AA96" s="10">
        <f ca="1">SUM(LOOKUP(2,1/(O$1:O95&lt;&gt;""),O$1:O95)+CFDTable[[#This Row],[highDaily]])</f>
        <v>87.523809523809632</v>
      </c>
      <c r="AB96" s="12">
        <f>IF(CFDTable[[#This Row],[Date]]=DeadlineDate,CFDTable[Future Work],0)</f>
        <v>0</v>
      </c>
    </row>
    <row r="97" spans="1:28">
      <c r="A97" s="8">
        <f>CFDTable[[#This Row],[Date]]</f>
        <v>42545</v>
      </c>
      <c r="B97" s="38">
        <f>Data!B97</f>
        <v>42545</v>
      </c>
      <c r="C97" s="10">
        <f ca="1">IF(ISNUMBER(CFDTable[[#This Row],[Ready]]),NA(),CFDTable[[#This Row],[Target]]-CFDTable[[#This Row],[To Do]])</f>
        <v>77</v>
      </c>
      <c r="D97" s="10">
        <f ca="1">IF(CFDTable[[#This Row],[Emergence]]&gt;0,CFDTable[[#This Row],[Future Work]]-CFDTable[[#This Row],[Emergence]],NA())</f>
        <v>81</v>
      </c>
      <c r="E97" s="10">
        <f>Data!C97</f>
        <v>43</v>
      </c>
      <c r="F97" s="10">
        <f ca="1">Data!D97</f>
        <v>47</v>
      </c>
      <c r="G97" s="10" t="e">
        <f ca="1">IF(TodaysDate&gt;=$B97,Data!E97,NA())</f>
        <v>#N/A</v>
      </c>
      <c r="H97" s="10" t="e">
        <f ca="1">IF(TodaysDate&gt;=$B97,Data!F97,NA())</f>
        <v>#N/A</v>
      </c>
      <c r="I97" s="10" t="e">
        <f ca="1">IF(TodaysDate&gt;=$B97,Data!G97,NA())</f>
        <v>#N/A</v>
      </c>
      <c r="J97" s="10" t="e">
        <f ca="1">IF(TodaysDate&gt;=$B97,Data!H97,NA())</f>
        <v>#N/A</v>
      </c>
      <c r="K97" s="10" t="e">
        <f ca="1">IF(TodaysDate&gt;=$B97,Data!I97,NA())</f>
        <v>#N/A</v>
      </c>
      <c r="L97" s="10" t="e">
        <f ca="1">IF(CFDTable[[#This Row],[Done]]&gt;0,(CFDTable[[#This Row],[Done]])-(K96),0)</f>
        <v>#N/A</v>
      </c>
      <c r="M97" s="10">
        <f ca="1">IF(ISNUMBER($L97),SUM(CFDTable[[#This Row],[Done]]),IF(CFDTable[[#This Row],[lookupLow]]&gt;=CFDTable[[#This Row],[Target]]+CFDTable[[#This Row],[lowDaily]],NA(),CFDTable[[#This Row],[lookupLow]]))</f>
        <v>83.761904761904773</v>
      </c>
      <c r="N97" s="10">
        <f ca="1">IF(ISNUMBER($L97),SUM(CFDTable[[#This Row],[Done]]),IF(CFDTable[[#This Row],[lookupMedian]]&gt;=$X97+Q97,NA(),CFDTable[[#This Row],[lookupMedian]]))</f>
        <v>86.190476190476133</v>
      </c>
      <c r="O97" s="10">
        <f ca="1">IF(ISNUMBER(CFDTable[[#This Row],[Done Today]]),SUM(CFDTable[[#This Row],[Done]]),IF(CFDTable[[#This Row],[lookupHigh]]&gt;=CFDTable[[#This Row],[Target]]+CFDTable[[#This Row],[highDaily]],NA(),CFDTable[[#This Row],[lookupHigh]]))</f>
        <v>88.619047619047734</v>
      </c>
      <c r="P97" s="10">
        <f ca="1">CFDTable[[#This Row],[AvgDaily]]-CFDTable[[#This Row],[Deviation]]</f>
        <v>0.80952380952380931</v>
      </c>
      <c r="Q97" s="10">
        <f ca="1">AVERAGE(IF(ISNUMBER(L97),IF(ISNUMBER(OFFSET(L97,-Historic,0)),OFFSET(L97,-Historic,0),L$2):L97,Q96))</f>
        <v>0.95238095238095233</v>
      </c>
      <c r="R97" s="10">
        <f ca="1">AVERAGE(IF(ISNUMBER(L97),IF(ISNUMBER(OFFSET(L97,-Historic,0)),OFFSET(L97,-Historic,0),L$2):L97,R96))</f>
        <v>0.95238095238095233</v>
      </c>
      <c r="S97" s="10">
        <f ca="1">AVERAGE(IF(ISNUMBER(L97),OFFSET(L$2,DaysToIgnoreOnAvg,0):L97,S96))</f>
        <v>0.88311688311688308</v>
      </c>
      <c r="T97" s="10">
        <f ca="1">CFDTable[[#This Row],[AvgDaily]]+CFDTable[[#This Row],[Deviation]]</f>
        <v>1.0952380952380953</v>
      </c>
      <c r="U97" s="10">
        <f ca="1">IF(ISNUMBER(L97),((_xlfn.PERCENTILE.INC(IF(ISNUMBER(OFFSET(Q97,-Historic,0)),OFFSET(Q97,-Historic,0),Q$2):Q97,PercentileHigh/100))-(MEDIAN(IF(ISNUMBER(OFFSET(Q97,-Historic,0)),OFFSET(Q97,-Historic,0),Q$2):Q97))),U96)</f>
        <v>0.14285714285714302</v>
      </c>
      <c r="V97" s="10">
        <f ca="1">IF(ISNUMBER(L97),((_xlfn.PERCENTILE.INC(Q$2:Q97,PercentileHigh/100))-(MEDIAN(Q$2:Q97))),U96)</f>
        <v>0.14285714285714302</v>
      </c>
      <c r="W97" s="10">
        <f ca="1">IF(ISNUMBER(CFDTable[[#This Row],[Done Today]]),SUM($F97:$K97),$W96)</f>
        <v>124</v>
      </c>
      <c r="X97" s="10">
        <f ca="1">IF(ISNUMBER(CFDTable[[#This Row],[Done Today]]),SUM($F97:$K97),$X96)</f>
        <v>124</v>
      </c>
      <c r="Y97" s="10">
        <f ca="1">SUM(LOOKUP(2,1/(M$1:M96&lt;&gt;""),M$1:M96)+CFDTable[[#This Row],[lowDaily]])</f>
        <v>83.761904761904773</v>
      </c>
      <c r="Z97" s="10">
        <f ca="1">SUM(LOOKUP(2,1/(N$1:N96&lt;&gt;""),N$1:N96)+Q97)</f>
        <v>86.190476190476133</v>
      </c>
      <c r="AA97" s="10">
        <f ca="1">SUM(LOOKUP(2,1/(O$1:O96&lt;&gt;""),O$1:O96)+CFDTable[[#This Row],[highDaily]])</f>
        <v>88.619047619047734</v>
      </c>
      <c r="AB97" s="12">
        <f>IF(CFDTable[[#This Row],[Date]]=DeadlineDate,CFDTable[Future Work],0)</f>
        <v>0</v>
      </c>
    </row>
    <row r="98" spans="1:28">
      <c r="A98" s="8">
        <f>CFDTable[[#This Row],[Date]]</f>
        <v>42548</v>
      </c>
      <c r="B98" s="38">
        <f>Data!B98</f>
        <v>42548</v>
      </c>
      <c r="C98" s="10">
        <f ca="1">IF(ISNUMBER(CFDTable[[#This Row],[Ready]]),NA(),CFDTable[[#This Row],[Target]]-CFDTable[[#This Row],[To Do]])</f>
        <v>77</v>
      </c>
      <c r="D98" s="10">
        <f ca="1">IF(CFDTable[[#This Row],[Emergence]]&gt;0,CFDTable[[#This Row],[Future Work]]-CFDTable[[#This Row],[Emergence]],NA())</f>
        <v>81</v>
      </c>
      <c r="E98" s="10">
        <f>Data!C98</f>
        <v>43</v>
      </c>
      <c r="F98" s="10">
        <f ca="1">Data!D98</f>
        <v>47</v>
      </c>
      <c r="G98" s="10" t="e">
        <f ca="1">IF(TodaysDate&gt;=$B98,Data!E98,NA())</f>
        <v>#N/A</v>
      </c>
      <c r="H98" s="10" t="e">
        <f ca="1">IF(TodaysDate&gt;=$B98,Data!F98,NA())</f>
        <v>#N/A</v>
      </c>
      <c r="I98" s="10" t="e">
        <f ca="1">IF(TodaysDate&gt;=$B98,Data!G98,NA())</f>
        <v>#N/A</v>
      </c>
      <c r="J98" s="10" t="e">
        <f ca="1">IF(TodaysDate&gt;=$B98,Data!H98,NA())</f>
        <v>#N/A</v>
      </c>
      <c r="K98" s="10" t="e">
        <f ca="1">IF(TodaysDate&gt;=$B98,Data!I98,NA())</f>
        <v>#N/A</v>
      </c>
      <c r="L98" s="10" t="e">
        <f ca="1">IF(CFDTable[[#This Row],[Done]]&gt;0,(CFDTable[[#This Row],[Done]])-(K97),0)</f>
        <v>#N/A</v>
      </c>
      <c r="M98" s="10">
        <f ca="1">IF(ISNUMBER($L98),SUM(CFDTable[[#This Row],[Done]]),IF(CFDTable[[#This Row],[lookupLow]]&gt;=CFDTable[[#This Row],[Target]]+CFDTable[[#This Row],[lowDaily]],NA(),CFDTable[[#This Row],[lookupLow]]))</f>
        <v>84.571428571428584</v>
      </c>
      <c r="N98" s="10">
        <f ca="1">IF(ISNUMBER($L98),SUM(CFDTable[[#This Row],[Done]]),IF(CFDTable[[#This Row],[lookupMedian]]&gt;=$X98+Q98,NA(),CFDTable[[#This Row],[lookupMedian]]))</f>
        <v>87.142857142857082</v>
      </c>
      <c r="O98" s="10">
        <f ca="1">IF(ISNUMBER(CFDTable[[#This Row],[Done Today]]),SUM(CFDTable[[#This Row],[Done]]),IF(CFDTable[[#This Row],[lookupHigh]]&gt;=CFDTable[[#This Row],[Target]]+CFDTable[[#This Row],[highDaily]],NA(),CFDTable[[#This Row],[lookupHigh]]))</f>
        <v>89.714285714285836</v>
      </c>
      <c r="P98" s="10">
        <f ca="1">CFDTable[[#This Row],[AvgDaily]]-CFDTable[[#This Row],[Deviation]]</f>
        <v>0.80952380952380931</v>
      </c>
      <c r="Q98" s="10">
        <f ca="1">AVERAGE(IF(ISNUMBER(L98),IF(ISNUMBER(OFFSET(L98,-Historic,0)),OFFSET(L98,-Historic,0),L$2):L98,Q97))</f>
        <v>0.95238095238095233</v>
      </c>
      <c r="R98" s="10">
        <f ca="1">AVERAGE(IF(ISNUMBER(L98),IF(ISNUMBER(OFFSET(L98,-Historic,0)),OFFSET(L98,-Historic,0),L$2):L98,R97))</f>
        <v>0.95238095238095233</v>
      </c>
      <c r="S98" s="10">
        <f ca="1">AVERAGE(IF(ISNUMBER(L98),OFFSET(L$2,DaysToIgnoreOnAvg,0):L98,S97))</f>
        <v>0.88311688311688308</v>
      </c>
      <c r="T98" s="10">
        <f ca="1">CFDTable[[#This Row],[AvgDaily]]+CFDTable[[#This Row],[Deviation]]</f>
        <v>1.0952380952380953</v>
      </c>
      <c r="U98" s="10">
        <f ca="1">IF(ISNUMBER(L98),((_xlfn.PERCENTILE.INC(IF(ISNUMBER(OFFSET(Q98,-Historic,0)),OFFSET(Q98,-Historic,0),Q$2):Q98,PercentileHigh/100))-(MEDIAN(IF(ISNUMBER(OFFSET(Q98,-Historic,0)),OFFSET(Q98,-Historic,0),Q$2):Q98))),U97)</f>
        <v>0.14285714285714302</v>
      </c>
      <c r="V98" s="10">
        <f ca="1">IF(ISNUMBER(L98),((_xlfn.PERCENTILE.INC(Q$2:Q98,PercentileHigh/100))-(MEDIAN(Q$2:Q98))),U97)</f>
        <v>0.14285714285714302</v>
      </c>
      <c r="W98" s="10">
        <f ca="1">IF(ISNUMBER(CFDTable[[#This Row],[Done Today]]),SUM($F98:$K98),$W97)</f>
        <v>124</v>
      </c>
      <c r="X98" s="10">
        <f ca="1">IF(ISNUMBER(CFDTable[[#This Row],[Done Today]]),SUM($F98:$K98),$X97)</f>
        <v>124</v>
      </c>
      <c r="Y98" s="10">
        <f ca="1">SUM(LOOKUP(2,1/(M$1:M97&lt;&gt;""),M$1:M97)+CFDTable[[#This Row],[lowDaily]])</f>
        <v>84.571428571428584</v>
      </c>
      <c r="Z98" s="10">
        <f ca="1">SUM(LOOKUP(2,1/(N$1:N97&lt;&gt;""),N$1:N97)+Q98)</f>
        <v>87.142857142857082</v>
      </c>
      <c r="AA98" s="10">
        <f ca="1">SUM(LOOKUP(2,1/(O$1:O97&lt;&gt;""),O$1:O97)+CFDTable[[#This Row],[highDaily]])</f>
        <v>89.714285714285836</v>
      </c>
      <c r="AB98" s="12">
        <f>IF(CFDTable[[#This Row],[Date]]=DeadlineDate,CFDTable[Future Work],0)</f>
        <v>0</v>
      </c>
    </row>
    <row r="99" spans="1:28">
      <c r="A99" s="8">
        <f>CFDTable[[#This Row],[Date]]</f>
        <v>42549</v>
      </c>
      <c r="B99" s="38">
        <f>Data!B99</f>
        <v>42549</v>
      </c>
      <c r="C99" s="10">
        <f ca="1">IF(ISNUMBER(CFDTable[[#This Row],[Ready]]),NA(),CFDTable[[#This Row],[Target]]-CFDTable[[#This Row],[To Do]])</f>
        <v>77</v>
      </c>
      <c r="D99" s="10">
        <f ca="1">IF(CFDTable[[#This Row],[Emergence]]&gt;0,CFDTable[[#This Row],[Future Work]]-CFDTable[[#This Row],[Emergence]],NA())</f>
        <v>81</v>
      </c>
      <c r="E99" s="10">
        <f>Data!C99</f>
        <v>43</v>
      </c>
      <c r="F99" s="10">
        <f ca="1">Data!D99</f>
        <v>47</v>
      </c>
      <c r="G99" s="10" t="e">
        <f ca="1">IF(TodaysDate&gt;=$B99,Data!E99,NA())</f>
        <v>#N/A</v>
      </c>
      <c r="H99" s="10" t="e">
        <f ca="1">IF(TodaysDate&gt;=$B99,Data!F99,NA())</f>
        <v>#N/A</v>
      </c>
      <c r="I99" s="10" t="e">
        <f ca="1">IF(TodaysDate&gt;=$B99,Data!G99,NA())</f>
        <v>#N/A</v>
      </c>
      <c r="J99" s="10" t="e">
        <f ca="1">IF(TodaysDate&gt;=$B99,Data!H99,NA())</f>
        <v>#N/A</v>
      </c>
      <c r="K99" s="10" t="e">
        <f ca="1">IF(TodaysDate&gt;=$B99,Data!I99,NA())</f>
        <v>#N/A</v>
      </c>
      <c r="L99" s="10" t="e">
        <f ca="1">IF(CFDTable[[#This Row],[Done]]&gt;0,(CFDTable[[#This Row],[Done]])-(K98),0)</f>
        <v>#N/A</v>
      </c>
      <c r="M99" s="10">
        <f ca="1">IF(ISNUMBER($L99),SUM(CFDTable[[#This Row],[Done]]),IF(CFDTable[[#This Row],[lookupLow]]&gt;=CFDTable[[#This Row],[Target]]+CFDTable[[#This Row],[lowDaily]],NA(),CFDTable[[#This Row],[lookupLow]]))</f>
        <v>85.380952380952394</v>
      </c>
      <c r="N99" s="10">
        <f ca="1">IF(ISNUMBER($L99),SUM(CFDTable[[#This Row],[Done]]),IF(CFDTable[[#This Row],[lookupMedian]]&gt;=$X99+Q99,NA(),CFDTable[[#This Row],[lookupMedian]]))</f>
        <v>88.095238095238031</v>
      </c>
      <c r="O99" s="10">
        <f ca="1">IF(ISNUMBER(CFDTable[[#This Row],[Done Today]]),SUM(CFDTable[[#This Row],[Done]]),IF(CFDTable[[#This Row],[lookupHigh]]&gt;=CFDTable[[#This Row],[Target]]+CFDTable[[#This Row],[highDaily]],NA(),CFDTable[[#This Row],[lookupHigh]]))</f>
        <v>90.809523809523938</v>
      </c>
      <c r="P99" s="10">
        <f ca="1">CFDTable[[#This Row],[AvgDaily]]-CFDTable[[#This Row],[Deviation]]</f>
        <v>0.80952380952380931</v>
      </c>
      <c r="Q99" s="10">
        <f ca="1">AVERAGE(IF(ISNUMBER(L99),IF(ISNUMBER(OFFSET(L99,-Historic,0)),OFFSET(L99,-Historic,0),L$2):L99,Q98))</f>
        <v>0.95238095238095233</v>
      </c>
      <c r="R99" s="10">
        <f ca="1">AVERAGE(IF(ISNUMBER(L99),IF(ISNUMBER(OFFSET(L99,-Historic,0)),OFFSET(L99,-Historic,0),L$2):L99,R98))</f>
        <v>0.95238095238095233</v>
      </c>
      <c r="S99" s="10">
        <f ca="1">AVERAGE(IF(ISNUMBER(L99),OFFSET(L$2,DaysToIgnoreOnAvg,0):L99,S98))</f>
        <v>0.88311688311688308</v>
      </c>
      <c r="T99" s="10">
        <f ca="1">CFDTable[[#This Row],[AvgDaily]]+CFDTable[[#This Row],[Deviation]]</f>
        <v>1.0952380952380953</v>
      </c>
      <c r="U99" s="10">
        <f ca="1">IF(ISNUMBER(L99),((_xlfn.PERCENTILE.INC(IF(ISNUMBER(OFFSET(Q99,-Historic,0)),OFFSET(Q99,-Historic,0),Q$2):Q99,PercentileHigh/100))-(MEDIAN(IF(ISNUMBER(OFFSET(Q99,-Historic,0)),OFFSET(Q99,-Historic,0),Q$2):Q99))),U98)</f>
        <v>0.14285714285714302</v>
      </c>
      <c r="V99" s="10">
        <f ca="1">IF(ISNUMBER(L99),((_xlfn.PERCENTILE.INC(Q$2:Q99,PercentileHigh/100))-(MEDIAN(Q$2:Q99))),U98)</f>
        <v>0.14285714285714302</v>
      </c>
      <c r="W99" s="10">
        <f ca="1">IF(ISNUMBER(CFDTable[[#This Row],[Done Today]]),SUM($F99:$K99),$W98)</f>
        <v>124</v>
      </c>
      <c r="X99" s="10">
        <f ca="1">IF(ISNUMBER(CFDTable[[#This Row],[Done Today]]),SUM($F99:$K99),$X98)</f>
        <v>124</v>
      </c>
      <c r="Y99" s="10">
        <f ca="1">SUM(LOOKUP(2,1/(M$1:M98&lt;&gt;""),M$1:M98)+CFDTable[[#This Row],[lowDaily]])</f>
        <v>85.380952380952394</v>
      </c>
      <c r="Z99" s="10">
        <f ca="1">SUM(LOOKUP(2,1/(N$1:N98&lt;&gt;""),N$1:N98)+Q99)</f>
        <v>88.095238095238031</v>
      </c>
      <c r="AA99" s="10">
        <f ca="1">SUM(LOOKUP(2,1/(O$1:O98&lt;&gt;""),O$1:O98)+CFDTable[[#This Row],[highDaily]])</f>
        <v>90.809523809523938</v>
      </c>
      <c r="AB99" s="12">
        <f>IF(CFDTable[[#This Row],[Date]]=DeadlineDate,CFDTable[Future Work],0)</f>
        <v>0</v>
      </c>
    </row>
    <row r="100" spans="1:28">
      <c r="A100" s="8">
        <f>CFDTable[[#This Row],[Date]]</f>
        <v>42550</v>
      </c>
      <c r="B100" s="38">
        <f>Data!B100</f>
        <v>42550</v>
      </c>
      <c r="C100" s="10">
        <f ca="1">IF(ISNUMBER(CFDTable[[#This Row],[Ready]]),NA(),CFDTable[[#This Row],[Target]]-CFDTable[[#This Row],[To Do]])</f>
        <v>77</v>
      </c>
      <c r="D100" s="10">
        <f ca="1">IF(CFDTable[[#This Row],[Emergence]]&gt;0,CFDTable[[#This Row],[Future Work]]-CFDTable[[#This Row],[Emergence]],NA())</f>
        <v>81</v>
      </c>
      <c r="E100" s="10">
        <f>Data!C100</f>
        <v>43</v>
      </c>
      <c r="F100" s="10">
        <f ca="1">Data!D100</f>
        <v>47</v>
      </c>
      <c r="G100" s="10" t="e">
        <f ca="1">IF(TodaysDate&gt;=$B100,Data!E100,NA())</f>
        <v>#N/A</v>
      </c>
      <c r="H100" s="10" t="e">
        <f ca="1">IF(TodaysDate&gt;=$B100,Data!F100,NA())</f>
        <v>#N/A</v>
      </c>
      <c r="I100" s="10" t="e">
        <f ca="1">IF(TodaysDate&gt;=$B100,Data!G100,NA())</f>
        <v>#N/A</v>
      </c>
      <c r="J100" s="10" t="e">
        <f ca="1">IF(TodaysDate&gt;=$B100,Data!H100,NA())</f>
        <v>#N/A</v>
      </c>
      <c r="K100" s="10" t="e">
        <f ca="1">IF(TodaysDate&gt;=$B100,Data!I100,NA())</f>
        <v>#N/A</v>
      </c>
      <c r="L100" s="10" t="e">
        <f ca="1">IF(CFDTable[[#This Row],[Done]]&gt;0,(CFDTable[[#This Row],[Done]])-(K99),0)</f>
        <v>#N/A</v>
      </c>
      <c r="M100" s="10">
        <f ca="1">IF(ISNUMBER($L100),SUM(CFDTable[[#This Row],[Done]]),IF(CFDTable[[#This Row],[lookupLow]]&gt;=CFDTable[[#This Row],[Target]]+CFDTable[[#This Row],[lowDaily]],NA(),CFDTable[[#This Row],[lookupLow]]))</f>
        <v>86.190476190476204</v>
      </c>
      <c r="N100" s="10">
        <f ca="1">IF(ISNUMBER($L100),SUM(CFDTable[[#This Row],[Done]]),IF(CFDTable[[#This Row],[lookupMedian]]&gt;=$X100+Q100,NA(),CFDTable[[#This Row],[lookupMedian]]))</f>
        <v>89.04761904761898</v>
      </c>
      <c r="O100" s="10">
        <f ca="1">IF(ISNUMBER(CFDTable[[#This Row],[Done Today]]),SUM(CFDTable[[#This Row],[Done]]),IF(CFDTable[[#This Row],[lookupHigh]]&gt;=CFDTable[[#This Row],[Target]]+CFDTable[[#This Row],[highDaily]],NA(),CFDTable[[#This Row],[lookupHigh]]))</f>
        <v>91.90476190476204</v>
      </c>
      <c r="P100" s="10">
        <f ca="1">CFDTable[[#This Row],[AvgDaily]]-CFDTable[[#This Row],[Deviation]]</f>
        <v>0.80952380952380931</v>
      </c>
      <c r="Q100" s="10">
        <f ca="1">AVERAGE(IF(ISNUMBER(L100),IF(ISNUMBER(OFFSET(L100,-Historic,0)),OFFSET(L100,-Historic,0),L$2):L100,Q99))</f>
        <v>0.95238095238095233</v>
      </c>
      <c r="R100" s="10">
        <f ca="1">AVERAGE(IF(ISNUMBER(L100),IF(ISNUMBER(OFFSET(L100,-Historic,0)),OFFSET(L100,-Historic,0),L$2):L100,R99))</f>
        <v>0.95238095238095233</v>
      </c>
      <c r="S100" s="10">
        <f ca="1">AVERAGE(IF(ISNUMBER(L100),OFFSET(L$2,DaysToIgnoreOnAvg,0):L100,S99))</f>
        <v>0.88311688311688308</v>
      </c>
      <c r="T100" s="10">
        <f ca="1">CFDTable[[#This Row],[AvgDaily]]+CFDTable[[#This Row],[Deviation]]</f>
        <v>1.0952380952380953</v>
      </c>
      <c r="U100" s="10">
        <f ca="1">IF(ISNUMBER(L100),((_xlfn.PERCENTILE.INC(IF(ISNUMBER(OFFSET(Q100,-Historic,0)),OFFSET(Q100,-Historic,0),Q$2):Q100,PercentileHigh/100))-(MEDIAN(IF(ISNUMBER(OFFSET(Q100,-Historic,0)),OFFSET(Q100,-Historic,0),Q$2):Q100))),U99)</f>
        <v>0.14285714285714302</v>
      </c>
      <c r="V100" s="10">
        <f ca="1">IF(ISNUMBER(L100),((_xlfn.PERCENTILE.INC(Q$2:Q100,PercentileHigh/100))-(MEDIAN(Q$2:Q100))),U99)</f>
        <v>0.14285714285714302</v>
      </c>
      <c r="W100" s="10">
        <f ca="1">IF(ISNUMBER(CFDTable[[#This Row],[Done Today]]),SUM($F100:$K100),$W99)</f>
        <v>124</v>
      </c>
      <c r="X100" s="10">
        <f ca="1">IF(ISNUMBER(CFDTable[[#This Row],[Done Today]]),SUM($F100:$K100),$X99)</f>
        <v>124</v>
      </c>
      <c r="Y100" s="10">
        <f ca="1">SUM(LOOKUP(2,1/(M$1:M99&lt;&gt;""),M$1:M99)+CFDTable[[#This Row],[lowDaily]])</f>
        <v>86.190476190476204</v>
      </c>
      <c r="Z100" s="10">
        <f ca="1">SUM(LOOKUP(2,1/(N$1:N99&lt;&gt;""),N$1:N99)+Q100)</f>
        <v>89.04761904761898</v>
      </c>
      <c r="AA100" s="10">
        <f ca="1">SUM(LOOKUP(2,1/(O$1:O99&lt;&gt;""),O$1:O99)+CFDTable[[#This Row],[highDaily]])</f>
        <v>91.90476190476204</v>
      </c>
      <c r="AB100" s="12">
        <f>IF(CFDTable[[#This Row],[Date]]=DeadlineDate,CFDTable[Future Work],0)</f>
        <v>0</v>
      </c>
    </row>
    <row r="101" spans="1:28">
      <c r="A101" s="8">
        <f>CFDTable[[#This Row],[Date]]</f>
        <v>42551</v>
      </c>
      <c r="B101" s="38">
        <f>Data!B101</f>
        <v>42551</v>
      </c>
      <c r="C101" s="10">
        <f ca="1">IF(ISNUMBER(CFDTable[[#This Row],[Ready]]),NA(),CFDTable[[#This Row],[Target]]-CFDTable[[#This Row],[To Do]])</f>
        <v>77</v>
      </c>
      <c r="D101" s="10">
        <f ca="1">IF(CFDTable[[#This Row],[Emergence]]&gt;0,CFDTable[[#This Row],[Future Work]]-CFDTable[[#This Row],[Emergence]],NA())</f>
        <v>81</v>
      </c>
      <c r="E101" s="10">
        <f>Data!C101</f>
        <v>43</v>
      </c>
      <c r="F101" s="10">
        <f ca="1">Data!D101</f>
        <v>47</v>
      </c>
      <c r="G101" s="10" t="e">
        <f ca="1">IF(TodaysDate&gt;=$B101,Data!E101,NA())</f>
        <v>#N/A</v>
      </c>
      <c r="H101" s="10" t="e">
        <f ca="1">IF(TodaysDate&gt;=$B101,Data!F101,NA())</f>
        <v>#N/A</v>
      </c>
      <c r="I101" s="10" t="e">
        <f ca="1">IF(TodaysDate&gt;=$B101,Data!G101,NA())</f>
        <v>#N/A</v>
      </c>
      <c r="J101" s="10" t="e">
        <f ca="1">IF(TodaysDate&gt;=$B101,Data!H101,NA())</f>
        <v>#N/A</v>
      </c>
      <c r="K101" s="10" t="e">
        <f ca="1">IF(TodaysDate&gt;=$B101,Data!I101,NA())</f>
        <v>#N/A</v>
      </c>
      <c r="L101" s="10" t="e">
        <f ca="1">IF(CFDTable[[#This Row],[Done]]&gt;0,(CFDTable[[#This Row],[Done]])-(K100),0)</f>
        <v>#N/A</v>
      </c>
      <c r="M101" s="10">
        <f ca="1">IF(ISNUMBER($L101),SUM(CFDTable[[#This Row],[Done]]),IF(CFDTable[[#This Row],[lookupLow]]&gt;=CFDTable[[#This Row],[Target]]+CFDTable[[#This Row],[lowDaily]],NA(),CFDTable[[#This Row],[lookupLow]]))</f>
        <v>87.000000000000014</v>
      </c>
      <c r="N101" s="10">
        <f ca="1">IF(ISNUMBER($L101),SUM(CFDTable[[#This Row],[Done]]),IF(CFDTable[[#This Row],[lookupMedian]]&gt;=$X101+Q101,NA(),CFDTable[[#This Row],[lookupMedian]]))</f>
        <v>89.999999999999929</v>
      </c>
      <c r="O101" s="10">
        <f ca="1">IF(ISNUMBER(CFDTable[[#This Row],[Done Today]]),SUM(CFDTable[[#This Row],[Done]]),IF(CFDTable[[#This Row],[lookupHigh]]&gt;=CFDTable[[#This Row],[Target]]+CFDTable[[#This Row],[highDaily]],NA(),CFDTable[[#This Row],[lookupHigh]]))</f>
        <v>93.000000000000142</v>
      </c>
      <c r="P101" s="10">
        <f ca="1">CFDTable[[#This Row],[AvgDaily]]-CFDTable[[#This Row],[Deviation]]</f>
        <v>0.80952380952380931</v>
      </c>
      <c r="Q101" s="10">
        <f ca="1">AVERAGE(IF(ISNUMBER(L101),IF(ISNUMBER(OFFSET(L101,-Historic,0)),OFFSET(L101,-Historic,0),L$2):L101,Q100))</f>
        <v>0.95238095238095233</v>
      </c>
      <c r="R101" s="10">
        <f ca="1">AVERAGE(IF(ISNUMBER(L101),IF(ISNUMBER(OFFSET(L101,-Historic,0)),OFFSET(L101,-Historic,0),L$2):L101,R100))</f>
        <v>0.95238095238095233</v>
      </c>
      <c r="S101" s="10">
        <f ca="1">AVERAGE(IF(ISNUMBER(L101),OFFSET(L$2,DaysToIgnoreOnAvg,0):L101,S100))</f>
        <v>0.88311688311688308</v>
      </c>
      <c r="T101" s="10">
        <f ca="1">CFDTable[[#This Row],[AvgDaily]]+CFDTable[[#This Row],[Deviation]]</f>
        <v>1.0952380952380953</v>
      </c>
      <c r="U101" s="10">
        <f ca="1">IF(ISNUMBER(L101),((_xlfn.PERCENTILE.INC(IF(ISNUMBER(OFFSET(Q101,-Historic,0)),OFFSET(Q101,-Historic,0),Q$2):Q101,PercentileHigh/100))-(MEDIAN(IF(ISNUMBER(OFFSET(Q101,-Historic,0)),OFFSET(Q101,-Historic,0),Q$2):Q101))),U100)</f>
        <v>0.14285714285714302</v>
      </c>
      <c r="V101" s="10">
        <f ca="1">IF(ISNUMBER(L101),((_xlfn.PERCENTILE.INC(Q$2:Q101,PercentileHigh/100))-(MEDIAN(Q$2:Q101))),U100)</f>
        <v>0.14285714285714302</v>
      </c>
      <c r="W101" s="10">
        <f ca="1">IF(ISNUMBER(CFDTable[[#This Row],[Done Today]]),SUM($F101:$K101),$W100)</f>
        <v>124</v>
      </c>
      <c r="X101" s="10">
        <f ca="1">IF(ISNUMBER(CFDTable[[#This Row],[Done Today]]),SUM($F101:$K101),$X100)</f>
        <v>124</v>
      </c>
      <c r="Y101" s="10">
        <f ca="1">SUM(LOOKUP(2,1/(M$1:M100&lt;&gt;""),M$1:M100)+CFDTable[[#This Row],[lowDaily]])</f>
        <v>87.000000000000014</v>
      </c>
      <c r="Z101" s="10">
        <f ca="1">SUM(LOOKUP(2,1/(N$1:N100&lt;&gt;""),N$1:N100)+Q101)</f>
        <v>89.999999999999929</v>
      </c>
      <c r="AA101" s="10">
        <f ca="1">SUM(LOOKUP(2,1/(O$1:O100&lt;&gt;""),O$1:O100)+CFDTable[[#This Row],[highDaily]])</f>
        <v>93.000000000000142</v>
      </c>
      <c r="AB101" s="12">
        <f>IF(CFDTable[[#This Row],[Date]]=DeadlineDate,CFDTable[Future Work],0)</f>
        <v>0</v>
      </c>
    </row>
    <row r="102" spans="1:28">
      <c r="A102" s="8">
        <f>CFDTable[[#This Row],[Date]]</f>
        <v>42552</v>
      </c>
      <c r="B102" s="38">
        <f>Data!B102</f>
        <v>42552</v>
      </c>
      <c r="C102" s="10">
        <f ca="1">IF(ISNUMBER(CFDTable[[#This Row],[Ready]]),NA(),CFDTable[[#This Row],[Target]]-CFDTable[[#This Row],[To Do]])</f>
        <v>77</v>
      </c>
      <c r="D102" s="10">
        <f ca="1">IF(CFDTable[[#This Row],[Emergence]]&gt;0,CFDTable[[#This Row],[Future Work]]-CFDTable[[#This Row],[Emergence]],NA())</f>
        <v>81</v>
      </c>
      <c r="E102" s="10">
        <f>Data!C102</f>
        <v>43</v>
      </c>
      <c r="F102" s="10">
        <f ca="1">Data!D102</f>
        <v>47</v>
      </c>
      <c r="G102" s="10" t="e">
        <f ca="1">IF(TodaysDate&gt;=$B102,Data!E102,NA())</f>
        <v>#N/A</v>
      </c>
      <c r="H102" s="10" t="e">
        <f ca="1">IF(TodaysDate&gt;=$B102,Data!F102,NA())</f>
        <v>#N/A</v>
      </c>
      <c r="I102" s="10" t="e">
        <f ca="1">IF(TodaysDate&gt;=$B102,Data!G102,NA())</f>
        <v>#N/A</v>
      </c>
      <c r="J102" s="10" t="e">
        <f ca="1">IF(TodaysDate&gt;=$B102,Data!H102,NA())</f>
        <v>#N/A</v>
      </c>
      <c r="K102" s="10" t="e">
        <f ca="1">IF(TodaysDate&gt;=$B102,Data!I102,NA())</f>
        <v>#N/A</v>
      </c>
      <c r="L102" s="10" t="e">
        <f ca="1">IF(CFDTable[[#This Row],[Done]]&gt;0,(CFDTable[[#This Row],[Done]])-(K101),0)</f>
        <v>#N/A</v>
      </c>
      <c r="M102" s="10">
        <f ca="1">IF(ISNUMBER($L102),SUM(CFDTable[[#This Row],[Done]]),IF(CFDTable[[#This Row],[lookupLow]]&gt;=CFDTable[[#This Row],[Target]]+CFDTable[[#This Row],[lowDaily]],NA(),CFDTable[[#This Row],[lookupLow]]))</f>
        <v>87.809523809523824</v>
      </c>
      <c r="N102" s="10">
        <f ca="1">IF(ISNUMBER($L102),SUM(CFDTable[[#This Row],[Done]]),IF(CFDTable[[#This Row],[lookupMedian]]&gt;=$X102+Q102,NA(),CFDTable[[#This Row],[lookupMedian]]))</f>
        <v>90.952380952380878</v>
      </c>
      <c r="O102" s="10">
        <f ca="1">IF(ISNUMBER(CFDTable[[#This Row],[Done Today]]),SUM(CFDTable[[#This Row],[Done]]),IF(CFDTable[[#This Row],[lookupHigh]]&gt;=CFDTable[[#This Row],[Target]]+CFDTable[[#This Row],[highDaily]],NA(),CFDTable[[#This Row],[lookupHigh]]))</f>
        <v>94.095238095238244</v>
      </c>
      <c r="P102" s="10">
        <f ca="1">CFDTable[[#This Row],[AvgDaily]]-CFDTable[[#This Row],[Deviation]]</f>
        <v>0.80952380952380931</v>
      </c>
      <c r="Q102" s="10">
        <f ca="1">AVERAGE(IF(ISNUMBER(L102),IF(ISNUMBER(OFFSET(L102,-Historic,0)),OFFSET(L102,-Historic,0),L$2):L102,Q101))</f>
        <v>0.95238095238095233</v>
      </c>
      <c r="R102" s="10">
        <f ca="1">AVERAGE(IF(ISNUMBER(L102),IF(ISNUMBER(OFFSET(L102,-Historic,0)),OFFSET(L102,-Historic,0),L$2):L102,R101))</f>
        <v>0.95238095238095233</v>
      </c>
      <c r="S102" s="10">
        <f ca="1">AVERAGE(IF(ISNUMBER(L102),OFFSET(L$2,DaysToIgnoreOnAvg,0):L102,S101))</f>
        <v>0.88311688311688308</v>
      </c>
      <c r="T102" s="10">
        <f ca="1">CFDTable[[#This Row],[AvgDaily]]+CFDTable[[#This Row],[Deviation]]</f>
        <v>1.0952380952380953</v>
      </c>
      <c r="U102" s="10">
        <f ca="1">IF(ISNUMBER(L102),((_xlfn.PERCENTILE.INC(IF(ISNUMBER(OFFSET(Q102,-Historic,0)),OFFSET(Q102,-Historic,0),Q$2):Q102,PercentileHigh/100))-(MEDIAN(IF(ISNUMBER(OFFSET(Q102,-Historic,0)),OFFSET(Q102,-Historic,0),Q$2):Q102))),U101)</f>
        <v>0.14285714285714302</v>
      </c>
      <c r="V102" s="10">
        <f ca="1">IF(ISNUMBER(L102),((_xlfn.PERCENTILE.INC(Q$2:Q102,PercentileHigh/100))-(MEDIAN(Q$2:Q102))),U101)</f>
        <v>0.14285714285714302</v>
      </c>
      <c r="W102" s="10">
        <f ca="1">IF(ISNUMBER(CFDTable[[#This Row],[Done Today]]),SUM($F102:$K102),$W101)</f>
        <v>124</v>
      </c>
      <c r="X102" s="10">
        <f ca="1">IF(ISNUMBER(CFDTable[[#This Row],[Done Today]]),SUM($F102:$K102),$X101)</f>
        <v>124</v>
      </c>
      <c r="Y102" s="10">
        <f ca="1">SUM(LOOKUP(2,1/(M$1:M101&lt;&gt;""),M$1:M101)+CFDTable[[#This Row],[lowDaily]])</f>
        <v>87.809523809523824</v>
      </c>
      <c r="Z102" s="10">
        <f ca="1">SUM(LOOKUP(2,1/(N$1:N101&lt;&gt;""),N$1:N101)+Q102)</f>
        <v>90.952380952380878</v>
      </c>
      <c r="AA102" s="10">
        <f ca="1">SUM(LOOKUP(2,1/(O$1:O101&lt;&gt;""),O$1:O101)+CFDTable[[#This Row],[highDaily]])</f>
        <v>94.095238095238244</v>
      </c>
      <c r="AB102" s="12">
        <f>IF(CFDTable[[#This Row],[Date]]=DeadlineDate,CFDTable[Future Work],0)</f>
        <v>0</v>
      </c>
    </row>
    <row r="103" spans="1:28">
      <c r="A103" s="8">
        <f>CFDTable[[#This Row],[Date]]</f>
        <v>42555</v>
      </c>
      <c r="B103" s="38">
        <f>Data!B103</f>
        <v>42555</v>
      </c>
      <c r="C103" s="10">
        <f ca="1">IF(ISNUMBER(CFDTable[[#This Row],[Ready]]),NA(),CFDTable[[#This Row],[Target]]-CFDTable[[#This Row],[To Do]])</f>
        <v>77</v>
      </c>
      <c r="D103" s="10">
        <f ca="1">IF(CFDTable[[#This Row],[Emergence]]&gt;0,CFDTable[[#This Row],[Future Work]]-CFDTable[[#This Row],[Emergence]],NA())</f>
        <v>81</v>
      </c>
      <c r="E103" s="10">
        <f>Data!C103</f>
        <v>43</v>
      </c>
      <c r="F103" s="10">
        <f ca="1">Data!D103</f>
        <v>47</v>
      </c>
      <c r="G103" s="10" t="e">
        <f ca="1">IF(TodaysDate&gt;=$B103,Data!E103,NA())</f>
        <v>#N/A</v>
      </c>
      <c r="H103" s="10" t="e">
        <f ca="1">IF(TodaysDate&gt;=$B103,Data!F103,NA())</f>
        <v>#N/A</v>
      </c>
      <c r="I103" s="10" t="e">
        <f ca="1">IF(TodaysDate&gt;=$B103,Data!G103,NA())</f>
        <v>#N/A</v>
      </c>
      <c r="J103" s="10" t="e">
        <f ca="1">IF(TodaysDate&gt;=$B103,Data!H103,NA())</f>
        <v>#N/A</v>
      </c>
      <c r="K103" s="10" t="e">
        <f ca="1">IF(TodaysDate&gt;=$B103,Data!I103,NA())</f>
        <v>#N/A</v>
      </c>
      <c r="L103" s="10" t="e">
        <f ca="1">IF(CFDTable[[#This Row],[Done]]&gt;0,(CFDTable[[#This Row],[Done]])-(K102),0)</f>
        <v>#N/A</v>
      </c>
      <c r="M103" s="10">
        <f ca="1">IF(ISNUMBER($L103),SUM(CFDTable[[#This Row],[Done]]),IF(CFDTable[[#This Row],[lookupLow]]&gt;=CFDTable[[#This Row],[Target]]+CFDTable[[#This Row],[lowDaily]],NA(),CFDTable[[#This Row],[lookupLow]]))</f>
        <v>88.619047619047635</v>
      </c>
      <c r="N103" s="10">
        <f ca="1">IF(ISNUMBER($L103),SUM(CFDTable[[#This Row],[Done]]),IF(CFDTable[[#This Row],[lookupMedian]]&gt;=$X103+Q103,NA(),CFDTable[[#This Row],[lookupMedian]]))</f>
        <v>91.904761904761827</v>
      </c>
      <c r="O103" s="10">
        <f ca="1">IF(ISNUMBER(CFDTable[[#This Row],[Done Today]]),SUM(CFDTable[[#This Row],[Done]]),IF(CFDTable[[#This Row],[lookupHigh]]&gt;=CFDTable[[#This Row],[Target]]+CFDTable[[#This Row],[highDaily]],NA(),CFDTable[[#This Row],[lookupHigh]]))</f>
        <v>95.190476190476346</v>
      </c>
      <c r="P103" s="10">
        <f ca="1">CFDTable[[#This Row],[AvgDaily]]-CFDTable[[#This Row],[Deviation]]</f>
        <v>0.80952380952380931</v>
      </c>
      <c r="Q103" s="10">
        <f ca="1">AVERAGE(IF(ISNUMBER(L103),IF(ISNUMBER(OFFSET(L103,-Historic,0)),OFFSET(L103,-Historic,0),L$2):L103,Q102))</f>
        <v>0.95238095238095233</v>
      </c>
      <c r="R103" s="10">
        <f ca="1">AVERAGE(IF(ISNUMBER(L103),IF(ISNUMBER(OFFSET(L103,-Historic,0)),OFFSET(L103,-Historic,0),L$2):L103,R102))</f>
        <v>0.95238095238095233</v>
      </c>
      <c r="S103" s="10">
        <f ca="1">AVERAGE(IF(ISNUMBER(L103),OFFSET(L$2,DaysToIgnoreOnAvg,0):L103,S102))</f>
        <v>0.88311688311688308</v>
      </c>
      <c r="T103" s="10">
        <f ca="1">CFDTable[[#This Row],[AvgDaily]]+CFDTable[[#This Row],[Deviation]]</f>
        <v>1.0952380952380953</v>
      </c>
      <c r="U103" s="10">
        <f ca="1">IF(ISNUMBER(L103),((_xlfn.PERCENTILE.INC(IF(ISNUMBER(OFFSET(Q103,-Historic,0)),OFFSET(Q103,-Historic,0),Q$2):Q103,PercentileHigh/100))-(MEDIAN(IF(ISNUMBER(OFFSET(Q103,-Historic,0)),OFFSET(Q103,-Historic,0),Q$2):Q103))),U102)</f>
        <v>0.14285714285714302</v>
      </c>
      <c r="V103" s="10">
        <f ca="1">IF(ISNUMBER(L103),((_xlfn.PERCENTILE.INC(Q$2:Q103,PercentileHigh/100))-(MEDIAN(Q$2:Q103))),U102)</f>
        <v>0.14285714285714302</v>
      </c>
      <c r="W103" s="10">
        <f ca="1">IF(ISNUMBER(CFDTable[[#This Row],[Done Today]]),SUM($F103:$K103),$W102)</f>
        <v>124</v>
      </c>
      <c r="X103" s="10">
        <f ca="1">IF(ISNUMBER(CFDTable[[#This Row],[Done Today]]),SUM($F103:$K103),$X102)</f>
        <v>124</v>
      </c>
      <c r="Y103" s="10">
        <f ca="1">SUM(LOOKUP(2,1/(M$1:M102&lt;&gt;""),M$1:M102)+CFDTable[[#This Row],[lowDaily]])</f>
        <v>88.619047619047635</v>
      </c>
      <c r="Z103" s="10">
        <f ca="1">SUM(LOOKUP(2,1/(N$1:N102&lt;&gt;""),N$1:N102)+Q103)</f>
        <v>91.904761904761827</v>
      </c>
      <c r="AA103" s="10">
        <f ca="1">SUM(LOOKUP(2,1/(O$1:O102&lt;&gt;""),O$1:O102)+CFDTable[[#This Row],[highDaily]])</f>
        <v>95.190476190476346</v>
      </c>
      <c r="AB103" s="12">
        <f>IF(CFDTable[[#This Row],[Date]]=DeadlineDate,CFDTable[Future Work],0)</f>
        <v>0</v>
      </c>
    </row>
    <row r="104" spans="1:28">
      <c r="A104" s="8">
        <f>CFDTable[[#This Row],[Date]]</f>
        <v>42556</v>
      </c>
      <c r="B104" s="38">
        <f>Data!B104</f>
        <v>42556</v>
      </c>
      <c r="C104" s="10">
        <f ca="1">IF(ISNUMBER(CFDTable[[#This Row],[Ready]]),NA(),CFDTable[[#This Row],[Target]]-CFDTable[[#This Row],[To Do]])</f>
        <v>77</v>
      </c>
      <c r="D104" s="10">
        <f ca="1">IF(CFDTable[[#This Row],[Emergence]]&gt;0,CFDTable[[#This Row],[Future Work]]-CFDTable[[#This Row],[Emergence]],NA())</f>
        <v>81</v>
      </c>
      <c r="E104" s="10">
        <f>Data!C104</f>
        <v>43</v>
      </c>
      <c r="F104" s="10">
        <f ca="1">Data!D104</f>
        <v>47</v>
      </c>
      <c r="G104" s="10" t="e">
        <f ca="1">IF(TodaysDate&gt;=$B104,Data!E104,NA())</f>
        <v>#N/A</v>
      </c>
      <c r="H104" s="10" t="e">
        <f ca="1">IF(TodaysDate&gt;=$B104,Data!F104,NA())</f>
        <v>#N/A</v>
      </c>
      <c r="I104" s="10" t="e">
        <f ca="1">IF(TodaysDate&gt;=$B104,Data!G104,NA())</f>
        <v>#N/A</v>
      </c>
      <c r="J104" s="10" t="e">
        <f ca="1">IF(TodaysDate&gt;=$B104,Data!H104,NA())</f>
        <v>#N/A</v>
      </c>
      <c r="K104" s="10" t="e">
        <f ca="1">IF(TodaysDate&gt;=$B104,Data!I104,NA())</f>
        <v>#N/A</v>
      </c>
      <c r="L104" s="10" t="e">
        <f ca="1">IF(CFDTable[[#This Row],[Done]]&gt;0,(CFDTable[[#This Row],[Done]])-(K103),0)</f>
        <v>#N/A</v>
      </c>
      <c r="M104" s="10">
        <f ca="1">IF(ISNUMBER($L104),SUM(CFDTable[[#This Row],[Done]]),IF(CFDTable[[#This Row],[lookupLow]]&gt;=CFDTable[[#This Row],[Target]]+CFDTable[[#This Row],[lowDaily]],NA(),CFDTable[[#This Row],[lookupLow]]))</f>
        <v>89.428571428571445</v>
      </c>
      <c r="N104" s="10">
        <f ca="1">IF(ISNUMBER($L104),SUM(CFDTable[[#This Row],[Done]]),IF(CFDTable[[#This Row],[lookupMedian]]&gt;=$X104+Q104,NA(),CFDTable[[#This Row],[lookupMedian]]))</f>
        <v>92.857142857142776</v>
      </c>
      <c r="O104" s="10">
        <f ca="1">IF(ISNUMBER(CFDTable[[#This Row],[Done Today]]),SUM(CFDTable[[#This Row],[Done]]),IF(CFDTable[[#This Row],[lookupHigh]]&gt;=CFDTable[[#This Row],[Target]]+CFDTable[[#This Row],[highDaily]],NA(),CFDTable[[#This Row],[lookupHigh]]))</f>
        <v>96.285714285714448</v>
      </c>
      <c r="P104" s="10">
        <f ca="1">CFDTable[[#This Row],[AvgDaily]]-CFDTable[[#This Row],[Deviation]]</f>
        <v>0.80952380952380931</v>
      </c>
      <c r="Q104" s="10">
        <f ca="1">AVERAGE(IF(ISNUMBER(L104),IF(ISNUMBER(OFFSET(L104,-Historic,0)),OFFSET(L104,-Historic,0),L$2):L104,Q103))</f>
        <v>0.95238095238095233</v>
      </c>
      <c r="R104" s="10">
        <f ca="1">AVERAGE(IF(ISNUMBER(L104),IF(ISNUMBER(OFFSET(L104,-Historic,0)),OFFSET(L104,-Historic,0),L$2):L104,R103))</f>
        <v>0.95238095238095233</v>
      </c>
      <c r="S104" s="10">
        <f ca="1">AVERAGE(IF(ISNUMBER(L104),OFFSET(L$2,DaysToIgnoreOnAvg,0):L104,S103))</f>
        <v>0.88311688311688308</v>
      </c>
      <c r="T104" s="10">
        <f ca="1">CFDTable[[#This Row],[AvgDaily]]+CFDTable[[#This Row],[Deviation]]</f>
        <v>1.0952380952380953</v>
      </c>
      <c r="U104" s="10">
        <f ca="1">IF(ISNUMBER(L104),((_xlfn.PERCENTILE.INC(IF(ISNUMBER(OFFSET(Q104,-Historic,0)),OFFSET(Q104,-Historic,0),Q$2):Q104,PercentileHigh/100))-(MEDIAN(IF(ISNUMBER(OFFSET(Q104,-Historic,0)),OFFSET(Q104,-Historic,0),Q$2):Q104))),U103)</f>
        <v>0.14285714285714302</v>
      </c>
      <c r="V104" s="10">
        <f ca="1">IF(ISNUMBER(L104),((_xlfn.PERCENTILE.INC(Q$2:Q104,PercentileHigh/100))-(MEDIAN(Q$2:Q104))),U103)</f>
        <v>0.14285714285714302</v>
      </c>
      <c r="W104" s="10">
        <f ca="1">IF(ISNUMBER(CFDTable[[#This Row],[Done Today]]),SUM($F104:$K104),$W103)</f>
        <v>124</v>
      </c>
      <c r="X104" s="10">
        <f ca="1">IF(ISNUMBER(CFDTable[[#This Row],[Done Today]]),SUM($F104:$K104),$X103)</f>
        <v>124</v>
      </c>
      <c r="Y104" s="10">
        <f ca="1">SUM(LOOKUP(2,1/(M$1:M103&lt;&gt;""),M$1:M103)+CFDTable[[#This Row],[lowDaily]])</f>
        <v>89.428571428571445</v>
      </c>
      <c r="Z104" s="10">
        <f ca="1">SUM(LOOKUP(2,1/(N$1:N103&lt;&gt;""),N$1:N103)+Q104)</f>
        <v>92.857142857142776</v>
      </c>
      <c r="AA104" s="10">
        <f ca="1">SUM(LOOKUP(2,1/(O$1:O103&lt;&gt;""),O$1:O103)+CFDTable[[#This Row],[highDaily]])</f>
        <v>96.285714285714448</v>
      </c>
      <c r="AB104" s="12">
        <f>IF(CFDTable[[#This Row],[Date]]=DeadlineDate,CFDTable[Future Work],0)</f>
        <v>0</v>
      </c>
    </row>
    <row r="105" spans="1:28">
      <c r="A105" s="8">
        <f>CFDTable[[#This Row],[Date]]</f>
        <v>42557</v>
      </c>
      <c r="B105" s="38">
        <f>Data!B105</f>
        <v>42557</v>
      </c>
      <c r="C105" s="10">
        <f ca="1">IF(ISNUMBER(CFDTable[[#This Row],[Ready]]),NA(),CFDTable[[#This Row],[Target]]-CFDTable[[#This Row],[To Do]])</f>
        <v>77</v>
      </c>
      <c r="D105" s="10">
        <f ca="1">IF(CFDTable[[#This Row],[Emergence]]&gt;0,CFDTable[[#This Row],[Future Work]]-CFDTable[[#This Row],[Emergence]],NA())</f>
        <v>81</v>
      </c>
      <c r="E105" s="10">
        <f>Data!C105</f>
        <v>43</v>
      </c>
      <c r="F105" s="10">
        <f ca="1">Data!D105</f>
        <v>47</v>
      </c>
      <c r="G105" s="10" t="e">
        <f ca="1">IF(TodaysDate&gt;=$B105,Data!E105,NA())</f>
        <v>#N/A</v>
      </c>
      <c r="H105" s="10" t="e">
        <f ca="1">IF(TodaysDate&gt;=$B105,Data!F105,NA())</f>
        <v>#N/A</v>
      </c>
      <c r="I105" s="10" t="e">
        <f ca="1">IF(TodaysDate&gt;=$B105,Data!G105,NA())</f>
        <v>#N/A</v>
      </c>
      <c r="J105" s="10" t="e">
        <f ca="1">IF(TodaysDate&gt;=$B105,Data!H105,NA())</f>
        <v>#N/A</v>
      </c>
      <c r="K105" s="10" t="e">
        <f ca="1">IF(TodaysDate&gt;=$B105,Data!I105,NA())</f>
        <v>#N/A</v>
      </c>
      <c r="L105" s="10" t="e">
        <f ca="1">IF(CFDTable[[#This Row],[Done]]&gt;0,(CFDTable[[#This Row],[Done]])-(K104),0)</f>
        <v>#N/A</v>
      </c>
      <c r="M105" s="10">
        <f ca="1">IF(ISNUMBER($L105),SUM(CFDTable[[#This Row],[Done]]),IF(CFDTable[[#This Row],[lookupLow]]&gt;=CFDTable[[#This Row],[Target]]+CFDTable[[#This Row],[lowDaily]],NA(),CFDTable[[#This Row],[lookupLow]]))</f>
        <v>90.238095238095255</v>
      </c>
      <c r="N105" s="10">
        <f ca="1">IF(ISNUMBER($L105),SUM(CFDTable[[#This Row],[Done]]),IF(CFDTable[[#This Row],[lookupMedian]]&gt;=$X105+Q105,NA(),CFDTable[[#This Row],[lookupMedian]]))</f>
        <v>93.809523809523725</v>
      </c>
      <c r="O105" s="10">
        <f ca="1">IF(ISNUMBER(CFDTable[[#This Row],[Done Today]]),SUM(CFDTable[[#This Row],[Done]]),IF(CFDTable[[#This Row],[lookupHigh]]&gt;=CFDTable[[#This Row],[Target]]+CFDTable[[#This Row],[highDaily]],NA(),CFDTable[[#This Row],[lookupHigh]]))</f>
        <v>97.38095238095255</v>
      </c>
      <c r="P105" s="10">
        <f ca="1">CFDTable[[#This Row],[AvgDaily]]-CFDTable[[#This Row],[Deviation]]</f>
        <v>0.80952380952380931</v>
      </c>
      <c r="Q105" s="10">
        <f ca="1">AVERAGE(IF(ISNUMBER(L105),IF(ISNUMBER(OFFSET(L105,-Historic,0)),OFFSET(L105,-Historic,0),L$2):L105,Q104))</f>
        <v>0.95238095238095233</v>
      </c>
      <c r="R105" s="10">
        <f ca="1">AVERAGE(IF(ISNUMBER(L105),IF(ISNUMBER(OFFSET(L105,-Historic,0)),OFFSET(L105,-Historic,0),L$2):L105,R104))</f>
        <v>0.95238095238095233</v>
      </c>
      <c r="S105" s="10">
        <f ca="1">AVERAGE(IF(ISNUMBER(L105),OFFSET(L$2,DaysToIgnoreOnAvg,0):L105,S104))</f>
        <v>0.88311688311688308</v>
      </c>
      <c r="T105" s="10">
        <f ca="1">CFDTable[[#This Row],[AvgDaily]]+CFDTable[[#This Row],[Deviation]]</f>
        <v>1.0952380952380953</v>
      </c>
      <c r="U105" s="10">
        <f ca="1">IF(ISNUMBER(L105),((_xlfn.PERCENTILE.INC(IF(ISNUMBER(OFFSET(Q105,-Historic,0)),OFFSET(Q105,-Historic,0),Q$2):Q105,PercentileHigh/100))-(MEDIAN(IF(ISNUMBER(OFFSET(Q105,-Historic,0)),OFFSET(Q105,-Historic,0),Q$2):Q105))),U104)</f>
        <v>0.14285714285714302</v>
      </c>
      <c r="V105" s="10">
        <f ca="1">IF(ISNUMBER(L105),((_xlfn.PERCENTILE.INC(Q$2:Q105,PercentileHigh/100))-(MEDIAN(Q$2:Q105))),U104)</f>
        <v>0.14285714285714302</v>
      </c>
      <c r="W105" s="10">
        <f ca="1">IF(ISNUMBER(CFDTable[[#This Row],[Done Today]]),SUM($F105:$K105),$W104)</f>
        <v>124</v>
      </c>
      <c r="X105" s="10">
        <f ca="1">IF(ISNUMBER(CFDTable[[#This Row],[Done Today]]),SUM($F105:$K105),$X104)</f>
        <v>124</v>
      </c>
      <c r="Y105" s="10">
        <f ca="1">SUM(LOOKUP(2,1/(M$1:M104&lt;&gt;""),M$1:M104)+CFDTable[[#This Row],[lowDaily]])</f>
        <v>90.238095238095255</v>
      </c>
      <c r="Z105" s="10">
        <f ca="1">SUM(LOOKUP(2,1/(N$1:N104&lt;&gt;""),N$1:N104)+Q105)</f>
        <v>93.809523809523725</v>
      </c>
      <c r="AA105" s="10">
        <f ca="1">SUM(LOOKUP(2,1/(O$1:O104&lt;&gt;""),O$1:O104)+CFDTable[[#This Row],[highDaily]])</f>
        <v>97.38095238095255</v>
      </c>
      <c r="AB105" s="12">
        <f>IF(CFDTable[[#This Row],[Date]]=DeadlineDate,CFDTable[Future Work],0)</f>
        <v>0</v>
      </c>
    </row>
    <row r="106" spans="1:28">
      <c r="A106" s="8">
        <f>CFDTable[[#This Row],[Date]]</f>
        <v>42558</v>
      </c>
      <c r="B106" s="38">
        <f>Data!B106</f>
        <v>42558</v>
      </c>
      <c r="C106" s="10">
        <f ca="1">IF(ISNUMBER(CFDTable[[#This Row],[Ready]]),NA(),CFDTable[[#This Row],[Target]]-CFDTable[[#This Row],[To Do]])</f>
        <v>77</v>
      </c>
      <c r="D106" s="10">
        <f ca="1">IF(CFDTable[[#This Row],[Emergence]]&gt;0,CFDTable[[#This Row],[Future Work]]-CFDTable[[#This Row],[Emergence]],NA())</f>
        <v>81</v>
      </c>
      <c r="E106" s="10">
        <f>Data!C106</f>
        <v>43</v>
      </c>
      <c r="F106" s="10">
        <f ca="1">Data!D106</f>
        <v>47</v>
      </c>
      <c r="G106" s="10" t="e">
        <f ca="1">IF(TodaysDate&gt;=$B106,Data!E106,NA())</f>
        <v>#N/A</v>
      </c>
      <c r="H106" s="10" t="e">
        <f ca="1">IF(TodaysDate&gt;=$B106,Data!F106,NA())</f>
        <v>#N/A</v>
      </c>
      <c r="I106" s="10" t="e">
        <f ca="1">IF(TodaysDate&gt;=$B106,Data!G106,NA())</f>
        <v>#N/A</v>
      </c>
      <c r="J106" s="10" t="e">
        <f ca="1">IF(TodaysDate&gt;=$B106,Data!H106,NA())</f>
        <v>#N/A</v>
      </c>
      <c r="K106" s="10" t="e">
        <f ca="1">IF(TodaysDate&gt;=$B106,Data!I106,NA())</f>
        <v>#N/A</v>
      </c>
      <c r="L106" s="10" t="e">
        <f ca="1">IF(CFDTable[[#This Row],[Done]]&gt;0,(CFDTable[[#This Row],[Done]])-(K105),0)</f>
        <v>#N/A</v>
      </c>
      <c r="M106" s="10">
        <f ca="1">IF(ISNUMBER($L106),SUM(CFDTable[[#This Row],[Done]]),IF(CFDTable[[#This Row],[lookupLow]]&gt;=CFDTable[[#This Row],[Target]]+CFDTable[[#This Row],[lowDaily]],NA(),CFDTable[[#This Row],[lookupLow]]))</f>
        <v>91.047619047619065</v>
      </c>
      <c r="N106" s="10">
        <f ca="1">IF(ISNUMBER($L106),SUM(CFDTable[[#This Row],[Done]]),IF(CFDTable[[#This Row],[lookupMedian]]&gt;=$X106+Q106,NA(),CFDTable[[#This Row],[lookupMedian]]))</f>
        <v>94.761904761904674</v>
      </c>
      <c r="O106" s="10">
        <f ca="1">IF(ISNUMBER(CFDTable[[#This Row],[Done Today]]),SUM(CFDTable[[#This Row],[Done]]),IF(CFDTable[[#This Row],[lookupHigh]]&gt;=CFDTable[[#This Row],[Target]]+CFDTable[[#This Row],[highDaily]],NA(),CFDTable[[#This Row],[lookupHigh]]))</f>
        <v>98.476190476190652</v>
      </c>
      <c r="P106" s="10">
        <f ca="1">CFDTable[[#This Row],[AvgDaily]]-CFDTable[[#This Row],[Deviation]]</f>
        <v>0.80952380952380931</v>
      </c>
      <c r="Q106" s="10">
        <f ca="1">AVERAGE(IF(ISNUMBER(L106),IF(ISNUMBER(OFFSET(L106,-Historic,0)),OFFSET(L106,-Historic,0),L$2):L106,Q105))</f>
        <v>0.95238095238095233</v>
      </c>
      <c r="R106" s="10">
        <f ca="1">AVERAGE(IF(ISNUMBER(L106),IF(ISNUMBER(OFFSET(L106,-Historic,0)),OFFSET(L106,-Historic,0),L$2):L106,R105))</f>
        <v>0.95238095238095233</v>
      </c>
      <c r="S106" s="10">
        <f ca="1">AVERAGE(IF(ISNUMBER(L106),OFFSET(L$2,DaysToIgnoreOnAvg,0):L106,S105))</f>
        <v>0.88311688311688308</v>
      </c>
      <c r="T106" s="10">
        <f ca="1">CFDTable[[#This Row],[AvgDaily]]+CFDTable[[#This Row],[Deviation]]</f>
        <v>1.0952380952380953</v>
      </c>
      <c r="U106" s="10">
        <f ca="1">IF(ISNUMBER(L106),((_xlfn.PERCENTILE.INC(IF(ISNUMBER(OFFSET(Q106,-Historic,0)),OFFSET(Q106,-Historic,0),Q$2):Q106,PercentileHigh/100))-(MEDIAN(IF(ISNUMBER(OFFSET(Q106,-Historic,0)),OFFSET(Q106,-Historic,0),Q$2):Q106))),U105)</f>
        <v>0.14285714285714302</v>
      </c>
      <c r="V106" s="10">
        <f ca="1">IF(ISNUMBER(L106),((_xlfn.PERCENTILE.INC(Q$2:Q106,PercentileHigh/100))-(MEDIAN(Q$2:Q106))),U105)</f>
        <v>0.14285714285714302</v>
      </c>
      <c r="W106" s="10">
        <f ca="1">IF(ISNUMBER(CFDTable[[#This Row],[Done Today]]),SUM($F106:$K106),$W105)</f>
        <v>124</v>
      </c>
      <c r="X106" s="10">
        <f ca="1">IF(ISNUMBER(CFDTable[[#This Row],[Done Today]]),SUM($F106:$K106),$X105)</f>
        <v>124</v>
      </c>
      <c r="Y106" s="10">
        <f ca="1">SUM(LOOKUP(2,1/(M$1:M105&lt;&gt;""),M$1:M105)+CFDTable[[#This Row],[lowDaily]])</f>
        <v>91.047619047619065</v>
      </c>
      <c r="Z106" s="10">
        <f ca="1">SUM(LOOKUP(2,1/(N$1:N105&lt;&gt;""),N$1:N105)+Q106)</f>
        <v>94.761904761904674</v>
      </c>
      <c r="AA106" s="10">
        <f ca="1">SUM(LOOKUP(2,1/(O$1:O105&lt;&gt;""),O$1:O105)+CFDTable[[#This Row],[highDaily]])</f>
        <v>98.476190476190652</v>
      </c>
      <c r="AB106" s="12">
        <f>IF(CFDTable[[#This Row],[Date]]=DeadlineDate,CFDTable[Future Work],0)</f>
        <v>0</v>
      </c>
    </row>
    <row r="107" spans="1:28">
      <c r="A107" s="8">
        <f>CFDTable[[#This Row],[Date]]</f>
        <v>42559</v>
      </c>
      <c r="B107" s="38">
        <f>Data!B107</f>
        <v>42559</v>
      </c>
      <c r="C107" s="10">
        <f ca="1">IF(ISNUMBER(CFDTable[[#This Row],[Ready]]),NA(),CFDTable[[#This Row],[Target]]-CFDTable[[#This Row],[To Do]])</f>
        <v>77</v>
      </c>
      <c r="D107" s="10">
        <f ca="1">IF(CFDTable[[#This Row],[Emergence]]&gt;0,CFDTable[[#This Row],[Future Work]]-CFDTable[[#This Row],[Emergence]],NA())</f>
        <v>81</v>
      </c>
      <c r="E107" s="10">
        <f>Data!C107</f>
        <v>43</v>
      </c>
      <c r="F107" s="10">
        <f ca="1">Data!D107</f>
        <v>47</v>
      </c>
      <c r="G107" s="10" t="e">
        <f ca="1">IF(TodaysDate&gt;=$B107,Data!E107,NA())</f>
        <v>#N/A</v>
      </c>
      <c r="H107" s="10" t="e">
        <f ca="1">IF(TodaysDate&gt;=$B107,Data!F107,NA())</f>
        <v>#N/A</v>
      </c>
      <c r="I107" s="10" t="e">
        <f ca="1">IF(TodaysDate&gt;=$B107,Data!G107,NA())</f>
        <v>#N/A</v>
      </c>
      <c r="J107" s="10" t="e">
        <f ca="1">IF(TodaysDate&gt;=$B107,Data!H107,NA())</f>
        <v>#N/A</v>
      </c>
      <c r="K107" s="10" t="e">
        <f ca="1">IF(TodaysDate&gt;=$B107,Data!I107,NA())</f>
        <v>#N/A</v>
      </c>
      <c r="L107" s="10" t="e">
        <f ca="1">IF(CFDTable[[#This Row],[Done]]&gt;0,(CFDTable[[#This Row],[Done]])-(K106),0)</f>
        <v>#N/A</v>
      </c>
      <c r="M107" s="10">
        <f ca="1">IF(ISNUMBER($L107),SUM(CFDTable[[#This Row],[Done]]),IF(CFDTable[[#This Row],[lookupLow]]&gt;=CFDTable[[#This Row],[Target]]+CFDTable[[#This Row],[lowDaily]],NA(),CFDTable[[#This Row],[lookupLow]]))</f>
        <v>91.857142857142875</v>
      </c>
      <c r="N107" s="10">
        <f ca="1">IF(ISNUMBER($L107),SUM(CFDTable[[#This Row],[Done]]),IF(CFDTable[[#This Row],[lookupMedian]]&gt;=$X107+Q107,NA(),CFDTable[[#This Row],[lookupMedian]]))</f>
        <v>95.714285714285623</v>
      </c>
      <c r="O107" s="10">
        <f ca="1">IF(ISNUMBER(CFDTable[[#This Row],[Done Today]]),SUM(CFDTable[[#This Row],[Done]]),IF(CFDTable[[#This Row],[lookupHigh]]&gt;=CFDTable[[#This Row],[Target]]+CFDTable[[#This Row],[highDaily]],NA(),CFDTable[[#This Row],[lookupHigh]]))</f>
        <v>99.571428571428754</v>
      </c>
      <c r="P107" s="10">
        <f ca="1">CFDTable[[#This Row],[AvgDaily]]-CFDTable[[#This Row],[Deviation]]</f>
        <v>0.80952380952380931</v>
      </c>
      <c r="Q107" s="10">
        <f ca="1">AVERAGE(IF(ISNUMBER(L107),IF(ISNUMBER(OFFSET(L107,-Historic,0)),OFFSET(L107,-Historic,0),L$2):L107,Q106))</f>
        <v>0.95238095238095233</v>
      </c>
      <c r="R107" s="10">
        <f ca="1">AVERAGE(IF(ISNUMBER(L107),IF(ISNUMBER(OFFSET(L107,-Historic,0)),OFFSET(L107,-Historic,0),L$2):L107,R106))</f>
        <v>0.95238095238095233</v>
      </c>
      <c r="S107" s="10">
        <f ca="1">AVERAGE(IF(ISNUMBER(L107),OFFSET(L$2,DaysToIgnoreOnAvg,0):L107,S106))</f>
        <v>0.88311688311688308</v>
      </c>
      <c r="T107" s="10">
        <f ca="1">CFDTable[[#This Row],[AvgDaily]]+CFDTable[[#This Row],[Deviation]]</f>
        <v>1.0952380952380953</v>
      </c>
      <c r="U107" s="10">
        <f ca="1">IF(ISNUMBER(L107),((_xlfn.PERCENTILE.INC(IF(ISNUMBER(OFFSET(Q107,-Historic,0)),OFFSET(Q107,-Historic,0),Q$2):Q107,PercentileHigh/100))-(MEDIAN(IF(ISNUMBER(OFFSET(Q107,-Historic,0)),OFFSET(Q107,-Historic,0),Q$2):Q107))),U106)</f>
        <v>0.14285714285714302</v>
      </c>
      <c r="V107" s="10">
        <f ca="1">IF(ISNUMBER(L107),((_xlfn.PERCENTILE.INC(Q$2:Q107,PercentileHigh/100))-(MEDIAN(Q$2:Q107))),U106)</f>
        <v>0.14285714285714302</v>
      </c>
      <c r="W107" s="10">
        <f ca="1">IF(ISNUMBER(CFDTable[[#This Row],[Done Today]]),SUM($F107:$K107),$W106)</f>
        <v>124</v>
      </c>
      <c r="X107" s="10">
        <f ca="1">IF(ISNUMBER(CFDTable[[#This Row],[Done Today]]),SUM($F107:$K107),$X106)</f>
        <v>124</v>
      </c>
      <c r="Y107" s="10">
        <f ca="1">SUM(LOOKUP(2,1/(M$1:M106&lt;&gt;""),M$1:M106)+CFDTable[[#This Row],[lowDaily]])</f>
        <v>91.857142857142875</v>
      </c>
      <c r="Z107" s="10">
        <f ca="1">SUM(LOOKUP(2,1/(N$1:N106&lt;&gt;""),N$1:N106)+Q107)</f>
        <v>95.714285714285623</v>
      </c>
      <c r="AA107" s="10">
        <f ca="1">SUM(LOOKUP(2,1/(O$1:O106&lt;&gt;""),O$1:O106)+CFDTable[[#This Row],[highDaily]])</f>
        <v>99.571428571428754</v>
      </c>
      <c r="AB107" s="12">
        <f>IF(CFDTable[[#This Row],[Date]]=DeadlineDate,CFDTable[Future Work],0)</f>
        <v>0</v>
      </c>
    </row>
    <row r="108" spans="1:28">
      <c r="A108" s="8">
        <f>CFDTable[[#This Row],[Date]]</f>
        <v>42562</v>
      </c>
      <c r="B108" s="38">
        <f>Data!B108</f>
        <v>42562</v>
      </c>
      <c r="C108" s="10">
        <f ca="1">IF(ISNUMBER(CFDTable[[#This Row],[Ready]]),NA(),CFDTable[[#This Row],[Target]]-CFDTable[[#This Row],[To Do]])</f>
        <v>77</v>
      </c>
      <c r="D108" s="10">
        <f ca="1">IF(CFDTable[[#This Row],[Emergence]]&gt;0,CFDTable[[#This Row],[Future Work]]-CFDTable[[#This Row],[Emergence]],NA())</f>
        <v>81</v>
      </c>
      <c r="E108" s="10">
        <f>Data!C108</f>
        <v>43</v>
      </c>
      <c r="F108" s="10">
        <f ca="1">Data!D108</f>
        <v>47</v>
      </c>
      <c r="G108" s="10" t="e">
        <f ca="1">IF(TodaysDate&gt;=$B108,Data!E108,NA())</f>
        <v>#N/A</v>
      </c>
      <c r="H108" s="10" t="e">
        <f ca="1">IF(TodaysDate&gt;=$B108,Data!F108,NA())</f>
        <v>#N/A</v>
      </c>
      <c r="I108" s="10" t="e">
        <f ca="1">IF(TodaysDate&gt;=$B108,Data!G108,NA())</f>
        <v>#N/A</v>
      </c>
      <c r="J108" s="10" t="e">
        <f ca="1">IF(TodaysDate&gt;=$B108,Data!H108,NA())</f>
        <v>#N/A</v>
      </c>
      <c r="K108" s="10" t="e">
        <f ca="1">IF(TodaysDate&gt;=$B108,Data!I108,NA())</f>
        <v>#N/A</v>
      </c>
      <c r="L108" s="10" t="e">
        <f ca="1">IF(CFDTable[[#This Row],[Done]]&gt;0,(CFDTable[[#This Row],[Done]])-(K107),0)</f>
        <v>#N/A</v>
      </c>
      <c r="M108" s="10">
        <f ca="1">IF(ISNUMBER($L108),SUM(CFDTable[[#This Row],[Done]]),IF(CFDTable[[#This Row],[lookupLow]]&gt;=CFDTable[[#This Row],[Target]]+CFDTable[[#This Row],[lowDaily]],NA(),CFDTable[[#This Row],[lookupLow]]))</f>
        <v>92.666666666666686</v>
      </c>
      <c r="N108" s="10">
        <f ca="1">IF(ISNUMBER($L108),SUM(CFDTable[[#This Row],[Done]]),IF(CFDTable[[#This Row],[lookupMedian]]&gt;=$X108+Q108,NA(),CFDTable[[#This Row],[lookupMedian]]))</f>
        <v>96.666666666666572</v>
      </c>
      <c r="O108" s="10">
        <f ca="1">IF(ISNUMBER(CFDTable[[#This Row],[Done Today]]),SUM(CFDTable[[#This Row],[Done]]),IF(CFDTable[[#This Row],[lookupHigh]]&gt;=CFDTable[[#This Row],[Target]]+CFDTable[[#This Row],[highDaily]],NA(),CFDTable[[#This Row],[lookupHigh]]))</f>
        <v>100.66666666666686</v>
      </c>
      <c r="P108" s="10">
        <f ca="1">CFDTable[[#This Row],[AvgDaily]]-CFDTable[[#This Row],[Deviation]]</f>
        <v>0.80952380952380931</v>
      </c>
      <c r="Q108" s="10">
        <f ca="1">AVERAGE(IF(ISNUMBER(L108),IF(ISNUMBER(OFFSET(L108,-Historic,0)),OFFSET(L108,-Historic,0),L$2):L108,Q107))</f>
        <v>0.95238095238095233</v>
      </c>
      <c r="R108" s="10">
        <f ca="1">AVERAGE(IF(ISNUMBER(L108),IF(ISNUMBER(OFFSET(L108,-Historic,0)),OFFSET(L108,-Historic,0),L$2):L108,R107))</f>
        <v>0.95238095238095233</v>
      </c>
      <c r="S108" s="10">
        <f ca="1">AVERAGE(IF(ISNUMBER(L108),OFFSET(L$2,DaysToIgnoreOnAvg,0):L108,S107))</f>
        <v>0.88311688311688308</v>
      </c>
      <c r="T108" s="10">
        <f ca="1">CFDTable[[#This Row],[AvgDaily]]+CFDTable[[#This Row],[Deviation]]</f>
        <v>1.0952380952380953</v>
      </c>
      <c r="U108" s="10">
        <f ca="1">IF(ISNUMBER(L108),((_xlfn.PERCENTILE.INC(IF(ISNUMBER(OFFSET(Q108,-Historic,0)),OFFSET(Q108,-Historic,0),Q$2):Q108,PercentileHigh/100))-(MEDIAN(IF(ISNUMBER(OFFSET(Q108,-Historic,0)),OFFSET(Q108,-Historic,0),Q$2):Q108))),U107)</f>
        <v>0.14285714285714302</v>
      </c>
      <c r="V108" s="10">
        <f ca="1">IF(ISNUMBER(L108),((_xlfn.PERCENTILE.INC(Q$2:Q108,PercentileHigh/100))-(MEDIAN(Q$2:Q108))),U107)</f>
        <v>0.14285714285714302</v>
      </c>
      <c r="W108" s="10">
        <f ca="1">IF(ISNUMBER(CFDTable[[#This Row],[Done Today]]),SUM($F108:$K108),$W107)</f>
        <v>124</v>
      </c>
      <c r="X108" s="10">
        <f ca="1">IF(ISNUMBER(CFDTable[[#This Row],[Done Today]]),SUM($F108:$K108),$X107)</f>
        <v>124</v>
      </c>
      <c r="Y108" s="10">
        <f ca="1">SUM(LOOKUP(2,1/(M$1:M107&lt;&gt;""),M$1:M107)+CFDTable[[#This Row],[lowDaily]])</f>
        <v>92.666666666666686</v>
      </c>
      <c r="Z108" s="10">
        <f ca="1">SUM(LOOKUP(2,1/(N$1:N107&lt;&gt;""),N$1:N107)+Q108)</f>
        <v>96.666666666666572</v>
      </c>
      <c r="AA108" s="10">
        <f ca="1">SUM(LOOKUP(2,1/(O$1:O107&lt;&gt;""),O$1:O107)+CFDTable[[#This Row],[highDaily]])</f>
        <v>100.66666666666686</v>
      </c>
      <c r="AB108" s="12">
        <f>IF(CFDTable[[#This Row],[Date]]=DeadlineDate,CFDTable[Future Work],0)</f>
        <v>0</v>
      </c>
    </row>
    <row r="109" spans="1:28">
      <c r="A109" s="8">
        <f>CFDTable[[#This Row],[Date]]</f>
        <v>42563</v>
      </c>
      <c r="B109" s="38">
        <f>Data!B109</f>
        <v>42563</v>
      </c>
      <c r="C109" s="10">
        <f ca="1">IF(ISNUMBER(CFDTable[[#This Row],[Ready]]),NA(),CFDTable[[#This Row],[Target]]-CFDTable[[#This Row],[To Do]])</f>
        <v>77</v>
      </c>
      <c r="D109" s="10">
        <f ca="1">IF(CFDTable[[#This Row],[Emergence]]&gt;0,CFDTable[[#This Row],[Future Work]]-CFDTable[[#This Row],[Emergence]],NA())</f>
        <v>81</v>
      </c>
      <c r="E109" s="10">
        <f>Data!C109</f>
        <v>43</v>
      </c>
      <c r="F109" s="10">
        <f ca="1">Data!D109</f>
        <v>47</v>
      </c>
      <c r="G109" s="10" t="e">
        <f ca="1">IF(TodaysDate&gt;=$B109,Data!E109,NA())</f>
        <v>#N/A</v>
      </c>
      <c r="H109" s="10" t="e">
        <f ca="1">IF(TodaysDate&gt;=$B109,Data!F109,NA())</f>
        <v>#N/A</v>
      </c>
      <c r="I109" s="10" t="e">
        <f ca="1">IF(TodaysDate&gt;=$B109,Data!G109,NA())</f>
        <v>#N/A</v>
      </c>
      <c r="J109" s="10" t="e">
        <f ca="1">IF(TodaysDate&gt;=$B109,Data!H109,NA())</f>
        <v>#N/A</v>
      </c>
      <c r="K109" s="10" t="e">
        <f ca="1">IF(TodaysDate&gt;=$B109,Data!I109,NA())</f>
        <v>#N/A</v>
      </c>
      <c r="L109" s="10" t="e">
        <f ca="1">IF(CFDTable[[#This Row],[Done]]&gt;0,(CFDTable[[#This Row],[Done]])-(K108),0)</f>
        <v>#N/A</v>
      </c>
      <c r="M109" s="10">
        <f ca="1">IF(ISNUMBER($L109),SUM(CFDTable[[#This Row],[Done]]),IF(CFDTable[[#This Row],[lookupLow]]&gt;=CFDTable[[#This Row],[Target]]+CFDTable[[#This Row],[lowDaily]],NA(),CFDTable[[#This Row],[lookupLow]]))</f>
        <v>93.476190476190496</v>
      </c>
      <c r="N109" s="10">
        <f ca="1">IF(ISNUMBER($L109),SUM(CFDTable[[#This Row],[Done]]),IF(CFDTable[[#This Row],[lookupMedian]]&gt;=$X109+Q109,NA(),CFDTable[[#This Row],[lookupMedian]]))</f>
        <v>97.619047619047521</v>
      </c>
      <c r="O109" s="10">
        <f ca="1">IF(ISNUMBER(CFDTable[[#This Row],[Done Today]]),SUM(CFDTable[[#This Row],[Done]]),IF(CFDTable[[#This Row],[lookupHigh]]&gt;=CFDTable[[#This Row],[Target]]+CFDTable[[#This Row],[highDaily]],NA(),CFDTable[[#This Row],[lookupHigh]]))</f>
        <v>101.76190476190496</v>
      </c>
      <c r="P109" s="10">
        <f ca="1">CFDTable[[#This Row],[AvgDaily]]-CFDTable[[#This Row],[Deviation]]</f>
        <v>0.80952380952380931</v>
      </c>
      <c r="Q109" s="10">
        <f ca="1">AVERAGE(IF(ISNUMBER(L109),IF(ISNUMBER(OFFSET(L109,-Historic,0)),OFFSET(L109,-Historic,0),L$2):L109,Q108))</f>
        <v>0.95238095238095233</v>
      </c>
      <c r="R109" s="10">
        <f ca="1">AVERAGE(IF(ISNUMBER(L109),IF(ISNUMBER(OFFSET(L109,-Historic,0)),OFFSET(L109,-Historic,0),L$2):L109,R108))</f>
        <v>0.95238095238095233</v>
      </c>
      <c r="S109" s="10">
        <f ca="1">AVERAGE(IF(ISNUMBER(L109),OFFSET(L$2,DaysToIgnoreOnAvg,0):L109,S108))</f>
        <v>0.88311688311688308</v>
      </c>
      <c r="T109" s="10">
        <f ca="1">CFDTable[[#This Row],[AvgDaily]]+CFDTable[[#This Row],[Deviation]]</f>
        <v>1.0952380952380953</v>
      </c>
      <c r="U109" s="10">
        <f ca="1">IF(ISNUMBER(L109),((_xlfn.PERCENTILE.INC(IF(ISNUMBER(OFFSET(Q109,-Historic,0)),OFFSET(Q109,-Historic,0),Q$2):Q109,PercentileHigh/100))-(MEDIAN(IF(ISNUMBER(OFFSET(Q109,-Historic,0)),OFFSET(Q109,-Historic,0),Q$2):Q109))),U108)</f>
        <v>0.14285714285714302</v>
      </c>
      <c r="V109" s="10">
        <f ca="1">IF(ISNUMBER(L109),((_xlfn.PERCENTILE.INC(Q$2:Q109,PercentileHigh/100))-(MEDIAN(Q$2:Q109))),U108)</f>
        <v>0.14285714285714302</v>
      </c>
      <c r="W109" s="10">
        <f ca="1">IF(ISNUMBER(CFDTable[[#This Row],[Done Today]]),SUM($F109:$K109),$W108)</f>
        <v>124</v>
      </c>
      <c r="X109" s="10">
        <f ca="1">IF(ISNUMBER(CFDTable[[#This Row],[Done Today]]),SUM($F109:$K109),$X108)</f>
        <v>124</v>
      </c>
      <c r="Y109" s="10">
        <f ca="1">SUM(LOOKUP(2,1/(M$1:M108&lt;&gt;""),M$1:M108)+CFDTable[[#This Row],[lowDaily]])</f>
        <v>93.476190476190496</v>
      </c>
      <c r="Z109" s="10">
        <f ca="1">SUM(LOOKUP(2,1/(N$1:N108&lt;&gt;""),N$1:N108)+Q109)</f>
        <v>97.619047619047521</v>
      </c>
      <c r="AA109" s="10">
        <f ca="1">SUM(LOOKUP(2,1/(O$1:O108&lt;&gt;""),O$1:O108)+CFDTable[[#This Row],[highDaily]])</f>
        <v>101.76190476190496</v>
      </c>
      <c r="AB109" s="12">
        <f>IF(CFDTable[[#This Row],[Date]]=DeadlineDate,CFDTable[Future Work],0)</f>
        <v>0</v>
      </c>
    </row>
    <row r="110" spans="1:28">
      <c r="A110" s="8">
        <f>CFDTable[[#This Row],[Date]]</f>
        <v>42564</v>
      </c>
      <c r="B110" s="38">
        <f>Data!B110</f>
        <v>42564</v>
      </c>
      <c r="C110" s="10">
        <f ca="1">IF(ISNUMBER(CFDTable[[#This Row],[Ready]]),NA(),CFDTable[[#This Row],[Target]]-CFDTable[[#This Row],[To Do]])</f>
        <v>77</v>
      </c>
      <c r="D110" s="10">
        <f ca="1">IF(CFDTable[[#This Row],[Emergence]]&gt;0,CFDTable[[#This Row],[Future Work]]-CFDTable[[#This Row],[Emergence]],NA())</f>
        <v>81</v>
      </c>
      <c r="E110" s="10">
        <f>Data!C110</f>
        <v>43</v>
      </c>
      <c r="F110" s="10">
        <f ca="1">Data!D110</f>
        <v>47</v>
      </c>
      <c r="G110" s="10" t="e">
        <f ca="1">IF(TodaysDate&gt;=$B110,Data!E110,NA())</f>
        <v>#N/A</v>
      </c>
      <c r="H110" s="10" t="e">
        <f ca="1">IF(TodaysDate&gt;=$B110,Data!F110,NA())</f>
        <v>#N/A</v>
      </c>
      <c r="I110" s="10" t="e">
        <f ca="1">IF(TodaysDate&gt;=$B110,Data!G110,NA())</f>
        <v>#N/A</v>
      </c>
      <c r="J110" s="10" t="e">
        <f ca="1">IF(TodaysDate&gt;=$B110,Data!H110,NA())</f>
        <v>#N/A</v>
      </c>
      <c r="K110" s="10" t="e">
        <f ca="1">IF(TodaysDate&gt;=$B110,Data!I110,NA())</f>
        <v>#N/A</v>
      </c>
      <c r="L110" s="10" t="e">
        <f ca="1">IF(CFDTable[[#This Row],[Done]]&gt;0,(CFDTable[[#This Row],[Done]])-(K109),0)</f>
        <v>#N/A</v>
      </c>
      <c r="M110" s="10">
        <f ca="1">IF(ISNUMBER($L110),SUM(CFDTable[[#This Row],[Done]]),IF(CFDTable[[#This Row],[lookupLow]]&gt;=CFDTable[[#This Row],[Target]]+CFDTable[[#This Row],[lowDaily]],NA(),CFDTable[[#This Row],[lookupLow]]))</f>
        <v>94.285714285714306</v>
      </c>
      <c r="N110" s="10">
        <f ca="1">IF(ISNUMBER($L110),SUM(CFDTable[[#This Row],[Done]]),IF(CFDTable[[#This Row],[lookupMedian]]&gt;=$X110+Q110,NA(),CFDTable[[#This Row],[lookupMedian]]))</f>
        <v>98.57142857142847</v>
      </c>
      <c r="O110" s="10">
        <f ca="1">IF(ISNUMBER(CFDTable[[#This Row],[Done Today]]),SUM(CFDTable[[#This Row],[Done]]),IF(CFDTable[[#This Row],[lookupHigh]]&gt;=CFDTable[[#This Row],[Target]]+CFDTable[[#This Row],[highDaily]],NA(),CFDTable[[#This Row],[lookupHigh]]))</f>
        <v>102.85714285714306</v>
      </c>
      <c r="P110" s="10">
        <f ca="1">CFDTable[[#This Row],[AvgDaily]]-CFDTable[[#This Row],[Deviation]]</f>
        <v>0.80952380952380931</v>
      </c>
      <c r="Q110" s="10">
        <f ca="1">AVERAGE(IF(ISNUMBER(L110),IF(ISNUMBER(OFFSET(L110,-Historic,0)),OFFSET(L110,-Historic,0),L$2):L110,Q109))</f>
        <v>0.95238095238095233</v>
      </c>
      <c r="R110" s="10">
        <f ca="1">AVERAGE(IF(ISNUMBER(L110),IF(ISNUMBER(OFFSET(L110,-Historic,0)),OFFSET(L110,-Historic,0),L$2):L110,R109))</f>
        <v>0.95238095238095233</v>
      </c>
      <c r="S110" s="10">
        <f ca="1">AVERAGE(IF(ISNUMBER(L110),OFFSET(L$2,DaysToIgnoreOnAvg,0):L110,S109))</f>
        <v>0.88311688311688308</v>
      </c>
      <c r="T110" s="10">
        <f ca="1">CFDTable[[#This Row],[AvgDaily]]+CFDTable[[#This Row],[Deviation]]</f>
        <v>1.0952380952380953</v>
      </c>
      <c r="U110" s="10">
        <f ca="1">IF(ISNUMBER(L110),((_xlfn.PERCENTILE.INC(IF(ISNUMBER(OFFSET(Q110,-Historic,0)),OFFSET(Q110,-Historic,0),Q$2):Q110,PercentileHigh/100))-(MEDIAN(IF(ISNUMBER(OFFSET(Q110,-Historic,0)),OFFSET(Q110,-Historic,0),Q$2):Q110))),U109)</f>
        <v>0.14285714285714302</v>
      </c>
      <c r="V110" s="10">
        <f ca="1">IF(ISNUMBER(L110),((_xlfn.PERCENTILE.INC(Q$2:Q110,PercentileHigh/100))-(MEDIAN(Q$2:Q110))),U109)</f>
        <v>0.14285714285714302</v>
      </c>
      <c r="W110" s="10">
        <f ca="1">IF(ISNUMBER(CFDTable[[#This Row],[Done Today]]),SUM($F110:$K110),$W109)</f>
        <v>124</v>
      </c>
      <c r="X110" s="10">
        <f ca="1">IF(ISNUMBER(CFDTable[[#This Row],[Done Today]]),SUM($F110:$K110),$X109)</f>
        <v>124</v>
      </c>
      <c r="Y110" s="10">
        <f ca="1">SUM(LOOKUP(2,1/(M$1:M109&lt;&gt;""),M$1:M109)+CFDTable[[#This Row],[lowDaily]])</f>
        <v>94.285714285714306</v>
      </c>
      <c r="Z110" s="10">
        <f ca="1">SUM(LOOKUP(2,1/(N$1:N109&lt;&gt;""),N$1:N109)+Q110)</f>
        <v>98.57142857142847</v>
      </c>
      <c r="AA110" s="10">
        <f ca="1">SUM(LOOKUP(2,1/(O$1:O109&lt;&gt;""),O$1:O109)+CFDTable[[#This Row],[highDaily]])</f>
        <v>102.85714285714306</v>
      </c>
      <c r="AB110" s="12">
        <f>IF(CFDTable[[#This Row],[Date]]=DeadlineDate,CFDTable[Future Work],0)</f>
        <v>0</v>
      </c>
    </row>
    <row r="111" spans="1:28">
      <c r="A111" s="8">
        <f>CFDTable[[#This Row],[Date]]</f>
        <v>42565</v>
      </c>
      <c r="B111" s="38">
        <f>Data!B111</f>
        <v>42565</v>
      </c>
      <c r="C111" s="10">
        <f ca="1">IF(ISNUMBER(CFDTable[[#This Row],[Ready]]),NA(),CFDTable[[#This Row],[Target]]-CFDTable[[#This Row],[To Do]])</f>
        <v>77</v>
      </c>
      <c r="D111" s="10">
        <f ca="1">IF(CFDTable[[#This Row],[Emergence]]&gt;0,CFDTable[[#This Row],[Future Work]]-CFDTable[[#This Row],[Emergence]],NA())</f>
        <v>81</v>
      </c>
      <c r="E111" s="10">
        <f>Data!C111</f>
        <v>43</v>
      </c>
      <c r="F111" s="10">
        <f ca="1">Data!D111</f>
        <v>47</v>
      </c>
      <c r="G111" s="10" t="e">
        <f ca="1">IF(TodaysDate&gt;=$B111,Data!E111,NA())</f>
        <v>#N/A</v>
      </c>
      <c r="H111" s="10" t="e">
        <f ca="1">IF(TodaysDate&gt;=$B111,Data!F111,NA())</f>
        <v>#N/A</v>
      </c>
      <c r="I111" s="10" t="e">
        <f ca="1">IF(TodaysDate&gt;=$B111,Data!G111,NA())</f>
        <v>#N/A</v>
      </c>
      <c r="J111" s="10" t="e">
        <f ca="1">IF(TodaysDate&gt;=$B111,Data!H111,NA())</f>
        <v>#N/A</v>
      </c>
      <c r="K111" s="10" t="e">
        <f ca="1">IF(TodaysDate&gt;=$B111,Data!I111,NA())</f>
        <v>#N/A</v>
      </c>
      <c r="L111" s="10" t="e">
        <f ca="1">IF(CFDTable[[#This Row],[Done]]&gt;0,(CFDTable[[#This Row],[Done]])-(K110),0)</f>
        <v>#N/A</v>
      </c>
      <c r="M111" s="10">
        <f ca="1">IF(ISNUMBER($L111),SUM(CFDTable[[#This Row],[Done]]),IF(CFDTable[[#This Row],[lookupLow]]&gt;=CFDTable[[#This Row],[Target]]+CFDTable[[#This Row],[lowDaily]],NA(),CFDTable[[#This Row],[lookupLow]]))</f>
        <v>95.095238095238116</v>
      </c>
      <c r="N111" s="10">
        <f ca="1">IF(ISNUMBER($L111),SUM(CFDTable[[#This Row],[Done]]),IF(CFDTable[[#This Row],[lookupMedian]]&gt;=$X111+Q111,NA(),CFDTable[[#This Row],[lookupMedian]]))</f>
        <v>99.523809523809419</v>
      </c>
      <c r="O111" s="10">
        <f ca="1">IF(ISNUMBER(CFDTable[[#This Row],[Done Today]]),SUM(CFDTable[[#This Row],[Done]]),IF(CFDTable[[#This Row],[lookupHigh]]&gt;=CFDTable[[#This Row],[Target]]+CFDTable[[#This Row],[highDaily]],NA(),CFDTable[[#This Row],[lookupHigh]]))</f>
        <v>103.95238095238116</v>
      </c>
      <c r="P111" s="10">
        <f ca="1">CFDTable[[#This Row],[AvgDaily]]-CFDTable[[#This Row],[Deviation]]</f>
        <v>0.80952380952380931</v>
      </c>
      <c r="Q111" s="10">
        <f ca="1">AVERAGE(IF(ISNUMBER(L111),IF(ISNUMBER(OFFSET(L111,-Historic,0)),OFFSET(L111,-Historic,0),L$2):L111,Q110))</f>
        <v>0.95238095238095233</v>
      </c>
      <c r="R111" s="10">
        <f ca="1">AVERAGE(IF(ISNUMBER(L111),IF(ISNUMBER(OFFSET(L111,-Historic,0)),OFFSET(L111,-Historic,0),L$2):L111,R110))</f>
        <v>0.95238095238095233</v>
      </c>
      <c r="S111" s="10">
        <f ca="1">AVERAGE(IF(ISNUMBER(L111),OFFSET(L$2,DaysToIgnoreOnAvg,0):L111,S110))</f>
        <v>0.88311688311688308</v>
      </c>
      <c r="T111" s="10">
        <f ca="1">CFDTable[[#This Row],[AvgDaily]]+CFDTable[[#This Row],[Deviation]]</f>
        <v>1.0952380952380953</v>
      </c>
      <c r="U111" s="10">
        <f ca="1">IF(ISNUMBER(L111),((_xlfn.PERCENTILE.INC(IF(ISNUMBER(OFFSET(Q111,-Historic,0)),OFFSET(Q111,-Historic,0),Q$2):Q111,PercentileHigh/100))-(MEDIAN(IF(ISNUMBER(OFFSET(Q111,-Historic,0)),OFFSET(Q111,-Historic,0),Q$2):Q111))),U110)</f>
        <v>0.14285714285714302</v>
      </c>
      <c r="V111" s="10">
        <f ca="1">IF(ISNUMBER(L111),((_xlfn.PERCENTILE.INC(Q$2:Q111,PercentileHigh/100))-(MEDIAN(Q$2:Q111))),U110)</f>
        <v>0.14285714285714302</v>
      </c>
      <c r="W111" s="10">
        <f ca="1">IF(ISNUMBER(CFDTable[[#This Row],[Done Today]]),SUM($F111:$K111),$W110)</f>
        <v>124</v>
      </c>
      <c r="X111" s="10">
        <f ca="1">IF(ISNUMBER(CFDTable[[#This Row],[Done Today]]),SUM($F111:$K111),$X110)</f>
        <v>124</v>
      </c>
      <c r="Y111" s="10">
        <f ca="1">SUM(LOOKUP(2,1/(M$1:M110&lt;&gt;""),M$1:M110)+CFDTable[[#This Row],[lowDaily]])</f>
        <v>95.095238095238116</v>
      </c>
      <c r="Z111" s="10">
        <f ca="1">SUM(LOOKUP(2,1/(N$1:N110&lt;&gt;""),N$1:N110)+Q111)</f>
        <v>99.523809523809419</v>
      </c>
      <c r="AA111" s="10">
        <f ca="1">SUM(LOOKUP(2,1/(O$1:O110&lt;&gt;""),O$1:O110)+CFDTable[[#This Row],[highDaily]])</f>
        <v>103.95238095238116</v>
      </c>
      <c r="AB111" s="12">
        <f>IF(CFDTable[[#This Row],[Date]]=DeadlineDate,CFDTable[Future Work],0)</f>
        <v>0</v>
      </c>
    </row>
    <row r="112" spans="1:28">
      <c r="A112" s="8">
        <f>CFDTable[[#This Row],[Date]]</f>
        <v>42566</v>
      </c>
      <c r="B112" s="38">
        <f>Data!B112</f>
        <v>42566</v>
      </c>
      <c r="C112" s="10">
        <f ca="1">IF(ISNUMBER(CFDTable[[#This Row],[Ready]]),NA(),CFDTable[[#This Row],[Target]]-CFDTable[[#This Row],[To Do]])</f>
        <v>77</v>
      </c>
      <c r="D112" s="10">
        <f ca="1">IF(CFDTable[[#This Row],[Emergence]]&gt;0,CFDTable[[#This Row],[Future Work]]-CFDTable[[#This Row],[Emergence]],NA())</f>
        <v>81</v>
      </c>
      <c r="E112" s="10">
        <f>Data!C112</f>
        <v>43</v>
      </c>
      <c r="F112" s="10">
        <f ca="1">Data!D112</f>
        <v>47</v>
      </c>
      <c r="G112" s="10" t="e">
        <f ca="1">IF(TodaysDate&gt;=$B112,Data!E112,NA())</f>
        <v>#N/A</v>
      </c>
      <c r="H112" s="10" t="e">
        <f ca="1">IF(TodaysDate&gt;=$B112,Data!F112,NA())</f>
        <v>#N/A</v>
      </c>
      <c r="I112" s="10" t="e">
        <f ca="1">IF(TodaysDate&gt;=$B112,Data!G112,NA())</f>
        <v>#N/A</v>
      </c>
      <c r="J112" s="10" t="e">
        <f ca="1">IF(TodaysDate&gt;=$B112,Data!H112,NA())</f>
        <v>#N/A</v>
      </c>
      <c r="K112" s="10" t="e">
        <f ca="1">IF(TodaysDate&gt;=$B112,Data!I112,NA())</f>
        <v>#N/A</v>
      </c>
      <c r="L112" s="10" t="e">
        <f ca="1">IF(CFDTable[[#This Row],[Done]]&gt;0,(CFDTable[[#This Row],[Done]])-(K111),0)</f>
        <v>#N/A</v>
      </c>
      <c r="M112" s="10">
        <f ca="1">IF(ISNUMBER($L112),SUM(CFDTable[[#This Row],[Done]]),IF(CFDTable[[#This Row],[lookupLow]]&gt;=CFDTable[[#This Row],[Target]]+CFDTable[[#This Row],[lowDaily]],NA(),CFDTable[[#This Row],[lookupLow]]))</f>
        <v>95.904761904761926</v>
      </c>
      <c r="N112" s="10">
        <f ca="1">IF(ISNUMBER($L112),SUM(CFDTable[[#This Row],[Done]]),IF(CFDTable[[#This Row],[lookupMedian]]&gt;=$X112+Q112,NA(),CFDTable[[#This Row],[lookupMedian]]))</f>
        <v>100.47619047619037</v>
      </c>
      <c r="O112" s="10">
        <f ca="1">IF(ISNUMBER(CFDTable[[#This Row],[Done Today]]),SUM(CFDTable[[#This Row],[Done]]),IF(CFDTable[[#This Row],[lookupHigh]]&gt;=CFDTable[[#This Row],[Target]]+CFDTable[[#This Row],[highDaily]],NA(),CFDTable[[#This Row],[lookupHigh]]))</f>
        <v>105.04761904761926</v>
      </c>
      <c r="P112" s="10">
        <f ca="1">CFDTable[[#This Row],[AvgDaily]]-CFDTable[[#This Row],[Deviation]]</f>
        <v>0.80952380952380931</v>
      </c>
      <c r="Q112" s="10">
        <f ca="1">AVERAGE(IF(ISNUMBER(L112),IF(ISNUMBER(OFFSET(L112,-Historic,0)),OFFSET(L112,-Historic,0),L$2):L112,Q111))</f>
        <v>0.95238095238095233</v>
      </c>
      <c r="R112" s="10">
        <f ca="1">AVERAGE(IF(ISNUMBER(L112),IF(ISNUMBER(OFFSET(L112,-Historic,0)),OFFSET(L112,-Historic,0),L$2):L112,R111))</f>
        <v>0.95238095238095233</v>
      </c>
      <c r="S112" s="10">
        <f ca="1">AVERAGE(IF(ISNUMBER(L112),OFFSET(L$2,DaysToIgnoreOnAvg,0):L112,S111))</f>
        <v>0.88311688311688308</v>
      </c>
      <c r="T112" s="10">
        <f ca="1">CFDTable[[#This Row],[AvgDaily]]+CFDTable[[#This Row],[Deviation]]</f>
        <v>1.0952380952380953</v>
      </c>
      <c r="U112" s="10">
        <f ca="1">IF(ISNUMBER(L112),((_xlfn.PERCENTILE.INC(IF(ISNUMBER(OFFSET(Q112,-Historic,0)),OFFSET(Q112,-Historic,0),Q$2):Q112,PercentileHigh/100))-(MEDIAN(IF(ISNUMBER(OFFSET(Q112,-Historic,0)),OFFSET(Q112,-Historic,0),Q$2):Q112))),U111)</f>
        <v>0.14285714285714302</v>
      </c>
      <c r="V112" s="10">
        <f ca="1">IF(ISNUMBER(L112),((_xlfn.PERCENTILE.INC(Q$2:Q112,PercentileHigh/100))-(MEDIAN(Q$2:Q112))),U111)</f>
        <v>0.14285714285714302</v>
      </c>
      <c r="W112" s="10">
        <f ca="1">IF(ISNUMBER(CFDTable[[#This Row],[Done Today]]),SUM($F112:$K112),$W111)</f>
        <v>124</v>
      </c>
      <c r="X112" s="10">
        <f ca="1">IF(ISNUMBER(CFDTable[[#This Row],[Done Today]]),SUM($F112:$K112),$X111)</f>
        <v>124</v>
      </c>
      <c r="Y112" s="10">
        <f ca="1">SUM(LOOKUP(2,1/(M$1:M111&lt;&gt;""),M$1:M111)+CFDTable[[#This Row],[lowDaily]])</f>
        <v>95.904761904761926</v>
      </c>
      <c r="Z112" s="10">
        <f ca="1">SUM(LOOKUP(2,1/(N$1:N111&lt;&gt;""),N$1:N111)+Q112)</f>
        <v>100.47619047619037</v>
      </c>
      <c r="AA112" s="10">
        <f ca="1">SUM(LOOKUP(2,1/(O$1:O111&lt;&gt;""),O$1:O111)+CFDTable[[#This Row],[highDaily]])</f>
        <v>105.04761904761926</v>
      </c>
      <c r="AB112" s="12">
        <f>IF(CFDTable[[#This Row],[Date]]=DeadlineDate,CFDTable[Future Work],0)</f>
        <v>0</v>
      </c>
    </row>
    <row r="113" spans="1:28">
      <c r="A113" s="8">
        <f>CFDTable[[#This Row],[Date]]</f>
        <v>42569</v>
      </c>
      <c r="B113" s="38">
        <f>Data!B113</f>
        <v>42569</v>
      </c>
      <c r="C113" s="10">
        <f ca="1">IF(ISNUMBER(CFDTable[[#This Row],[Ready]]),NA(),CFDTable[[#This Row],[Target]]-CFDTable[[#This Row],[To Do]])</f>
        <v>77</v>
      </c>
      <c r="D113" s="10">
        <f ca="1">IF(CFDTable[[#This Row],[Emergence]]&gt;0,CFDTable[[#This Row],[Future Work]]-CFDTable[[#This Row],[Emergence]],NA())</f>
        <v>81</v>
      </c>
      <c r="E113" s="10">
        <f>Data!C113</f>
        <v>43</v>
      </c>
      <c r="F113" s="10">
        <f ca="1">Data!D113</f>
        <v>47</v>
      </c>
      <c r="G113" s="10" t="e">
        <f ca="1">IF(TodaysDate&gt;=$B113,Data!E113,NA())</f>
        <v>#N/A</v>
      </c>
      <c r="H113" s="10" t="e">
        <f ca="1">IF(TodaysDate&gt;=$B113,Data!F113,NA())</f>
        <v>#N/A</v>
      </c>
      <c r="I113" s="10" t="e">
        <f ca="1">IF(TodaysDate&gt;=$B113,Data!G113,NA())</f>
        <v>#N/A</v>
      </c>
      <c r="J113" s="10" t="e">
        <f ca="1">IF(TodaysDate&gt;=$B113,Data!H113,NA())</f>
        <v>#N/A</v>
      </c>
      <c r="K113" s="10" t="e">
        <f ca="1">IF(TodaysDate&gt;=$B113,Data!I113,NA())</f>
        <v>#N/A</v>
      </c>
      <c r="L113" s="10" t="e">
        <f ca="1">IF(CFDTable[[#This Row],[Done]]&gt;0,(CFDTable[[#This Row],[Done]])-(K112),0)</f>
        <v>#N/A</v>
      </c>
      <c r="M113" s="10">
        <f ca="1">IF(ISNUMBER($L113),SUM(CFDTable[[#This Row],[Done]]),IF(CFDTable[[#This Row],[lookupLow]]&gt;=CFDTable[[#This Row],[Target]]+CFDTable[[#This Row],[lowDaily]],NA(),CFDTable[[#This Row],[lookupLow]]))</f>
        <v>96.714285714285737</v>
      </c>
      <c r="N113" s="10">
        <f ca="1">IF(ISNUMBER($L113),SUM(CFDTable[[#This Row],[Done]]),IF(CFDTable[[#This Row],[lookupMedian]]&gt;=$X113+Q113,NA(),CFDTable[[#This Row],[lookupMedian]]))</f>
        <v>101.42857142857132</v>
      </c>
      <c r="O113" s="10">
        <f ca="1">IF(ISNUMBER(CFDTable[[#This Row],[Done Today]]),SUM(CFDTable[[#This Row],[Done]]),IF(CFDTable[[#This Row],[lookupHigh]]&gt;=CFDTable[[#This Row],[Target]]+CFDTable[[#This Row],[highDaily]],NA(),CFDTable[[#This Row],[lookupHigh]]))</f>
        <v>106.14285714285737</v>
      </c>
      <c r="P113" s="10">
        <f ca="1">CFDTable[[#This Row],[AvgDaily]]-CFDTable[[#This Row],[Deviation]]</f>
        <v>0.80952380952380931</v>
      </c>
      <c r="Q113" s="10">
        <f ca="1">AVERAGE(IF(ISNUMBER(L113),IF(ISNUMBER(OFFSET(L113,-Historic,0)),OFFSET(L113,-Historic,0),L$2):L113,Q112))</f>
        <v>0.95238095238095233</v>
      </c>
      <c r="R113" s="10">
        <f ca="1">AVERAGE(IF(ISNUMBER(L113),IF(ISNUMBER(OFFSET(L113,-Historic,0)),OFFSET(L113,-Historic,0),L$2):L113,R112))</f>
        <v>0.95238095238095233</v>
      </c>
      <c r="S113" s="10">
        <f ca="1">AVERAGE(IF(ISNUMBER(L113),OFFSET(L$2,DaysToIgnoreOnAvg,0):L113,S112))</f>
        <v>0.88311688311688308</v>
      </c>
      <c r="T113" s="10">
        <f ca="1">CFDTable[[#This Row],[AvgDaily]]+CFDTable[[#This Row],[Deviation]]</f>
        <v>1.0952380952380953</v>
      </c>
      <c r="U113" s="10">
        <f ca="1">IF(ISNUMBER(L113),((_xlfn.PERCENTILE.INC(IF(ISNUMBER(OFFSET(Q113,-Historic,0)),OFFSET(Q113,-Historic,0),Q$2):Q113,PercentileHigh/100))-(MEDIAN(IF(ISNUMBER(OFFSET(Q113,-Historic,0)),OFFSET(Q113,-Historic,0),Q$2):Q113))),U112)</f>
        <v>0.14285714285714302</v>
      </c>
      <c r="V113" s="10">
        <f ca="1">IF(ISNUMBER(L113),((_xlfn.PERCENTILE.INC(Q$2:Q113,PercentileHigh/100))-(MEDIAN(Q$2:Q113))),U112)</f>
        <v>0.14285714285714302</v>
      </c>
      <c r="W113" s="10">
        <f ca="1">IF(ISNUMBER(CFDTable[[#This Row],[Done Today]]),SUM($F113:$K113),$W112)</f>
        <v>124</v>
      </c>
      <c r="X113" s="10">
        <f ca="1">IF(ISNUMBER(CFDTable[[#This Row],[Done Today]]),SUM($F113:$K113),$X112)</f>
        <v>124</v>
      </c>
      <c r="Y113" s="10">
        <f ca="1">SUM(LOOKUP(2,1/(M$1:M112&lt;&gt;""),M$1:M112)+CFDTable[[#This Row],[lowDaily]])</f>
        <v>96.714285714285737</v>
      </c>
      <c r="Z113" s="10">
        <f ca="1">SUM(LOOKUP(2,1/(N$1:N112&lt;&gt;""),N$1:N112)+Q113)</f>
        <v>101.42857142857132</v>
      </c>
      <c r="AA113" s="10">
        <f ca="1">SUM(LOOKUP(2,1/(O$1:O112&lt;&gt;""),O$1:O112)+CFDTable[[#This Row],[highDaily]])</f>
        <v>106.14285714285737</v>
      </c>
      <c r="AB113" s="12">
        <f>IF(CFDTable[[#This Row],[Date]]=DeadlineDate,CFDTable[Future Work],0)</f>
        <v>0</v>
      </c>
    </row>
    <row r="114" spans="1:28">
      <c r="A114" s="8">
        <f>CFDTable[[#This Row],[Date]]</f>
        <v>42570</v>
      </c>
      <c r="B114" s="38">
        <f>Data!B114</f>
        <v>42570</v>
      </c>
      <c r="C114" s="10">
        <f ca="1">IF(ISNUMBER(CFDTable[[#This Row],[Ready]]),NA(),CFDTable[[#This Row],[Target]]-CFDTable[[#This Row],[To Do]])</f>
        <v>77</v>
      </c>
      <c r="D114" s="10">
        <f ca="1">IF(CFDTable[[#This Row],[Emergence]]&gt;0,CFDTable[[#This Row],[Future Work]]-CFDTable[[#This Row],[Emergence]],NA())</f>
        <v>81</v>
      </c>
      <c r="E114" s="10">
        <f>Data!C114</f>
        <v>43</v>
      </c>
      <c r="F114" s="10">
        <f ca="1">Data!D114</f>
        <v>47</v>
      </c>
      <c r="G114" s="10" t="e">
        <f ca="1">IF(TodaysDate&gt;=$B114,Data!E114,NA())</f>
        <v>#N/A</v>
      </c>
      <c r="H114" s="10" t="e">
        <f ca="1">IF(TodaysDate&gt;=$B114,Data!F114,NA())</f>
        <v>#N/A</v>
      </c>
      <c r="I114" s="10" t="e">
        <f ca="1">IF(TodaysDate&gt;=$B114,Data!G114,NA())</f>
        <v>#N/A</v>
      </c>
      <c r="J114" s="10" t="e">
        <f ca="1">IF(TodaysDate&gt;=$B114,Data!H114,NA())</f>
        <v>#N/A</v>
      </c>
      <c r="K114" s="10" t="e">
        <f ca="1">IF(TodaysDate&gt;=$B114,Data!I114,NA())</f>
        <v>#N/A</v>
      </c>
      <c r="L114" s="10" t="e">
        <f ca="1">IF(CFDTable[[#This Row],[Done]]&gt;0,(CFDTable[[#This Row],[Done]])-(K113),0)</f>
        <v>#N/A</v>
      </c>
      <c r="M114" s="10">
        <f ca="1">IF(ISNUMBER($L114),SUM(CFDTable[[#This Row],[Done]]),IF(CFDTable[[#This Row],[lookupLow]]&gt;=CFDTable[[#This Row],[Target]]+CFDTable[[#This Row],[lowDaily]],NA(),CFDTable[[#This Row],[lookupLow]]))</f>
        <v>97.523809523809547</v>
      </c>
      <c r="N114" s="10">
        <f ca="1">IF(ISNUMBER($L114),SUM(CFDTable[[#This Row],[Done]]),IF(CFDTable[[#This Row],[lookupMedian]]&gt;=$X114+Q114,NA(),CFDTable[[#This Row],[lookupMedian]]))</f>
        <v>102.38095238095227</v>
      </c>
      <c r="O114" s="10">
        <f ca="1">IF(ISNUMBER(CFDTable[[#This Row],[Done Today]]),SUM(CFDTable[[#This Row],[Done]]),IF(CFDTable[[#This Row],[lookupHigh]]&gt;=CFDTable[[#This Row],[Target]]+CFDTable[[#This Row],[highDaily]],NA(),CFDTable[[#This Row],[lookupHigh]]))</f>
        <v>107.23809523809547</v>
      </c>
      <c r="P114" s="10">
        <f ca="1">CFDTable[[#This Row],[AvgDaily]]-CFDTable[[#This Row],[Deviation]]</f>
        <v>0.80952380952380931</v>
      </c>
      <c r="Q114" s="10">
        <f ca="1">AVERAGE(IF(ISNUMBER(L114),IF(ISNUMBER(OFFSET(L114,-Historic,0)),OFFSET(L114,-Historic,0),L$2):L114,Q113))</f>
        <v>0.95238095238095233</v>
      </c>
      <c r="R114" s="10">
        <f ca="1">AVERAGE(IF(ISNUMBER(L114),IF(ISNUMBER(OFFSET(L114,-Historic,0)),OFFSET(L114,-Historic,0),L$2):L114,R113))</f>
        <v>0.95238095238095233</v>
      </c>
      <c r="S114" s="10">
        <f ca="1">AVERAGE(IF(ISNUMBER(L114),OFFSET(L$2,DaysToIgnoreOnAvg,0):L114,S113))</f>
        <v>0.88311688311688308</v>
      </c>
      <c r="T114" s="10">
        <f ca="1">CFDTable[[#This Row],[AvgDaily]]+CFDTable[[#This Row],[Deviation]]</f>
        <v>1.0952380952380953</v>
      </c>
      <c r="U114" s="10">
        <f ca="1">IF(ISNUMBER(L114),((_xlfn.PERCENTILE.INC(IF(ISNUMBER(OFFSET(Q114,-Historic,0)),OFFSET(Q114,-Historic,0),Q$2):Q114,PercentileHigh/100))-(MEDIAN(IF(ISNUMBER(OFFSET(Q114,-Historic,0)),OFFSET(Q114,-Historic,0),Q$2):Q114))),U113)</f>
        <v>0.14285714285714302</v>
      </c>
      <c r="V114" s="10">
        <f ca="1">IF(ISNUMBER(L114),((_xlfn.PERCENTILE.INC(Q$2:Q114,PercentileHigh/100))-(MEDIAN(Q$2:Q114))),U113)</f>
        <v>0.14285714285714302</v>
      </c>
      <c r="W114" s="10">
        <f ca="1">IF(ISNUMBER(CFDTable[[#This Row],[Done Today]]),SUM($F114:$K114),$W113)</f>
        <v>124</v>
      </c>
      <c r="X114" s="10">
        <f ca="1">IF(ISNUMBER(CFDTable[[#This Row],[Done Today]]),SUM($F114:$K114),$X113)</f>
        <v>124</v>
      </c>
      <c r="Y114" s="10">
        <f ca="1">SUM(LOOKUP(2,1/(M$1:M113&lt;&gt;""),M$1:M113)+CFDTable[[#This Row],[lowDaily]])</f>
        <v>97.523809523809547</v>
      </c>
      <c r="Z114" s="10">
        <f ca="1">SUM(LOOKUP(2,1/(N$1:N113&lt;&gt;""),N$1:N113)+Q114)</f>
        <v>102.38095238095227</v>
      </c>
      <c r="AA114" s="10">
        <f ca="1">SUM(LOOKUP(2,1/(O$1:O113&lt;&gt;""),O$1:O113)+CFDTable[[#This Row],[highDaily]])</f>
        <v>107.23809523809547</v>
      </c>
      <c r="AB114" s="12">
        <f>IF(CFDTable[[#This Row],[Date]]=DeadlineDate,CFDTable[Future Work],0)</f>
        <v>0</v>
      </c>
    </row>
    <row r="115" spans="1:28">
      <c r="A115" s="8">
        <f>CFDTable[[#This Row],[Date]]</f>
        <v>42571</v>
      </c>
      <c r="B115" s="38">
        <f>Data!B115</f>
        <v>42571</v>
      </c>
      <c r="C115" s="10">
        <f ca="1">IF(ISNUMBER(CFDTable[[#This Row],[Ready]]),NA(),CFDTable[[#This Row],[Target]]-CFDTable[[#This Row],[To Do]])</f>
        <v>77</v>
      </c>
      <c r="D115" s="10">
        <f ca="1">IF(CFDTable[[#This Row],[Emergence]]&gt;0,CFDTable[[#This Row],[Future Work]]-CFDTable[[#This Row],[Emergence]],NA())</f>
        <v>81</v>
      </c>
      <c r="E115" s="10">
        <f>Data!C115</f>
        <v>43</v>
      </c>
      <c r="F115" s="10">
        <f ca="1">Data!D115</f>
        <v>47</v>
      </c>
      <c r="G115" s="10" t="e">
        <f ca="1">IF(TodaysDate&gt;=$B115,Data!E115,NA())</f>
        <v>#N/A</v>
      </c>
      <c r="H115" s="10" t="e">
        <f ca="1">IF(TodaysDate&gt;=$B115,Data!F115,NA())</f>
        <v>#N/A</v>
      </c>
      <c r="I115" s="10" t="e">
        <f ca="1">IF(TodaysDate&gt;=$B115,Data!G115,NA())</f>
        <v>#N/A</v>
      </c>
      <c r="J115" s="10" t="e">
        <f ca="1">IF(TodaysDate&gt;=$B115,Data!H115,NA())</f>
        <v>#N/A</v>
      </c>
      <c r="K115" s="10" t="e">
        <f ca="1">IF(TodaysDate&gt;=$B115,Data!I115,NA())</f>
        <v>#N/A</v>
      </c>
      <c r="L115" s="10" t="e">
        <f ca="1">IF(CFDTable[[#This Row],[Done]]&gt;0,(CFDTable[[#This Row],[Done]])-(K114),0)</f>
        <v>#N/A</v>
      </c>
      <c r="M115" s="10">
        <f ca="1">IF(ISNUMBER($L115),SUM(CFDTable[[#This Row],[Done]]),IF(CFDTable[[#This Row],[lookupLow]]&gt;=CFDTable[[#This Row],[Target]]+CFDTable[[#This Row],[lowDaily]],NA(),CFDTable[[#This Row],[lookupLow]]))</f>
        <v>98.333333333333357</v>
      </c>
      <c r="N115" s="10">
        <f ca="1">IF(ISNUMBER($L115),SUM(CFDTable[[#This Row],[Done]]),IF(CFDTable[[#This Row],[lookupMedian]]&gt;=$X115+Q115,NA(),CFDTable[[#This Row],[lookupMedian]]))</f>
        <v>103.33333333333321</v>
      </c>
      <c r="O115" s="10">
        <f ca="1">IF(ISNUMBER(CFDTable[[#This Row],[Done Today]]),SUM(CFDTable[[#This Row],[Done]]),IF(CFDTable[[#This Row],[lookupHigh]]&gt;=CFDTable[[#This Row],[Target]]+CFDTable[[#This Row],[highDaily]],NA(),CFDTable[[#This Row],[lookupHigh]]))</f>
        <v>108.33333333333357</v>
      </c>
      <c r="P115" s="10">
        <f ca="1">CFDTable[[#This Row],[AvgDaily]]-CFDTable[[#This Row],[Deviation]]</f>
        <v>0.80952380952380931</v>
      </c>
      <c r="Q115" s="10">
        <f ca="1">AVERAGE(IF(ISNUMBER(L115),IF(ISNUMBER(OFFSET(L115,-Historic,0)),OFFSET(L115,-Historic,0),L$2):L115,Q114))</f>
        <v>0.95238095238095233</v>
      </c>
      <c r="R115" s="10">
        <f ca="1">AVERAGE(IF(ISNUMBER(L115),IF(ISNUMBER(OFFSET(L115,-Historic,0)),OFFSET(L115,-Historic,0),L$2):L115,R114))</f>
        <v>0.95238095238095233</v>
      </c>
      <c r="S115" s="10">
        <f ca="1">AVERAGE(IF(ISNUMBER(L115),OFFSET(L$2,DaysToIgnoreOnAvg,0):L115,S114))</f>
        <v>0.88311688311688308</v>
      </c>
      <c r="T115" s="10">
        <f ca="1">CFDTable[[#This Row],[AvgDaily]]+CFDTable[[#This Row],[Deviation]]</f>
        <v>1.0952380952380953</v>
      </c>
      <c r="U115" s="10">
        <f ca="1">IF(ISNUMBER(L115),((_xlfn.PERCENTILE.INC(IF(ISNUMBER(OFFSET(Q115,-Historic,0)),OFFSET(Q115,-Historic,0),Q$2):Q115,PercentileHigh/100))-(MEDIAN(IF(ISNUMBER(OFFSET(Q115,-Historic,0)),OFFSET(Q115,-Historic,0),Q$2):Q115))),U114)</f>
        <v>0.14285714285714302</v>
      </c>
      <c r="V115" s="10">
        <f ca="1">IF(ISNUMBER(L115),((_xlfn.PERCENTILE.INC(Q$2:Q115,PercentileHigh/100))-(MEDIAN(Q$2:Q115))),U114)</f>
        <v>0.14285714285714302</v>
      </c>
      <c r="W115" s="10">
        <f ca="1">IF(ISNUMBER(CFDTable[[#This Row],[Done Today]]),SUM($F115:$K115),$W114)</f>
        <v>124</v>
      </c>
      <c r="X115" s="10">
        <f ca="1">IF(ISNUMBER(CFDTable[[#This Row],[Done Today]]),SUM($F115:$K115),$X114)</f>
        <v>124</v>
      </c>
      <c r="Y115" s="10">
        <f ca="1">SUM(LOOKUP(2,1/(M$1:M114&lt;&gt;""),M$1:M114)+CFDTable[[#This Row],[lowDaily]])</f>
        <v>98.333333333333357</v>
      </c>
      <c r="Z115" s="10">
        <f ca="1">SUM(LOOKUP(2,1/(N$1:N114&lt;&gt;""),N$1:N114)+Q115)</f>
        <v>103.33333333333321</v>
      </c>
      <c r="AA115" s="10">
        <f ca="1">SUM(LOOKUP(2,1/(O$1:O114&lt;&gt;""),O$1:O114)+CFDTable[[#This Row],[highDaily]])</f>
        <v>108.33333333333357</v>
      </c>
      <c r="AB115" s="12">
        <f>IF(CFDTable[[#This Row],[Date]]=DeadlineDate,CFDTable[Future Work],0)</f>
        <v>0</v>
      </c>
    </row>
    <row r="116" spans="1:28">
      <c r="A116" s="8">
        <f>CFDTable[[#This Row],[Date]]</f>
        <v>42572</v>
      </c>
      <c r="B116" s="38">
        <f>Data!B116</f>
        <v>42572</v>
      </c>
      <c r="C116" s="10">
        <f ca="1">IF(ISNUMBER(CFDTable[[#This Row],[Ready]]),NA(),CFDTable[[#This Row],[Target]]-CFDTable[[#This Row],[To Do]])</f>
        <v>77</v>
      </c>
      <c r="D116" s="10">
        <f ca="1">IF(CFDTable[[#This Row],[Emergence]]&gt;0,CFDTable[[#This Row],[Future Work]]-CFDTable[[#This Row],[Emergence]],NA())</f>
        <v>81</v>
      </c>
      <c r="E116" s="10">
        <f>Data!C116</f>
        <v>43</v>
      </c>
      <c r="F116" s="10">
        <f ca="1">Data!D116</f>
        <v>47</v>
      </c>
      <c r="G116" s="10" t="e">
        <f ca="1">IF(TodaysDate&gt;=$B116,Data!E116,NA())</f>
        <v>#N/A</v>
      </c>
      <c r="H116" s="10" t="e">
        <f ca="1">IF(TodaysDate&gt;=$B116,Data!F116,NA())</f>
        <v>#N/A</v>
      </c>
      <c r="I116" s="10" t="e">
        <f ca="1">IF(TodaysDate&gt;=$B116,Data!G116,NA())</f>
        <v>#N/A</v>
      </c>
      <c r="J116" s="10" t="e">
        <f ca="1">IF(TodaysDate&gt;=$B116,Data!H116,NA())</f>
        <v>#N/A</v>
      </c>
      <c r="K116" s="10" t="e">
        <f ca="1">IF(TodaysDate&gt;=$B116,Data!I116,NA())</f>
        <v>#N/A</v>
      </c>
      <c r="L116" s="10" t="e">
        <f ca="1">IF(CFDTable[[#This Row],[Done]]&gt;0,(CFDTable[[#This Row],[Done]])-(K115),0)</f>
        <v>#N/A</v>
      </c>
      <c r="M116" s="10">
        <f ca="1">IF(ISNUMBER($L116),SUM(CFDTable[[#This Row],[Done]]),IF(CFDTable[[#This Row],[lookupLow]]&gt;=CFDTable[[#This Row],[Target]]+CFDTable[[#This Row],[lowDaily]],NA(),CFDTable[[#This Row],[lookupLow]]))</f>
        <v>99.142857142857167</v>
      </c>
      <c r="N116" s="10">
        <f ca="1">IF(ISNUMBER($L116),SUM(CFDTable[[#This Row],[Done]]),IF(CFDTable[[#This Row],[lookupMedian]]&gt;=$X116+Q116,NA(),CFDTable[[#This Row],[lookupMedian]]))</f>
        <v>104.28571428571416</v>
      </c>
      <c r="O116" s="10">
        <f ca="1">IF(ISNUMBER(CFDTable[[#This Row],[Done Today]]),SUM(CFDTable[[#This Row],[Done]]),IF(CFDTable[[#This Row],[lookupHigh]]&gt;=CFDTable[[#This Row],[Target]]+CFDTable[[#This Row],[highDaily]],NA(),CFDTable[[#This Row],[lookupHigh]]))</f>
        <v>109.42857142857167</v>
      </c>
      <c r="P116" s="10">
        <f ca="1">CFDTable[[#This Row],[AvgDaily]]-CFDTable[[#This Row],[Deviation]]</f>
        <v>0.80952380952380931</v>
      </c>
      <c r="Q116" s="10">
        <f ca="1">AVERAGE(IF(ISNUMBER(L116),IF(ISNUMBER(OFFSET(L116,-Historic,0)),OFFSET(L116,-Historic,0),L$2):L116,Q115))</f>
        <v>0.95238095238095233</v>
      </c>
      <c r="R116" s="10">
        <f ca="1">AVERAGE(IF(ISNUMBER(L116),IF(ISNUMBER(OFFSET(L116,-Historic,0)),OFFSET(L116,-Historic,0),L$2):L116,R115))</f>
        <v>0.95238095238095233</v>
      </c>
      <c r="S116" s="10">
        <f ca="1">AVERAGE(IF(ISNUMBER(L116),OFFSET(L$2,DaysToIgnoreOnAvg,0):L116,S115))</f>
        <v>0.88311688311688308</v>
      </c>
      <c r="T116" s="10">
        <f ca="1">CFDTable[[#This Row],[AvgDaily]]+CFDTable[[#This Row],[Deviation]]</f>
        <v>1.0952380952380953</v>
      </c>
      <c r="U116" s="10">
        <f ca="1">IF(ISNUMBER(L116),((_xlfn.PERCENTILE.INC(IF(ISNUMBER(OFFSET(Q116,-Historic,0)),OFFSET(Q116,-Historic,0),Q$2):Q116,PercentileHigh/100))-(MEDIAN(IF(ISNUMBER(OFFSET(Q116,-Historic,0)),OFFSET(Q116,-Historic,0),Q$2):Q116))),U115)</f>
        <v>0.14285714285714302</v>
      </c>
      <c r="V116" s="10">
        <f ca="1">IF(ISNUMBER(L116),((_xlfn.PERCENTILE.INC(Q$2:Q116,PercentileHigh/100))-(MEDIAN(Q$2:Q116))),U115)</f>
        <v>0.14285714285714302</v>
      </c>
      <c r="W116" s="10">
        <f ca="1">IF(ISNUMBER(CFDTable[[#This Row],[Done Today]]),SUM($F116:$K116),$W115)</f>
        <v>124</v>
      </c>
      <c r="X116" s="10">
        <f ca="1">IF(ISNUMBER(CFDTable[[#This Row],[Done Today]]),SUM($F116:$K116),$X115)</f>
        <v>124</v>
      </c>
      <c r="Y116" s="10">
        <f ca="1">SUM(LOOKUP(2,1/(M$1:M115&lt;&gt;""),M$1:M115)+CFDTable[[#This Row],[lowDaily]])</f>
        <v>99.142857142857167</v>
      </c>
      <c r="Z116" s="10">
        <f ca="1">SUM(LOOKUP(2,1/(N$1:N115&lt;&gt;""),N$1:N115)+Q116)</f>
        <v>104.28571428571416</v>
      </c>
      <c r="AA116" s="10">
        <f ca="1">SUM(LOOKUP(2,1/(O$1:O115&lt;&gt;""),O$1:O115)+CFDTable[[#This Row],[highDaily]])</f>
        <v>109.42857142857167</v>
      </c>
      <c r="AB116" s="12">
        <f>IF(CFDTable[[#This Row],[Date]]=DeadlineDate,CFDTable[Future Work],0)</f>
        <v>0</v>
      </c>
    </row>
    <row r="117" spans="1:28">
      <c r="A117" s="8">
        <f>CFDTable[[#This Row],[Date]]</f>
        <v>42573</v>
      </c>
      <c r="B117" s="38">
        <f>Data!B117</f>
        <v>42573</v>
      </c>
      <c r="C117" s="10">
        <f ca="1">IF(ISNUMBER(CFDTable[[#This Row],[Ready]]),NA(),CFDTable[[#This Row],[Target]]-CFDTable[[#This Row],[To Do]])</f>
        <v>77</v>
      </c>
      <c r="D117" s="10">
        <f ca="1">IF(CFDTable[[#This Row],[Emergence]]&gt;0,CFDTable[[#This Row],[Future Work]]-CFDTable[[#This Row],[Emergence]],NA())</f>
        <v>81</v>
      </c>
      <c r="E117" s="10">
        <f>Data!C117</f>
        <v>43</v>
      </c>
      <c r="F117" s="10">
        <f ca="1">Data!D117</f>
        <v>47</v>
      </c>
      <c r="G117" s="10" t="e">
        <f ca="1">IF(TodaysDate&gt;=$B117,Data!E117,NA())</f>
        <v>#N/A</v>
      </c>
      <c r="H117" s="10" t="e">
        <f ca="1">IF(TodaysDate&gt;=$B117,Data!F117,NA())</f>
        <v>#N/A</v>
      </c>
      <c r="I117" s="10" t="e">
        <f ca="1">IF(TodaysDate&gt;=$B117,Data!G117,NA())</f>
        <v>#N/A</v>
      </c>
      <c r="J117" s="10" t="e">
        <f ca="1">IF(TodaysDate&gt;=$B117,Data!H117,NA())</f>
        <v>#N/A</v>
      </c>
      <c r="K117" s="10" t="e">
        <f ca="1">IF(TodaysDate&gt;=$B117,Data!I117,NA())</f>
        <v>#N/A</v>
      </c>
      <c r="L117" s="10" t="e">
        <f ca="1">IF(CFDTable[[#This Row],[Done]]&gt;0,(CFDTable[[#This Row],[Done]])-(K116),0)</f>
        <v>#N/A</v>
      </c>
      <c r="M117" s="10">
        <f ca="1">IF(ISNUMBER($L117),SUM(CFDTable[[#This Row],[Done]]),IF(CFDTable[[#This Row],[lookupLow]]&gt;=CFDTable[[#This Row],[Target]]+CFDTable[[#This Row],[lowDaily]],NA(),CFDTable[[#This Row],[lookupLow]]))</f>
        <v>99.952380952380977</v>
      </c>
      <c r="N117" s="10">
        <f ca="1">IF(ISNUMBER($L117),SUM(CFDTable[[#This Row],[Done]]),IF(CFDTable[[#This Row],[lookupMedian]]&gt;=$X117+Q117,NA(),CFDTable[[#This Row],[lookupMedian]]))</f>
        <v>105.23809523809511</v>
      </c>
      <c r="O117" s="10">
        <f ca="1">IF(ISNUMBER(CFDTable[[#This Row],[Done Today]]),SUM(CFDTable[[#This Row],[Done]]),IF(CFDTable[[#This Row],[lookupHigh]]&gt;=CFDTable[[#This Row],[Target]]+CFDTable[[#This Row],[highDaily]],NA(),CFDTable[[#This Row],[lookupHigh]]))</f>
        <v>110.52380952380977</v>
      </c>
      <c r="P117" s="10">
        <f ca="1">CFDTable[[#This Row],[AvgDaily]]-CFDTable[[#This Row],[Deviation]]</f>
        <v>0.80952380952380931</v>
      </c>
      <c r="Q117" s="10">
        <f ca="1">AVERAGE(IF(ISNUMBER(L117),IF(ISNUMBER(OFFSET(L117,-Historic,0)),OFFSET(L117,-Historic,0),L$2):L117,Q116))</f>
        <v>0.95238095238095233</v>
      </c>
      <c r="R117" s="10">
        <f ca="1">AVERAGE(IF(ISNUMBER(L117),IF(ISNUMBER(OFFSET(L117,-Historic,0)),OFFSET(L117,-Historic,0),L$2):L117,R116))</f>
        <v>0.95238095238095233</v>
      </c>
      <c r="S117" s="10">
        <f ca="1">AVERAGE(IF(ISNUMBER(L117),OFFSET(L$2,DaysToIgnoreOnAvg,0):L117,S116))</f>
        <v>0.88311688311688308</v>
      </c>
      <c r="T117" s="10">
        <f ca="1">CFDTable[[#This Row],[AvgDaily]]+CFDTable[[#This Row],[Deviation]]</f>
        <v>1.0952380952380953</v>
      </c>
      <c r="U117" s="10">
        <f ca="1">IF(ISNUMBER(L117),((_xlfn.PERCENTILE.INC(IF(ISNUMBER(OFFSET(Q117,-Historic,0)),OFFSET(Q117,-Historic,0),Q$2):Q117,PercentileHigh/100))-(MEDIAN(IF(ISNUMBER(OFFSET(Q117,-Historic,0)),OFFSET(Q117,-Historic,0),Q$2):Q117))),U116)</f>
        <v>0.14285714285714302</v>
      </c>
      <c r="V117" s="10">
        <f ca="1">IF(ISNUMBER(L117),((_xlfn.PERCENTILE.INC(Q$2:Q117,PercentileHigh/100))-(MEDIAN(Q$2:Q117))),U116)</f>
        <v>0.14285714285714302</v>
      </c>
      <c r="W117" s="10">
        <f ca="1">IF(ISNUMBER(CFDTable[[#This Row],[Done Today]]),SUM($F117:$K117),$W116)</f>
        <v>124</v>
      </c>
      <c r="X117" s="10">
        <f ca="1">IF(ISNUMBER(CFDTable[[#This Row],[Done Today]]),SUM($F117:$K117),$X116)</f>
        <v>124</v>
      </c>
      <c r="Y117" s="10">
        <f ca="1">SUM(LOOKUP(2,1/(M$1:M116&lt;&gt;""),M$1:M116)+CFDTable[[#This Row],[lowDaily]])</f>
        <v>99.952380952380977</v>
      </c>
      <c r="Z117" s="10">
        <f ca="1">SUM(LOOKUP(2,1/(N$1:N116&lt;&gt;""),N$1:N116)+Q117)</f>
        <v>105.23809523809511</v>
      </c>
      <c r="AA117" s="10">
        <f ca="1">SUM(LOOKUP(2,1/(O$1:O116&lt;&gt;""),O$1:O116)+CFDTable[[#This Row],[highDaily]])</f>
        <v>110.52380952380977</v>
      </c>
      <c r="AB117" s="12">
        <f>IF(CFDTable[[#This Row],[Date]]=DeadlineDate,CFDTable[Future Work],0)</f>
        <v>0</v>
      </c>
    </row>
    <row r="118" spans="1:28">
      <c r="A118" s="8">
        <f>CFDTable[[#This Row],[Date]]</f>
        <v>42576</v>
      </c>
      <c r="B118" s="38">
        <f>Data!B118</f>
        <v>42576</v>
      </c>
      <c r="C118" s="10">
        <f ca="1">IF(ISNUMBER(CFDTable[[#This Row],[Ready]]),NA(),CFDTable[[#This Row],[Target]]-CFDTable[[#This Row],[To Do]])</f>
        <v>77</v>
      </c>
      <c r="D118" s="10">
        <f ca="1">IF(CFDTable[[#This Row],[Emergence]]&gt;0,CFDTable[[#This Row],[Future Work]]-CFDTable[[#This Row],[Emergence]],NA())</f>
        <v>81</v>
      </c>
      <c r="E118" s="10">
        <f>Data!C118</f>
        <v>43</v>
      </c>
      <c r="F118" s="10">
        <f ca="1">Data!D118</f>
        <v>47</v>
      </c>
      <c r="G118" s="10" t="e">
        <f ca="1">IF(TodaysDate&gt;=$B118,Data!E118,NA())</f>
        <v>#N/A</v>
      </c>
      <c r="H118" s="10" t="e">
        <f ca="1">IF(TodaysDate&gt;=$B118,Data!F118,NA())</f>
        <v>#N/A</v>
      </c>
      <c r="I118" s="10" t="e">
        <f ca="1">IF(TodaysDate&gt;=$B118,Data!G118,NA())</f>
        <v>#N/A</v>
      </c>
      <c r="J118" s="10" t="e">
        <f ca="1">IF(TodaysDate&gt;=$B118,Data!H118,NA())</f>
        <v>#N/A</v>
      </c>
      <c r="K118" s="10" t="e">
        <f ca="1">IF(TodaysDate&gt;=$B118,Data!I118,NA())</f>
        <v>#N/A</v>
      </c>
      <c r="L118" s="10" t="e">
        <f ca="1">IF(CFDTable[[#This Row],[Done]]&gt;0,(CFDTable[[#This Row],[Done]])-(K117),0)</f>
        <v>#N/A</v>
      </c>
      <c r="M118" s="10">
        <f ca="1">IF(ISNUMBER($L118),SUM(CFDTable[[#This Row],[Done]]),IF(CFDTable[[#This Row],[lookupLow]]&gt;=CFDTable[[#This Row],[Target]]+CFDTable[[#This Row],[lowDaily]],NA(),CFDTable[[#This Row],[lookupLow]]))</f>
        <v>100.76190476190479</v>
      </c>
      <c r="N118" s="10">
        <f ca="1">IF(ISNUMBER($L118),SUM(CFDTable[[#This Row],[Done]]),IF(CFDTable[[#This Row],[lookupMedian]]&gt;=$X118+Q118,NA(),CFDTable[[#This Row],[lookupMedian]]))</f>
        <v>106.19047619047606</v>
      </c>
      <c r="O118" s="10">
        <f ca="1">IF(ISNUMBER(CFDTable[[#This Row],[Done Today]]),SUM(CFDTable[[#This Row],[Done]]),IF(CFDTable[[#This Row],[lookupHigh]]&gt;=CFDTable[[#This Row],[Target]]+CFDTable[[#This Row],[highDaily]],NA(),CFDTable[[#This Row],[lookupHigh]]))</f>
        <v>111.61904761904788</v>
      </c>
      <c r="P118" s="10">
        <f ca="1">CFDTable[[#This Row],[AvgDaily]]-CFDTable[[#This Row],[Deviation]]</f>
        <v>0.80952380952380931</v>
      </c>
      <c r="Q118" s="10">
        <f ca="1">AVERAGE(IF(ISNUMBER(L118),IF(ISNUMBER(OFFSET(L118,-Historic,0)),OFFSET(L118,-Historic,0),L$2):L118,Q117))</f>
        <v>0.95238095238095233</v>
      </c>
      <c r="R118" s="10">
        <f ca="1">AVERAGE(IF(ISNUMBER(L118),IF(ISNUMBER(OFFSET(L118,-Historic,0)),OFFSET(L118,-Historic,0),L$2):L118,R117))</f>
        <v>0.95238095238095233</v>
      </c>
      <c r="S118" s="10">
        <f ca="1">AVERAGE(IF(ISNUMBER(L118),OFFSET(L$2,DaysToIgnoreOnAvg,0):L118,S117))</f>
        <v>0.88311688311688308</v>
      </c>
      <c r="T118" s="10">
        <f ca="1">CFDTable[[#This Row],[AvgDaily]]+CFDTable[[#This Row],[Deviation]]</f>
        <v>1.0952380952380953</v>
      </c>
      <c r="U118" s="10">
        <f ca="1">IF(ISNUMBER(L118),((_xlfn.PERCENTILE.INC(IF(ISNUMBER(OFFSET(Q118,-Historic,0)),OFFSET(Q118,-Historic,0),Q$2):Q118,PercentileHigh/100))-(MEDIAN(IF(ISNUMBER(OFFSET(Q118,-Historic,0)),OFFSET(Q118,-Historic,0),Q$2):Q118))),U117)</f>
        <v>0.14285714285714302</v>
      </c>
      <c r="V118" s="10">
        <f ca="1">IF(ISNUMBER(L118),((_xlfn.PERCENTILE.INC(Q$2:Q118,PercentileHigh/100))-(MEDIAN(Q$2:Q118))),U117)</f>
        <v>0.14285714285714302</v>
      </c>
      <c r="W118" s="10">
        <f ca="1">IF(ISNUMBER(CFDTable[[#This Row],[Done Today]]),SUM($F118:$K118),$W117)</f>
        <v>124</v>
      </c>
      <c r="X118" s="10">
        <f ca="1">IF(ISNUMBER(CFDTable[[#This Row],[Done Today]]),SUM($F118:$K118),$X117)</f>
        <v>124</v>
      </c>
      <c r="Y118" s="10">
        <f ca="1">SUM(LOOKUP(2,1/(M$1:M117&lt;&gt;""),M$1:M117)+CFDTable[[#This Row],[lowDaily]])</f>
        <v>100.76190476190479</v>
      </c>
      <c r="Z118" s="10">
        <f ca="1">SUM(LOOKUP(2,1/(N$1:N117&lt;&gt;""),N$1:N117)+Q118)</f>
        <v>106.19047619047606</v>
      </c>
      <c r="AA118" s="10">
        <f ca="1">SUM(LOOKUP(2,1/(O$1:O117&lt;&gt;""),O$1:O117)+CFDTable[[#This Row],[highDaily]])</f>
        <v>111.61904761904788</v>
      </c>
      <c r="AB118" s="12">
        <f>IF(CFDTable[[#This Row],[Date]]=DeadlineDate,CFDTable[Future Work],0)</f>
        <v>0</v>
      </c>
    </row>
    <row r="119" spans="1:28">
      <c r="A119" s="8">
        <f>CFDTable[[#This Row],[Date]]</f>
        <v>42577</v>
      </c>
      <c r="B119" s="38">
        <f>Data!B119</f>
        <v>42577</v>
      </c>
      <c r="C119" s="10">
        <f ca="1">IF(ISNUMBER(CFDTable[[#This Row],[Ready]]),NA(),CFDTable[[#This Row],[Target]]-CFDTable[[#This Row],[To Do]])</f>
        <v>77</v>
      </c>
      <c r="D119" s="10">
        <f ca="1">IF(CFDTable[[#This Row],[Emergence]]&gt;0,CFDTable[[#This Row],[Future Work]]-CFDTable[[#This Row],[Emergence]],NA())</f>
        <v>81</v>
      </c>
      <c r="E119" s="10">
        <f>Data!C119</f>
        <v>43</v>
      </c>
      <c r="F119" s="10">
        <f ca="1">Data!D119</f>
        <v>47</v>
      </c>
      <c r="G119" s="10" t="e">
        <f ca="1">IF(TodaysDate&gt;=$B119,Data!E119,NA())</f>
        <v>#N/A</v>
      </c>
      <c r="H119" s="10" t="e">
        <f ca="1">IF(TodaysDate&gt;=$B119,Data!F119,NA())</f>
        <v>#N/A</v>
      </c>
      <c r="I119" s="10" t="e">
        <f ca="1">IF(TodaysDate&gt;=$B119,Data!G119,NA())</f>
        <v>#N/A</v>
      </c>
      <c r="J119" s="10" t="e">
        <f ca="1">IF(TodaysDate&gt;=$B119,Data!H119,NA())</f>
        <v>#N/A</v>
      </c>
      <c r="K119" s="10" t="e">
        <f ca="1">IF(TodaysDate&gt;=$B119,Data!I119,NA())</f>
        <v>#N/A</v>
      </c>
      <c r="L119" s="10" t="e">
        <f ca="1">IF(CFDTable[[#This Row],[Done]]&gt;0,(CFDTable[[#This Row],[Done]])-(K118),0)</f>
        <v>#N/A</v>
      </c>
      <c r="M119" s="10">
        <f ca="1">IF(ISNUMBER($L119),SUM(CFDTable[[#This Row],[Done]]),IF(CFDTable[[#This Row],[lookupLow]]&gt;=CFDTable[[#This Row],[Target]]+CFDTable[[#This Row],[lowDaily]],NA(),CFDTable[[#This Row],[lookupLow]]))</f>
        <v>101.5714285714286</v>
      </c>
      <c r="N119" s="10">
        <f ca="1">IF(ISNUMBER($L119),SUM(CFDTable[[#This Row],[Done]]),IF(CFDTable[[#This Row],[lookupMedian]]&gt;=$X119+Q119,NA(),CFDTable[[#This Row],[lookupMedian]]))</f>
        <v>107.14285714285701</v>
      </c>
      <c r="O119" s="10">
        <f ca="1">IF(ISNUMBER(CFDTable[[#This Row],[Done Today]]),SUM(CFDTable[[#This Row],[Done]]),IF(CFDTable[[#This Row],[lookupHigh]]&gt;=CFDTable[[#This Row],[Target]]+CFDTable[[#This Row],[highDaily]],NA(),CFDTable[[#This Row],[lookupHigh]]))</f>
        <v>112.71428571428598</v>
      </c>
      <c r="P119" s="10">
        <f ca="1">CFDTable[[#This Row],[AvgDaily]]-CFDTable[[#This Row],[Deviation]]</f>
        <v>0.80952380952380931</v>
      </c>
      <c r="Q119" s="10">
        <f ca="1">AVERAGE(IF(ISNUMBER(L119),IF(ISNUMBER(OFFSET(L119,-Historic,0)),OFFSET(L119,-Historic,0),L$2):L119,Q118))</f>
        <v>0.95238095238095233</v>
      </c>
      <c r="R119" s="10">
        <f ca="1">AVERAGE(IF(ISNUMBER(L119),IF(ISNUMBER(OFFSET(L119,-Historic,0)),OFFSET(L119,-Historic,0),L$2):L119,R118))</f>
        <v>0.95238095238095233</v>
      </c>
      <c r="S119" s="10">
        <f ca="1">AVERAGE(IF(ISNUMBER(L119),OFFSET(L$2,DaysToIgnoreOnAvg,0):L119,S118))</f>
        <v>0.88311688311688308</v>
      </c>
      <c r="T119" s="10">
        <f ca="1">CFDTable[[#This Row],[AvgDaily]]+CFDTable[[#This Row],[Deviation]]</f>
        <v>1.0952380952380953</v>
      </c>
      <c r="U119" s="10">
        <f ca="1">IF(ISNUMBER(L119),((_xlfn.PERCENTILE.INC(IF(ISNUMBER(OFFSET(Q119,-Historic,0)),OFFSET(Q119,-Historic,0),Q$2):Q119,PercentileHigh/100))-(MEDIAN(IF(ISNUMBER(OFFSET(Q119,-Historic,0)),OFFSET(Q119,-Historic,0),Q$2):Q119))),U118)</f>
        <v>0.14285714285714302</v>
      </c>
      <c r="V119" s="10">
        <f ca="1">IF(ISNUMBER(L119),((_xlfn.PERCENTILE.INC(Q$2:Q119,PercentileHigh/100))-(MEDIAN(Q$2:Q119))),U118)</f>
        <v>0.14285714285714302</v>
      </c>
      <c r="W119" s="10">
        <f ca="1">IF(ISNUMBER(CFDTable[[#This Row],[Done Today]]),SUM($F119:$K119),$W118)</f>
        <v>124</v>
      </c>
      <c r="X119" s="10">
        <f ca="1">IF(ISNUMBER(CFDTable[[#This Row],[Done Today]]),SUM($F119:$K119),$X118)</f>
        <v>124</v>
      </c>
      <c r="Y119" s="10">
        <f ca="1">SUM(LOOKUP(2,1/(M$1:M118&lt;&gt;""),M$1:M118)+CFDTable[[#This Row],[lowDaily]])</f>
        <v>101.5714285714286</v>
      </c>
      <c r="Z119" s="10">
        <f ca="1">SUM(LOOKUP(2,1/(N$1:N118&lt;&gt;""),N$1:N118)+Q119)</f>
        <v>107.14285714285701</v>
      </c>
      <c r="AA119" s="10">
        <f ca="1">SUM(LOOKUP(2,1/(O$1:O118&lt;&gt;""),O$1:O118)+CFDTable[[#This Row],[highDaily]])</f>
        <v>112.71428571428598</v>
      </c>
      <c r="AB119" s="12">
        <f>IF(CFDTable[[#This Row],[Date]]=DeadlineDate,CFDTable[Future Work],0)</f>
        <v>0</v>
      </c>
    </row>
    <row r="120" spans="1:28">
      <c r="A120" s="8">
        <f>CFDTable[[#This Row],[Date]]</f>
        <v>42578</v>
      </c>
      <c r="B120" s="38">
        <f>Data!B120</f>
        <v>42578</v>
      </c>
      <c r="C120" s="10">
        <f ca="1">IF(ISNUMBER(CFDTable[[#This Row],[Ready]]),NA(),CFDTable[[#This Row],[Target]]-CFDTable[[#This Row],[To Do]])</f>
        <v>77</v>
      </c>
      <c r="D120" s="10">
        <f ca="1">IF(CFDTable[[#This Row],[Emergence]]&gt;0,CFDTable[[#This Row],[Future Work]]-CFDTable[[#This Row],[Emergence]],NA())</f>
        <v>81</v>
      </c>
      <c r="E120" s="10">
        <f>Data!C120</f>
        <v>43</v>
      </c>
      <c r="F120" s="10">
        <f ca="1">Data!D120</f>
        <v>47</v>
      </c>
      <c r="G120" s="10" t="e">
        <f ca="1">IF(TodaysDate&gt;=$B120,Data!E120,NA())</f>
        <v>#N/A</v>
      </c>
      <c r="H120" s="10" t="e">
        <f ca="1">IF(TodaysDate&gt;=$B120,Data!F120,NA())</f>
        <v>#N/A</v>
      </c>
      <c r="I120" s="10" t="e">
        <f ca="1">IF(TodaysDate&gt;=$B120,Data!G120,NA())</f>
        <v>#N/A</v>
      </c>
      <c r="J120" s="10" t="e">
        <f ca="1">IF(TodaysDate&gt;=$B120,Data!H120,NA())</f>
        <v>#N/A</v>
      </c>
      <c r="K120" s="10" t="e">
        <f ca="1">IF(TodaysDate&gt;=$B120,Data!I120,NA())</f>
        <v>#N/A</v>
      </c>
      <c r="L120" s="10" t="e">
        <f ca="1">IF(CFDTable[[#This Row],[Done]]&gt;0,(CFDTable[[#This Row],[Done]])-(K119),0)</f>
        <v>#N/A</v>
      </c>
      <c r="M120" s="10">
        <f ca="1">IF(ISNUMBER($L120),SUM(CFDTable[[#This Row],[Done]]),IF(CFDTable[[#This Row],[lookupLow]]&gt;=CFDTable[[#This Row],[Target]]+CFDTable[[#This Row],[lowDaily]],NA(),CFDTable[[#This Row],[lookupLow]]))</f>
        <v>102.38095238095241</v>
      </c>
      <c r="N120" s="10">
        <f ca="1">IF(ISNUMBER($L120),SUM(CFDTable[[#This Row],[Done]]),IF(CFDTable[[#This Row],[lookupMedian]]&gt;=$X120+Q120,NA(),CFDTable[[#This Row],[lookupMedian]]))</f>
        <v>108.09523809523796</v>
      </c>
      <c r="O120" s="10">
        <f ca="1">IF(ISNUMBER(CFDTable[[#This Row],[Done Today]]),SUM(CFDTable[[#This Row],[Done]]),IF(CFDTable[[#This Row],[lookupHigh]]&gt;=CFDTable[[#This Row],[Target]]+CFDTable[[#This Row],[highDaily]],NA(),CFDTable[[#This Row],[lookupHigh]]))</f>
        <v>113.80952380952408</v>
      </c>
      <c r="P120" s="10">
        <f ca="1">CFDTable[[#This Row],[AvgDaily]]-CFDTable[[#This Row],[Deviation]]</f>
        <v>0.80952380952380931</v>
      </c>
      <c r="Q120" s="10">
        <f ca="1">AVERAGE(IF(ISNUMBER(L120),IF(ISNUMBER(OFFSET(L120,-Historic,0)),OFFSET(L120,-Historic,0),L$2):L120,Q119))</f>
        <v>0.95238095238095233</v>
      </c>
      <c r="R120" s="10">
        <f ca="1">AVERAGE(IF(ISNUMBER(L120),IF(ISNUMBER(OFFSET(L120,-Historic,0)),OFFSET(L120,-Historic,0),L$2):L120,R119))</f>
        <v>0.95238095238095233</v>
      </c>
      <c r="S120" s="10">
        <f ca="1">AVERAGE(IF(ISNUMBER(L120),OFFSET(L$2,DaysToIgnoreOnAvg,0):L120,S119))</f>
        <v>0.88311688311688308</v>
      </c>
      <c r="T120" s="10">
        <f ca="1">CFDTable[[#This Row],[AvgDaily]]+CFDTable[[#This Row],[Deviation]]</f>
        <v>1.0952380952380953</v>
      </c>
      <c r="U120" s="10">
        <f ca="1">IF(ISNUMBER(L120),((_xlfn.PERCENTILE.INC(IF(ISNUMBER(OFFSET(Q120,-Historic,0)),OFFSET(Q120,-Historic,0),Q$2):Q120,PercentileHigh/100))-(MEDIAN(IF(ISNUMBER(OFFSET(Q120,-Historic,0)),OFFSET(Q120,-Historic,0),Q$2):Q120))),U119)</f>
        <v>0.14285714285714302</v>
      </c>
      <c r="V120" s="10">
        <f ca="1">IF(ISNUMBER(L120),((_xlfn.PERCENTILE.INC(Q$2:Q120,PercentileHigh/100))-(MEDIAN(Q$2:Q120))),U119)</f>
        <v>0.14285714285714302</v>
      </c>
      <c r="W120" s="10">
        <f ca="1">IF(ISNUMBER(CFDTable[[#This Row],[Done Today]]),SUM($F120:$K120),$W119)</f>
        <v>124</v>
      </c>
      <c r="X120" s="10">
        <f ca="1">IF(ISNUMBER(CFDTable[[#This Row],[Done Today]]),SUM($F120:$K120),$X119)</f>
        <v>124</v>
      </c>
      <c r="Y120" s="10">
        <f ca="1">SUM(LOOKUP(2,1/(M$1:M119&lt;&gt;""),M$1:M119)+CFDTable[[#This Row],[lowDaily]])</f>
        <v>102.38095238095241</v>
      </c>
      <c r="Z120" s="10">
        <f ca="1">SUM(LOOKUP(2,1/(N$1:N119&lt;&gt;""),N$1:N119)+Q120)</f>
        <v>108.09523809523796</v>
      </c>
      <c r="AA120" s="10">
        <f ca="1">SUM(LOOKUP(2,1/(O$1:O119&lt;&gt;""),O$1:O119)+CFDTable[[#This Row],[highDaily]])</f>
        <v>113.80952380952408</v>
      </c>
      <c r="AB120" s="12">
        <f>IF(CFDTable[[#This Row],[Date]]=DeadlineDate,CFDTable[Future Work],0)</f>
        <v>0</v>
      </c>
    </row>
    <row r="121" spans="1:28">
      <c r="A121" s="8">
        <f>CFDTable[[#This Row],[Date]]</f>
        <v>42579</v>
      </c>
      <c r="B121" s="38">
        <f>Data!B121</f>
        <v>42579</v>
      </c>
      <c r="C121" s="10">
        <f ca="1">IF(ISNUMBER(CFDTable[[#This Row],[Ready]]),NA(),CFDTable[[#This Row],[Target]]-CFDTable[[#This Row],[To Do]])</f>
        <v>77</v>
      </c>
      <c r="D121" s="10">
        <f ca="1">IF(CFDTable[[#This Row],[Emergence]]&gt;0,CFDTable[[#This Row],[Future Work]]-CFDTable[[#This Row],[Emergence]],NA())</f>
        <v>81</v>
      </c>
      <c r="E121" s="10">
        <f>Data!C121</f>
        <v>43</v>
      </c>
      <c r="F121" s="10">
        <f ca="1">Data!D121</f>
        <v>47</v>
      </c>
      <c r="G121" s="10" t="e">
        <f ca="1">IF(TodaysDate&gt;=$B121,Data!E121,NA())</f>
        <v>#N/A</v>
      </c>
      <c r="H121" s="10" t="e">
        <f ca="1">IF(TodaysDate&gt;=$B121,Data!F121,NA())</f>
        <v>#N/A</v>
      </c>
      <c r="I121" s="10" t="e">
        <f ca="1">IF(TodaysDate&gt;=$B121,Data!G121,NA())</f>
        <v>#N/A</v>
      </c>
      <c r="J121" s="10" t="e">
        <f ca="1">IF(TodaysDate&gt;=$B121,Data!H121,NA())</f>
        <v>#N/A</v>
      </c>
      <c r="K121" s="10" t="e">
        <f ca="1">IF(TodaysDate&gt;=$B121,Data!I121,NA())</f>
        <v>#N/A</v>
      </c>
      <c r="L121" s="10" t="e">
        <f ca="1">IF(CFDTable[[#This Row],[Done]]&gt;0,(CFDTable[[#This Row],[Done]])-(K120),0)</f>
        <v>#N/A</v>
      </c>
      <c r="M121" s="10">
        <f ca="1">IF(ISNUMBER($L121),SUM(CFDTable[[#This Row],[Done]]),IF(CFDTable[[#This Row],[lookupLow]]&gt;=CFDTable[[#This Row],[Target]]+CFDTable[[#This Row],[lowDaily]],NA(),CFDTable[[#This Row],[lookupLow]]))</f>
        <v>103.19047619047622</v>
      </c>
      <c r="N121" s="10">
        <f ca="1">IF(ISNUMBER($L121),SUM(CFDTable[[#This Row],[Done]]),IF(CFDTable[[#This Row],[lookupMedian]]&gt;=$X121+Q121,NA(),CFDTable[[#This Row],[lookupMedian]]))</f>
        <v>109.04761904761891</v>
      </c>
      <c r="O121" s="10">
        <f ca="1">IF(ISNUMBER(CFDTable[[#This Row],[Done Today]]),SUM(CFDTable[[#This Row],[Done]]),IF(CFDTable[[#This Row],[lookupHigh]]&gt;=CFDTable[[#This Row],[Target]]+CFDTable[[#This Row],[highDaily]],NA(),CFDTable[[#This Row],[lookupHigh]]))</f>
        <v>114.90476190476218</v>
      </c>
      <c r="P121" s="10">
        <f ca="1">CFDTable[[#This Row],[AvgDaily]]-CFDTable[[#This Row],[Deviation]]</f>
        <v>0.80952380952380931</v>
      </c>
      <c r="Q121" s="10">
        <f ca="1">AVERAGE(IF(ISNUMBER(L121),IF(ISNUMBER(OFFSET(L121,-Historic,0)),OFFSET(L121,-Historic,0),L$2):L121,Q120))</f>
        <v>0.95238095238095233</v>
      </c>
      <c r="R121" s="10">
        <f ca="1">AVERAGE(IF(ISNUMBER(L121),IF(ISNUMBER(OFFSET(L121,-Historic,0)),OFFSET(L121,-Historic,0),L$2):L121,R120))</f>
        <v>0.95238095238095233</v>
      </c>
      <c r="S121" s="10">
        <f ca="1">AVERAGE(IF(ISNUMBER(L121),OFFSET(L$2,DaysToIgnoreOnAvg,0):L121,S120))</f>
        <v>0.88311688311688308</v>
      </c>
      <c r="T121" s="10">
        <f ca="1">CFDTable[[#This Row],[AvgDaily]]+CFDTable[[#This Row],[Deviation]]</f>
        <v>1.0952380952380953</v>
      </c>
      <c r="U121" s="10">
        <f ca="1">IF(ISNUMBER(L121),((_xlfn.PERCENTILE.INC(IF(ISNUMBER(OFFSET(Q121,-Historic,0)),OFFSET(Q121,-Historic,0),Q$2):Q121,PercentileHigh/100))-(MEDIAN(IF(ISNUMBER(OFFSET(Q121,-Historic,0)),OFFSET(Q121,-Historic,0),Q$2):Q121))),U120)</f>
        <v>0.14285714285714302</v>
      </c>
      <c r="V121" s="10">
        <f ca="1">IF(ISNUMBER(L121),((_xlfn.PERCENTILE.INC(Q$2:Q121,PercentileHigh/100))-(MEDIAN(Q$2:Q121))),U120)</f>
        <v>0.14285714285714302</v>
      </c>
      <c r="W121" s="10">
        <f ca="1">IF(ISNUMBER(CFDTable[[#This Row],[Done Today]]),SUM($F121:$K121),$W120)</f>
        <v>124</v>
      </c>
      <c r="X121" s="10">
        <f ca="1">IF(ISNUMBER(CFDTable[[#This Row],[Done Today]]),SUM($F121:$K121),$X120)</f>
        <v>124</v>
      </c>
      <c r="Y121" s="10">
        <f ca="1">SUM(LOOKUP(2,1/(M$1:M120&lt;&gt;""),M$1:M120)+CFDTable[[#This Row],[lowDaily]])</f>
        <v>103.19047619047622</v>
      </c>
      <c r="Z121" s="10">
        <f ca="1">SUM(LOOKUP(2,1/(N$1:N120&lt;&gt;""),N$1:N120)+Q121)</f>
        <v>109.04761904761891</v>
      </c>
      <c r="AA121" s="10">
        <f ca="1">SUM(LOOKUP(2,1/(O$1:O120&lt;&gt;""),O$1:O120)+CFDTable[[#This Row],[highDaily]])</f>
        <v>114.90476190476218</v>
      </c>
      <c r="AB121" s="12">
        <f>IF(CFDTable[[#This Row],[Date]]=DeadlineDate,CFDTable[Future Work],0)</f>
        <v>0</v>
      </c>
    </row>
    <row r="122" spans="1:28">
      <c r="A122" s="8">
        <f>CFDTable[[#This Row],[Date]]</f>
        <v>42580</v>
      </c>
      <c r="B122" s="38">
        <f>Data!B122</f>
        <v>42580</v>
      </c>
      <c r="C122" s="10">
        <f ca="1">IF(ISNUMBER(CFDTable[[#This Row],[Ready]]),NA(),CFDTable[[#This Row],[Target]]-CFDTable[[#This Row],[To Do]])</f>
        <v>77</v>
      </c>
      <c r="D122" s="10">
        <f ca="1">IF(CFDTable[[#This Row],[Emergence]]&gt;0,CFDTable[[#This Row],[Future Work]]-CFDTable[[#This Row],[Emergence]],NA())</f>
        <v>81</v>
      </c>
      <c r="E122" s="10">
        <f>Data!C122</f>
        <v>43</v>
      </c>
      <c r="F122" s="10">
        <f ca="1">Data!D122</f>
        <v>47</v>
      </c>
      <c r="G122" s="10" t="e">
        <f ca="1">IF(TodaysDate&gt;=$B122,Data!E122,NA())</f>
        <v>#N/A</v>
      </c>
      <c r="H122" s="10" t="e">
        <f ca="1">IF(TodaysDate&gt;=$B122,Data!F122,NA())</f>
        <v>#N/A</v>
      </c>
      <c r="I122" s="10" t="e">
        <f ca="1">IF(TodaysDate&gt;=$B122,Data!G122,NA())</f>
        <v>#N/A</v>
      </c>
      <c r="J122" s="10" t="e">
        <f ca="1">IF(TodaysDate&gt;=$B122,Data!H122,NA())</f>
        <v>#N/A</v>
      </c>
      <c r="K122" s="10" t="e">
        <f ca="1">IF(TodaysDate&gt;=$B122,Data!I122,NA())</f>
        <v>#N/A</v>
      </c>
      <c r="L122" s="10" t="e">
        <f ca="1">IF(CFDTable[[#This Row],[Done]]&gt;0,(CFDTable[[#This Row],[Done]])-(K121),0)</f>
        <v>#N/A</v>
      </c>
      <c r="M122" s="10">
        <f ca="1">IF(ISNUMBER($L122),SUM(CFDTable[[#This Row],[Done]]),IF(CFDTable[[#This Row],[lookupLow]]&gt;=CFDTable[[#This Row],[Target]]+CFDTable[[#This Row],[lowDaily]],NA(),CFDTable[[#This Row],[lookupLow]]))</f>
        <v>104.00000000000003</v>
      </c>
      <c r="N122" s="10">
        <f ca="1">IF(ISNUMBER($L122),SUM(CFDTable[[#This Row],[Done]]),IF(CFDTable[[#This Row],[lookupMedian]]&gt;=$X122+Q122,NA(),CFDTable[[#This Row],[lookupMedian]]))</f>
        <v>109.99999999999986</v>
      </c>
      <c r="O122" s="10">
        <f ca="1">IF(ISNUMBER(CFDTable[[#This Row],[Done Today]]),SUM(CFDTable[[#This Row],[Done]]),IF(CFDTable[[#This Row],[lookupHigh]]&gt;=CFDTable[[#This Row],[Target]]+CFDTable[[#This Row],[highDaily]],NA(),CFDTable[[#This Row],[lookupHigh]]))</f>
        <v>116.00000000000028</v>
      </c>
      <c r="P122" s="10">
        <f ca="1">CFDTable[[#This Row],[AvgDaily]]-CFDTable[[#This Row],[Deviation]]</f>
        <v>0.80952380952380931</v>
      </c>
      <c r="Q122" s="10">
        <f ca="1">AVERAGE(IF(ISNUMBER(L122),IF(ISNUMBER(OFFSET(L122,-Historic,0)),OFFSET(L122,-Historic,0),L$2):L122,Q121))</f>
        <v>0.95238095238095233</v>
      </c>
      <c r="R122" s="10">
        <f ca="1">AVERAGE(IF(ISNUMBER(L122),IF(ISNUMBER(OFFSET(L122,-Historic,0)),OFFSET(L122,-Historic,0),L$2):L122,R121))</f>
        <v>0.95238095238095233</v>
      </c>
      <c r="S122" s="10">
        <f ca="1">AVERAGE(IF(ISNUMBER(L122),OFFSET(L$2,DaysToIgnoreOnAvg,0):L122,S121))</f>
        <v>0.88311688311688308</v>
      </c>
      <c r="T122" s="10">
        <f ca="1">CFDTable[[#This Row],[AvgDaily]]+CFDTable[[#This Row],[Deviation]]</f>
        <v>1.0952380952380953</v>
      </c>
      <c r="U122" s="10">
        <f ca="1">IF(ISNUMBER(L122),((_xlfn.PERCENTILE.INC(IF(ISNUMBER(OFFSET(Q122,-Historic,0)),OFFSET(Q122,-Historic,0),Q$2):Q122,PercentileHigh/100))-(MEDIAN(IF(ISNUMBER(OFFSET(Q122,-Historic,0)),OFFSET(Q122,-Historic,0),Q$2):Q122))),U121)</f>
        <v>0.14285714285714302</v>
      </c>
      <c r="V122" s="10">
        <f ca="1">IF(ISNUMBER(L122),((_xlfn.PERCENTILE.INC(Q$2:Q122,PercentileHigh/100))-(MEDIAN(Q$2:Q122))),U121)</f>
        <v>0.14285714285714302</v>
      </c>
      <c r="W122" s="10">
        <f ca="1">IF(ISNUMBER(CFDTable[[#This Row],[Done Today]]),SUM($F122:$K122),$W121)</f>
        <v>124</v>
      </c>
      <c r="X122" s="10">
        <f ca="1">IF(ISNUMBER(CFDTable[[#This Row],[Done Today]]),SUM($F122:$K122),$X121)</f>
        <v>124</v>
      </c>
      <c r="Y122" s="10">
        <f ca="1">SUM(LOOKUP(2,1/(M$1:M121&lt;&gt;""),M$1:M121)+CFDTable[[#This Row],[lowDaily]])</f>
        <v>104.00000000000003</v>
      </c>
      <c r="Z122" s="10">
        <f ca="1">SUM(LOOKUP(2,1/(N$1:N121&lt;&gt;""),N$1:N121)+Q122)</f>
        <v>109.99999999999986</v>
      </c>
      <c r="AA122" s="10">
        <f ca="1">SUM(LOOKUP(2,1/(O$1:O121&lt;&gt;""),O$1:O121)+CFDTable[[#This Row],[highDaily]])</f>
        <v>116.00000000000028</v>
      </c>
      <c r="AB122" s="12">
        <f>IF(CFDTable[[#This Row],[Date]]=DeadlineDate,CFDTable[Future Work],0)</f>
        <v>0</v>
      </c>
    </row>
    <row r="123" spans="1:28">
      <c r="A123" s="8">
        <f>CFDTable[[#This Row],[Date]]</f>
        <v>42583</v>
      </c>
      <c r="B123" s="38">
        <f>Data!B123</f>
        <v>42583</v>
      </c>
      <c r="C123" s="10">
        <f ca="1">IF(ISNUMBER(CFDTable[[#This Row],[Ready]]),NA(),CFDTable[[#This Row],[Target]]-CFDTable[[#This Row],[To Do]])</f>
        <v>77</v>
      </c>
      <c r="D123" s="10">
        <f ca="1">IF(CFDTable[[#This Row],[Emergence]]&gt;0,CFDTable[[#This Row],[Future Work]]-CFDTable[[#This Row],[Emergence]],NA())</f>
        <v>81</v>
      </c>
      <c r="E123" s="10">
        <f>Data!C123</f>
        <v>43</v>
      </c>
      <c r="F123" s="10">
        <f ca="1">Data!D123</f>
        <v>47</v>
      </c>
      <c r="G123" s="10" t="e">
        <f ca="1">IF(TodaysDate&gt;=$B123,Data!E123,NA())</f>
        <v>#N/A</v>
      </c>
      <c r="H123" s="10" t="e">
        <f ca="1">IF(TodaysDate&gt;=$B123,Data!F123,NA())</f>
        <v>#N/A</v>
      </c>
      <c r="I123" s="10" t="e">
        <f ca="1">IF(TodaysDate&gt;=$B123,Data!G123,NA())</f>
        <v>#N/A</v>
      </c>
      <c r="J123" s="10" t="e">
        <f ca="1">IF(TodaysDate&gt;=$B123,Data!H123,NA())</f>
        <v>#N/A</v>
      </c>
      <c r="K123" s="10" t="e">
        <f ca="1">IF(TodaysDate&gt;=$B123,Data!I123,NA())</f>
        <v>#N/A</v>
      </c>
      <c r="L123" s="10" t="e">
        <f ca="1">IF(CFDTable[[#This Row],[Done]]&gt;0,(CFDTable[[#This Row],[Done]])-(K122),0)</f>
        <v>#N/A</v>
      </c>
      <c r="M123" s="10">
        <f ca="1">IF(ISNUMBER($L123),SUM(CFDTable[[#This Row],[Done]]),IF(CFDTable[[#This Row],[lookupLow]]&gt;=CFDTable[[#This Row],[Target]]+CFDTable[[#This Row],[lowDaily]],NA(),CFDTable[[#This Row],[lookupLow]]))</f>
        <v>104.80952380952384</v>
      </c>
      <c r="N123" s="10">
        <f ca="1">IF(ISNUMBER($L123),SUM(CFDTable[[#This Row],[Done]]),IF(CFDTable[[#This Row],[lookupMedian]]&gt;=$X123+Q123,NA(),CFDTable[[#This Row],[lookupMedian]]))</f>
        <v>110.95238095238081</v>
      </c>
      <c r="O123" s="10">
        <f ca="1">IF(ISNUMBER(CFDTable[[#This Row],[Done Today]]),SUM(CFDTable[[#This Row],[Done]]),IF(CFDTable[[#This Row],[lookupHigh]]&gt;=CFDTable[[#This Row],[Target]]+CFDTable[[#This Row],[highDaily]],NA(),CFDTable[[#This Row],[lookupHigh]]))</f>
        <v>117.09523809523839</v>
      </c>
      <c r="P123" s="10">
        <f ca="1">CFDTable[[#This Row],[AvgDaily]]-CFDTable[[#This Row],[Deviation]]</f>
        <v>0.80952380952380931</v>
      </c>
      <c r="Q123" s="10">
        <f ca="1">AVERAGE(IF(ISNUMBER(L123),IF(ISNUMBER(OFFSET(L123,-Historic,0)),OFFSET(L123,-Historic,0),L$2):L123,Q122))</f>
        <v>0.95238095238095233</v>
      </c>
      <c r="R123" s="10">
        <f ca="1">AVERAGE(IF(ISNUMBER(L123),IF(ISNUMBER(OFFSET(L123,-Historic,0)),OFFSET(L123,-Historic,0),L$2):L123,R122))</f>
        <v>0.95238095238095233</v>
      </c>
      <c r="S123" s="10">
        <f ca="1">AVERAGE(IF(ISNUMBER(L123),OFFSET(L$2,DaysToIgnoreOnAvg,0):L123,S122))</f>
        <v>0.88311688311688308</v>
      </c>
      <c r="T123" s="10">
        <f ca="1">CFDTable[[#This Row],[AvgDaily]]+CFDTable[[#This Row],[Deviation]]</f>
        <v>1.0952380952380953</v>
      </c>
      <c r="U123" s="10">
        <f ca="1">IF(ISNUMBER(L123),((_xlfn.PERCENTILE.INC(IF(ISNUMBER(OFFSET(Q123,-Historic,0)),OFFSET(Q123,-Historic,0),Q$2):Q123,PercentileHigh/100))-(MEDIAN(IF(ISNUMBER(OFFSET(Q123,-Historic,0)),OFFSET(Q123,-Historic,0),Q$2):Q123))),U122)</f>
        <v>0.14285714285714302</v>
      </c>
      <c r="V123" s="10">
        <f ca="1">IF(ISNUMBER(L123),((_xlfn.PERCENTILE.INC(Q$2:Q123,PercentileHigh/100))-(MEDIAN(Q$2:Q123))),U122)</f>
        <v>0.14285714285714302</v>
      </c>
      <c r="W123" s="10">
        <f ca="1">IF(ISNUMBER(CFDTable[[#This Row],[Done Today]]),SUM($F123:$K123),$W122)</f>
        <v>124</v>
      </c>
      <c r="X123" s="10">
        <f ca="1">IF(ISNUMBER(CFDTable[[#This Row],[Done Today]]),SUM($F123:$K123),$X122)</f>
        <v>124</v>
      </c>
      <c r="Y123" s="10">
        <f ca="1">SUM(LOOKUP(2,1/(M$1:M122&lt;&gt;""),M$1:M122)+CFDTable[[#This Row],[lowDaily]])</f>
        <v>104.80952380952384</v>
      </c>
      <c r="Z123" s="10">
        <f ca="1">SUM(LOOKUP(2,1/(N$1:N122&lt;&gt;""),N$1:N122)+Q123)</f>
        <v>110.95238095238081</v>
      </c>
      <c r="AA123" s="10">
        <f ca="1">SUM(LOOKUP(2,1/(O$1:O122&lt;&gt;""),O$1:O122)+CFDTable[[#This Row],[highDaily]])</f>
        <v>117.09523809523839</v>
      </c>
      <c r="AB123" s="12">
        <f ca="1">IF(CFDTable[[#This Row],[Date]]=DeadlineDate,CFDTable[Future Work],0)</f>
        <v>124</v>
      </c>
    </row>
    <row r="124" spans="1:28">
      <c r="A124" s="8">
        <f>CFDTable[[#This Row],[Date]]</f>
        <v>42584</v>
      </c>
      <c r="B124" s="38">
        <f>Data!B124</f>
        <v>42584</v>
      </c>
      <c r="C124" s="10">
        <f ca="1">IF(ISNUMBER(CFDTable[[#This Row],[Ready]]),NA(),CFDTable[[#This Row],[Target]]-CFDTable[[#This Row],[To Do]])</f>
        <v>77</v>
      </c>
      <c r="D124" s="10">
        <f ca="1">IF(CFDTable[[#This Row],[Emergence]]&gt;0,CFDTable[[#This Row],[Future Work]]-CFDTable[[#This Row],[Emergence]],NA())</f>
        <v>81</v>
      </c>
      <c r="E124" s="10">
        <f>Data!C124</f>
        <v>43</v>
      </c>
      <c r="F124" s="10">
        <f ca="1">Data!D124</f>
        <v>47</v>
      </c>
      <c r="G124" s="10" t="e">
        <f ca="1">IF(TodaysDate&gt;=$B124,Data!E124,NA())</f>
        <v>#N/A</v>
      </c>
      <c r="H124" s="10" t="e">
        <f ca="1">IF(TodaysDate&gt;=$B124,Data!F124,NA())</f>
        <v>#N/A</v>
      </c>
      <c r="I124" s="10" t="e">
        <f ca="1">IF(TodaysDate&gt;=$B124,Data!G124,NA())</f>
        <v>#N/A</v>
      </c>
      <c r="J124" s="10" t="e">
        <f ca="1">IF(TodaysDate&gt;=$B124,Data!H124,NA())</f>
        <v>#N/A</v>
      </c>
      <c r="K124" s="10" t="e">
        <f ca="1">IF(TodaysDate&gt;=$B124,Data!I124,NA())</f>
        <v>#N/A</v>
      </c>
      <c r="L124" s="10" t="e">
        <f ca="1">IF(CFDTable[[#This Row],[Done]]&gt;0,(CFDTable[[#This Row],[Done]])-(K123),0)</f>
        <v>#N/A</v>
      </c>
      <c r="M124" s="10">
        <f ca="1">IF(ISNUMBER($L124),SUM(CFDTable[[#This Row],[Done]]),IF(CFDTable[[#This Row],[lookupLow]]&gt;=CFDTable[[#This Row],[Target]]+CFDTable[[#This Row],[lowDaily]],NA(),CFDTable[[#This Row],[lookupLow]]))</f>
        <v>105.61904761904765</v>
      </c>
      <c r="N124" s="10">
        <f ca="1">IF(ISNUMBER($L124),SUM(CFDTable[[#This Row],[Done]]),IF(CFDTable[[#This Row],[lookupMedian]]&gt;=$X124+Q124,NA(),CFDTable[[#This Row],[lookupMedian]]))</f>
        <v>111.90476190476176</v>
      </c>
      <c r="O124" s="10">
        <f ca="1">IF(ISNUMBER(CFDTable[[#This Row],[Done Today]]),SUM(CFDTable[[#This Row],[Done]]),IF(CFDTable[[#This Row],[lookupHigh]]&gt;=CFDTable[[#This Row],[Target]]+CFDTable[[#This Row],[highDaily]],NA(),CFDTable[[#This Row],[lookupHigh]]))</f>
        <v>118.19047619047649</v>
      </c>
      <c r="P124" s="10">
        <f ca="1">CFDTable[[#This Row],[AvgDaily]]-CFDTable[[#This Row],[Deviation]]</f>
        <v>0.80952380952380931</v>
      </c>
      <c r="Q124" s="10">
        <f ca="1">AVERAGE(IF(ISNUMBER(L124),IF(ISNUMBER(OFFSET(L124,-Historic,0)),OFFSET(L124,-Historic,0),L$2):L124,Q123))</f>
        <v>0.95238095238095233</v>
      </c>
      <c r="R124" s="10">
        <f ca="1">AVERAGE(IF(ISNUMBER(L124),IF(ISNUMBER(OFFSET(L124,-Historic,0)),OFFSET(L124,-Historic,0),L$2):L124,R123))</f>
        <v>0.95238095238095233</v>
      </c>
      <c r="S124" s="10">
        <f ca="1">AVERAGE(IF(ISNUMBER(L124),OFFSET(L$2,DaysToIgnoreOnAvg,0):L124,S123))</f>
        <v>0.88311688311688308</v>
      </c>
      <c r="T124" s="10">
        <f ca="1">CFDTable[[#This Row],[AvgDaily]]+CFDTable[[#This Row],[Deviation]]</f>
        <v>1.0952380952380953</v>
      </c>
      <c r="U124" s="10">
        <f ca="1">IF(ISNUMBER(L124),((_xlfn.PERCENTILE.INC(IF(ISNUMBER(OFFSET(Q124,-Historic,0)),OFFSET(Q124,-Historic,0),Q$2):Q124,PercentileHigh/100))-(MEDIAN(IF(ISNUMBER(OFFSET(Q124,-Historic,0)),OFFSET(Q124,-Historic,0),Q$2):Q124))),U123)</f>
        <v>0.14285714285714302</v>
      </c>
      <c r="V124" s="10">
        <f ca="1">IF(ISNUMBER(L124),((_xlfn.PERCENTILE.INC(Q$2:Q124,PercentileHigh/100))-(MEDIAN(Q$2:Q124))),U123)</f>
        <v>0.14285714285714302</v>
      </c>
      <c r="W124" s="10">
        <f ca="1">IF(ISNUMBER(CFDTable[[#This Row],[Done Today]]),SUM($F124:$K124),$W123)</f>
        <v>124</v>
      </c>
      <c r="X124" s="10">
        <f ca="1">IF(ISNUMBER(CFDTable[[#This Row],[Done Today]]),SUM($F124:$K124),$X123)</f>
        <v>124</v>
      </c>
      <c r="Y124" s="10">
        <f ca="1">SUM(LOOKUP(2,1/(M$1:M123&lt;&gt;""),M$1:M123)+CFDTable[[#This Row],[lowDaily]])</f>
        <v>105.61904761904765</v>
      </c>
      <c r="Z124" s="10">
        <f ca="1">SUM(LOOKUP(2,1/(N$1:N123&lt;&gt;""),N$1:N123)+Q124)</f>
        <v>111.90476190476176</v>
      </c>
      <c r="AA124" s="10">
        <f ca="1">SUM(LOOKUP(2,1/(O$1:O123&lt;&gt;""),O$1:O123)+CFDTable[[#This Row],[highDaily]])</f>
        <v>118.19047619047649</v>
      </c>
      <c r="AB124" s="12">
        <f>IF(CFDTable[[#This Row],[Date]]=DeadlineDate,CFDTable[Future Work],0)</f>
        <v>0</v>
      </c>
    </row>
    <row r="125" spans="1:28">
      <c r="A125" s="8">
        <f>CFDTable[[#This Row],[Date]]</f>
        <v>42585</v>
      </c>
      <c r="B125" s="38">
        <f>Data!B125</f>
        <v>42585</v>
      </c>
      <c r="C125" s="10">
        <f ca="1">IF(ISNUMBER(CFDTable[[#This Row],[Ready]]),NA(),CFDTable[[#This Row],[Target]]-CFDTable[[#This Row],[To Do]])</f>
        <v>77</v>
      </c>
      <c r="D125" s="10">
        <f ca="1">IF(CFDTable[[#This Row],[Emergence]]&gt;0,CFDTable[[#This Row],[Future Work]]-CFDTable[[#This Row],[Emergence]],NA())</f>
        <v>81</v>
      </c>
      <c r="E125" s="10">
        <f>Data!C125</f>
        <v>43</v>
      </c>
      <c r="F125" s="10">
        <f ca="1">Data!D125</f>
        <v>47</v>
      </c>
      <c r="G125" s="10" t="e">
        <f ca="1">IF(TodaysDate&gt;=$B125,Data!E125,NA())</f>
        <v>#N/A</v>
      </c>
      <c r="H125" s="10" t="e">
        <f ca="1">IF(TodaysDate&gt;=$B125,Data!F125,NA())</f>
        <v>#N/A</v>
      </c>
      <c r="I125" s="10" t="e">
        <f ca="1">IF(TodaysDate&gt;=$B125,Data!G125,NA())</f>
        <v>#N/A</v>
      </c>
      <c r="J125" s="10" t="e">
        <f ca="1">IF(TodaysDate&gt;=$B125,Data!H125,NA())</f>
        <v>#N/A</v>
      </c>
      <c r="K125" s="10" t="e">
        <f ca="1">IF(TodaysDate&gt;=$B125,Data!I125,NA())</f>
        <v>#N/A</v>
      </c>
      <c r="L125" s="10" t="e">
        <f ca="1">IF(CFDTable[[#This Row],[Done]]&gt;0,(CFDTable[[#This Row],[Done]])-(K124),0)</f>
        <v>#N/A</v>
      </c>
      <c r="M125" s="10">
        <f ca="1">IF(ISNUMBER($L125),SUM(CFDTable[[#This Row],[Done]]),IF(CFDTable[[#This Row],[lookupLow]]&gt;=CFDTable[[#This Row],[Target]]+CFDTable[[#This Row],[lowDaily]],NA(),CFDTable[[#This Row],[lookupLow]]))</f>
        <v>106.42857142857146</v>
      </c>
      <c r="N125" s="10">
        <f ca="1">IF(ISNUMBER($L125),SUM(CFDTable[[#This Row],[Done]]),IF(CFDTable[[#This Row],[lookupMedian]]&gt;=$X125+Q125,NA(),CFDTable[[#This Row],[lookupMedian]]))</f>
        <v>112.8571428571427</v>
      </c>
      <c r="O125" s="10">
        <f ca="1">IF(ISNUMBER(CFDTable[[#This Row],[Done Today]]),SUM(CFDTable[[#This Row],[Done]]),IF(CFDTable[[#This Row],[lookupHigh]]&gt;=CFDTable[[#This Row],[Target]]+CFDTable[[#This Row],[highDaily]],NA(),CFDTable[[#This Row],[lookupHigh]]))</f>
        <v>119.28571428571459</v>
      </c>
      <c r="P125" s="10">
        <f ca="1">CFDTable[[#This Row],[AvgDaily]]-CFDTable[[#This Row],[Deviation]]</f>
        <v>0.80952380952380931</v>
      </c>
      <c r="Q125" s="10">
        <f ca="1">AVERAGE(IF(ISNUMBER(L125),IF(ISNUMBER(OFFSET(L125,-Historic,0)),OFFSET(L125,-Historic,0),L$2):L125,Q124))</f>
        <v>0.95238095238095233</v>
      </c>
      <c r="R125" s="10">
        <f ca="1">AVERAGE(IF(ISNUMBER(L125),IF(ISNUMBER(OFFSET(L125,-Historic,0)),OFFSET(L125,-Historic,0),L$2):L125,R124))</f>
        <v>0.95238095238095233</v>
      </c>
      <c r="S125" s="10">
        <f ca="1">AVERAGE(IF(ISNUMBER(L125),OFFSET(L$2,DaysToIgnoreOnAvg,0):L125,S124))</f>
        <v>0.88311688311688308</v>
      </c>
      <c r="T125" s="10">
        <f ca="1">CFDTable[[#This Row],[AvgDaily]]+CFDTable[[#This Row],[Deviation]]</f>
        <v>1.0952380952380953</v>
      </c>
      <c r="U125" s="10">
        <f ca="1">IF(ISNUMBER(L125),((_xlfn.PERCENTILE.INC(IF(ISNUMBER(OFFSET(Q125,-Historic,0)),OFFSET(Q125,-Historic,0),Q$2):Q125,PercentileHigh/100))-(MEDIAN(IF(ISNUMBER(OFFSET(Q125,-Historic,0)),OFFSET(Q125,-Historic,0),Q$2):Q125))),U124)</f>
        <v>0.14285714285714302</v>
      </c>
      <c r="V125" s="10">
        <f ca="1">IF(ISNUMBER(L125),((_xlfn.PERCENTILE.INC(Q$2:Q125,PercentileHigh/100))-(MEDIAN(Q$2:Q125))),U124)</f>
        <v>0.14285714285714302</v>
      </c>
      <c r="W125" s="10">
        <f ca="1">IF(ISNUMBER(CFDTable[[#This Row],[Done Today]]),SUM($F125:$K125),$W124)</f>
        <v>124</v>
      </c>
      <c r="X125" s="10">
        <f ca="1">IF(ISNUMBER(CFDTable[[#This Row],[Done Today]]),SUM($F125:$K125),$X124)</f>
        <v>124</v>
      </c>
      <c r="Y125" s="10">
        <f ca="1">SUM(LOOKUP(2,1/(M$1:M124&lt;&gt;""),M$1:M124)+CFDTable[[#This Row],[lowDaily]])</f>
        <v>106.42857142857146</v>
      </c>
      <c r="Z125" s="10">
        <f ca="1">SUM(LOOKUP(2,1/(N$1:N124&lt;&gt;""),N$1:N124)+Q125)</f>
        <v>112.8571428571427</v>
      </c>
      <c r="AA125" s="10">
        <f ca="1">SUM(LOOKUP(2,1/(O$1:O124&lt;&gt;""),O$1:O124)+CFDTable[[#This Row],[highDaily]])</f>
        <v>119.28571428571459</v>
      </c>
      <c r="AB125" s="12">
        <f>IF(CFDTable[[#This Row],[Date]]=DeadlineDate,CFDTable[Future Work],0)</f>
        <v>0</v>
      </c>
    </row>
    <row r="126" spans="1:28">
      <c r="A126" s="8">
        <f>CFDTable[[#This Row],[Date]]</f>
        <v>42586</v>
      </c>
      <c r="B126" s="38">
        <f>Data!B126</f>
        <v>42586</v>
      </c>
      <c r="C126" s="10">
        <f ca="1">IF(ISNUMBER(CFDTable[[#This Row],[Ready]]),NA(),CFDTable[[#This Row],[Target]]-CFDTable[[#This Row],[To Do]])</f>
        <v>77</v>
      </c>
      <c r="D126" s="10">
        <f ca="1">IF(CFDTable[[#This Row],[Emergence]]&gt;0,CFDTable[[#This Row],[Future Work]]-CFDTable[[#This Row],[Emergence]],NA())</f>
        <v>81</v>
      </c>
      <c r="E126" s="10">
        <f>Data!C126</f>
        <v>43</v>
      </c>
      <c r="F126" s="10">
        <f ca="1">Data!D126</f>
        <v>47</v>
      </c>
      <c r="G126" s="10" t="e">
        <f ca="1">IF(TodaysDate&gt;=$B126,Data!E126,NA())</f>
        <v>#N/A</v>
      </c>
      <c r="H126" s="10" t="e">
        <f ca="1">IF(TodaysDate&gt;=$B126,Data!F126,NA())</f>
        <v>#N/A</v>
      </c>
      <c r="I126" s="10" t="e">
        <f ca="1">IF(TodaysDate&gt;=$B126,Data!G126,NA())</f>
        <v>#N/A</v>
      </c>
      <c r="J126" s="10" t="e">
        <f ca="1">IF(TodaysDate&gt;=$B126,Data!H126,NA())</f>
        <v>#N/A</v>
      </c>
      <c r="K126" s="10" t="e">
        <f ca="1">IF(TodaysDate&gt;=$B126,Data!I126,NA())</f>
        <v>#N/A</v>
      </c>
      <c r="L126" s="10" t="e">
        <f ca="1">IF(CFDTable[[#This Row],[Done]]&gt;0,(CFDTable[[#This Row],[Done]])-(K125),0)</f>
        <v>#N/A</v>
      </c>
      <c r="M126" s="10">
        <f ca="1">IF(ISNUMBER($L126),SUM(CFDTable[[#This Row],[Done]]),IF(CFDTable[[#This Row],[lookupLow]]&gt;=CFDTable[[#This Row],[Target]]+CFDTable[[#This Row],[lowDaily]],NA(),CFDTable[[#This Row],[lookupLow]]))</f>
        <v>107.23809523809527</v>
      </c>
      <c r="N126" s="10">
        <f ca="1">IF(ISNUMBER($L126),SUM(CFDTable[[#This Row],[Done]]),IF(CFDTable[[#This Row],[lookupMedian]]&gt;=$X126+Q126,NA(),CFDTable[[#This Row],[lookupMedian]]))</f>
        <v>113.80952380952365</v>
      </c>
      <c r="O126" s="10">
        <f ca="1">IF(ISNUMBER(CFDTable[[#This Row],[Done Today]]),SUM(CFDTable[[#This Row],[Done]]),IF(CFDTable[[#This Row],[lookupHigh]]&gt;=CFDTable[[#This Row],[Target]]+CFDTable[[#This Row],[highDaily]],NA(),CFDTable[[#This Row],[lookupHigh]]))</f>
        <v>120.38095238095269</v>
      </c>
      <c r="P126" s="10">
        <f ca="1">CFDTable[[#This Row],[AvgDaily]]-CFDTable[[#This Row],[Deviation]]</f>
        <v>0.80952380952380931</v>
      </c>
      <c r="Q126" s="10">
        <f ca="1">AVERAGE(IF(ISNUMBER(L126),IF(ISNUMBER(OFFSET(L126,-Historic,0)),OFFSET(L126,-Historic,0),L$2):L126,Q125))</f>
        <v>0.95238095238095233</v>
      </c>
      <c r="R126" s="10">
        <f ca="1">AVERAGE(IF(ISNUMBER(L126),IF(ISNUMBER(OFFSET(L126,-Historic,0)),OFFSET(L126,-Historic,0),L$2):L126,R125))</f>
        <v>0.95238095238095233</v>
      </c>
      <c r="S126" s="10">
        <f ca="1">AVERAGE(IF(ISNUMBER(L126),OFFSET(L$2,DaysToIgnoreOnAvg,0):L126,S125))</f>
        <v>0.88311688311688308</v>
      </c>
      <c r="T126" s="10">
        <f ca="1">CFDTable[[#This Row],[AvgDaily]]+CFDTable[[#This Row],[Deviation]]</f>
        <v>1.0952380952380953</v>
      </c>
      <c r="U126" s="10">
        <f ca="1">IF(ISNUMBER(L126),((_xlfn.PERCENTILE.INC(IF(ISNUMBER(OFFSET(Q126,-Historic,0)),OFFSET(Q126,-Historic,0),Q$2):Q126,PercentileHigh/100))-(MEDIAN(IF(ISNUMBER(OFFSET(Q126,-Historic,0)),OFFSET(Q126,-Historic,0),Q$2):Q126))),U125)</f>
        <v>0.14285714285714302</v>
      </c>
      <c r="V126" s="10">
        <f ca="1">IF(ISNUMBER(L126),((_xlfn.PERCENTILE.INC(Q$2:Q126,PercentileHigh/100))-(MEDIAN(Q$2:Q126))),U125)</f>
        <v>0.14285714285714302</v>
      </c>
      <c r="W126" s="10">
        <f ca="1">IF(ISNUMBER(CFDTable[[#This Row],[Done Today]]),SUM($F126:$K126),$W125)</f>
        <v>124</v>
      </c>
      <c r="X126" s="10">
        <f ca="1">IF(ISNUMBER(CFDTable[[#This Row],[Done Today]]),SUM($F126:$K126),$X125)</f>
        <v>124</v>
      </c>
      <c r="Y126" s="10">
        <f ca="1">SUM(LOOKUP(2,1/(M$1:M125&lt;&gt;""),M$1:M125)+CFDTable[[#This Row],[lowDaily]])</f>
        <v>107.23809523809527</v>
      </c>
      <c r="Z126" s="10">
        <f ca="1">SUM(LOOKUP(2,1/(N$1:N125&lt;&gt;""),N$1:N125)+Q126)</f>
        <v>113.80952380952365</v>
      </c>
      <c r="AA126" s="10">
        <f ca="1">SUM(LOOKUP(2,1/(O$1:O125&lt;&gt;""),O$1:O125)+CFDTable[[#This Row],[highDaily]])</f>
        <v>120.38095238095269</v>
      </c>
      <c r="AB126" s="12">
        <f>IF(CFDTable[[#This Row],[Date]]=DeadlineDate,CFDTable[Future Work],0)</f>
        <v>0</v>
      </c>
    </row>
    <row r="127" spans="1:28">
      <c r="A127" s="8">
        <f>CFDTable[[#This Row],[Date]]</f>
        <v>42587</v>
      </c>
      <c r="B127" s="38">
        <f>Data!B127</f>
        <v>42587</v>
      </c>
      <c r="C127" s="10">
        <f ca="1">IF(ISNUMBER(CFDTable[[#This Row],[Ready]]),NA(),CFDTable[[#This Row],[Target]]-CFDTable[[#This Row],[To Do]])</f>
        <v>77</v>
      </c>
      <c r="D127" s="10">
        <f ca="1">IF(CFDTable[[#This Row],[Emergence]]&gt;0,CFDTable[[#This Row],[Future Work]]-CFDTable[[#This Row],[Emergence]],NA())</f>
        <v>81</v>
      </c>
      <c r="E127" s="10">
        <f>Data!C127</f>
        <v>43</v>
      </c>
      <c r="F127" s="10">
        <f ca="1">Data!D127</f>
        <v>47</v>
      </c>
      <c r="G127" s="10" t="e">
        <f ca="1">IF(TodaysDate&gt;=$B127,Data!E127,NA())</f>
        <v>#N/A</v>
      </c>
      <c r="H127" s="10" t="e">
        <f ca="1">IF(TodaysDate&gt;=$B127,Data!F127,NA())</f>
        <v>#N/A</v>
      </c>
      <c r="I127" s="10" t="e">
        <f ca="1">IF(TodaysDate&gt;=$B127,Data!G127,NA())</f>
        <v>#N/A</v>
      </c>
      <c r="J127" s="10" t="e">
        <f ca="1">IF(TodaysDate&gt;=$B127,Data!H127,NA())</f>
        <v>#N/A</v>
      </c>
      <c r="K127" s="10" t="e">
        <f ca="1">IF(TodaysDate&gt;=$B127,Data!I127,NA())</f>
        <v>#N/A</v>
      </c>
      <c r="L127" s="10" t="e">
        <f ca="1">IF(CFDTable[[#This Row],[Done]]&gt;0,(CFDTable[[#This Row],[Done]])-(K126),0)</f>
        <v>#N/A</v>
      </c>
      <c r="M127" s="10">
        <f ca="1">IF(ISNUMBER($L127),SUM(CFDTable[[#This Row],[Done]]),IF(CFDTable[[#This Row],[lookupLow]]&gt;=CFDTable[[#This Row],[Target]]+CFDTable[[#This Row],[lowDaily]],NA(),CFDTable[[#This Row],[lookupLow]]))</f>
        <v>108.04761904761908</v>
      </c>
      <c r="N127" s="10">
        <f ca="1">IF(ISNUMBER($L127),SUM(CFDTable[[#This Row],[Done]]),IF(CFDTable[[#This Row],[lookupMedian]]&gt;=$X127+Q127,NA(),CFDTable[[#This Row],[lookupMedian]]))</f>
        <v>114.7619047619046</v>
      </c>
      <c r="O127" s="10">
        <f ca="1">IF(ISNUMBER(CFDTable[[#This Row],[Done Today]]),SUM(CFDTable[[#This Row],[Done]]),IF(CFDTable[[#This Row],[lookupHigh]]&gt;=CFDTable[[#This Row],[Target]]+CFDTable[[#This Row],[highDaily]],NA(),CFDTable[[#This Row],[lookupHigh]]))</f>
        <v>121.47619047619079</v>
      </c>
      <c r="P127" s="10">
        <f ca="1">CFDTable[[#This Row],[AvgDaily]]-CFDTable[[#This Row],[Deviation]]</f>
        <v>0.80952380952380931</v>
      </c>
      <c r="Q127" s="10">
        <f ca="1">AVERAGE(IF(ISNUMBER(L127),IF(ISNUMBER(OFFSET(L127,-Historic,0)),OFFSET(L127,-Historic,0),L$2):L127,Q126))</f>
        <v>0.95238095238095233</v>
      </c>
      <c r="R127" s="10">
        <f ca="1">AVERAGE(IF(ISNUMBER(L127),IF(ISNUMBER(OFFSET(L127,-Historic,0)),OFFSET(L127,-Historic,0),L$2):L127,R126))</f>
        <v>0.95238095238095233</v>
      </c>
      <c r="S127" s="10">
        <f ca="1">AVERAGE(IF(ISNUMBER(L127),OFFSET(L$2,DaysToIgnoreOnAvg,0):L127,S126))</f>
        <v>0.88311688311688308</v>
      </c>
      <c r="T127" s="10">
        <f ca="1">CFDTable[[#This Row],[AvgDaily]]+CFDTable[[#This Row],[Deviation]]</f>
        <v>1.0952380952380953</v>
      </c>
      <c r="U127" s="10">
        <f ca="1">IF(ISNUMBER(L127),((_xlfn.PERCENTILE.INC(IF(ISNUMBER(OFFSET(Q127,-Historic,0)),OFFSET(Q127,-Historic,0),Q$2):Q127,PercentileHigh/100))-(MEDIAN(IF(ISNUMBER(OFFSET(Q127,-Historic,0)),OFFSET(Q127,-Historic,0),Q$2):Q127))),U126)</f>
        <v>0.14285714285714302</v>
      </c>
      <c r="V127" s="10">
        <f ca="1">IF(ISNUMBER(L127),((_xlfn.PERCENTILE.INC(Q$2:Q127,PercentileHigh/100))-(MEDIAN(Q$2:Q127))),U126)</f>
        <v>0.14285714285714302</v>
      </c>
      <c r="W127" s="10">
        <f ca="1">IF(ISNUMBER(CFDTable[[#This Row],[Done Today]]),SUM($F127:$K127),$W126)</f>
        <v>124</v>
      </c>
      <c r="X127" s="10">
        <f ca="1">IF(ISNUMBER(CFDTable[[#This Row],[Done Today]]),SUM($F127:$K127),$X126)</f>
        <v>124</v>
      </c>
      <c r="Y127" s="10">
        <f ca="1">SUM(LOOKUP(2,1/(M$1:M126&lt;&gt;""),M$1:M126)+CFDTable[[#This Row],[lowDaily]])</f>
        <v>108.04761904761908</v>
      </c>
      <c r="Z127" s="10">
        <f ca="1">SUM(LOOKUP(2,1/(N$1:N126&lt;&gt;""),N$1:N126)+Q127)</f>
        <v>114.7619047619046</v>
      </c>
      <c r="AA127" s="10">
        <f ca="1">SUM(LOOKUP(2,1/(O$1:O126&lt;&gt;""),O$1:O126)+CFDTable[[#This Row],[highDaily]])</f>
        <v>121.47619047619079</v>
      </c>
      <c r="AB127" s="12">
        <f>IF(CFDTable[[#This Row],[Date]]=DeadlineDate,CFDTable[Future Work],0)</f>
        <v>0</v>
      </c>
    </row>
    <row r="128" spans="1:28">
      <c r="A128" s="8">
        <f>CFDTable[[#This Row],[Date]]</f>
        <v>42590</v>
      </c>
      <c r="B128" s="38">
        <f>Data!B128</f>
        <v>42590</v>
      </c>
      <c r="C128" s="10">
        <f ca="1">IF(ISNUMBER(CFDTable[[#This Row],[Ready]]),NA(),CFDTable[[#This Row],[Target]]-CFDTable[[#This Row],[To Do]])</f>
        <v>77</v>
      </c>
      <c r="D128" s="10">
        <f ca="1">IF(CFDTable[[#This Row],[Emergence]]&gt;0,CFDTable[[#This Row],[Future Work]]-CFDTable[[#This Row],[Emergence]],NA())</f>
        <v>81</v>
      </c>
      <c r="E128" s="10">
        <f>Data!C128</f>
        <v>43</v>
      </c>
      <c r="F128" s="10">
        <f ca="1">Data!D128</f>
        <v>47</v>
      </c>
      <c r="G128" s="10" t="e">
        <f ca="1">IF(TodaysDate&gt;=$B128,Data!E128,NA())</f>
        <v>#N/A</v>
      </c>
      <c r="H128" s="10" t="e">
        <f ca="1">IF(TodaysDate&gt;=$B128,Data!F128,NA())</f>
        <v>#N/A</v>
      </c>
      <c r="I128" s="10" t="e">
        <f ca="1">IF(TodaysDate&gt;=$B128,Data!G128,NA())</f>
        <v>#N/A</v>
      </c>
      <c r="J128" s="10" t="e">
        <f ca="1">IF(TodaysDate&gt;=$B128,Data!H128,NA())</f>
        <v>#N/A</v>
      </c>
      <c r="K128" s="10" t="e">
        <f ca="1">IF(TodaysDate&gt;=$B128,Data!I128,NA())</f>
        <v>#N/A</v>
      </c>
      <c r="L128" s="10" t="e">
        <f ca="1">IF(CFDTable[[#This Row],[Done]]&gt;0,(CFDTable[[#This Row],[Done]])-(K127),0)</f>
        <v>#N/A</v>
      </c>
      <c r="M128" s="10">
        <f ca="1">IF(ISNUMBER($L128),SUM(CFDTable[[#This Row],[Done]]),IF(CFDTable[[#This Row],[lookupLow]]&gt;=CFDTable[[#This Row],[Target]]+CFDTable[[#This Row],[lowDaily]],NA(),CFDTable[[#This Row],[lookupLow]]))</f>
        <v>108.85714285714289</v>
      </c>
      <c r="N128" s="10">
        <f ca="1">IF(ISNUMBER($L128),SUM(CFDTable[[#This Row],[Done]]),IF(CFDTable[[#This Row],[lookupMedian]]&gt;=$X128+Q128,NA(),CFDTable[[#This Row],[lookupMedian]]))</f>
        <v>115.71428571428555</v>
      </c>
      <c r="O128" s="10">
        <f ca="1">IF(ISNUMBER(CFDTable[[#This Row],[Done Today]]),SUM(CFDTable[[#This Row],[Done]]),IF(CFDTable[[#This Row],[lookupHigh]]&gt;=CFDTable[[#This Row],[Target]]+CFDTable[[#This Row],[highDaily]],NA(),CFDTable[[#This Row],[lookupHigh]]))</f>
        <v>122.5714285714289</v>
      </c>
      <c r="P128" s="10">
        <f ca="1">CFDTable[[#This Row],[AvgDaily]]-CFDTable[[#This Row],[Deviation]]</f>
        <v>0.80952380952380931</v>
      </c>
      <c r="Q128" s="10">
        <f ca="1">AVERAGE(IF(ISNUMBER(L128),IF(ISNUMBER(OFFSET(L128,-Historic,0)),OFFSET(L128,-Historic,0),L$2):L128,Q127))</f>
        <v>0.95238095238095233</v>
      </c>
      <c r="R128" s="10">
        <f ca="1">AVERAGE(IF(ISNUMBER(L128),IF(ISNUMBER(OFFSET(L128,-Historic,0)),OFFSET(L128,-Historic,0),L$2):L128,R127))</f>
        <v>0.95238095238095233</v>
      </c>
      <c r="S128" s="10">
        <f ca="1">AVERAGE(IF(ISNUMBER(L128),OFFSET(L$2,DaysToIgnoreOnAvg,0):L128,S127))</f>
        <v>0.88311688311688308</v>
      </c>
      <c r="T128" s="10">
        <f ca="1">CFDTable[[#This Row],[AvgDaily]]+CFDTable[[#This Row],[Deviation]]</f>
        <v>1.0952380952380953</v>
      </c>
      <c r="U128" s="10">
        <f ca="1">IF(ISNUMBER(L128),((_xlfn.PERCENTILE.INC(IF(ISNUMBER(OFFSET(Q128,-Historic,0)),OFFSET(Q128,-Historic,0),Q$2):Q128,PercentileHigh/100))-(MEDIAN(IF(ISNUMBER(OFFSET(Q128,-Historic,0)),OFFSET(Q128,-Historic,0),Q$2):Q128))),U127)</f>
        <v>0.14285714285714302</v>
      </c>
      <c r="V128" s="10">
        <f ca="1">IF(ISNUMBER(L128),((_xlfn.PERCENTILE.INC(Q$2:Q128,PercentileHigh/100))-(MEDIAN(Q$2:Q128))),U127)</f>
        <v>0.14285714285714302</v>
      </c>
      <c r="W128" s="10">
        <f ca="1">IF(ISNUMBER(CFDTable[[#This Row],[Done Today]]),SUM($F128:$K128),$W127)</f>
        <v>124</v>
      </c>
      <c r="X128" s="10">
        <f ca="1">IF(ISNUMBER(CFDTable[[#This Row],[Done Today]]),SUM($F128:$K128),$X127)</f>
        <v>124</v>
      </c>
      <c r="Y128" s="10">
        <f ca="1">SUM(LOOKUP(2,1/(M$1:M127&lt;&gt;""),M$1:M127)+CFDTable[[#This Row],[lowDaily]])</f>
        <v>108.85714285714289</v>
      </c>
      <c r="Z128" s="10">
        <f ca="1">SUM(LOOKUP(2,1/(N$1:N127&lt;&gt;""),N$1:N127)+Q128)</f>
        <v>115.71428571428555</v>
      </c>
      <c r="AA128" s="10">
        <f ca="1">SUM(LOOKUP(2,1/(O$1:O127&lt;&gt;""),O$1:O127)+CFDTable[[#This Row],[highDaily]])</f>
        <v>122.5714285714289</v>
      </c>
      <c r="AB128" s="12">
        <f>IF(CFDTable[[#This Row],[Date]]=DeadlineDate,CFDTable[Future Work],0)</f>
        <v>0</v>
      </c>
    </row>
    <row r="129" spans="1:28">
      <c r="A129" s="8">
        <f>CFDTable[[#This Row],[Date]]</f>
        <v>42591</v>
      </c>
      <c r="B129" s="38">
        <f>Data!B129</f>
        <v>42591</v>
      </c>
      <c r="C129" s="10">
        <f ca="1">IF(ISNUMBER(CFDTable[[#This Row],[Ready]]),NA(),CFDTable[[#This Row],[Target]]-CFDTable[[#This Row],[To Do]])</f>
        <v>77</v>
      </c>
      <c r="D129" s="10">
        <f ca="1">IF(CFDTable[[#This Row],[Emergence]]&gt;0,CFDTable[[#This Row],[Future Work]]-CFDTable[[#This Row],[Emergence]],NA())</f>
        <v>81</v>
      </c>
      <c r="E129" s="10">
        <f>Data!C129</f>
        <v>43</v>
      </c>
      <c r="F129" s="10">
        <f ca="1">Data!D129</f>
        <v>47</v>
      </c>
      <c r="G129" s="10" t="e">
        <f ca="1">IF(TodaysDate&gt;=$B129,Data!E129,NA())</f>
        <v>#N/A</v>
      </c>
      <c r="H129" s="10" t="e">
        <f ca="1">IF(TodaysDate&gt;=$B129,Data!F129,NA())</f>
        <v>#N/A</v>
      </c>
      <c r="I129" s="10" t="e">
        <f ca="1">IF(TodaysDate&gt;=$B129,Data!G129,NA())</f>
        <v>#N/A</v>
      </c>
      <c r="J129" s="10" t="e">
        <f ca="1">IF(TodaysDate&gt;=$B129,Data!H129,NA())</f>
        <v>#N/A</v>
      </c>
      <c r="K129" s="10" t="e">
        <f ca="1">IF(TodaysDate&gt;=$B129,Data!I129,NA())</f>
        <v>#N/A</v>
      </c>
      <c r="L129" s="10" t="e">
        <f ca="1">IF(CFDTable[[#This Row],[Done]]&gt;0,(CFDTable[[#This Row],[Done]])-(K128),0)</f>
        <v>#N/A</v>
      </c>
      <c r="M129" s="10">
        <f ca="1">IF(ISNUMBER($L129),SUM(CFDTable[[#This Row],[Done]]),IF(CFDTable[[#This Row],[lookupLow]]&gt;=CFDTable[[#This Row],[Target]]+CFDTable[[#This Row],[lowDaily]],NA(),CFDTable[[#This Row],[lookupLow]]))</f>
        <v>109.6666666666667</v>
      </c>
      <c r="N129" s="10">
        <f ca="1">IF(ISNUMBER($L129),SUM(CFDTable[[#This Row],[Done]]),IF(CFDTable[[#This Row],[lookupMedian]]&gt;=$X129+Q129,NA(),CFDTable[[#This Row],[lookupMedian]]))</f>
        <v>116.6666666666665</v>
      </c>
      <c r="O129" s="10">
        <f ca="1">IF(ISNUMBER(CFDTable[[#This Row],[Done Today]]),SUM(CFDTable[[#This Row],[Done]]),IF(CFDTable[[#This Row],[lookupHigh]]&gt;=CFDTable[[#This Row],[Target]]+CFDTable[[#This Row],[highDaily]],NA(),CFDTable[[#This Row],[lookupHigh]]))</f>
        <v>123.666666666667</v>
      </c>
      <c r="P129" s="10">
        <f ca="1">CFDTable[[#This Row],[AvgDaily]]-CFDTable[[#This Row],[Deviation]]</f>
        <v>0.80952380952380931</v>
      </c>
      <c r="Q129" s="10">
        <f ca="1">AVERAGE(IF(ISNUMBER(L129),IF(ISNUMBER(OFFSET(L129,-Historic,0)),OFFSET(L129,-Historic,0),L$2):L129,Q128))</f>
        <v>0.95238095238095233</v>
      </c>
      <c r="R129" s="10">
        <f ca="1">AVERAGE(IF(ISNUMBER(L129),IF(ISNUMBER(OFFSET(L129,-Historic,0)),OFFSET(L129,-Historic,0),L$2):L129,R128))</f>
        <v>0.95238095238095233</v>
      </c>
      <c r="S129" s="10">
        <f ca="1">AVERAGE(IF(ISNUMBER(L129),OFFSET(L$2,DaysToIgnoreOnAvg,0):L129,S128))</f>
        <v>0.88311688311688308</v>
      </c>
      <c r="T129" s="10">
        <f ca="1">CFDTable[[#This Row],[AvgDaily]]+CFDTable[[#This Row],[Deviation]]</f>
        <v>1.0952380952380953</v>
      </c>
      <c r="U129" s="10">
        <f ca="1">IF(ISNUMBER(L129),((_xlfn.PERCENTILE.INC(IF(ISNUMBER(OFFSET(Q129,-Historic,0)),OFFSET(Q129,-Historic,0),Q$2):Q129,PercentileHigh/100))-(MEDIAN(IF(ISNUMBER(OFFSET(Q129,-Historic,0)),OFFSET(Q129,-Historic,0),Q$2):Q129))),U128)</f>
        <v>0.14285714285714302</v>
      </c>
      <c r="V129" s="10">
        <f ca="1">IF(ISNUMBER(L129),((_xlfn.PERCENTILE.INC(Q$2:Q129,PercentileHigh/100))-(MEDIAN(Q$2:Q129))),U128)</f>
        <v>0.14285714285714302</v>
      </c>
      <c r="W129" s="10">
        <f ca="1">IF(ISNUMBER(CFDTable[[#This Row],[Done Today]]),SUM($F129:$K129),$W128)</f>
        <v>124</v>
      </c>
      <c r="X129" s="10">
        <f ca="1">IF(ISNUMBER(CFDTable[[#This Row],[Done Today]]),SUM($F129:$K129),$X128)</f>
        <v>124</v>
      </c>
      <c r="Y129" s="10">
        <f ca="1">SUM(LOOKUP(2,1/(M$1:M128&lt;&gt;""),M$1:M128)+CFDTable[[#This Row],[lowDaily]])</f>
        <v>109.6666666666667</v>
      </c>
      <c r="Z129" s="10">
        <f ca="1">SUM(LOOKUP(2,1/(N$1:N128&lt;&gt;""),N$1:N128)+Q129)</f>
        <v>116.6666666666665</v>
      </c>
      <c r="AA129" s="10">
        <f ca="1">SUM(LOOKUP(2,1/(O$1:O128&lt;&gt;""),O$1:O128)+CFDTable[[#This Row],[highDaily]])</f>
        <v>123.666666666667</v>
      </c>
      <c r="AB129" s="12">
        <f>IF(CFDTable[[#This Row],[Date]]=DeadlineDate,CFDTable[Future Work],0)</f>
        <v>0</v>
      </c>
    </row>
    <row r="130" spans="1:28">
      <c r="A130" s="8">
        <f>CFDTable[[#This Row],[Date]]</f>
        <v>42592</v>
      </c>
      <c r="B130" s="38">
        <f>Data!B130</f>
        <v>42592</v>
      </c>
      <c r="C130" s="10">
        <f ca="1">IF(ISNUMBER(CFDTable[[#This Row],[Ready]]),NA(),CFDTable[[#This Row],[Target]]-CFDTable[[#This Row],[To Do]])</f>
        <v>77</v>
      </c>
      <c r="D130" s="10">
        <f ca="1">IF(CFDTable[[#This Row],[Emergence]]&gt;0,CFDTable[[#This Row],[Future Work]]-CFDTable[[#This Row],[Emergence]],NA())</f>
        <v>81</v>
      </c>
      <c r="E130" s="10">
        <f>Data!C130</f>
        <v>43</v>
      </c>
      <c r="F130" s="10">
        <f ca="1">Data!D130</f>
        <v>47</v>
      </c>
      <c r="G130" s="10" t="e">
        <f ca="1">IF(TodaysDate&gt;=$B130,Data!E130,NA())</f>
        <v>#N/A</v>
      </c>
      <c r="H130" s="10" t="e">
        <f ca="1">IF(TodaysDate&gt;=$B130,Data!F130,NA())</f>
        <v>#N/A</v>
      </c>
      <c r="I130" s="10" t="e">
        <f ca="1">IF(TodaysDate&gt;=$B130,Data!G130,NA())</f>
        <v>#N/A</v>
      </c>
      <c r="J130" s="10" t="e">
        <f ca="1">IF(TodaysDate&gt;=$B130,Data!H130,NA())</f>
        <v>#N/A</v>
      </c>
      <c r="K130" s="10" t="e">
        <f ca="1">IF(TodaysDate&gt;=$B130,Data!I130,NA())</f>
        <v>#N/A</v>
      </c>
      <c r="L130" s="10" t="e">
        <f ca="1">IF(CFDTable[[#This Row],[Done]]&gt;0,(CFDTable[[#This Row],[Done]])-(K129),0)</f>
        <v>#N/A</v>
      </c>
      <c r="M130" s="10">
        <f ca="1">IF(ISNUMBER($L130),SUM(CFDTable[[#This Row],[Done]]),IF(CFDTable[[#This Row],[lookupLow]]&gt;=CFDTable[[#This Row],[Target]]+CFDTable[[#This Row],[lowDaily]],NA(),CFDTable[[#This Row],[lookupLow]]))</f>
        <v>110.47619047619051</v>
      </c>
      <c r="N130" s="10">
        <f ca="1">IF(ISNUMBER($L130),SUM(CFDTable[[#This Row],[Done]]),IF(CFDTable[[#This Row],[lookupMedian]]&gt;=$X130+Q130,NA(),CFDTable[[#This Row],[lookupMedian]]))</f>
        <v>117.61904761904745</v>
      </c>
      <c r="O130" s="10">
        <f ca="1">IF(ISNUMBER(CFDTable[[#This Row],[Done Today]]),SUM(CFDTable[[#This Row],[Done]]),IF(CFDTable[[#This Row],[lookupHigh]]&gt;=CFDTable[[#This Row],[Target]]+CFDTable[[#This Row],[highDaily]],NA(),CFDTable[[#This Row],[lookupHigh]]))</f>
        <v>124.7619047619051</v>
      </c>
      <c r="P130" s="10">
        <f ca="1">CFDTable[[#This Row],[AvgDaily]]-CFDTable[[#This Row],[Deviation]]</f>
        <v>0.80952380952380931</v>
      </c>
      <c r="Q130" s="10">
        <f ca="1">AVERAGE(IF(ISNUMBER(L130),IF(ISNUMBER(OFFSET(L130,-Historic,0)),OFFSET(L130,-Historic,0),L$2):L130,Q129))</f>
        <v>0.95238095238095233</v>
      </c>
      <c r="R130" s="10">
        <f ca="1">AVERAGE(IF(ISNUMBER(L130),IF(ISNUMBER(OFFSET(L130,-Historic,0)),OFFSET(L130,-Historic,0),L$2):L130,R129))</f>
        <v>0.95238095238095233</v>
      </c>
      <c r="S130" s="10">
        <f ca="1">AVERAGE(IF(ISNUMBER(L130),OFFSET(L$2,DaysToIgnoreOnAvg,0):L130,S129))</f>
        <v>0.88311688311688308</v>
      </c>
      <c r="T130" s="10">
        <f ca="1">CFDTable[[#This Row],[AvgDaily]]+CFDTable[[#This Row],[Deviation]]</f>
        <v>1.0952380952380953</v>
      </c>
      <c r="U130" s="10">
        <f ca="1">IF(ISNUMBER(L130),((_xlfn.PERCENTILE.INC(IF(ISNUMBER(OFFSET(Q130,-Historic,0)),OFFSET(Q130,-Historic,0),Q$2):Q130,PercentileHigh/100))-(MEDIAN(IF(ISNUMBER(OFFSET(Q130,-Historic,0)),OFFSET(Q130,-Historic,0),Q$2):Q130))),U129)</f>
        <v>0.14285714285714302</v>
      </c>
      <c r="V130" s="10">
        <f ca="1">IF(ISNUMBER(L130),((_xlfn.PERCENTILE.INC(Q$2:Q130,PercentileHigh/100))-(MEDIAN(Q$2:Q130))),U129)</f>
        <v>0.14285714285714302</v>
      </c>
      <c r="W130" s="10">
        <f ca="1">IF(ISNUMBER(CFDTable[[#This Row],[Done Today]]),SUM($F130:$K130),$W129)</f>
        <v>124</v>
      </c>
      <c r="X130" s="10">
        <f ca="1">IF(ISNUMBER(CFDTable[[#This Row],[Done Today]]),SUM($F130:$K130),$X129)</f>
        <v>124</v>
      </c>
      <c r="Y130" s="10">
        <f ca="1">SUM(LOOKUP(2,1/(M$1:M129&lt;&gt;""),M$1:M129)+CFDTable[[#This Row],[lowDaily]])</f>
        <v>110.47619047619051</v>
      </c>
      <c r="Z130" s="10">
        <f ca="1">SUM(LOOKUP(2,1/(N$1:N129&lt;&gt;""),N$1:N129)+Q130)</f>
        <v>117.61904761904745</v>
      </c>
      <c r="AA130" s="10">
        <f ca="1">SUM(LOOKUP(2,1/(O$1:O129&lt;&gt;""),O$1:O129)+CFDTable[[#This Row],[highDaily]])</f>
        <v>124.7619047619051</v>
      </c>
      <c r="AB130" s="12">
        <f>IF(CFDTable[[#This Row],[Date]]=DeadlineDate,CFDTable[Future Work],0)</f>
        <v>0</v>
      </c>
    </row>
    <row r="131" spans="1:28">
      <c r="A131" s="8">
        <f>CFDTable[[#This Row],[Date]]</f>
        <v>42593</v>
      </c>
      <c r="B131" s="38">
        <f>Data!B131</f>
        <v>42593</v>
      </c>
      <c r="C131" s="10">
        <f ca="1">IF(ISNUMBER(CFDTable[[#This Row],[Ready]]),NA(),CFDTable[[#This Row],[Target]]-CFDTable[[#This Row],[To Do]])</f>
        <v>77</v>
      </c>
      <c r="D131" s="10">
        <f ca="1">IF(CFDTable[[#This Row],[Emergence]]&gt;0,CFDTable[[#This Row],[Future Work]]-CFDTable[[#This Row],[Emergence]],NA())</f>
        <v>81</v>
      </c>
      <c r="E131" s="10">
        <f>Data!C131</f>
        <v>43</v>
      </c>
      <c r="F131" s="10">
        <f ca="1">Data!D131</f>
        <v>47</v>
      </c>
      <c r="G131" s="10" t="e">
        <f ca="1">IF(TodaysDate&gt;=$B131,Data!E131,NA())</f>
        <v>#N/A</v>
      </c>
      <c r="H131" s="10" t="e">
        <f ca="1">IF(TodaysDate&gt;=$B131,Data!F131,NA())</f>
        <v>#N/A</v>
      </c>
      <c r="I131" s="10" t="e">
        <f ca="1">IF(TodaysDate&gt;=$B131,Data!G131,NA())</f>
        <v>#N/A</v>
      </c>
      <c r="J131" s="10" t="e">
        <f ca="1">IF(TodaysDate&gt;=$B131,Data!H131,NA())</f>
        <v>#N/A</v>
      </c>
      <c r="K131" s="10" t="e">
        <f ca="1">IF(TodaysDate&gt;=$B131,Data!I131,NA())</f>
        <v>#N/A</v>
      </c>
      <c r="L131" s="10" t="e">
        <f ca="1">IF(CFDTable[[#This Row],[Done]]&gt;0,(CFDTable[[#This Row],[Done]])-(K130),0)</f>
        <v>#N/A</v>
      </c>
      <c r="M131" s="10">
        <f ca="1">IF(ISNUMBER($L131),SUM(CFDTable[[#This Row],[Done]]),IF(CFDTable[[#This Row],[lookupLow]]&gt;=CFDTable[[#This Row],[Target]]+CFDTable[[#This Row],[lowDaily]],NA(),CFDTable[[#This Row],[lookupLow]]))</f>
        <v>111.28571428571432</v>
      </c>
      <c r="N131" s="10">
        <f ca="1">IF(ISNUMBER($L131),SUM(CFDTable[[#This Row],[Done]]),IF(CFDTable[[#This Row],[lookupMedian]]&gt;=$X131+Q131,NA(),CFDTable[[#This Row],[lookupMedian]]))</f>
        <v>118.5714285714284</v>
      </c>
      <c r="O131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31" s="10">
        <f ca="1">CFDTable[[#This Row],[AvgDaily]]-CFDTable[[#This Row],[Deviation]]</f>
        <v>0.80952380952380931</v>
      </c>
      <c r="Q131" s="10">
        <f ca="1">AVERAGE(IF(ISNUMBER(L131),IF(ISNUMBER(OFFSET(L131,-Historic,0)),OFFSET(L131,-Historic,0),L$2):L131,Q130))</f>
        <v>0.95238095238095233</v>
      </c>
      <c r="R131" s="10">
        <f ca="1">AVERAGE(IF(ISNUMBER(L131),IF(ISNUMBER(OFFSET(L131,-Historic,0)),OFFSET(L131,-Historic,0),L$2):L131,R130))</f>
        <v>0.95238095238095233</v>
      </c>
      <c r="S131" s="10">
        <f ca="1">AVERAGE(IF(ISNUMBER(L131),OFFSET(L$2,DaysToIgnoreOnAvg,0):L131,S130))</f>
        <v>0.88311688311688308</v>
      </c>
      <c r="T131" s="10">
        <f ca="1">CFDTable[[#This Row],[AvgDaily]]+CFDTable[[#This Row],[Deviation]]</f>
        <v>1.0952380952380953</v>
      </c>
      <c r="U131" s="10">
        <f ca="1">IF(ISNUMBER(L131),((_xlfn.PERCENTILE.INC(IF(ISNUMBER(OFFSET(Q131,-Historic,0)),OFFSET(Q131,-Historic,0),Q$2):Q131,PercentileHigh/100))-(MEDIAN(IF(ISNUMBER(OFFSET(Q131,-Historic,0)),OFFSET(Q131,-Historic,0),Q$2):Q131))),U130)</f>
        <v>0.14285714285714302</v>
      </c>
      <c r="V131" s="10">
        <f ca="1">IF(ISNUMBER(L131),((_xlfn.PERCENTILE.INC(Q$2:Q131,PercentileHigh/100))-(MEDIAN(Q$2:Q131))),U130)</f>
        <v>0.14285714285714302</v>
      </c>
      <c r="W131" s="10">
        <f ca="1">IF(ISNUMBER(CFDTable[[#This Row],[Done Today]]),SUM($F131:$K131),$W130)</f>
        <v>124</v>
      </c>
      <c r="X131" s="10">
        <f ca="1">IF(ISNUMBER(CFDTable[[#This Row],[Done Today]]),SUM($F131:$K131),$X130)</f>
        <v>124</v>
      </c>
      <c r="Y131" s="10">
        <f ca="1">SUM(LOOKUP(2,1/(M$1:M130&lt;&gt;""),M$1:M130)+CFDTable[[#This Row],[lowDaily]])</f>
        <v>111.28571428571432</v>
      </c>
      <c r="Z131" s="10">
        <f ca="1">SUM(LOOKUP(2,1/(N$1:N130&lt;&gt;""),N$1:N130)+Q131)</f>
        <v>118.5714285714284</v>
      </c>
      <c r="AA131" s="10">
        <f ca="1">SUM(LOOKUP(2,1/(O$1:O130&lt;&gt;""),O$1:O130)+CFDTable[[#This Row],[highDaily]])</f>
        <v>125.8571428571432</v>
      </c>
      <c r="AB131" s="12">
        <f>IF(CFDTable[[#This Row],[Date]]=DeadlineDate,CFDTable[Future Work],0)</f>
        <v>0</v>
      </c>
    </row>
    <row r="132" spans="1:28">
      <c r="A132" s="8">
        <f>CFDTable[[#This Row],[Date]]</f>
        <v>42594</v>
      </c>
      <c r="B132" s="38">
        <f>Data!B132</f>
        <v>42594</v>
      </c>
      <c r="C132" s="10">
        <f ca="1">IF(ISNUMBER(CFDTable[[#This Row],[Ready]]),NA(),CFDTable[[#This Row],[Target]]-CFDTable[[#This Row],[To Do]])</f>
        <v>77</v>
      </c>
      <c r="D132" s="10">
        <f ca="1">IF(CFDTable[[#This Row],[Emergence]]&gt;0,CFDTable[[#This Row],[Future Work]]-CFDTable[[#This Row],[Emergence]],NA())</f>
        <v>81</v>
      </c>
      <c r="E132" s="10">
        <f>Data!C132</f>
        <v>43</v>
      </c>
      <c r="F132" s="10">
        <f ca="1">Data!D132</f>
        <v>47</v>
      </c>
      <c r="G132" s="10" t="e">
        <f ca="1">IF(TodaysDate&gt;=$B132,Data!E132,NA())</f>
        <v>#N/A</v>
      </c>
      <c r="H132" s="10" t="e">
        <f ca="1">IF(TodaysDate&gt;=$B132,Data!F132,NA())</f>
        <v>#N/A</v>
      </c>
      <c r="I132" s="10" t="e">
        <f ca="1">IF(TodaysDate&gt;=$B132,Data!G132,NA())</f>
        <v>#N/A</v>
      </c>
      <c r="J132" s="10" t="e">
        <f ca="1">IF(TodaysDate&gt;=$B132,Data!H132,NA())</f>
        <v>#N/A</v>
      </c>
      <c r="K132" s="10" t="e">
        <f ca="1">IF(TodaysDate&gt;=$B132,Data!I132,NA())</f>
        <v>#N/A</v>
      </c>
      <c r="L132" s="10" t="e">
        <f ca="1">IF(CFDTable[[#This Row],[Done]]&gt;0,(CFDTable[[#This Row],[Done]])-(K131),0)</f>
        <v>#N/A</v>
      </c>
      <c r="M132" s="10">
        <f ca="1">IF(ISNUMBER($L132),SUM(CFDTable[[#This Row],[Done]]),IF(CFDTable[[#This Row],[lookupLow]]&gt;=CFDTable[[#This Row],[Target]]+CFDTable[[#This Row],[lowDaily]],NA(),CFDTable[[#This Row],[lookupLow]]))</f>
        <v>112.09523809523813</v>
      </c>
      <c r="N132" s="10">
        <f ca="1">IF(ISNUMBER($L132),SUM(CFDTable[[#This Row],[Done]]),IF(CFDTable[[#This Row],[lookupMedian]]&gt;=$X132+Q132,NA(),CFDTable[[#This Row],[lookupMedian]]))</f>
        <v>119.52380952380935</v>
      </c>
      <c r="O132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32" s="10">
        <f ca="1">CFDTable[[#This Row],[AvgDaily]]-CFDTable[[#This Row],[Deviation]]</f>
        <v>0.80952380952380931</v>
      </c>
      <c r="Q132" s="10">
        <f ca="1">AVERAGE(IF(ISNUMBER(L132),IF(ISNUMBER(OFFSET(L132,-Historic,0)),OFFSET(L132,-Historic,0),L$2):L132,Q131))</f>
        <v>0.95238095238095233</v>
      </c>
      <c r="R132" s="10">
        <f ca="1">AVERAGE(IF(ISNUMBER(L132),IF(ISNUMBER(OFFSET(L132,-Historic,0)),OFFSET(L132,-Historic,0),L$2):L132,R131))</f>
        <v>0.95238095238095233</v>
      </c>
      <c r="S132" s="10">
        <f ca="1">AVERAGE(IF(ISNUMBER(L132),OFFSET(L$2,DaysToIgnoreOnAvg,0):L132,S131))</f>
        <v>0.88311688311688308</v>
      </c>
      <c r="T132" s="10">
        <f ca="1">CFDTable[[#This Row],[AvgDaily]]+CFDTable[[#This Row],[Deviation]]</f>
        <v>1.0952380952380953</v>
      </c>
      <c r="U132" s="10">
        <f ca="1">IF(ISNUMBER(L132),((_xlfn.PERCENTILE.INC(IF(ISNUMBER(OFFSET(Q132,-Historic,0)),OFFSET(Q132,-Historic,0),Q$2):Q132,PercentileHigh/100))-(MEDIAN(IF(ISNUMBER(OFFSET(Q132,-Historic,0)),OFFSET(Q132,-Historic,0),Q$2):Q132))),U131)</f>
        <v>0.14285714285714302</v>
      </c>
      <c r="V132" s="10">
        <f ca="1">IF(ISNUMBER(L132),((_xlfn.PERCENTILE.INC(Q$2:Q132,PercentileHigh/100))-(MEDIAN(Q$2:Q132))),U131)</f>
        <v>0.14285714285714302</v>
      </c>
      <c r="W132" s="10">
        <f ca="1">IF(ISNUMBER(CFDTable[[#This Row],[Done Today]]),SUM($F132:$K132),$W131)</f>
        <v>124</v>
      </c>
      <c r="X132" s="10">
        <f ca="1">IF(ISNUMBER(CFDTable[[#This Row],[Done Today]]),SUM($F132:$K132),$X131)</f>
        <v>124</v>
      </c>
      <c r="Y132" s="10">
        <f ca="1">SUM(LOOKUP(2,1/(M$1:M131&lt;&gt;""),M$1:M131)+CFDTable[[#This Row],[lowDaily]])</f>
        <v>112.09523809523813</v>
      </c>
      <c r="Z132" s="10">
        <f ca="1">SUM(LOOKUP(2,1/(N$1:N131&lt;&gt;""),N$1:N131)+Q132)</f>
        <v>119.52380952380935</v>
      </c>
      <c r="AA132" s="10">
        <f ca="1">SUM(LOOKUP(2,1/(O$1:O131&lt;&gt;""),O$1:O131)+CFDTable[[#This Row],[highDaily]])</f>
        <v>125.8571428571432</v>
      </c>
      <c r="AB132" s="12">
        <f>IF(CFDTable[[#This Row],[Date]]=DeadlineDate,CFDTable[Future Work],0)</f>
        <v>0</v>
      </c>
    </row>
    <row r="133" spans="1:28">
      <c r="A133" s="8">
        <f>CFDTable[[#This Row],[Date]]</f>
        <v>42597</v>
      </c>
      <c r="B133" s="38">
        <f>Data!B133</f>
        <v>42597</v>
      </c>
      <c r="C133" s="10">
        <f ca="1">IF(ISNUMBER(CFDTable[[#This Row],[Ready]]),NA(),CFDTable[[#This Row],[Target]]-CFDTable[[#This Row],[To Do]])</f>
        <v>77</v>
      </c>
      <c r="D133" s="10">
        <f ca="1">IF(CFDTable[[#This Row],[Emergence]]&gt;0,CFDTable[[#This Row],[Future Work]]-CFDTable[[#This Row],[Emergence]],NA())</f>
        <v>81</v>
      </c>
      <c r="E133" s="10">
        <f>Data!C133</f>
        <v>43</v>
      </c>
      <c r="F133" s="10">
        <f ca="1">Data!D133</f>
        <v>47</v>
      </c>
      <c r="G133" s="10" t="e">
        <f ca="1">IF(TodaysDate&gt;=$B133,Data!E133,NA())</f>
        <v>#N/A</v>
      </c>
      <c r="H133" s="10" t="e">
        <f ca="1">IF(TodaysDate&gt;=$B133,Data!F133,NA())</f>
        <v>#N/A</v>
      </c>
      <c r="I133" s="10" t="e">
        <f ca="1">IF(TodaysDate&gt;=$B133,Data!G133,NA())</f>
        <v>#N/A</v>
      </c>
      <c r="J133" s="10" t="e">
        <f ca="1">IF(TodaysDate&gt;=$B133,Data!H133,NA())</f>
        <v>#N/A</v>
      </c>
      <c r="K133" s="10" t="e">
        <f ca="1">IF(TodaysDate&gt;=$B133,Data!I133,NA())</f>
        <v>#N/A</v>
      </c>
      <c r="L133" s="10" t="e">
        <f ca="1">IF(CFDTable[[#This Row],[Done]]&gt;0,(CFDTable[[#This Row],[Done]])-(K132),0)</f>
        <v>#N/A</v>
      </c>
      <c r="M133" s="10">
        <f ca="1">IF(ISNUMBER($L133),SUM(CFDTable[[#This Row],[Done]]),IF(CFDTable[[#This Row],[lookupLow]]&gt;=CFDTable[[#This Row],[Target]]+CFDTable[[#This Row],[lowDaily]],NA(),CFDTable[[#This Row],[lookupLow]]))</f>
        <v>112.90476190476194</v>
      </c>
      <c r="N133" s="10">
        <f ca="1">IF(ISNUMBER($L133),SUM(CFDTable[[#This Row],[Done]]),IF(CFDTable[[#This Row],[lookupMedian]]&gt;=$X133+Q133,NA(),CFDTable[[#This Row],[lookupMedian]]))</f>
        <v>120.4761904761903</v>
      </c>
      <c r="O133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33" s="10">
        <f ca="1">CFDTable[[#This Row],[AvgDaily]]-CFDTable[[#This Row],[Deviation]]</f>
        <v>0.80952380952380931</v>
      </c>
      <c r="Q133" s="10">
        <f ca="1">AVERAGE(IF(ISNUMBER(L133),IF(ISNUMBER(OFFSET(L133,-Historic,0)),OFFSET(L133,-Historic,0),L$2):L133,Q132))</f>
        <v>0.95238095238095233</v>
      </c>
      <c r="R133" s="10">
        <f ca="1">AVERAGE(IF(ISNUMBER(L133),IF(ISNUMBER(OFFSET(L133,-Historic,0)),OFFSET(L133,-Historic,0),L$2):L133,R132))</f>
        <v>0.95238095238095233</v>
      </c>
      <c r="S133" s="10">
        <f ca="1">AVERAGE(IF(ISNUMBER(L133),OFFSET(L$2,DaysToIgnoreOnAvg,0):L133,S132))</f>
        <v>0.88311688311688308</v>
      </c>
      <c r="T133" s="10">
        <f ca="1">CFDTable[[#This Row],[AvgDaily]]+CFDTable[[#This Row],[Deviation]]</f>
        <v>1.0952380952380953</v>
      </c>
      <c r="U133" s="10">
        <f ca="1">IF(ISNUMBER(L133),((_xlfn.PERCENTILE.INC(IF(ISNUMBER(OFFSET(Q133,-Historic,0)),OFFSET(Q133,-Historic,0),Q$2):Q133,PercentileHigh/100))-(MEDIAN(IF(ISNUMBER(OFFSET(Q133,-Historic,0)),OFFSET(Q133,-Historic,0),Q$2):Q133))),U132)</f>
        <v>0.14285714285714302</v>
      </c>
      <c r="V133" s="10">
        <f ca="1">IF(ISNUMBER(L133),((_xlfn.PERCENTILE.INC(Q$2:Q133,PercentileHigh/100))-(MEDIAN(Q$2:Q133))),U132)</f>
        <v>0.14285714285714302</v>
      </c>
      <c r="W133" s="10">
        <f ca="1">IF(ISNUMBER(CFDTable[[#This Row],[Done Today]]),SUM($F133:$K133),$W132)</f>
        <v>124</v>
      </c>
      <c r="X133" s="10">
        <f ca="1">IF(ISNUMBER(CFDTable[[#This Row],[Done Today]]),SUM($F133:$K133),$X132)</f>
        <v>124</v>
      </c>
      <c r="Y133" s="10">
        <f ca="1">SUM(LOOKUP(2,1/(M$1:M132&lt;&gt;""),M$1:M132)+CFDTable[[#This Row],[lowDaily]])</f>
        <v>112.90476190476194</v>
      </c>
      <c r="Z133" s="10">
        <f ca="1">SUM(LOOKUP(2,1/(N$1:N132&lt;&gt;""),N$1:N132)+Q133)</f>
        <v>120.4761904761903</v>
      </c>
      <c r="AA133" s="10">
        <f ca="1">SUM(LOOKUP(2,1/(O$1:O132&lt;&gt;""),O$1:O132)+CFDTable[[#This Row],[highDaily]])</f>
        <v>125.8571428571432</v>
      </c>
      <c r="AB133" s="12">
        <f>IF(CFDTable[[#This Row],[Date]]=DeadlineDate,CFDTable[Future Work],0)</f>
        <v>0</v>
      </c>
    </row>
    <row r="134" spans="1:28">
      <c r="A134" s="8">
        <f>CFDTable[[#This Row],[Date]]</f>
        <v>42598</v>
      </c>
      <c r="B134" s="38">
        <f>Data!B134</f>
        <v>42598</v>
      </c>
      <c r="C134" s="10">
        <f ca="1">IF(ISNUMBER(CFDTable[[#This Row],[Ready]]),NA(),CFDTable[[#This Row],[Target]]-CFDTable[[#This Row],[To Do]])</f>
        <v>77</v>
      </c>
      <c r="D134" s="10">
        <f ca="1">IF(CFDTable[[#This Row],[Emergence]]&gt;0,CFDTable[[#This Row],[Future Work]]-CFDTable[[#This Row],[Emergence]],NA())</f>
        <v>81</v>
      </c>
      <c r="E134" s="10">
        <f>Data!C134</f>
        <v>43</v>
      </c>
      <c r="F134" s="10">
        <f ca="1">Data!D134</f>
        <v>47</v>
      </c>
      <c r="G134" s="10" t="e">
        <f ca="1">IF(TodaysDate&gt;=$B134,Data!E134,NA())</f>
        <v>#N/A</v>
      </c>
      <c r="H134" s="10" t="e">
        <f ca="1">IF(TodaysDate&gt;=$B134,Data!F134,NA())</f>
        <v>#N/A</v>
      </c>
      <c r="I134" s="10" t="e">
        <f ca="1">IF(TodaysDate&gt;=$B134,Data!G134,NA())</f>
        <v>#N/A</v>
      </c>
      <c r="J134" s="10" t="e">
        <f ca="1">IF(TodaysDate&gt;=$B134,Data!H134,NA())</f>
        <v>#N/A</v>
      </c>
      <c r="K134" s="10" t="e">
        <f ca="1">IF(TodaysDate&gt;=$B134,Data!I134,NA())</f>
        <v>#N/A</v>
      </c>
      <c r="L134" s="10" t="e">
        <f ca="1">IF(CFDTable[[#This Row],[Done]]&gt;0,(CFDTable[[#This Row],[Done]])-(K133),0)</f>
        <v>#N/A</v>
      </c>
      <c r="M134" s="10">
        <f ca="1">IF(ISNUMBER($L134),SUM(CFDTable[[#This Row],[Done]]),IF(CFDTable[[#This Row],[lookupLow]]&gt;=CFDTable[[#This Row],[Target]]+CFDTable[[#This Row],[lowDaily]],NA(),CFDTable[[#This Row],[lookupLow]]))</f>
        <v>113.71428571428575</v>
      </c>
      <c r="N134" s="10">
        <f ca="1">IF(ISNUMBER($L134),SUM(CFDTable[[#This Row],[Done]]),IF(CFDTable[[#This Row],[lookupMedian]]&gt;=$X134+Q134,NA(),CFDTable[[#This Row],[lookupMedian]]))</f>
        <v>121.42857142857125</v>
      </c>
      <c r="O134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34" s="10">
        <f ca="1">CFDTable[[#This Row],[AvgDaily]]-CFDTable[[#This Row],[Deviation]]</f>
        <v>0.80952380952380931</v>
      </c>
      <c r="Q134" s="10">
        <f ca="1">AVERAGE(IF(ISNUMBER(L134),IF(ISNUMBER(OFFSET(L134,-Historic,0)),OFFSET(L134,-Historic,0),L$2):L134,Q133))</f>
        <v>0.95238095238095233</v>
      </c>
      <c r="R134" s="10">
        <f ca="1">AVERAGE(IF(ISNUMBER(L134),IF(ISNUMBER(OFFSET(L134,-Historic,0)),OFFSET(L134,-Historic,0),L$2):L134,R133))</f>
        <v>0.95238095238095233</v>
      </c>
      <c r="S134" s="10">
        <f ca="1">AVERAGE(IF(ISNUMBER(L134),OFFSET(L$2,DaysToIgnoreOnAvg,0):L134,S133))</f>
        <v>0.88311688311688308</v>
      </c>
      <c r="T134" s="10">
        <f ca="1">CFDTable[[#This Row],[AvgDaily]]+CFDTable[[#This Row],[Deviation]]</f>
        <v>1.0952380952380953</v>
      </c>
      <c r="U134" s="10">
        <f ca="1">IF(ISNUMBER(L134),((_xlfn.PERCENTILE.INC(IF(ISNUMBER(OFFSET(Q134,-Historic,0)),OFFSET(Q134,-Historic,0),Q$2):Q134,PercentileHigh/100))-(MEDIAN(IF(ISNUMBER(OFFSET(Q134,-Historic,0)),OFFSET(Q134,-Historic,0),Q$2):Q134))),U133)</f>
        <v>0.14285714285714302</v>
      </c>
      <c r="V134" s="10">
        <f ca="1">IF(ISNUMBER(L134),((_xlfn.PERCENTILE.INC(Q$2:Q134,PercentileHigh/100))-(MEDIAN(Q$2:Q134))),U133)</f>
        <v>0.14285714285714302</v>
      </c>
      <c r="W134" s="10">
        <f ca="1">IF(ISNUMBER(CFDTable[[#This Row],[Done Today]]),SUM($F134:$K134),$W133)</f>
        <v>124</v>
      </c>
      <c r="X134" s="10">
        <f ca="1">IF(ISNUMBER(CFDTable[[#This Row],[Done Today]]),SUM($F134:$K134),$X133)</f>
        <v>124</v>
      </c>
      <c r="Y134" s="10">
        <f ca="1">SUM(LOOKUP(2,1/(M$1:M133&lt;&gt;""),M$1:M133)+CFDTable[[#This Row],[lowDaily]])</f>
        <v>113.71428571428575</v>
      </c>
      <c r="Z134" s="10">
        <f ca="1">SUM(LOOKUP(2,1/(N$1:N133&lt;&gt;""),N$1:N133)+Q134)</f>
        <v>121.42857142857125</v>
      </c>
      <c r="AA134" s="10">
        <f ca="1">SUM(LOOKUP(2,1/(O$1:O133&lt;&gt;""),O$1:O133)+CFDTable[[#This Row],[highDaily]])</f>
        <v>125.8571428571432</v>
      </c>
      <c r="AB134" s="12">
        <f>IF(CFDTable[[#This Row],[Date]]=DeadlineDate,CFDTable[Future Work],0)</f>
        <v>0</v>
      </c>
    </row>
    <row r="135" spans="1:28">
      <c r="A135" s="8">
        <f>CFDTable[[#This Row],[Date]]</f>
        <v>42599</v>
      </c>
      <c r="B135" s="38">
        <f>Data!B135</f>
        <v>42599</v>
      </c>
      <c r="C135" s="10">
        <f ca="1">IF(ISNUMBER(CFDTable[[#This Row],[Ready]]),NA(),CFDTable[[#This Row],[Target]]-CFDTable[[#This Row],[To Do]])</f>
        <v>77</v>
      </c>
      <c r="D135" s="10">
        <f ca="1">IF(CFDTable[[#This Row],[Emergence]]&gt;0,CFDTable[[#This Row],[Future Work]]-CFDTable[[#This Row],[Emergence]],NA())</f>
        <v>81</v>
      </c>
      <c r="E135" s="10">
        <f>Data!C135</f>
        <v>43</v>
      </c>
      <c r="F135" s="10">
        <f ca="1">Data!D135</f>
        <v>47</v>
      </c>
      <c r="G135" s="10" t="e">
        <f ca="1">IF(TodaysDate&gt;=$B135,Data!E135,NA())</f>
        <v>#N/A</v>
      </c>
      <c r="H135" s="10" t="e">
        <f ca="1">IF(TodaysDate&gt;=$B135,Data!F135,NA())</f>
        <v>#N/A</v>
      </c>
      <c r="I135" s="10" t="e">
        <f ca="1">IF(TodaysDate&gt;=$B135,Data!G135,NA())</f>
        <v>#N/A</v>
      </c>
      <c r="J135" s="10" t="e">
        <f ca="1">IF(TodaysDate&gt;=$B135,Data!H135,NA())</f>
        <v>#N/A</v>
      </c>
      <c r="K135" s="10" t="e">
        <f ca="1">IF(TodaysDate&gt;=$B135,Data!I135,NA())</f>
        <v>#N/A</v>
      </c>
      <c r="L135" s="10" t="e">
        <f ca="1">IF(CFDTable[[#This Row],[Done]]&gt;0,(CFDTable[[#This Row],[Done]])-(K134),0)</f>
        <v>#N/A</v>
      </c>
      <c r="M135" s="10">
        <f ca="1">IF(ISNUMBER($L135),SUM(CFDTable[[#This Row],[Done]]),IF(CFDTable[[#This Row],[lookupLow]]&gt;=CFDTable[[#This Row],[Target]]+CFDTable[[#This Row],[lowDaily]],NA(),CFDTable[[#This Row],[lookupLow]]))</f>
        <v>114.52380952380956</v>
      </c>
      <c r="N135" s="10">
        <f ca="1">IF(ISNUMBER($L135),SUM(CFDTable[[#This Row],[Done]]),IF(CFDTable[[#This Row],[lookupMedian]]&gt;=$X135+Q135,NA(),CFDTable[[#This Row],[lookupMedian]]))</f>
        <v>122.38095238095219</v>
      </c>
      <c r="O135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35" s="10">
        <f ca="1">CFDTable[[#This Row],[AvgDaily]]-CFDTable[[#This Row],[Deviation]]</f>
        <v>0.80952380952380931</v>
      </c>
      <c r="Q135" s="10">
        <f ca="1">AVERAGE(IF(ISNUMBER(L135),IF(ISNUMBER(OFFSET(L135,-Historic,0)),OFFSET(L135,-Historic,0),L$2):L135,Q134))</f>
        <v>0.95238095238095233</v>
      </c>
      <c r="R135" s="10">
        <f ca="1">AVERAGE(IF(ISNUMBER(L135),IF(ISNUMBER(OFFSET(L135,-Historic,0)),OFFSET(L135,-Historic,0),L$2):L135,R134))</f>
        <v>0.95238095238095233</v>
      </c>
      <c r="S135" s="10">
        <f ca="1">AVERAGE(IF(ISNUMBER(L135),OFFSET(L$2,DaysToIgnoreOnAvg,0):L135,S134))</f>
        <v>0.88311688311688308</v>
      </c>
      <c r="T135" s="10">
        <f ca="1">CFDTable[[#This Row],[AvgDaily]]+CFDTable[[#This Row],[Deviation]]</f>
        <v>1.0952380952380953</v>
      </c>
      <c r="U135" s="10">
        <f ca="1">IF(ISNUMBER(L135),((_xlfn.PERCENTILE.INC(IF(ISNUMBER(OFFSET(Q135,-Historic,0)),OFFSET(Q135,-Historic,0),Q$2):Q135,PercentileHigh/100))-(MEDIAN(IF(ISNUMBER(OFFSET(Q135,-Historic,0)),OFFSET(Q135,-Historic,0),Q$2):Q135))),U134)</f>
        <v>0.14285714285714302</v>
      </c>
      <c r="V135" s="10">
        <f ca="1">IF(ISNUMBER(L135),((_xlfn.PERCENTILE.INC(Q$2:Q135,PercentileHigh/100))-(MEDIAN(Q$2:Q135))),U134)</f>
        <v>0.14285714285714302</v>
      </c>
      <c r="W135" s="10">
        <f ca="1">IF(ISNUMBER(CFDTable[[#This Row],[Done Today]]),SUM($F135:$K135),$W134)</f>
        <v>124</v>
      </c>
      <c r="X135" s="10">
        <f ca="1">IF(ISNUMBER(CFDTable[[#This Row],[Done Today]]),SUM($F135:$K135),$X134)</f>
        <v>124</v>
      </c>
      <c r="Y135" s="10">
        <f ca="1">SUM(LOOKUP(2,1/(M$1:M134&lt;&gt;""),M$1:M134)+CFDTable[[#This Row],[lowDaily]])</f>
        <v>114.52380952380956</v>
      </c>
      <c r="Z135" s="10">
        <f ca="1">SUM(LOOKUP(2,1/(N$1:N134&lt;&gt;""),N$1:N134)+Q135)</f>
        <v>122.38095238095219</v>
      </c>
      <c r="AA135" s="10">
        <f ca="1">SUM(LOOKUP(2,1/(O$1:O134&lt;&gt;""),O$1:O134)+CFDTable[[#This Row],[highDaily]])</f>
        <v>125.8571428571432</v>
      </c>
      <c r="AB135" s="12">
        <f>IF(CFDTable[[#This Row],[Date]]=DeadlineDate,CFDTable[Future Work],0)</f>
        <v>0</v>
      </c>
    </row>
    <row r="136" spans="1:28">
      <c r="A136" s="8">
        <f>CFDTable[[#This Row],[Date]]</f>
        <v>42600</v>
      </c>
      <c r="B136" s="38">
        <f>Data!B136</f>
        <v>42600</v>
      </c>
      <c r="C136" s="10">
        <f ca="1">IF(ISNUMBER(CFDTable[[#This Row],[Ready]]),NA(),CFDTable[[#This Row],[Target]]-CFDTable[[#This Row],[To Do]])</f>
        <v>77</v>
      </c>
      <c r="D136" s="10">
        <f ca="1">IF(CFDTable[[#This Row],[Emergence]]&gt;0,CFDTable[[#This Row],[Future Work]]-CFDTable[[#This Row],[Emergence]],NA())</f>
        <v>81</v>
      </c>
      <c r="E136" s="10">
        <f>Data!C136</f>
        <v>43</v>
      </c>
      <c r="F136" s="10">
        <f ca="1">Data!D136</f>
        <v>47</v>
      </c>
      <c r="G136" s="10" t="e">
        <f ca="1">IF(TodaysDate&gt;=$B136,Data!E136,NA())</f>
        <v>#N/A</v>
      </c>
      <c r="H136" s="10" t="e">
        <f ca="1">IF(TodaysDate&gt;=$B136,Data!F136,NA())</f>
        <v>#N/A</v>
      </c>
      <c r="I136" s="10" t="e">
        <f ca="1">IF(TodaysDate&gt;=$B136,Data!G136,NA())</f>
        <v>#N/A</v>
      </c>
      <c r="J136" s="10" t="e">
        <f ca="1">IF(TodaysDate&gt;=$B136,Data!H136,NA())</f>
        <v>#N/A</v>
      </c>
      <c r="K136" s="10" t="e">
        <f ca="1">IF(TodaysDate&gt;=$B136,Data!I136,NA())</f>
        <v>#N/A</v>
      </c>
      <c r="L136" s="10" t="e">
        <f ca="1">IF(CFDTable[[#This Row],[Done]]&gt;0,(CFDTable[[#This Row],[Done]])-(K135),0)</f>
        <v>#N/A</v>
      </c>
      <c r="M136" s="10">
        <f ca="1">IF(ISNUMBER($L136),SUM(CFDTable[[#This Row],[Done]]),IF(CFDTable[[#This Row],[lookupLow]]&gt;=CFDTable[[#This Row],[Target]]+CFDTable[[#This Row],[lowDaily]],NA(),CFDTable[[#This Row],[lookupLow]]))</f>
        <v>115.33333333333337</v>
      </c>
      <c r="N136" s="10">
        <f ca="1">IF(ISNUMBER($L136),SUM(CFDTable[[#This Row],[Done]]),IF(CFDTable[[#This Row],[lookupMedian]]&gt;=$X136+Q136,NA(),CFDTable[[#This Row],[lookupMedian]]))</f>
        <v>123.33333333333314</v>
      </c>
      <c r="O136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36" s="10">
        <f ca="1">CFDTable[[#This Row],[AvgDaily]]-CFDTable[[#This Row],[Deviation]]</f>
        <v>0.80952380952380931</v>
      </c>
      <c r="Q136" s="10">
        <f ca="1">AVERAGE(IF(ISNUMBER(L136),IF(ISNUMBER(OFFSET(L136,-Historic,0)),OFFSET(L136,-Historic,0),L$2):L136,Q135))</f>
        <v>0.95238095238095233</v>
      </c>
      <c r="R136" s="10">
        <f ca="1">AVERAGE(IF(ISNUMBER(L136),IF(ISNUMBER(OFFSET(L136,-Historic,0)),OFFSET(L136,-Historic,0),L$2):L136,R135))</f>
        <v>0.95238095238095233</v>
      </c>
      <c r="S136" s="10">
        <f ca="1">AVERAGE(IF(ISNUMBER(L136),OFFSET(L$2,DaysToIgnoreOnAvg,0):L136,S135))</f>
        <v>0.88311688311688308</v>
      </c>
      <c r="T136" s="10">
        <f ca="1">CFDTable[[#This Row],[AvgDaily]]+CFDTable[[#This Row],[Deviation]]</f>
        <v>1.0952380952380953</v>
      </c>
      <c r="U136" s="10">
        <f ca="1">IF(ISNUMBER(L136),((_xlfn.PERCENTILE.INC(IF(ISNUMBER(OFFSET(Q136,-Historic,0)),OFFSET(Q136,-Historic,0),Q$2):Q136,PercentileHigh/100))-(MEDIAN(IF(ISNUMBER(OFFSET(Q136,-Historic,0)),OFFSET(Q136,-Historic,0),Q$2):Q136))),U135)</f>
        <v>0.14285714285714302</v>
      </c>
      <c r="V136" s="10">
        <f ca="1">IF(ISNUMBER(L136),((_xlfn.PERCENTILE.INC(Q$2:Q136,PercentileHigh/100))-(MEDIAN(Q$2:Q136))),U135)</f>
        <v>0.14285714285714302</v>
      </c>
      <c r="W136" s="10">
        <f ca="1">IF(ISNUMBER(CFDTable[[#This Row],[Done Today]]),SUM($F136:$K136),$W135)</f>
        <v>124</v>
      </c>
      <c r="X136" s="10">
        <f ca="1">IF(ISNUMBER(CFDTable[[#This Row],[Done Today]]),SUM($F136:$K136),$X135)</f>
        <v>124</v>
      </c>
      <c r="Y136" s="10">
        <f ca="1">SUM(LOOKUP(2,1/(M$1:M135&lt;&gt;""),M$1:M135)+CFDTable[[#This Row],[lowDaily]])</f>
        <v>115.33333333333337</v>
      </c>
      <c r="Z136" s="10">
        <f ca="1">SUM(LOOKUP(2,1/(N$1:N135&lt;&gt;""),N$1:N135)+Q136)</f>
        <v>123.33333333333314</v>
      </c>
      <c r="AA136" s="10">
        <f ca="1">SUM(LOOKUP(2,1/(O$1:O135&lt;&gt;""),O$1:O135)+CFDTable[[#This Row],[highDaily]])</f>
        <v>125.8571428571432</v>
      </c>
      <c r="AB136" s="12">
        <f>IF(CFDTable[[#This Row],[Date]]=DeadlineDate,CFDTable[Future Work],0)</f>
        <v>0</v>
      </c>
    </row>
    <row r="137" spans="1:28">
      <c r="A137" s="8">
        <f>CFDTable[[#This Row],[Date]]</f>
        <v>42601</v>
      </c>
      <c r="B137" s="38">
        <f>Data!B137</f>
        <v>42601</v>
      </c>
      <c r="C137" s="10">
        <f ca="1">IF(ISNUMBER(CFDTable[[#This Row],[Ready]]),NA(),CFDTable[[#This Row],[Target]]-CFDTable[[#This Row],[To Do]])</f>
        <v>77</v>
      </c>
      <c r="D137" s="10">
        <f ca="1">IF(CFDTable[[#This Row],[Emergence]]&gt;0,CFDTable[[#This Row],[Future Work]]-CFDTable[[#This Row],[Emergence]],NA())</f>
        <v>81</v>
      </c>
      <c r="E137" s="10">
        <f>Data!C137</f>
        <v>43</v>
      </c>
      <c r="F137" s="10">
        <f ca="1">Data!D137</f>
        <v>47</v>
      </c>
      <c r="G137" s="10" t="e">
        <f ca="1">IF(TodaysDate&gt;=$B137,Data!E137,NA())</f>
        <v>#N/A</v>
      </c>
      <c r="H137" s="10" t="e">
        <f ca="1">IF(TodaysDate&gt;=$B137,Data!F137,NA())</f>
        <v>#N/A</v>
      </c>
      <c r="I137" s="10" t="e">
        <f ca="1">IF(TodaysDate&gt;=$B137,Data!G137,NA())</f>
        <v>#N/A</v>
      </c>
      <c r="J137" s="10" t="e">
        <f ca="1">IF(TodaysDate&gt;=$B137,Data!H137,NA())</f>
        <v>#N/A</v>
      </c>
      <c r="K137" s="10" t="e">
        <f ca="1">IF(TodaysDate&gt;=$B137,Data!I137,NA())</f>
        <v>#N/A</v>
      </c>
      <c r="L137" s="10" t="e">
        <f ca="1">IF(CFDTable[[#This Row],[Done]]&gt;0,(CFDTable[[#This Row],[Done]])-(K136),0)</f>
        <v>#N/A</v>
      </c>
      <c r="M137" s="10">
        <f ca="1">IF(ISNUMBER($L137),SUM(CFDTable[[#This Row],[Done]]),IF(CFDTable[[#This Row],[lookupLow]]&gt;=CFDTable[[#This Row],[Target]]+CFDTable[[#This Row],[lowDaily]],NA(),CFDTable[[#This Row],[lookupLow]]))</f>
        <v>116.14285714285718</v>
      </c>
      <c r="N137" s="10">
        <f ca="1">IF(ISNUMBER($L137),SUM(CFDTable[[#This Row],[Done]]),IF(CFDTable[[#This Row],[lookupMedian]]&gt;=$X137+Q137,NA(),CFDTable[[#This Row],[lookupMedian]]))</f>
        <v>124.28571428571409</v>
      </c>
      <c r="O137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37" s="10">
        <f ca="1">CFDTable[[#This Row],[AvgDaily]]-CFDTable[[#This Row],[Deviation]]</f>
        <v>0.80952380952380931</v>
      </c>
      <c r="Q137" s="10">
        <f ca="1">AVERAGE(IF(ISNUMBER(L137),IF(ISNUMBER(OFFSET(L137,-Historic,0)),OFFSET(L137,-Historic,0),L$2):L137,Q136))</f>
        <v>0.95238095238095233</v>
      </c>
      <c r="R137" s="10">
        <f ca="1">AVERAGE(IF(ISNUMBER(L137),IF(ISNUMBER(OFFSET(L137,-Historic,0)),OFFSET(L137,-Historic,0),L$2):L137,R136))</f>
        <v>0.95238095238095233</v>
      </c>
      <c r="S137" s="10">
        <f ca="1">AVERAGE(IF(ISNUMBER(L137),OFFSET(L$2,DaysToIgnoreOnAvg,0):L137,S136))</f>
        <v>0.88311688311688308</v>
      </c>
      <c r="T137" s="10">
        <f ca="1">CFDTable[[#This Row],[AvgDaily]]+CFDTable[[#This Row],[Deviation]]</f>
        <v>1.0952380952380953</v>
      </c>
      <c r="U137" s="10">
        <f ca="1">IF(ISNUMBER(L137),((_xlfn.PERCENTILE.INC(IF(ISNUMBER(OFFSET(Q137,-Historic,0)),OFFSET(Q137,-Historic,0),Q$2):Q137,PercentileHigh/100))-(MEDIAN(IF(ISNUMBER(OFFSET(Q137,-Historic,0)),OFFSET(Q137,-Historic,0),Q$2):Q137))),U136)</f>
        <v>0.14285714285714302</v>
      </c>
      <c r="V137" s="10">
        <f ca="1">IF(ISNUMBER(L137),((_xlfn.PERCENTILE.INC(Q$2:Q137,PercentileHigh/100))-(MEDIAN(Q$2:Q137))),U136)</f>
        <v>0.14285714285714302</v>
      </c>
      <c r="W137" s="10">
        <f ca="1">IF(ISNUMBER(CFDTable[[#This Row],[Done Today]]),SUM($F137:$K137),$W136)</f>
        <v>124</v>
      </c>
      <c r="X137" s="10">
        <f ca="1">IF(ISNUMBER(CFDTable[[#This Row],[Done Today]]),SUM($F137:$K137),$X136)</f>
        <v>124</v>
      </c>
      <c r="Y137" s="10">
        <f ca="1">SUM(LOOKUP(2,1/(M$1:M136&lt;&gt;""),M$1:M136)+CFDTable[[#This Row],[lowDaily]])</f>
        <v>116.14285714285718</v>
      </c>
      <c r="Z137" s="10">
        <f ca="1">SUM(LOOKUP(2,1/(N$1:N136&lt;&gt;""),N$1:N136)+Q137)</f>
        <v>124.28571428571409</v>
      </c>
      <c r="AA137" s="10">
        <f ca="1">SUM(LOOKUP(2,1/(O$1:O136&lt;&gt;""),O$1:O136)+CFDTable[[#This Row],[highDaily]])</f>
        <v>125.8571428571432</v>
      </c>
      <c r="AB137" s="12">
        <f>IF(CFDTable[[#This Row],[Date]]=DeadlineDate,CFDTable[Future Work],0)</f>
        <v>0</v>
      </c>
    </row>
    <row r="138" spans="1:28">
      <c r="A138" s="8">
        <f>CFDTable[[#This Row],[Date]]</f>
        <v>42604</v>
      </c>
      <c r="B138" s="38">
        <f>Data!B138</f>
        <v>42604</v>
      </c>
      <c r="C138" s="10">
        <f ca="1">IF(ISNUMBER(CFDTable[[#This Row],[Ready]]),NA(),CFDTable[[#This Row],[Target]]-CFDTable[[#This Row],[To Do]])</f>
        <v>77</v>
      </c>
      <c r="D138" s="10">
        <f ca="1">IF(CFDTable[[#This Row],[Emergence]]&gt;0,CFDTable[[#This Row],[Future Work]]-CFDTable[[#This Row],[Emergence]],NA())</f>
        <v>81</v>
      </c>
      <c r="E138" s="10">
        <f>Data!C138</f>
        <v>43</v>
      </c>
      <c r="F138" s="10">
        <f ca="1">Data!D138</f>
        <v>47</v>
      </c>
      <c r="G138" s="10" t="e">
        <f ca="1">IF(TodaysDate&gt;=$B138,Data!E138,NA())</f>
        <v>#N/A</v>
      </c>
      <c r="H138" s="10" t="e">
        <f ca="1">IF(TodaysDate&gt;=$B138,Data!F138,NA())</f>
        <v>#N/A</v>
      </c>
      <c r="I138" s="10" t="e">
        <f ca="1">IF(TodaysDate&gt;=$B138,Data!G138,NA())</f>
        <v>#N/A</v>
      </c>
      <c r="J138" s="10" t="e">
        <f ca="1">IF(TodaysDate&gt;=$B138,Data!H138,NA())</f>
        <v>#N/A</v>
      </c>
      <c r="K138" s="10" t="e">
        <f ca="1">IF(TodaysDate&gt;=$B138,Data!I138,NA())</f>
        <v>#N/A</v>
      </c>
      <c r="L138" s="10" t="e">
        <f ca="1">IF(CFDTable[[#This Row],[Done]]&gt;0,(CFDTable[[#This Row],[Done]])-(K137),0)</f>
        <v>#N/A</v>
      </c>
      <c r="M138" s="10">
        <f ca="1">IF(ISNUMBER($L138),SUM(CFDTable[[#This Row],[Done]]),IF(CFDTable[[#This Row],[lookupLow]]&gt;=CFDTable[[#This Row],[Target]]+CFDTable[[#This Row],[lowDaily]],NA(),CFDTable[[#This Row],[lookupLow]]))</f>
        <v>116.95238095238099</v>
      </c>
      <c r="N138" s="10" t="e">
        <f ca="1">IF(ISNUMBER($L138),SUM(CFDTable[[#This Row],[Done]]),IF(CFDTable[[#This Row],[lookupMedian]]&gt;=$X138+Q138,NA(),CFDTable[[#This Row],[lookupMedian]]))</f>
        <v>#N/A</v>
      </c>
      <c r="O138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38" s="10">
        <f ca="1">CFDTable[[#This Row],[AvgDaily]]-CFDTable[[#This Row],[Deviation]]</f>
        <v>0.80952380952380931</v>
      </c>
      <c r="Q138" s="10">
        <f ca="1">AVERAGE(IF(ISNUMBER(L138),IF(ISNUMBER(OFFSET(L138,-Historic,0)),OFFSET(L138,-Historic,0),L$2):L138,Q137))</f>
        <v>0.95238095238095233</v>
      </c>
      <c r="R138" s="10">
        <f ca="1">AVERAGE(IF(ISNUMBER(L138),IF(ISNUMBER(OFFSET(L138,-Historic,0)),OFFSET(L138,-Historic,0),L$2):L138,R137))</f>
        <v>0.95238095238095233</v>
      </c>
      <c r="S138" s="10">
        <f ca="1">AVERAGE(IF(ISNUMBER(L138),OFFSET(L$2,DaysToIgnoreOnAvg,0):L138,S137))</f>
        <v>0.88311688311688308</v>
      </c>
      <c r="T138" s="10">
        <f ca="1">CFDTable[[#This Row],[AvgDaily]]+CFDTable[[#This Row],[Deviation]]</f>
        <v>1.0952380952380953</v>
      </c>
      <c r="U138" s="10">
        <f ca="1">IF(ISNUMBER(L138),((_xlfn.PERCENTILE.INC(IF(ISNUMBER(OFFSET(Q138,-Historic,0)),OFFSET(Q138,-Historic,0),Q$2):Q138,PercentileHigh/100))-(MEDIAN(IF(ISNUMBER(OFFSET(Q138,-Historic,0)),OFFSET(Q138,-Historic,0),Q$2):Q138))),U137)</f>
        <v>0.14285714285714302</v>
      </c>
      <c r="V138" s="10">
        <f ca="1">IF(ISNUMBER(L138),((_xlfn.PERCENTILE.INC(Q$2:Q138,PercentileHigh/100))-(MEDIAN(Q$2:Q138))),U137)</f>
        <v>0.14285714285714302</v>
      </c>
      <c r="W138" s="10">
        <f ca="1">IF(ISNUMBER(CFDTable[[#This Row],[Done Today]]),SUM($F138:$K138),$W137)</f>
        <v>124</v>
      </c>
      <c r="X138" s="10">
        <f ca="1">IF(ISNUMBER(CFDTable[[#This Row],[Done Today]]),SUM($F138:$K138),$X137)</f>
        <v>124</v>
      </c>
      <c r="Y138" s="10">
        <f ca="1">SUM(LOOKUP(2,1/(M$1:M137&lt;&gt;""),M$1:M137)+CFDTable[[#This Row],[lowDaily]])</f>
        <v>116.95238095238099</v>
      </c>
      <c r="Z138" s="10">
        <f ca="1">SUM(LOOKUP(2,1/(N$1:N137&lt;&gt;""),N$1:N137)+Q138)</f>
        <v>125.23809523809504</v>
      </c>
      <c r="AA138" s="10">
        <f ca="1">SUM(LOOKUP(2,1/(O$1:O137&lt;&gt;""),O$1:O137)+CFDTable[[#This Row],[highDaily]])</f>
        <v>125.8571428571432</v>
      </c>
      <c r="AB138" s="12">
        <f>IF(CFDTable[[#This Row],[Date]]=DeadlineDate,CFDTable[Future Work],0)</f>
        <v>0</v>
      </c>
    </row>
    <row r="139" spans="1:28">
      <c r="A139" s="8">
        <f>CFDTable[[#This Row],[Date]]</f>
        <v>42605</v>
      </c>
      <c r="B139" s="38">
        <f>Data!B139</f>
        <v>42605</v>
      </c>
      <c r="C139" s="10">
        <f ca="1">IF(ISNUMBER(CFDTable[[#This Row],[Ready]]),NA(),CFDTable[[#This Row],[Target]]-CFDTable[[#This Row],[To Do]])</f>
        <v>77</v>
      </c>
      <c r="D139" s="10">
        <f ca="1">IF(CFDTable[[#This Row],[Emergence]]&gt;0,CFDTable[[#This Row],[Future Work]]-CFDTable[[#This Row],[Emergence]],NA())</f>
        <v>81</v>
      </c>
      <c r="E139" s="10">
        <f>Data!C139</f>
        <v>43</v>
      </c>
      <c r="F139" s="10">
        <f ca="1">Data!D139</f>
        <v>47</v>
      </c>
      <c r="G139" s="10" t="e">
        <f ca="1">IF(TodaysDate&gt;=$B139,Data!E139,NA())</f>
        <v>#N/A</v>
      </c>
      <c r="H139" s="10" t="e">
        <f ca="1">IF(TodaysDate&gt;=$B139,Data!F139,NA())</f>
        <v>#N/A</v>
      </c>
      <c r="I139" s="10" t="e">
        <f ca="1">IF(TodaysDate&gt;=$B139,Data!G139,NA())</f>
        <v>#N/A</v>
      </c>
      <c r="J139" s="10" t="e">
        <f ca="1">IF(TodaysDate&gt;=$B139,Data!H139,NA())</f>
        <v>#N/A</v>
      </c>
      <c r="K139" s="10" t="e">
        <f ca="1">IF(TodaysDate&gt;=$B139,Data!I139,NA())</f>
        <v>#N/A</v>
      </c>
      <c r="L139" s="10" t="e">
        <f ca="1">IF(CFDTable[[#This Row],[Done]]&gt;0,(CFDTable[[#This Row],[Done]])-(K138),0)</f>
        <v>#N/A</v>
      </c>
      <c r="M139" s="10">
        <f ca="1">IF(ISNUMBER($L139),SUM(CFDTable[[#This Row],[Done]]),IF(CFDTable[[#This Row],[lookupLow]]&gt;=CFDTable[[#This Row],[Target]]+CFDTable[[#This Row],[lowDaily]],NA(),CFDTable[[#This Row],[lookupLow]]))</f>
        <v>117.7619047619048</v>
      </c>
      <c r="N139" s="10" t="e">
        <f ca="1">IF(ISNUMBER($L139),SUM(CFDTable[[#This Row],[Done]]),IF(CFDTable[[#This Row],[lookupMedian]]&gt;=$X139+Q139,NA(),CFDTable[[#This Row],[lookupMedian]]))</f>
        <v>#N/A</v>
      </c>
      <c r="O139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39" s="10">
        <f ca="1">CFDTable[[#This Row],[AvgDaily]]-CFDTable[[#This Row],[Deviation]]</f>
        <v>0.80952380952380931</v>
      </c>
      <c r="Q139" s="10">
        <f ca="1">AVERAGE(IF(ISNUMBER(L139),IF(ISNUMBER(OFFSET(L139,-Historic,0)),OFFSET(L139,-Historic,0),L$2):L139,Q138))</f>
        <v>0.95238095238095233</v>
      </c>
      <c r="R139" s="10">
        <f ca="1">AVERAGE(IF(ISNUMBER(L139),IF(ISNUMBER(OFFSET(L139,-Historic,0)),OFFSET(L139,-Historic,0),L$2):L139,R138))</f>
        <v>0.95238095238095233</v>
      </c>
      <c r="S139" s="10">
        <f ca="1">AVERAGE(IF(ISNUMBER(L139),OFFSET(L$2,DaysToIgnoreOnAvg,0):L139,S138))</f>
        <v>0.88311688311688308</v>
      </c>
      <c r="T139" s="10">
        <f ca="1">CFDTable[[#This Row],[AvgDaily]]+CFDTable[[#This Row],[Deviation]]</f>
        <v>1.0952380952380953</v>
      </c>
      <c r="U139" s="10">
        <f ca="1">IF(ISNUMBER(L139),((_xlfn.PERCENTILE.INC(IF(ISNUMBER(OFFSET(Q139,-Historic,0)),OFFSET(Q139,-Historic,0),Q$2):Q139,PercentileHigh/100))-(MEDIAN(IF(ISNUMBER(OFFSET(Q139,-Historic,0)),OFFSET(Q139,-Historic,0),Q$2):Q139))),U138)</f>
        <v>0.14285714285714302</v>
      </c>
      <c r="V139" s="10">
        <f ca="1">IF(ISNUMBER(L139),((_xlfn.PERCENTILE.INC(Q$2:Q139,PercentileHigh/100))-(MEDIAN(Q$2:Q139))),U138)</f>
        <v>0.14285714285714302</v>
      </c>
      <c r="W139" s="10">
        <f ca="1">IF(ISNUMBER(CFDTable[[#This Row],[Done Today]]),SUM($F139:$K139),$W138)</f>
        <v>124</v>
      </c>
      <c r="X139" s="10">
        <f ca="1">IF(ISNUMBER(CFDTable[[#This Row],[Done Today]]),SUM($F139:$K139),$X138)</f>
        <v>124</v>
      </c>
      <c r="Y139" s="10">
        <f ca="1">SUM(LOOKUP(2,1/(M$1:M138&lt;&gt;""),M$1:M138)+CFDTable[[#This Row],[lowDaily]])</f>
        <v>117.7619047619048</v>
      </c>
      <c r="Z139" s="10">
        <f ca="1">SUM(LOOKUP(2,1/(N$1:N138&lt;&gt;""),N$1:N138)+Q139)</f>
        <v>125.23809523809504</v>
      </c>
      <c r="AA139" s="10">
        <f ca="1">SUM(LOOKUP(2,1/(O$1:O138&lt;&gt;""),O$1:O138)+CFDTable[[#This Row],[highDaily]])</f>
        <v>125.8571428571432</v>
      </c>
      <c r="AB139" s="12">
        <f>IF(CFDTable[[#This Row],[Date]]=DeadlineDate,CFDTable[Future Work],0)</f>
        <v>0</v>
      </c>
    </row>
    <row r="140" spans="1:28">
      <c r="A140" s="8">
        <f>CFDTable[[#This Row],[Date]]</f>
        <v>42606</v>
      </c>
      <c r="B140" s="38">
        <f>Data!B140</f>
        <v>42606</v>
      </c>
      <c r="C140" s="10">
        <f ca="1">IF(ISNUMBER(CFDTable[[#This Row],[Ready]]),NA(),CFDTable[[#This Row],[Target]]-CFDTable[[#This Row],[To Do]])</f>
        <v>77</v>
      </c>
      <c r="D140" s="10">
        <f ca="1">IF(CFDTable[[#This Row],[Emergence]]&gt;0,CFDTable[[#This Row],[Future Work]]-CFDTable[[#This Row],[Emergence]],NA())</f>
        <v>81</v>
      </c>
      <c r="E140" s="10">
        <f>Data!C140</f>
        <v>43</v>
      </c>
      <c r="F140" s="10">
        <f ca="1">Data!D140</f>
        <v>47</v>
      </c>
      <c r="G140" s="10" t="e">
        <f ca="1">IF(TodaysDate&gt;=$B140,Data!E140,NA())</f>
        <v>#N/A</v>
      </c>
      <c r="H140" s="10" t="e">
        <f ca="1">IF(TodaysDate&gt;=$B140,Data!F140,NA())</f>
        <v>#N/A</v>
      </c>
      <c r="I140" s="10" t="e">
        <f ca="1">IF(TodaysDate&gt;=$B140,Data!G140,NA())</f>
        <v>#N/A</v>
      </c>
      <c r="J140" s="10" t="e">
        <f ca="1">IF(TodaysDate&gt;=$B140,Data!H140,NA())</f>
        <v>#N/A</v>
      </c>
      <c r="K140" s="10" t="e">
        <f ca="1">IF(TodaysDate&gt;=$B140,Data!I140,NA())</f>
        <v>#N/A</v>
      </c>
      <c r="L140" s="10" t="e">
        <f ca="1">IF(CFDTable[[#This Row],[Done]]&gt;0,(CFDTable[[#This Row],[Done]])-(K139),0)</f>
        <v>#N/A</v>
      </c>
      <c r="M140" s="10">
        <f ca="1">IF(ISNUMBER($L140),SUM(CFDTable[[#This Row],[Done]]),IF(CFDTable[[#This Row],[lookupLow]]&gt;=CFDTable[[#This Row],[Target]]+CFDTable[[#This Row],[lowDaily]],NA(),CFDTable[[#This Row],[lookupLow]]))</f>
        <v>118.57142857142861</v>
      </c>
      <c r="N140" s="10" t="e">
        <f ca="1">IF(ISNUMBER($L140),SUM(CFDTable[[#This Row],[Done]]),IF(CFDTable[[#This Row],[lookupMedian]]&gt;=$X140+Q140,NA(),CFDTable[[#This Row],[lookupMedian]]))</f>
        <v>#N/A</v>
      </c>
      <c r="O140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40" s="10">
        <f ca="1">CFDTable[[#This Row],[AvgDaily]]-CFDTable[[#This Row],[Deviation]]</f>
        <v>0.80952380952380931</v>
      </c>
      <c r="Q140" s="10">
        <f ca="1">AVERAGE(IF(ISNUMBER(L140),IF(ISNUMBER(OFFSET(L140,-Historic,0)),OFFSET(L140,-Historic,0),L$2):L140,Q139))</f>
        <v>0.95238095238095233</v>
      </c>
      <c r="R140" s="10">
        <f ca="1">AVERAGE(IF(ISNUMBER(L140),IF(ISNUMBER(OFFSET(L140,-Historic,0)),OFFSET(L140,-Historic,0),L$2):L140,R139))</f>
        <v>0.95238095238095233</v>
      </c>
      <c r="S140" s="10">
        <f ca="1">AVERAGE(IF(ISNUMBER(L140),OFFSET(L$2,DaysToIgnoreOnAvg,0):L140,S139))</f>
        <v>0.88311688311688308</v>
      </c>
      <c r="T140" s="10">
        <f ca="1">CFDTable[[#This Row],[AvgDaily]]+CFDTable[[#This Row],[Deviation]]</f>
        <v>1.0952380952380953</v>
      </c>
      <c r="U140" s="10">
        <f ca="1">IF(ISNUMBER(L140),((_xlfn.PERCENTILE.INC(IF(ISNUMBER(OFFSET(Q140,-Historic,0)),OFFSET(Q140,-Historic,0),Q$2):Q140,PercentileHigh/100))-(MEDIAN(IF(ISNUMBER(OFFSET(Q140,-Historic,0)),OFFSET(Q140,-Historic,0),Q$2):Q140))),U139)</f>
        <v>0.14285714285714302</v>
      </c>
      <c r="V140" s="10">
        <f ca="1">IF(ISNUMBER(L140),((_xlfn.PERCENTILE.INC(Q$2:Q140,PercentileHigh/100))-(MEDIAN(Q$2:Q140))),U139)</f>
        <v>0.14285714285714302</v>
      </c>
      <c r="W140" s="10">
        <f ca="1">IF(ISNUMBER(CFDTable[[#This Row],[Done Today]]),SUM($F140:$K140),$W139)</f>
        <v>124</v>
      </c>
      <c r="X140" s="10">
        <f ca="1">IF(ISNUMBER(CFDTable[[#This Row],[Done Today]]),SUM($F140:$K140),$X139)</f>
        <v>124</v>
      </c>
      <c r="Y140" s="10">
        <f ca="1">SUM(LOOKUP(2,1/(M$1:M139&lt;&gt;""),M$1:M139)+CFDTable[[#This Row],[lowDaily]])</f>
        <v>118.57142857142861</v>
      </c>
      <c r="Z140" s="10">
        <f ca="1">SUM(LOOKUP(2,1/(N$1:N139&lt;&gt;""),N$1:N139)+Q140)</f>
        <v>125.23809523809504</v>
      </c>
      <c r="AA140" s="10">
        <f ca="1">SUM(LOOKUP(2,1/(O$1:O139&lt;&gt;""),O$1:O139)+CFDTable[[#This Row],[highDaily]])</f>
        <v>125.8571428571432</v>
      </c>
      <c r="AB140" s="12">
        <f>IF(CFDTable[[#This Row],[Date]]=DeadlineDate,CFDTable[Future Work],0)</f>
        <v>0</v>
      </c>
    </row>
    <row r="141" spans="1:28">
      <c r="A141" s="8">
        <f>CFDTable[[#This Row],[Date]]</f>
        <v>42607</v>
      </c>
      <c r="B141" s="38">
        <f>Data!B141</f>
        <v>42607</v>
      </c>
      <c r="C141" s="10">
        <f ca="1">IF(ISNUMBER(CFDTable[[#This Row],[Ready]]),NA(),CFDTable[[#This Row],[Target]]-CFDTable[[#This Row],[To Do]])</f>
        <v>77</v>
      </c>
      <c r="D141" s="10">
        <f ca="1">IF(CFDTable[[#This Row],[Emergence]]&gt;0,CFDTable[[#This Row],[Future Work]]-CFDTable[[#This Row],[Emergence]],NA())</f>
        <v>81</v>
      </c>
      <c r="E141" s="10">
        <f>Data!C141</f>
        <v>43</v>
      </c>
      <c r="F141" s="10">
        <f ca="1">Data!D141</f>
        <v>47</v>
      </c>
      <c r="G141" s="10" t="e">
        <f ca="1">IF(TodaysDate&gt;=$B141,Data!E141,NA())</f>
        <v>#N/A</v>
      </c>
      <c r="H141" s="10" t="e">
        <f ca="1">IF(TodaysDate&gt;=$B141,Data!F141,NA())</f>
        <v>#N/A</v>
      </c>
      <c r="I141" s="10" t="e">
        <f ca="1">IF(TodaysDate&gt;=$B141,Data!G141,NA())</f>
        <v>#N/A</v>
      </c>
      <c r="J141" s="10" t="e">
        <f ca="1">IF(TodaysDate&gt;=$B141,Data!H141,NA())</f>
        <v>#N/A</v>
      </c>
      <c r="K141" s="10" t="e">
        <f ca="1">IF(TodaysDate&gt;=$B141,Data!I141,NA())</f>
        <v>#N/A</v>
      </c>
      <c r="L141" s="10" t="e">
        <f ca="1">IF(CFDTable[[#This Row],[Done]]&gt;0,(CFDTable[[#This Row],[Done]])-(K140),0)</f>
        <v>#N/A</v>
      </c>
      <c r="M141" s="10">
        <f ca="1">IF(ISNUMBER($L141),SUM(CFDTable[[#This Row],[Done]]),IF(CFDTable[[#This Row],[lookupLow]]&gt;=CFDTable[[#This Row],[Target]]+CFDTable[[#This Row],[lowDaily]],NA(),CFDTable[[#This Row],[lookupLow]]))</f>
        <v>119.38095238095242</v>
      </c>
      <c r="N141" s="10" t="e">
        <f ca="1">IF(ISNUMBER($L141),SUM(CFDTable[[#This Row],[Done]]),IF(CFDTable[[#This Row],[lookupMedian]]&gt;=$X141+Q141,NA(),CFDTable[[#This Row],[lookupMedian]]))</f>
        <v>#N/A</v>
      </c>
      <c r="O141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41" s="10">
        <f ca="1">CFDTable[[#This Row],[AvgDaily]]-CFDTable[[#This Row],[Deviation]]</f>
        <v>0.80952380952380931</v>
      </c>
      <c r="Q141" s="10">
        <f ca="1">AVERAGE(IF(ISNUMBER(L141),IF(ISNUMBER(OFFSET(L141,-Historic,0)),OFFSET(L141,-Historic,0),L$2):L141,Q140))</f>
        <v>0.95238095238095233</v>
      </c>
      <c r="R141" s="10">
        <f ca="1">AVERAGE(IF(ISNUMBER(L141),IF(ISNUMBER(OFFSET(L141,-Historic,0)),OFFSET(L141,-Historic,0),L$2):L141,R140))</f>
        <v>0.95238095238095233</v>
      </c>
      <c r="S141" s="10">
        <f ca="1">AVERAGE(IF(ISNUMBER(L141),OFFSET(L$2,DaysToIgnoreOnAvg,0):L141,S140))</f>
        <v>0.88311688311688308</v>
      </c>
      <c r="T141" s="10">
        <f ca="1">CFDTable[[#This Row],[AvgDaily]]+CFDTable[[#This Row],[Deviation]]</f>
        <v>1.0952380952380953</v>
      </c>
      <c r="U141" s="10">
        <f ca="1">IF(ISNUMBER(L141),((_xlfn.PERCENTILE.INC(IF(ISNUMBER(OFFSET(Q141,-Historic,0)),OFFSET(Q141,-Historic,0),Q$2):Q141,PercentileHigh/100))-(MEDIAN(IF(ISNUMBER(OFFSET(Q141,-Historic,0)),OFFSET(Q141,-Historic,0),Q$2):Q141))),U140)</f>
        <v>0.14285714285714302</v>
      </c>
      <c r="V141" s="10">
        <f ca="1">IF(ISNUMBER(L141),((_xlfn.PERCENTILE.INC(Q$2:Q141,PercentileHigh/100))-(MEDIAN(Q$2:Q141))),U140)</f>
        <v>0.14285714285714302</v>
      </c>
      <c r="W141" s="10">
        <f ca="1">IF(ISNUMBER(CFDTable[[#This Row],[Done Today]]),SUM($F141:$K141),$W140)</f>
        <v>124</v>
      </c>
      <c r="X141" s="10">
        <f ca="1">IF(ISNUMBER(CFDTable[[#This Row],[Done Today]]),SUM($F141:$K141),$X140)</f>
        <v>124</v>
      </c>
      <c r="Y141" s="10">
        <f ca="1">SUM(LOOKUP(2,1/(M$1:M140&lt;&gt;""),M$1:M140)+CFDTable[[#This Row],[lowDaily]])</f>
        <v>119.38095238095242</v>
      </c>
      <c r="Z141" s="10">
        <f ca="1">SUM(LOOKUP(2,1/(N$1:N140&lt;&gt;""),N$1:N140)+Q141)</f>
        <v>125.23809523809504</v>
      </c>
      <c r="AA141" s="10">
        <f ca="1">SUM(LOOKUP(2,1/(O$1:O140&lt;&gt;""),O$1:O140)+CFDTable[[#This Row],[highDaily]])</f>
        <v>125.8571428571432</v>
      </c>
      <c r="AB141" s="12">
        <f>IF(CFDTable[[#This Row],[Date]]=DeadlineDate,CFDTable[Future Work],0)</f>
        <v>0</v>
      </c>
    </row>
    <row r="142" spans="1:28">
      <c r="A142" s="8">
        <f>CFDTable[[#This Row],[Date]]</f>
        <v>42608</v>
      </c>
      <c r="B142" s="38">
        <f>Data!B142</f>
        <v>42608</v>
      </c>
      <c r="C142" s="10">
        <f ca="1">IF(ISNUMBER(CFDTable[[#This Row],[Ready]]),NA(),CFDTable[[#This Row],[Target]]-CFDTable[[#This Row],[To Do]])</f>
        <v>77</v>
      </c>
      <c r="D142" s="10">
        <f ca="1">IF(CFDTable[[#This Row],[Emergence]]&gt;0,CFDTable[[#This Row],[Future Work]]-CFDTable[[#This Row],[Emergence]],NA())</f>
        <v>81</v>
      </c>
      <c r="E142" s="10">
        <f>Data!C142</f>
        <v>43</v>
      </c>
      <c r="F142" s="10">
        <f ca="1">Data!D142</f>
        <v>47</v>
      </c>
      <c r="G142" s="10" t="e">
        <f ca="1">IF(TodaysDate&gt;=$B142,Data!E142,NA())</f>
        <v>#N/A</v>
      </c>
      <c r="H142" s="10" t="e">
        <f ca="1">IF(TodaysDate&gt;=$B142,Data!F142,NA())</f>
        <v>#N/A</v>
      </c>
      <c r="I142" s="10" t="e">
        <f ca="1">IF(TodaysDate&gt;=$B142,Data!G142,NA())</f>
        <v>#N/A</v>
      </c>
      <c r="J142" s="10" t="e">
        <f ca="1">IF(TodaysDate&gt;=$B142,Data!H142,NA())</f>
        <v>#N/A</v>
      </c>
      <c r="K142" s="10" t="e">
        <f ca="1">IF(TodaysDate&gt;=$B142,Data!I142,NA())</f>
        <v>#N/A</v>
      </c>
      <c r="L142" s="10" t="e">
        <f ca="1">IF(CFDTable[[#This Row],[Done]]&gt;0,(CFDTable[[#This Row],[Done]])-(K141),0)</f>
        <v>#N/A</v>
      </c>
      <c r="M142" s="10">
        <f ca="1">IF(ISNUMBER($L142),SUM(CFDTable[[#This Row],[Done]]),IF(CFDTable[[#This Row],[lookupLow]]&gt;=CFDTable[[#This Row],[Target]]+CFDTable[[#This Row],[lowDaily]],NA(),CFDTable[[#This Row],[lookupLow]]))</f>
        <v>120.19047619047623</v>
      </c>
      <c r="N142" s="10" t="e">
        <f ca="1">IF(ISNUMBER($L142),SUM(CFDTable[[#This Row],[Done]]),IF(CFDTable[[#This Row],[lookupMedian]]&gt;=$X142+Q142,NA(),CFDTable[[#This Row],[lookupMedian]]))</f>
        <v>#N/A</v>
      </c>
      <c r="O142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42" s="10">
        <f ca="1">CFDTable[[#This Row],[AvgDaily]]-CFDTable[[#This Row],[Deviation]]</f>
        <v>0.80952380952380931</v>
      </c>
      <c r="Q142" s="10">
        <f ca="1">AVERAGE(IF(ISNUMBER(L142),IF(ISNUMBER(OFFSET(L142,-Historic,0)),OFFSET(L142,-Historic,0),L$2):L142,Q141))</f>
        <v>0.95238095238095233</v>
      </c>
      <c r="R142" s="10">
        <f ca="1">AVERAGE(IF(ISNUMBER(L142),IF(ISNUMBER(OFFSET(L142,-Historic,0)),OFFSET(L142,-Historic,0),L$2):L142,R141))</f>
        <v>0.95238095238095233</v>
      </c>
      <c r="S142" s="10">
        <f ca="1">AVERAGE(IF(ISNUMBER(L142),OFFSET(L$2,DaysToIgnoreOnAvg,0):L142,S141))</f>
        <v>0.88311688311688308</v>
      </c>
      <c r="T142" s="10">
        <f ca="1">CFDTable[[#This Row],[AvgDaily]]+CFDTable[[#This Row],[Deviation]]</f>
        <v>1.0952380952380953</v>
      </c>
      <c r="U142" s="10">
        <f ca="1">IF(ISNUMBER(L142),((_xlfn.PERCENTILE.INC(IF(ISNUMBER(OFFSET(Q142,-Historic,0)),OFFSET(Q142,-Historic,0),Q$2):Q142,PercentileHigh/100))-(MEDIAN(IF(ISNUMBER(OFFSET(Q142,-Historic,0)),OFFSET(Q142,-Historic,0),Q$2):Q142))),U141)</f>
        <v>0.14285714285714302</v>
      </c>
      <c r="V142" s="10">
        <f ca="1">IF(ISNUMBER(L142),((_xlfn.PERCENTILE.INC(Q$2:Q142,PercentileHigh/100))-(MEDIAN(Q$2:Q142))),U141)</f>
        <v>0.14285714285714302</v>
      </c>
      <c r="W142" s="10">
        <f ca="1">IF(ISNUMBER(CFDTable[[#This Row],[Done Today]]),SUM($F142:$K142),$W141)</f>
        <v>124</v>
      </c>
      <c r="X142" s="10">
        <f ca="1">IF(ISNUMBER(CFDTable[[#This Row],[Done Today]]),SUM($F142:$K142),$X141)</f>
        <v>124</v>
      </c>
      <c r="Y142" s="10">
        <f ca="1">SUM(LOOKUP(2,1/(M$1:M141&lt;&gt;""),M$1:M141)+CFDTable[[#This Row],[lowDaily]])</f>
        <v>120.19047619047623</v>
      </c>
      <c r="Z142" s="10">
        <f ca="1">SUM(LOOKUP(2,1/(N$1:N141&lt;&gt;""),N$1:N141)+Q142)</f>
        <v>125.23809523809504</v>
      </c>
      <c r="AA142" s="10">
        <f ca="1">SUM(LOOKUP(2,1/(O$1:O141&lt;&gt;""),O$1:O141)+CFDTable[[#This Row],[highDaily]])</f>
        <v>125.8571428571432</v>
      </c>
      <c r="AB142" s="12">
        <f>IF(CFDTable[[#This Row],[Date]]=DeadlineDate,CFDTable[Future Work],0)</f>
        <v>0</v>
      </c>
    </row>
    <row r="143" spans="1:28">
      <c r="A143" s="8">
        <f>CFDTable[[#This Row],[Date]]</f>
        <v>42612</v>
      </c>
      <c r="B143" s="38">
        <f>Data!B143</f>
        <v>42612</v>
      </c>
      <c r="C143" s="10">
        <f ca="1">IF(ISNUMBER(CFDTable[[#This Row],[Ready]]),NA(),CFDTable[[#This Row],[Target]]-CFDTable[[#This Row],[To Do]])</f>
        <v>77</v>
      </c>
      <c r="D143" s="10">
        <f ca="1">IF(CFDTable[[#This Row],[Emergence]]&gt;0,CFDTable[[#This Row],[Future Work]]-CFDTable[[#This Row],[Emergence]],NA())</f>
        <v>81</v>
      </c>
      <c r="E143" s="10">
        <f>Data!C143</f>
        <v>43</v>
      </c>
      <c r="F143" s="10">
        <f ca="1">Data!D143</f>
        <v>47</v>
      </c>
      <c r="G143" s="10" t="e">
        <f ca="1">IF(TodaysDate&gt;=$B143,Data!E143,NA())</f>
        <v>#N/A</v>
      </c>
      <c r="H143" s="10" t="e">
        <f ca="1">IF(TodaysDate&gt;=$B143,Data!F143,NA())</f>
        <v>#N/A</v>
      </c>
      <c r="I143" s="10" t="e">
        <f ca="1">IF(TodaysDate&gt;=$B143,Data!G143,NA())</f>
        <v>#N/A</v>
      </c>
      <c r="J143" s="10" t="e">
        <f ca="1">IF(TodaysDate&gt;=$B143,Data!H143,NA())</f>
        <v>#N/A</v>
      </c>
      <c r="K143" s="10" t="e">
        <f ca="1">IF(TodaysDate&gt;=$B143,Data!I143,NA())</f>
        <v>#N/A</v>
      </c>
      <c r="L143" s="10" t="e">
        <f ca="1">IF(CFDTable[[#This Row],[Done]]&gt;0,(CFDTable[[#This Row],[Done]])-(K142),0)</f>
        <v>#N/A</v>
      </c>
      <c r="M143" s="10">
        <f ca="1">IF(ISNUMBER($L143),SUM(CFDTable[[#This Row],[Done]]),IF(CFDTable[[#This Row],[lookupLow]]&gt;=CFDTable[[#This Row],[Target]]+CFDTable[[#This Row],[lowDaily]],NA(),CFDTable[[#This Row],[lookupLow]]))</f>
        <v>121.00000000000004</v>
      </c>
      <c r="N143" s="10" t="e">
        <f ca="1">IF(ISNUMBER($L143),SUM(CFDTable[[#This Row],[Done]]),IF(CFDTable[[#This Row],[lookupMedian]]&gt;=$X143+Q143,NA(),CFDTable[[#This Row],[lookupMedian]]))</f>
        <v>#N/A</v>
      </c>
      <c r="O143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43" s="10">
        <f ca="1">CFDTable[[#This Row],[AvgDaily]]-CFDTable[[#This Row],[Deviation]]</f>
        <v>0.80952380952380931</v>
      </c>
      <c r="Q143" s="10">
        <f ca="1">AVERAGE(IF(ISNUMBER(L143),IF(ISNUMBER(OFFSET(L143,-Historic,0)),OFFSET(L143,-Historic,0),L$2):L143,Q142))</f>
        <v>0.95238095238095233</v>
      </c>
      <c r="R143" s="10">
        <f ca="1">AVERAGE(IF(ISNUMBER(L143),IF(ISNUMBER(OFFSET(L143,-Historic,0)),OFFSET(L143,-Historic,0),L$2):L143,R142))</f>
        <v>0.95238095238095233</v>
      </c>
      <c r="S143" s="10">
        <f ca="1">AVERAGE(IF(ISNUMBER(L143),OFFSET(L$2,DaysToIgnoreOnAvg,0):L143,S142))</f>
        <v>0.88311688311688308</v>
      </c>
      <c r="T143" s="10">
        <f ca="1">CFDTable[[#This Row],[AvgDaily]]+CFDTable[[#This Row],[Deviation]]</f>
        <v>1.0952380952380953</v>
      </c>
      <c r="U143" s="10">
        <f ca="1">IF(ISNUMBER(L143),((_xlfn.PERCENTILE.INC(IF(ISNUMBER(OFFSET(Q143,-Historic,0)),OFFSET(Q143,-Historic,0),Q$2):Q143,PercentileHigh/100))-(MEDIAN(IF(ISNUMBER(OFFSET(Q143,-Historic,0)),OFFSET(Q143,-Historic,0),Q$2):Q143))),U142)</f>
        <v>0.14285714285714302</v>
      </c>
      <c r="V143" s="10">
        <f ca="1">IF(ISNUMBER(L143),((_xlfn.PERCENTILE.INC(Q$2:Q143,PercentileHigh/100))-(MEDIAN(Q$2:Q143))),U142)</f>
        <v>0.14285714285714302</v>
      </c>
      <c r="W143" s="10">
        <f ca="1">IF(ISNUMBER(CFDTable[[#This Row],[Done Today]]),SUM($F143:$K143),$W142)</f>
        <v>124</v>
      </c>
      <c r="X143" s="10">
        <f ca="1">IF(ISNUMBER(CFDTable[[#This Row],[Done Today]]),SUM($F143:$K143),$X142)</f>
        <v>124</v>
      </c>
      <c r="Y143" s="10">
        <f ca="1">SUM(LOOKUP(2,1/(M$1:M142&lt;&gt;""),M$1:M142)+CFDTable[[#This Row],[lowDaily]])</f>
        <v>121.00000000000004</v>
      </c>
      <c r="Z143" s="10">
        <f ca="1">SUM(LOOKUP(2,1/(N$1:N142&lt;&gt;""),N$1:N142)+Q143)</f>
        <v>125.23809523809504</v>
      </c>
      <c r="AA143" s="10">
        <f ca="1">SUM(LOOKUP(2,1/(O$1:O142&lt;&gt;""),O$1:O142)+CFDTable[[#This Row],[highDaily]])</f>
        <v>125.8571428571432</v>
      </c>
      <c r="AB143" s="12">
        <f>IF(CFDTable[[#This Row],[Date]]=DeadlineDate,CFDTable[Future Work],0)</f>
        <v>0</v>
      </c>
    </row>
    <row r="144" spans="1:28">
      <c r="A144" s="8">
        <f>CFDTable[[#This Row],[Date]]</f>
        <v>42613</v>
      </c>
      <c r="B144" s="38">
        <f>Data!B144</f>
        <v>42613</v>
      </c>
      <c r="C144" s="10">
        <f ca="1">IF(ISNUMBER(CFDTable[[#This Row],[Ready]]),NA(),CFDTable[[#This Row],[Target]]-CFDTable[[#This Row],[To Do]])</f>
        <v>77</v>
      </c>
      <c r="D144" s="10">
        <f ca="1">IF(CFDTable[[#This Row],[Emergence]]&gt;0,CFDTable[[#This Row],[Future Work]]-CFDTable[[#This Row],[Emergence]],NA())</f>
        <v>81</v>
      </c>
      <c r="E144" s="10">
        <f>Data!C144</f>
        <v>43</v>
      </c>
      <c r="F144" s="10">
        <f ca="1">Data!D144</f>
        <v>47</v>
      </c>
      <c r="G144" s="10" t="e">
        <f ca="1">IF(TodaysDate&gt;=$B144,Data!E144,NA())</f>
        <v>#N/A</v>
      </c>
      <c r="H144" s="10" t="e">
        <f ca="1">IF(TodaysDate&gt;=$B144,Data!F144,NA())</f>
        <v>#N/A</v>
      </c>
      <c r="I144" s="10" t="e">
        <f ca="1">IF(TodaysDate&gt;=$B144,Data!G144,NA())</f>
        <v>#N/A</v>
      </c>
      <c r="J144" s="10" t="e">
        <f ca="1">IF(TodaysDate&gt;=$B144,Data!H144,NA())</f>
        <v>#N/A</v>
      </c>
      <c r="K144" s="10" t="e">
        <f ca="1">IF(TodaysDate&gt;=$B144,Data!I144,NA())</f>
        <v>#N/A</v>
      </c>
      <c r="L144" s="10" t="e">
        <f ca="1">IF(CFDTable[[#This Row],[Done]]&gt;0,(CFDTable[[#This Row],[Done]])-(K143),0)</f>
        <v>#N/A</v>
      </c>
      <c r="M144" s="10">
        <f ca="1">IF(ISNUMBER($L144),SUM(CFDTable[[#This Row],[Done]]),IF(CFDTable[[#This Row],[lookupLow]]&gt;=CFDTable[[#This Row],[Target]]+CFDTable[[#This Row],[lowDaily]],NA(),CFDTable[[#This Row],[lookupLow]]))</f>
        <v>121.80952380952385</v>
      </c>
      <c r="N144" s="10" t="e">
        <f ca="1">IF(ISNUMBER($L144),SUM(CFDTable[[#This Row],[Done]]),IF(CFDTable[[#This Row],[lookupMedian]]&gt;=$X144+Q144,NA(),CFDTable[[#This Row],[lookupMedian]]))</f>
        <v>#N/A</v>
      </c>
      <c r="O144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44" s="10">
        <f ca="1">CFDTable[[#This Row],[AvgDaily]]-CFDTable[[#This Row],[Deviation]]</f>
        <v>0.80952380952380931</v>
      </c>
      <c r="Q144" s="10">
        <f ca="1">AVERAGE(IF(ISNUMBER(L144),IF(ISNUMBER(OFFSET(L144,-Historic,0)),OFFSET(L144,-Historic,0),L$2):L144,Q143))</f>
        <v>0.95238095238095233</v>
      </c>
      <c r="R144" s="10">
        <f ca="1">AVERAGE(IF(ISNUMBER(L144),IF(ISNUMBER(OFFSET(L144,-Historic,0)),OFFSET(L144,-Historic,0),L$2):L144,R143))</f>
        <v>0.95238095238095233</v>
      </c>
      <c r="S144" s="10">
        <f ca="1">AVERAGE(IF(ISNUMBER(L144),OFFSET(L$2,DaysToIgnoreOnAvg,0):L144,S143))</f>
        <v>0.88311688311688308</v>
      </c>
      <c r="T144" s="10">
        <f ca="1">CFDTable[[#This Row],[AvgDaily]]+CFDTable[[#This Row],[Deviation]]</f>
        <v>1.0952380952380953</v>
      </c>
      <c r="U144" s="10">
        <f ca="1">IF(ISNUMBER(L144),((_xlfn.PERCENTILE.INC(IF(ISNUMBER(OFFSET(Q144,-Historic,0)),OFFSET(Q144,-Historic,0),Q$2):Q144,PercentileHigh/100))-(MEDIAN(IF(ISNUMBER(OFFSET(Q144,-Historic,0)),OFFSET(Q144,-Historic,0),Q$2):Q144))),U143)</f>
        <v>0.14285714285714302</v>
      </c>
      <c r="V144" s="10">
        <f ca="1">IF(ISNUMBER(L144),((_xlfn.PERCENTILE.INC(Q$2:Q144,PercentileHigh/100))-(MEDIAN(Q$2:Q144))),U143)</f>
        <v>0.14285714285714302</v>
      </c>
      <c r="W144" s="10">
        <f ca="1">IF(ISNUMBER(CFDTable[[#This Row],[Done Today]]),SUM($F144:$K144),$W143)</f>
        <v>124</v>
      </c>
      <c r="X144" s="10">
        <f ca="1">IF(ISNUMBER(CFDTable[[#This Row],[Done Today]]),SUM($F144:$K144),$X143)</f>
        <v>124</v>
      </c>
      <c r="Y144" s="10">
        <f ca="1">SUM(LOOKUP(2,1/(M$1:M143&lt;&gt;""),M$1:M143)+CFDTable[[#This Row],[lowDaily]])</f>
        <v>121.80952380952385</v>
      </c>
      <c r="Z144" s="10">
        <f ca="1">SUM(LOOKUP(2,1/(N$1:N143&lt;&gt;""),N$1:N143)+Q144)</f>
        <v>125.23809523809504</v>
      </c>
      <c r="AA144" s="10">
        <f ca="1">SUM(LOOKUP(2,1/(O$1:O143&lt;&gt;""),O$1:O143)+CFDTable[[#This Row],[highDaily]])</f>
        <v>125.8571428571432</v>
      </c>
      <c r="AB144" s="12">
        <f>IF(CFDTable[[#This Row],[Date]]=DeadlineDate,CFDTable[Future Work],0)</f>
        <v>0</v>
      </c>
    </row>
    <row r="145" spans="1:28">
      <c r="A145" s="8">
        <f>CFDTable[[#This Row],[Date]]</f>
        <v>42614</v>
      </c>
      <c r="B145" s="38">
        <f>Data!B145</f>
        <v>42614</v>
      </c>
      <c r="C145" s="10">
        <f ca="1">IF(ISNUMBER(CFDTable[[#This Row],[Ready]]),NA(),CFDTable[[#This Row],[Target]]-CFDTable[[#This Row],[To Do]])</f>
        <v>77</v>
      </c>
      <c r="D145" s="10">
        <f ca="1">IF(CFDTable[[#This Row],[Emergence]]&gt;0,CFDTable[[#This Row],[Future Work]]-CFDTable[[#This Row],[Emergence]],NA())</f>
        <v>81</v>
      </c>
      <c r="E145" s="10">
        <f>Data!C145</f>
        <v>43</v>
      </c>
      <c r="F145" s="10">
        <f ca="1">Data!D145</f>
        <v>47</v>
      </c>
      <c r="G145" s="10" t="e">
        <f ca="1">IF(TodaysDate&gt;=$B145,Data!E145,NA())</f>
        <v>#N/A</v>
      </c>
      <c r="H145" s="10" t="e">
        <f ca="1">IF(TodaysDate&gt;=$B145,Data!F145,NA())</f>
        <v>#N/A</v>
      </c>
      <c r="I145" s="10" t="e">
        <f ca="1">IF(TodaysDate&gt;=$B145,Data!G145,NA())</f>
        <v>#N/A</v>
      </c>
      <c r="J145" s="10" t="e">
        <f ca="1">IF(TodaysDate&gt;=$B145,Data!H145,NA())</f>
        <v>#N/A</v>
      </c>
      <c r="K145" s="10" t="e">
        <f ca="1">IF(TodaysDate&gt;=$B145,Data!I145,NA())</f>
        <v>#N/A</v>
      </c>
      <c r="L145" s="10" t="e">
        <f ca="1">IF(CFDTable[[#This Row],[Done]]&gt;0,(CFDTable[[#This Row],[Done]])-(K144),0)</f>
        <v>#N/A</v>
      </c>
      <c r="M145" s="10">
        <f ca="1">IF(ISNUMBER($L145),SUM(CFDTable[[#This Row],[Done]]),IF(CFDTable[[#This Row],[lookupLow]]&gt;=CFDTable[[#This Row],[Target]]+CFDTable[[#This Row],[lowDaily]],NA(),CFDTable[[#This Row],[lookupLow]]))</f>
        <v>122.61904761904766</v>
      </c>
      <c r="N145" s="10" t="e">
        <f ca="1">IF(ISNUMBER($L145),SUM(CFDTable[[#This Row],[Done]]),IF(CFDTable[[#This Row],[lookupMedian]]&gt;=$X145+Q145,NA(),CFDTable[[#This Row],[lookupMedian]]))</f>
        <v>#N/A</v>
      </c>
      <c r="O145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45" s="10">
        <f ca="1">CFDTable[[#This Row],[AvgDaily]]-CFDTable[[#This Row],[Deviation]]</f>
        <v>0.80952380952380931</v>
      </c>
      <c r="Q145" s="10">
        <f ca="1">AVERAGE(IF(ISNUMBER(L145),IF(ISNUMBER(OFFSET(L145,-Historic,0)),OFFSET(L145,-Historic,0),L$2):L145,Q144))</f>
        <v>0.95238095238095233</v>
      </c>
      <c r="R145" s="10">
        <f ca="1">AVERAGE(IF(ISNUMBER(L145),IF(ISNUMBER(OFFSET(L145,-Historic,0)),OFFSET(L145,-Historic,0),L$2):L145,R144))</f>
        <v>0.95238095238095233</v>
      </c>
      <c r="S145" s="10">
        <f ca="1">AVERAGE(IF(ISNUMBER(L145),OFFSET(L$2,DaysToIgnoreOnAvg,0):L145,S144))</f>
        <v>0.88311688311688308</v>
      </c>
      <c r="T145" s="10">
        <f ca="1">CFDTable[[#This Row],[AvgDaily]]+CFDTable[[#This Row],[Deviation]]</f>
        <v>1.0952380952380953</v>
      </c>
      <c r="U145" s="10">
        <f ca="1">IF(ISNUMBER(L145),((_xlfn.PERCENTILE.INC(IF(ISNUMBER(OFFSET(Q145,-Historic,0)),OFFSET(Q145,-Historic,0),Q$2):Q145,PercentileHigh/100))-(MEDIAN(IF(ISNUMBER(OFFSET(Q145,-Historic,0)),OFFSET(Q145,-Historic,0),Q$2):Q145))),U144)</f>
        <v>0.14285714285714302</v>
      </c>
      <c r="V145" s="10">
        <f ca="1">IF(ISNUMBER(L145),((_xlfn.PERCENTILE.INC(Q$2:Q145,PercentileHigh/100))-(MEDIAN(Q$2:Q145))),U144)</f>
        <v>0.14285714285714302</v>
      </c>
      <c r="W145" s="10">
        <f ca="1">IF(ISNUMBER(CFDTable[[#This Row],[Done Today]]),SUM($F145:$K145),$W144)</f>
        <v>124</v>
      </c>
      <c r="X145" s="10">
        <f ca="1">IF(ISNUMBER(CFDTable[[#This Row],[Done Today]]),SUM($F145:$K145),$X144)</f>
        <v>124</v>
      </c>
      <c r="Y145" s="10">
        <f ca="1">SUM(LOOKUP(2,1/(M$1:M144&lt;&gt;""),M$1:M144)+CFDTable[[#This Row],[lowDaily]])</f>
        <v>122.61904761904766</v>
      </c>
      <c r="Z145" s="10">
        <f ca="1">SUM(LOOKUP(2,1/(N$1:N144&lt;&gt;""),N$1:N144)+Q145)</f>
        <v>125.23809523809504</v>
      </c>
      <c r="AA145" s="10">
        <f ca="1">SUM(LOOKUP(2,1/(O$1:O144&lt;&gt;""),O$1:O144)+CFDTable[[#This Row],[highDaily]])</f>
        <v>125.8571428571432</v>
      </c>
      <c r="AB145" s="12">
        <f>IF(CFDTable[[#This Row],[Date]]=DeadlineDate,CFDTable[Future Work],0)</f>
        <v>0</v>
      </c>
    </row>
    <row r="146" spans="1:28">
      <c r="A146" s="8">
        <f>CFDTable[[#This Row],[Date]]</f>
        <v>42615</v>
      </c>
      <c r="B146" s="38">
        <f>Data!B146</f>
        <v>42615</v>
      </c>
      <c r="C146" s="10">
        <f ca="1">IF(ISNUMBER(CFDTable[[#This Row],[Ready]]),NA(),CFDTable[[#This Row],[Target]]-CFDTable[[#This Row],[To Do]])</f>
        <v>77</v>
      </c>
      <c r="D146" s="10">
        <f ca="1">IF(CFDTable[[#This Row],[Emergence]]&gt;0,CFDTable[[#This Row],[Future Work]]-CFDTable[[#This Row],[Emergence]],NA())</f>
        <v>81</v>
      </c>
      <c r="E146" s="10">
        <f>Data!C146</f>
        <v>43</v>
      </c>
      <c r="F146" s="10">
        <f ca="1">Data!D146</f>
        <v>47</v>
      </c>
      <c r="G146" s="10" t="e">
        <f ca="1">IF(TodaysDate&gt;=$B146,Data!E146,NA())</f>
        <v>#N/A</v>
      </c>
      <c r="H146" s="10" t="e">
        <f ca="1">IF(TodaysDate&gt;=$B146,Data!F146,NA())</f>
        <v>#N/A</v>
      </c>
      <c r="I146" s="10" t="e">
        <f ca="1">IF(TodaysDate&gt;=$B146,Data!G146,NA())</f>
        <v>#N/A</v>
      </c>
      <c r="J146" s="10" t="e">
        <f ca="1">IF(TodaysDate&gt;=$B146,Data!H146,NA())</f>
        <v>#N/A</v>
      </c>
      <c r="K146" s="10" t="e">
        <f ca="1">IF(TodaysDate&gt;=$B146,Data!I146,NA())</f>
        <v>#N/A</v>
      </c>
      <c r="L146" s="10" t="e">
        <f ca="1">IF(CFDTable[[#This Row],[Done]]&gt;0,(CFDTable[[#This Row],[Done]])-(K145),0)</f>
        <v>#N/A</v>
      </c>
      <c r="M146" s="10">
        <f ca="1">IF(ISNUMBER($L146),SUM(CFDTable[[#This Row],[Done]]),IF(CFDTable[[#This Row],[lookupLow]]&gt;=CFDTable[[#This Row],[Target]]+CFDTable[[#This Row],[lowDaily]],NA(),CFDTable[[#This Row],[lookupLow]]))</f>
        <v>123.42857142857147</v>
      </c>
      <c r="N146" s="10" t="e">
        <f ca="1">IF(ISNUMBER($L146),SUM(CFDTable[[#This Row],[Done]]),IF(CFDTable[[#This Row],[lookupMedian]]&gt;=$X146+Q146,NA(),CFDTable[[#This Row],[lookupMedian]]))</f>
        <v>#N/A</v>
      </c>
      <c r="O146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46" s="10">
        <f ca="1">CFDTable[[#This Row],[AvgDaily]]-CFDTable[[#This Row],[Deviation]]</f>
        <v>0.80952380952380931</v>
      </c>
      <c r="Q146" s="10">
        <f ca="1">AVERAGE(IF(ISNUMBER(L146),IF(ISNUMBER(OFFSET(L146,-Historic,0)),OFFSET(L146,-Historic,0),L$2):L146,Q145))</f>
        <v>0.95238095238095233</v>
      </c>
      <c r="R146" s="10">
        <f ca="1">AVERAGE(IF(ISNUMBER(L146),IF(ISNUMBER(OFFSET(L146,-Historic,0)),OFFSET(L146,-Historic,0),L$2):L146,R145))</f>
        <v>0.95238095238095233</v>
      </c>
      <c r="S146" s="10">
        <f ca="1">AVERAGE(IF(ISNUMBER(L146),OFFSET(L$2,DaysToIgnoreOnAvg,0):L146,S145))</f>
        <v>0.88311688311688308</v>
      </c>
      <c r="T146" s="10">
        <f ca="1">CFDTable[[#This Row],[AvgDaily]]+CFDTable[[#This Row],[Deviation]]</f>
        <v>1.0952380952380953</v>
      </c>
      <c r="U146" s="10">
        <f ca="1">IF(ISNUMBER(L146),((_xlfn.PERCENTILE.INC(IF(ISNUMBER(OFFSET(Q146,-Historic,0)),OFFSET(Q146,-Historic,0),Q$2):Q146,PercentileHigh/100))-(MEDIAN(IF(ISNUMBER(OFFSET(Q146,-Historic,0)),OFFSET(Q146,-Historic,0),Q$2):Q146))),U145)</f>
        <v>0.14285714285714302</v>
      </c>
      <c r="V146" s="10">
        <f ca="1">IF(ISNUMBER(L146),((_xlfn.PERCENTILE.INC(Q$2:Q146,PercentileHigh/100))-(MEDIAN(Q$2:Q146))),U145)</f>
        <v>0.14285714285714302</v>
      </c>
      <c r="W146" s="10">
        <f ca="1">IF(ISNUMBER(CFDTable[[#This Row],[Done Today]]),SUM($F146:$K146),$W145)</f>
        <v>124</v>
      </c>
      <c r="X146" s="10">
        <f ca="1">IF(ISNUMBER(CFDTable[[#This Row],[Done Today]]),SUM($F146:$K146),$X145)</f>
        <v>124</v>
      </c>
      <c r="Y146" s="10">
        <f ca="1">SUM(LOOKUP(2,1/(M$1:M145&lt;&gt;""),M$1:M145)+CFDTable[[#This Row],[lowDaily]])</f>
        <v>123.42857142857147</v>
      </c>
      <c r="Z146" s="10">
        <f ca="1">SUM(LOOKUP(2,1/(N$1:N145&lt;&gt;""),N$1:N145)+Q146)</f>
        <v>125.23809523809504</v>
      </c>
      <c r="AA146" s="10">
        <f ca="1">SUM(LOOKUP(2,1/(O$1:O145&lt;&gt;""),O$1:O145)+CFDTable[[#This Row],[highDaily]])</f>
        <v>125.8571428571432</v>
      </c>
      <c r="AB146" s="12">
        <f>IF(CFDTable[[#This Row],[Date]]=DeadlineDate,CFDTable[Future Work],0)</f>
        <v>0</v>
      </c>
    </row>
    <row r="147" spans="1:28">
      <c r="A147" s="8">
        <f>CFDTable[[#This Row],[Date]]</f>
        <v>42618</v>
      </c>
      <c r="B147" s="38">
        <f>Data!B147</f>
        <v>42618</v>
      </c>
      <c r="C147" s="10">
        <f ca="1">IF(ISNUMBER(CFDTable[[#This Row],[Ready]]),NA(),CFDTable[[#This Row],[Target]]-CFDTable[[#This Row],[To Do]])</f>
        <v>77</v>
      </c>
      <c r="D147" s="10">
        <f ca="1">IF(CFDTable[[#This Row],[Emergence]]&gt;0,CFDTable[[#This Row],[Future Work]]-CFDTable[[#This Row],[Emergence]],NA())</f>
        <v>81</v>
      </c>
      <c r="E147" s="10">
        <f>Data!C147</f>
        <v>43</v>
      </c>
      <c r="F147" s="10">
        <f ca="1">Data!D147</f>
        <v>47</v>
      </c>
      <c r="G147" s="10" t="e">
        <f ca="1">IF(TodaysDate&gt;=$B147,Data!E147,NA())</f>
        <v>#N/A</v>
      </c>
      <c r="H147" s="10" t="e">
        <f ca="1">IF(TodaysDate&gt;=$B147,Data!F147,NA())</f>
        <v>#N/A</v>
      </c>
      <c r="I147" s="10" t="e">
        <f ca="1">IF(TodaysDate&gt;=$B147,Data!G147,NA())</f>
        <v>#N/A</v>
      </c>
      <c r="J147" s="10" t="e">
        <f ca="1">IF(TodaysDate&gt;=$B147,Data!H147,NA())</f>
        <v>#N/A</v>
      </c>
      <c r="K147" s="10" t="e">
        <f ca="1">IF(TodaysDate&gt;=$B147,Data!I147,NA())</f>
        <v>#N/A</v>
      </c>
      <c r="L147" s="10" t="e">
        <f ca="1">IF(CFDTable[[#This Row],[Done]]&gt;0,(CFDTable[[#This Row],[Done]])-(K146),0)</f>
        <v>#N/A</v>
      </c>
      <c r="M147" s="10">
        <f ca="1">IF(ISNUMBER($L147),SUM(CFDTable[[#This Row],[Done]]),IF(CFDTable[[#This Row],[lookupLow]]&gt;=CFDTable[[#This Row],[Target]]+CFDTable[[#This Row],[lowDaily]],NA(),CFDTable[[#This Row],[lookupLow]]))</f>
        <v>124.23809523809528</v>
      </c>
      <c r="N147" s="10" t="e">
        <f ca="1">IF(ISNUMBER($L147),SUM(CFDTable[[#This Row],[Done]]),IF(CFDTable[[#This Row],[lookupMedian]]&gt;=$X147+Q147,NA(),CFDTable[[#This Row],[lookupMedian]]))</f>
        <v>#N/A</v>
      </c>
      <c r="O147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47" s="10">
        <f ca="1">CFDTable[[#This Row],[AvgDaily]]-CFDTable[[#This Row],[Deviation]]</f>
        <v>0.80952380952380931</v>
      </c>
      <c r="Q147" s="10">
        <f ca="1">AVERAGE(IF(ISNUMBER(L147),IF(ISNUMBER(OFFSET(L147,-Historic,0)),OFFSET(L147,-Historic,0),L$2):L147,Q146))</f>
        <v>0.95238095238095233</v>
      </c>
      <c r="R147" s="10">
        <f ca="1">AVERAGE(IF(ISNUMBER(L147),IF(ISNUMBER(OFFSET(L147,-Historic,0)),OFFSET(L147,-Historic,0),L$2):L147,R146))</f>
        <v>0.95238095238095233</v>
      </c>
      <c r="S147" s="10">
        <f ca="1">AVERAGE(IF(ISNUMBER(L147),OFFSET(L$2,DaysToIgnoreOnAvg,0):L147,S146))</f>
        <v>0.88311688311688308</v>
      </c>
      <c r="T147" s="10">
        <f ca="1">CFDTable[[#This Row],[AvgDaily]]+CFDTable[[#This Row],[Deviation]]</f>
        <v>1.0952380952380953</v>
      </c>
      <c r="U147" s="10">
        <f ca="1">IF(ISNUMBER(L147),((_xlfn.PERCENTILE.INC(IF(ISNUMBER(OFFSET(Q147,-Historic,0)),OFFSET(Q147,-Historic,0),Q$2):Q147,PercentileHigh/100))-(MEDIAN(IF(ISNUMBER(OFFSET(Q147,-Historic,0)),OFFSET(Q147,-Historic,0),Q$2):Q147))),U146)</f>
        <v>0.14285714285714302</v>
      </c>
      <c r="V147" s="10">
        <f ca="1">IF(ISNUMBER(L147),((_xlfn.PERCENTILE.INC(Q$2:Q147,PercentileHigh/100))-(MEDIAN(Q$2:Q147))),U146)</f>
        <v>0.14285714285714302</v>
      </c>
      <c r="W147" s="10">
        <f ca="1">IF(ISNUMBER(CFDTable[[#This Row],[Done Today]]),SUM($F147:$K147),$W146)</f>
        <v>124</v>
      </c>
      <c r="X147" s="10">
        <f ca="1">IF(ISNUMBER(CFDTable[[#This Row],[Done Today]]),SUM($F147:$K147),$X146)</f>
        <v>124</v>
      </c>
      <c r="Y147" s="10">
        <f ca="1">SUM(LOOKUP(2,1/(M$1:M146&lt;&gt;""),M$1:M146)+CFDTable[[#This Row],[lowDaily]])</f>
        <v>124.23809523809528</v>
      </c>
      <c r="Z147" s="10">
        <f ca="1">SUM(LOOKUP(2,1/(N$1:N146&lt;&gt;""),N$1:N146)+Q147)</f>
        <v>125.23809523809504</v>
      </c>
      <c r="AA147" s="10">
        <f ca="1">SUM(LOOKUP(2,1/(O$1:O146&lt;&gt;""),O$1:O146)+CFDTable[[#This Row],[highDaily]])</f>
        <v>125.8571428571432</v>
      </c>
      <c r="AB147" s="12">
        <f>IF(CFDTable[[#This Row],[Date]]=DeadlineDate,CFDTable[Future Work],0)</f>
        <v>0</v>
      </c>
    </row>
    <row r="148" spans="1:28">
      <c r="A148" s="8">
        <f>CFDTable[[#This Row],[Date]]</f>
        <v>42619</v>
      </c>
      <c r="B148" s="38">
        <f>Data!B148</f>
        <v>42619</v>
      </c>
      <c r="C148" s="10">
        <f ca="1">IF(ISNUMBER(CFDTable[[#This Row],[Ready]]),NA(),CFDTable[[#This Row],[Target]]-CFDTable[[#This Row],[To Do]])</f>
        <v>77</v>
      </c>
      <c r="D148" s="10">
        <f ca="1">IF(CFDTable[[#This Row],[Emergence]]&gt;0,CFDTable[[#This Row],[Future Work]]-CFDTable[[#This Row],[Emergence]],NA())</f>
        <v>81</v>
      </c>
      <c r="E148" s="10">
        <f>Data!C148</f>
        <v>43</v>
      </c>
      <c r="F148" s="10">
        <f ca="1">Data!D148</f>
        <v>47</v>
      </c>
      <c r="G148" s="10" t="e">
        <f ca="1">IF(TodaysDate&gt;=$B148,Data!E148,NA())</f>
        <v>#N/A</v>
      </c>
      <c r="H148" s="10" t="e">
        <f ca="1">IF(TodaysDate&gt;=$B148,Data!F148,NA())</f>
        <v>#N/A</v>
      </c>
      <c r="I148" s="10" t="e">
        <f ca="1">IF(TodaysDate&gt;=$B148,Data!G148,NA())</f>
        <v>#N/A</v>
      </c>
      <c r="J148" s="10" t="e">
        <f ca="1">IF(TodaysDate&gt;=$B148,Data!H148,NA())</f>
        <v>#N/A</v>
      </c>
      <c r="K148" s="10" t="e">
        <f ca="1">IF(TodaysDate&gt;=$B148,Data!I148,NA())</f>
        <v>#N/A</v>
      </c>
      <c r="L148" s="10" t="e">
        <f ca="1">IF(CFDTable[[#This Row],[Done]]&gt;0,(CFDTable[[#This Row],[Done]])-(K147),0)</f>
        <v>#N/A</v>
      </c>
      <c r="M148" s="10" t="e">
        <f ca="1">IF(ISNUMBER($L148),SUM(CFDTable[[#This Row],[Done]]),IF(CFDTable[[#This Row],[lookupLow]]&gt;=CFDTable[[#This Row],[Target]]+CFDTable[[#This Row],[lowDaily]],NA(),CFDTable[[#This Row],[lookupLow]]))</f>
        <v>#N/A</v>
      </c>
      <c r="N148" s="10" t="e">
        <f ca="1">IF(ISNUMBER($L148),SUM(CFDTable[[#This Row],[Done]]),IF(CFDTable[[#This Row],[lookupMedian]]&gt;=$X148+Q148,NA(),CFDTable[[#This Row],[lookupMedian]]))</f>
        <v>#N/A</v>
      </c>
      <c r="O148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48" s="10">
        <f ca="1">CFDTable[[#This Row],[AvgDaily]]-CFDTable[[#This Row],[Deviation]]</f>
        <v>0.80952380952380931</v>
      </c>
      <c r="Q148" s="10">
        <f ca="1">AVERAGE(IF(ISNUMBER(L148),IF(ISNUMBER(OFFSET(L148,-Historic,0)),OFFSET(L148,-Historic,0),L$2):L148,Q147))</f>
        <v>0.95238095238095233</v>
      </c>
      <c r="R148" s="10">
        <f ca="1">AVERAGE(IF(ISNUMBER(L148),IF(ISNUMBER(OFFSET(L148,-Historic,0)),OFFSET(L148,-Historic,0),L$2):L148,R147))</f>
        <v>0.95238095238095233</v>
      </c>
      <c r="S148" s="10">
        <f ca="1">AVERAGE(IF(ISNUMBER(L148),OFFSET(L$2,DaysToIgnoreOnAvg,0):L148,S147))</f>
        <v>0.88311688311688308</v>
      </c>
      <c r="T148" s="10">
        <f ca="1">CFDTable[[#This Row],[AvgDaily]]+CFDTable[[#This Row],[Deviation]]</f>
        <v>1.0952380952380953</v>
      </c>
      <c r="U148" s="10">
        <f ca="1">IF(ISNUMBER(L148),((_xlfn.PERCENTILE.INC(IF(ISNUMBER(OFFSET(Q148,-Historic,0)),OFFSET(Q148,-Historic,0),Q$2):Q148,PercentileHigh/100))-(MEDIAN(IF(ISNUMBER(OFFSET(Q148,-Historic,0)),OFFSET(Q148,-Historic,0),Q$2):Q148))),U147)</f>
        <v>0.14285714285714302</v>
      </c>
      <c r="V148" s="10">
        <f ca="1">IF(ISNUMBER(L148),((_xlfn.PERCENTILE.INC(Q$2:Q148,PercentileHigh/100))-(MEDIAN(Q$2:Q148))),U147)</f>
        <v>0.14285714285714302</v>
      </c>
      <c r="W148" s="10">
        <f ca="1">IF(ISNUMBER(CFDTable[[#This Row],[Done Today]]),SUM($F148:$K148),$W147)</f>
        <v>124</v>
      </c>
      <c r="X148" s="10">
        <f ca="1">IF(ISNUMBER(CFDTable[[#This Row],[Done Today]]),SUM($F148:$K148),$X147)</f>
        <v>124</v>
      </c>
      <c r="Y148" s="10">
        <f ca="1">SUM(LOOKUP(2,1/(M$1:M147&lt;&gt;""),M$1:M147)+CFDTable[[#This Row],[lowDaily]])</f>
        <v>125.04761904761909</v>
      </c>
      <c r="Z148" s="10">
        <f ca="1">SUM(LOOKUP(2,1/(N$1:N147&lt;&gt;""),N$1:N147)+Q148)</f>
        <v>125.23809523809504</v>
      </c>
      <c r="AA148" s="10">
        <f ca="1">SUM(LOOKUP(2,1/(O$1:O147&lt;&gt;""),O$1:O147)+CFDTable[[#This Row],[highDaily]])</f>
        <v>125.8571428571432</v>
      </c>
      <c r="AB148" s="12">
        <f>IF(CFDTable[[#This Row],[Date]]=DeadlineDate,CFDTable[Future Work],0)</f>
        <v>0</v>
      </c>
    </row>
    <row r="149" spans="1:28">
      <c r="A149" s="8">
        <f>CFDTable[[#This Row],[Date]]</f>
        <v>42620</v>
      </c>
      <c r="B149" s="38">
        <f>Data!B149</f>
        <v>42620</v>
      </c>
      <c r="C149" s="10">
        <f ca="1">IF(ISNUMBER(CFDTable[[#This Row],[Ready]]),NA(),CFDTable[[#This Row],[Target]]-CFDTable[[#This Row],[To Do]])</f>
        <v>77</v>
      </c>
      <c r="D149" s="10">
        <f ca="1">IF(CFDTable[[#This Row],[Emergence]]&gt;0,CFDTable[[#This Row],[Future Work]]-CFDTable[[#This Row],[Emergence]],NA())</f>
        <v>81</v>
      </c>
      <c r="E149" s="10">
        <f>Data!C149</f>
        <v>43</v>
      </c>
      <c r="F149" s="10">
        <f ca="1">Data!D149</f>
        <v>47</v>
      </c>
      <c r="G149" s="10" t="e">
        <f ca="1">IF(TodaysDate&gt;=$B149,Data!E149,NA())</f>
        <v>#N/A</v>
      </c>
      <c r="H149" s="10" t="e">
        <f ca="1">IF(TodaysDate&gt;=$B149,Data!F149,NA())</f>
        <v>#N/A</v>
      </c>
      <c r="I149" s="10" t="e">
        <f ca="1">IF(TodaysDate&gt;=$B149,Data!G149,NA())</f>
        <v>#N/A</v>
      </c>
      <c r="J149" s="10" t="e">
        <f ca="1">IF(TodaysDate&gt;=$B149,Data!H149,NA())</f>
        <v>#N/A</v>
      </c>
      <c r="K149" s="10" t="e">
        <f ca="1">IF(TodaysDate&gt;=$B149,Data!I149,NA())</f>
        <v>#N/A</v>
      </c>
      <c r="L149" s="10" t="e">
        <f ca="1">IF(CFDTable[[#This Row],[Done]]&gt;0,(CFDTable[[#This Row],[Done]])-(K148),0)</f>
        <v>#N/A</v>
      </c>
      <c r="M149" s="10" t="e">
        <f ca="1">IF(ISNUMBER($L149),SUM(CFDTable[[#This Row],[Done]]),IF(CFDTable[[#This Row],[lookupLow]]&gt;=CFDTable[[#This Row],[Target]]+CFDTable[[#This Row],[lowDaily]],NA(),CFDTable[[#This Row],[lookupLow]]))</f>
        <v>#N/A</v>
      </c>
      <c r="N149" s="10" t="e">
        <f ca="1">IF(ISNUMBER($L149),SUM(CFDTable[[#This Row],[Done]]),IF(CFDTable[[#This Row],[lookupMedian]]&gt;=$X149+Q149,NA(),CFDTable[[#This Row],[lookupMedian]]))</f>
        <v>#N/A</v>
      </c>
      <c r="O149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49" s="10">
        <f ca="1">CFDTable[[#This Row],[AvgDaily]]-CFDTable[[#This Row],[Deviation]]</f>
        <v>0.80952380952380931</v>
      </c>
      <c r="Q149" s="10">
        <f ca="1">AVERAGE(IF(ISNUMBER(L149),IF(ISNUMBER(OFFSET(L149,-Historic,0)),OFFSET(L149,-Historic,0),L$2):L149,Q148))</f>
        <v>0.95238095238095233</v>
      </c>
      <c r="R149" s="10">
        <f ca="1">AVERAGE(IF(ISNUMBER(L149),IF(ISNUMBER(OFFSET(L149,-Historic,0)),OFFSET(L149,-Historic,0),L$2):L149,R148))</f>
        <v>0.95238095238095233</v>
      </c>
      <c r="S149" s="10">
        <f ca="1">AVERAGE(IF(ISNUMBER(L149),OFFSET(L$2,DaysToIgnoreOnAvg,0):L149,S148))</f>
        <v>0.88311688311688308</v>
      </c>
      <c r="T149" s="10">
        <f ca="1">CFDTable[[#This Row],[AvgDaily]]+CFDTable[[#This Row],[Deviation]]</f>
        <v>1.0952380952380953</v>
      </c>
      <c r="U149" s="10">
        <f ca="1">IF(ISNUMBER(L149),((_xlfn.PERCENTILE.INC(IF(ISNUMBER(OFFSET(Q149,-Historic,0)),OFFSET(Q149,-Historic,0),Q$2):Q149,PercentileHigh/100))-(MEDIAN(IF(ISNUMBER(OFFSET(Q149,-Historic,0)),OFFSET(Q149,-Historic,0),Q$2):Q149))),U148)</f>
        <v>0.14285714285714302</v>
      </c>
      <c r="V149" s="10">
        <f ca="1">IF(ISNUMBER(L149),((_xlfn.PERCENTILE.INC(Q$2:Q149,PercentileHigh/100))-(MEDIAN(Q$2:Q149))),U148)</f>
        <v>0.14285714285714302</v>
      </c>
      <c r="W149" s="10">
        <f ca="1">IF(ISNUMBER(CFDTable[[#This Row],[Done Today]]),SUM($F149:$K149),$W148)</f>
        <v>124</v>
      </c>
      <c r="X149" s="10">
        <f ca="1">IF(ISNUMBER(CFDTable[[#This Row],[Done Today]]),SUM($F149:$K149),$X148)</f>
        <v>124</v>
      </c>
      <c r="Y149" s="10">
        <f ca="1">SUM(LOOKUP(2,1/(M$1:M148&lt;&gt;""),M$1:M148)+CFDTable[[#This Row],[lowDaily]])</f>
        <v>125.04761904761909</v>
      </c>
      <c r="Z149" s="10">
        <f ca="1">SUM(LOOKUP(2,1/(N$1:N148&lt;&gt;""),N$1:N148)+Q149)</f>
        <v>125.23809523809504</v>
      </c>
      <c r="AA149" s="10">
        <f ca="1">SUM(LOOKUP(2,1/(O$1:O148&lt;&gt;""),O$1:O148)+CFDTable[[#This Row],[highDaily]])</f>
        <v>125.8571428571432</v>
      </c>
      <c r="AB149" s="12">
        <f>IF(CFDTable[[#This Row],[Date]]=DeadlineDate,CFDTable[Future Work],0)</f>
        <v>0</v>
      </c>
    </row>
    <row r="150" spans="1:28">
      <c r="A150" s="8">
        <f>CFDTable[[#This Row],[Date]]</f>
        <v>42621</v>
      </c>
      <c r="B150" s="38">
        <f>Data!B150</f>
        <v>42621</v>
      </c>
      <c r="C150" s="10">
        <f ca="1">IF(ISNUMBER(CFDTable[[#This Row],[Ready]]),NA(),CFDTable[[#This Row],[Target]]-CFDTable[[#This Row],[To Do]])</f>
        <v>77</v>
      </c>
      <c r="D150" s="10">
        <f ca="1">IF(CFDTable[[#This Row],[Emergence]]&gt;0,CFDTable[[#This Row],[Future Work]]-CFDTable[[#This Row],[Emergence]],NA())</f>
        <v>81</v>
      </c>
      <c r="E150" s="10">
        <f>Data!C150</f>
        <v>43</v>
      </c>
      <c r="F150" s="10">
        <f ca="1">Data!D150</f>
        <v>47</v>
      </c>
      <c r="G150" s="10" t="e">
        <f ca="1">IF(TodaysDate&gt;=$B150,Data!E150,NA())</f>
        <v>#N/A</v>
      </c>
      <c r="H150" s="10" t="e">
        <f ca="1">IF(TodaysDate&gt;=$B150,Data!F150,NA())</f>
        <v>#N/A</v>
      </c>
      <c r="I150" s="10" t="e">
        <f ca="1">IF(TodaysDate&gt;=$B150,Data!G150,NA())</f>
        <v>#N/A</v>
      </c>
      <c r="J150" s="10" t="e">
        <f ca="1">IF(TodaysDate&gt;=$B150,Data!H150,NA())</f>
        <v>#N/A</v>
      </c>
      <c r="K150" s="10" t="e">
        <f ca="1">IF(TodaysDate&gt;=$B150,Data!I150,NA())</f>
        <v>#N/A</v>
      </c>
      <c r="L150" s="10" t="e">
        <f ca="1">IF(CFDTable[[#This Row],[Done]]&gt;0,(CFDTable[[#This Row],[Done]])-(K149),0)</f>
        <v>#N/A</v>
      </c>
      <c r="M150" s="10" t="e">
        <f ca="1">IF(ISNUMBER($L150),SUM(CFDTable[[#This Row],[Done]]),IF(CFDTable[[#This Row],[lookupLow]]&gt;=CFDTable[[#This Row],[Target]]+CFDTable[[#This Row],[lowDaily]],NA(),CFDTable[[#This Row],[lookupLow]]))</f>
        <v>#N/A</v>
      </c>
      <c r="N150" s="10" t="e">
        <f ca="1">IF(ISNUMBER($L150),SUM(CFDTable[[#This Row],[Done]]),IF(CFDTable[[#This Row],[lookupMedian]]&gt;=$X150+Q150,NA(),CFDTable[[#This Row],[lookupMedian]]))</f>
        <v>#N/A</v>
      </c>
      <c r="O150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50" s="10">
        <f ca="1">CFDTable[[#This Row],[AvgDaily]]-CFDTable[[#This Row],[Deviation]]</f>
        <v>0.80952380952380931</v>
      </c>
      <c r="Q150" s="10">
        <f ca="1">AVERAGE(IF(ISNUMBER(L150),IF(ISNUMBER(OFFSET(L150,-Historic,0)),OFFSET(L150,-Historic,0),L$2):L150,Q149))</f>
        <v>0.95238095238095233</v>
      </c>
      <c r="R150" s="10">
        <f ca="1">AVERAGE(IF(ISNUMBER(L150),IF(ISNUMBER(OFFSET(L150,-Historic,0)),OFFSET(L150,-Historic,0),L$2):L150,R149))</f>
        <v>0.95238095238095233</v>
      </c>
      <c r="S150" s="10">
        <f ca="1">AVERAGE(IF(ISNUMBER(L150),OFFSET(L$2,DaysToIgnoreOnAvg,0):L150,S149))</f>
        <v>0.88311688311688308</v>
      </c>
      <c r="T150" s="10">
        <f ca="1">CFDTable[[#This Row],[AvgDaily]]+CFDTable[[#This Row],[Deviation]]</f>
        <v>1.0952380952380953</v>
      </c>
      <c r="U150" s="10">
        <f ca="1">IF(ISNUMBER(L150),((_xlfn.PERCENTILE.INC(IF(ISNUMBER(OFFSET(Q150,-Historic,0)),OFFSET(Q150,-Historic,0),Q$2):Q150,PercentileHigh/100))-(MEDIAN(IF(ISNUMBER(OFFSET(Q150,-Historic,0)),OFFSET(Q150,-Historic,0),Q$2):Q150))),U149)</f>
        <v>0.14285714285714302</v>
      </c>
      <c r="V150" s="10">
        <f ca="1">IF(ISNUMBER(L150),((_xlfn.PERCENTILE.INC(Q$2:Q150,PercentileHigh/100))-(MEDIAN(Q$2:Q150))),U149)</f>
        <v>0.14285714285714302</v>
      </c>
      <c r="W150" s="10">
        <f ca="1">IF(ISNUMBER(CFDTable[[#This Row],[Done Today]]),SUM($F150:$K150),$W149)</f>
        <v>124</v>
      </c>
      <c r="X150" s="10">
        <f ca="1">IF(ISNUMBER(CFDTable[[#This Row],[Done Today]]),SUM($F150:$K150),$X149)</f>
        <v>124</v>
      </c>
      <c r="Y150" s="10">
        <f ca="1">SUM(LOOKUP(2,1/(M$1:M149&lt;&gt;""),M$1:M149)+CFDTable[[#This Row],[lowDaily]])</f>
        <v>125.04761904761909</v>
      </c>
      <c r="Z150" s="10">
        <f ca="1">SUM(LOOKUP(2,1/(N$1:N149&lt;&gt;""),N$1:N149)+Q150)</f>
        <v>125.23809523809504</v>
      </c>
      <c r="AA150" s="10">
        <f ca="1">SUM(LOOKUP(2,1/(O$1:O149&lt;&gt;""),O$1:O149)+CFDTable[[#This Row],[highDaily]])</f>
        <v>125.8571428571432</v>
      </c>
      <c r="AB150" s="12">
        <f>IF(CFDTable[[#This Row],[Date]]=DeadlineDate,CFDTable[Future Work],0)</f>
        <v>0</v>
      </c>
    </row>
    <row r="151" spans="1:28">
      <c r="A151" s="8">
        <f>CFDTable[[#This Row],[Date]]</f>
        <v>42622</v>
      </c>
      <c r="B151" s="38">
        <f>Data!B151</f>
        <v>42622</v>
      </c>
      <c r="C151" s="10">
        <f ca="1">IF(ISNUMBER(CFDTable[[#This Row],[Ready]]),NA(),CFDTable[[#This Row],[Target]]-CFDTable[[#This Row],[To Do]])</f>
        <v>77</v>
      </c>
      <c r="D151" s="10">
        <f ca="1">IF(CFDTable[[#This Row],[Emergence]]&gt;0,CFDTable[[#This Row],[Future Work]]-CFDTable[[#This Row],[Emergence]],NA())</f>
        <v>81</v>
      </c>
      <c r="E151" s="10">
        <f>Data!C151</f>
        <v>43</v>
      </c>
      <c r="F151" s="10">
        <f ca="1">Data!D151</f>
        <v>47</v>
      </c>
      <c r="G151" s="10" t="e">
        <f ca="1">IF(TodaysDate&gt;=$B151,Data!E151,NA())</f>
        <v>#N/A</v>
      </c>
      <c r="H151" s="10" t="e">
        <f ca="1">IF(TodaysDate&gt;=$B151,Data!F151,NA())</f>
        <v>#N/A</v>
      </c>
      <c r="I151" s="10" t="e">
        <f ca="1">IF(TodaysDate&gt;=$B151,Data!G151,NA())</f>
        <v>#N/A</v>
      </c>
      <c r="J151" s="10" t="e">
        <f ca="1">IF(TodaysDate&gt;=$B151,Data!H151,NA())</f>
        <v>#N/A</v>
      </c>
      <c r="K151" s="10" t="e">
        <f ca="1">IF(TodaysDate&gt;=$B151,Data!I151,NA())</f>
        <v>#N/A</v>
      </c>
      <c r="L151" s="10" t="e">
        <f ca="1">IF(CFDTable[[#This Row],[Done]]&gt;0,(CFDTable[[#This Row],[Done]])-(K150),0)</f>
        <v>#N/A</v>
      </c>
      <c r="M151" s="10" t="e">
        <f ca="1">IF(ISNUMBER($L151),SUM(CFDTable[[#This Row],[Done]]),IF(CFDTable[[#This Row],[lookupLow]]&gt;=CFDTable[[#This Row],[Target]]+CFDTable[[#This Row],[lowDaily]],NA(),CFDTable[[#This Row],[lookupLow]]))</f>
        <v>#N/A</v>
      </c>
      <c r="N151" s="10" t="e">
        <f ca="1">IF(ISNUMBER($L151),SUM(CFDTable[[#This Row],[Done]]),IF(CFDTable[[#This Row],[lookupMedian]]&gt;=$X151+Q151,NA(),CFDTable[[#This Row],[lookupMedian]]))</f>
        <v>#N/A</v>
      </c>
      <c r="O151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51" s="10">
        <f ca="1">CFDTable[[#This Row],[AvgDaily]]-CFDTable[[#This Row],[Deviation]]</f>
        <v>0.80952380952380931</v>
      </c>
      <c r="Q151" s="10">
        <f ca="1">AVERAGE(IF(ISNUMBER(L151),IF(ISNUMBER(OFFSET(L151,-Historic,0)),OFFSET(L151,-Historic,0),L$2):L151,Q150))</f>
        <v>0.95238095238095233</v>
      </c>
      <c r="R151" s="10">
        <f ca="1">AVERAGE(IF(ISNUMBER(L151),IF(ISNUMBER(OFFSET(L151,-Historic,0)),OFFSET(L151,-Historic,0),L$2):L151,R150))</f>
        <v>0.95238095238095233</v>
      </c>
      <c r="S151" s="10">
        <f ca="1">AVERAGE(IF(ISNUMBER(L151),OFFSET(L$2,DaysToIgnoreOnAvg,0):L151,S150))</f>
        <v>0.88311688311688308</v>
      </c>
      <c r="T151" s="10">
        <f ca="1">CFDTable[[#This Row],[AvgDaily]]+CFDTable[[#This Row],[Deviation]]</f>
        <v>1.0952380952380953</v>
      </c>
      <c r="U151" s="10">
        <f ca="1">IF(ISNUMBER(L151),((_xlfn.PERCENTILE.INC(IF(ISNUMBER(OFFSET(Q151,-Historic,0)),OFFSET(Q151,-Historic,0),Q$2):Q151,PercentileHigh/100))-(MEDIAN(IF(ISNUMBER(OFFSET(Q151,-Historic,0)),OFFSET(Q151,-Historic,0),Q$2):Q151))),U150)</f>
        <v>0.14285714285714302</v>
      </c>
      <c r="V151" s="10">
        <f ca="1">IF(ISNUMBER(L151),((_xlfn.PERCENTILE.INC(Q$2:Q151,PercentileHigh/100))-(MEDIAN(Q$2:Q151))),U150)</f>
        <v>0.14285714285714302</v>
      </c>
      <c r="W151" s="10">
        <f ca="1">IF(ISNUMBER(CFDTable[[#This Row],[Done Today]]),SUM($F151:$K151),$W150)</f>
        <v>124</v>
      </c>
      <c r="X151" s="10">
        <f ca="1">IF(ISNUMBER(CFDTable[[#This Row],[Done Today]]),SUM($F151:$K151),$X150)</f>
        <v>124</v>
      </c>
      <c r="Y151" s="10">
        <f ca="1">SUM(LOOKUP(2,1/(M$1:M150&lt;&gt;""),M$1:M150)+CFDTable[[#This Row],[lowDaily]])</f>
        <v>125.04761904761909</v>
      </c>
      <c r="Z151" s="10">
        <f ca="1">SUM(LOOKUP(2,1/(N$1:N150&lt;&gt;""),N$1:N150)+Q151)</f>
        <v>125.23809523809504</v>
      </c>
      <c r="AA151" s="10">
        <f ca="1">SUM(LOOKUP(2,1/(O$1:O150&lt;&gt;""),O$1:O150)+CFDTable[[#This Row],[highDaily]])</f>
        <v>125.8571428571432</v>
      </c>
      <c r="AB151" s="12">
        <f>IF(CFDTable[[#This Row],[Date]]=DeadlineDate,CFDTable[Future Work],0)</f>
        <v>0</v>
      </c>
    </row>
    <row r="152" spans="1:28">
      <c r="A152" s="8">
        <f>CFDTable[[#This Row],[Date]]</f>
        <v>42625</v>
      </c>
      <c r="B152" s="38">
        <f>Data!B152</f>
        <v>42625</v>
      </c>
      <c r="C152" s="10">
        <f ca="1">IF(ISNUMBER(CFDTable[[#This Row],[Ready]]),NA(),CFDTable[[#This Row],[Target]]-CFDTable[[#This Row],[To Do]])</f>
        <v>77</v>
      </c>
      <c r="D152" s="10">
        <f ca="1">IF(CFDTable[[#This Row],[Emergence]]&gt;0,CFDTable[[#This Row],[Future Work]]-CFDTable[[#This Row],[Emergence]],NA())</f>
        <v>81</v>
      </c>
      <c r="E152" s="10">
        <f>Data!C152</f>
        <v>43</v>
      </c>
      <c r="F152" s="10">
        <f ca="1">Data!D152</f>
        <v>47</v>
      </c>
      <c r="G152" s="10" t="e">
        <f ca="1">IF(TodaysDate&gt;=$B152,Data!E152,NA())</f>
        <v>#N/A</v>
      </c>
      <c r="H152" s="10" t="e">
        <f ca="1">IF(TodaysDate&gt;=$B152,Data!F152,NA())</f>
        <v>#N/A</v>
      </c>
      <c r="I152" s="10" t="e">
        <f ca="1">IF(TodaysDate&gt;=$B152,Data!G152,NA())</f>
        <v>#N/A</v>
      </c>
      <c r="J152" s="10" t="e">
        <f ca="1">IF(TodaysDate&gt;=$B152,Data!H152,NA())</f>
        <v>#N/A</v>
      </c>
      <c r="K152" s="10" t="e">
        <f ca="1">IF(TodaysDate&gt;=$B152,Data!I152,NA())</f>
        <v>#N/A</v>
      </c>
      <c r="L152" s="10" t="e">
        <f ca="1">IF(CFDTable[[#This Row],[Done]]&gt;0,(CFDTable[[#This Row],[Done]])-(K151),0)</f>
        <v>#N/A</v>
      </c>
      <c r="M152" s="10" t="e">
        <f ca="1">IF(ISNUMBER($L152),SUM(CFDTable[[#This Row],[Done]]),IF(CFDTable[[#This Row],[lookupLow]]&gt;=CFDTable[[#This Row],[Target]]+CFDTable[[#This Row],[lowDaily]],NA(),CFDTable[[#This Row],[lookupLow]]))</f>
        <v>#N/A</v>
      </c>
      <c r="N152" s="10" t="e">
        <f ca="1">IF(ISNUMBER($L152),SUM(CFDTable[[#This Row],[Done]]),IF(CFDTable[[#This Row],[lookupMedian]]&gt;=$X152+Q152,NA(),CFDTable[[#This Row],[lookupMedian]]))</f>
        <v>#N/A</v>
      </c>
      <c r="O152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52" s="10">
        <f ca="1">CFDTable[[#This Row],[AvgDaily]]-CFDTable[[#This Row],[Deviation]]</f>
        <v>0.80952380952380931</v>
      </c>
      <c r="Q152" s="10">
        <f ca="1">AVERAGE(IF(ISNUMBER(L152),IF(ISNUMBER(OFFSET(L152,-Historic,0)),OFFSET(L152,-Historic,0),L$2):L152,Q151))</f>
        <v>0.95238095238095233</v>
      </c>
      <c r="R152" s="10">
        <f ca="1">AVERAGE(IF(ISNUMBER(L152),IF(ISNUMBER(OFFSET(L152,-Historic,0)),OFFSET(L152,-Historic,0),L$2):L152,R151))</f>
        <v>0.95238095238095233</v>
      </c>
      <c r="S152" s="10">
        <f ca="1">AVERAGE(IF(ISNUMBER(L152),OFFSET(L$2,DaysToIgnoreOnAvg,0):L152,S151))</f>
        <v>0.88311688311688308</v>
      </c>
      <c r="T152" s="10">
        <f ca="1">CFDTable[[#This Row],[AvgDaily]]+CFDTable[[#This Row],[Deviation]]</f>
        <v>1.0952380952380953</v>
      </c>
      <c r="U152" s="10">
        <f ca="1">IF(ISNUMBER(L152),((_xlfn.PERCENTILE.INC(IF(ISNUMBER(OFFSET(Q152,-Historic,0)),OFFSET(Q152,-Historic,0),Q$2):Q152,PercentileHigh/100))-(MEDIAN(IF(ISNUMBER(OFFSET(Q152,-Historic,0)),OFFSET(Q152,-Historic,0),Q$2):Q152))),U151)</f>
        <v>0.14285714285714302</v>
      </c>
      <c r="V152" s="10">
        <f ca="1">IF(ISNUMBER(L152),((_xlfn.PERCENTILE.INC(Q$2:Q152,PercentileHigh/100))-(MEDIAN(Q$2:Q152))),U151)</f>
        <v>0.14285714285714302</v>
      </c>
      <c r="W152" s="10">
        <f ca="1">IF(ISNUMBER(CFDTable[[#This Row],[Done Today]]),SUM($F152:$K152),$W151)</f>
        <v>124</v>
      </c>
      <c r="X152" s="10">
        <f ca="1">IF(ISNUMBER(CFDTable[[#This Row],[Done Today]]),SUM($F152:$K152),$X151)</f>
        <v>124</v>
      </c>
      <c r="Y152" s="10">
        <f ca="1">SUM(LOOKUP(2,1/(M$1:M151&lt;&gt;""),M$1:M151)+CFDTable[[#This Row],[lowDaily]])</f>
        <v>125.04761904761909</v>
      </c>
      <c r="Z152" s="10">
        <f ca="1">SUM(LOOKUP(2,1/(N$1:N151&lt;&gt;""),N$1:N151)+Q152)</f>
        <v>125.23809523809504</v>
      </c>
      <c r="AA152" s="10">
        <f ca="1">SUM(LOOKUP(2,1/(O$1:O151&lt;&gt;""),O$1:O151)+CFDTable[[#This Row],[highDaily]])</f>
        <v>125.8571428571432</v>
      </c>
      <c r="AB152" s="12">
        <f>IF(CFDTable[[#This Row],[Date]]=DeadlineDate,CFDTable[Future Work],0)</f>
        <v>0</v>
      </c>
    </row>
    <row r="153" spans="1:28">
      <c r="A153" s="8">
        <f>CFDTable[[#This Row],[Date]]</f>
        <v>42626</v>
      </c>
      <c r="B153" s="38">
        <f>Data!B153</f>
        <v>42626</v>
      </c>
      <c r="C153" s="10">
        <f ca="1">IF(ISNUMBER(CFDTable[[#This Row],[Ready]]),NA(),CFDTable[[#This Row],[Target]]-CFDTable[[#This Row],[To Do]])</f>
        <v>77</v>
      </c>
      <c r="D153" s="10">
        <f ca="1">IF(CFDTable[[#This Row],[Emergence]]&gt;0,CFDTable[[#This Row],[Future Work]]-CFDTable[[#This Row],[Emergence]],NA())</f>
        <v>81</v>
      </c>
      <c r="E153" s="10">
        <f>Data!C153</f>
        <v>43</v>
      </c>
      <c r="F153" s="10">
        <f ca="1">Data!D153</f>
        <v>47</v>
      </c>
      <c r="G153" s="10" t="e">
        <f ca="1">IF(TodaysDate&gt;=$B153,Data!E153,NA())</f>
        <v>#N/A</v>
      </c>
      <c r="H153" s="10" t="e">
        <f ca="1">IF(TodaysDate&gt;=$B153,Data!F153,NA())</f>
        <v>#N/A</v>
      </c>
      <c r="I153" s="10" t="e">
        <f ca="1">IF(TodaysDate&gt;=$B153,Data!G153,NA())</f>
        <v>#N/A</v>
      </c>
      <c r="J153" s="10" t="e">
        <f ca="1">IF(TodaysDate&gt;=$B153,Data!H153,NA())</f>
        <v>#N/A</v>
      </c>
      <c r="K153" s="10" t="e">
        <f ca="1">IF(TodaysDate&gt;=$B153,Data!I153,NA())</f>
        <v>#N/A</v>
      </c>
      <c r="L153" s="10" t="e">
        <f ca="1">IF(CFDTable[[#This Row],[Done]]&gt;0,(CFDTable[[#This Row],[Done]])-(K152),0)</f>
        <v>#N/A</v>
      </c>
      <c r="M153" s="10" t="e">
        <f ca="1">IF(ISNUMBER($L153),SUM(CFDTable[[#This Row],[Done]]),IF(CFDTable[[#This Row],[lookupLow]]&gt;=CFDTable[[#This Row],[Target]]+CFDTable[[#This Row],[lowDaily]],NA(),CFDTable[[#This Row],[lookupLow]]))</f>
        <v>#N/A</v>
      </c>
      <c r="N153" s="10" t="e">
        <f ca="1">IF(ISNUMBER($L153),SUM(CFDTable[[#This Row],[Done]]),IF(CFDTable[[#This Row],[lookupMedian]]&gt;=$X153+Q153,NA(),CFDTable[[#This Row],[lookupMedian]]))</f>
        <v>#N/A</v>
      </c>
      <c r="O153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53" s="10">
        <f ca="1">CFDTable[[#This Row],[AvgDaily]]-CFDTable[[#This Row],[Deviation]]</f>
        <v>0.80952380952380931</v>
      </c>
      <c r="Q153" s="10">
        <f ca="1">AVERAGE(IF(ISNUMBER(L153),IF(ISNUMBER(OFFSET(L153,-Historic,0)),OFFSET(L153,-Historic,0),L$2):L153,Q152))</f>
        <v>0.95238095238095233</v>
      </c>
      <c r="R153" s="10">
        <f ca="1">AVERAGE(IF(ISNUMBER(L153),IF(ISNUMBER(OFFSET(L153,-Historic,0)),OFFSET(L153,-Historic,0),L$2):L153,R152))</f>
        <v>0.95238095238095233</v>
      </c>
      <c r="S153" s="10">
        <f ca="1">AVERAGE(IF(ISNUMBER(L153),OFFSET(L$2,DaysToIgnoreOnAvg,0):L153,S152))</f>
        <v>0.88311688311688308</v>
      </c>
      <c r="T153" s="10">
        <f ca="1">CFDTable[[#This Row],[AvgDaily]]+CFDTable[[#This Row],[Deviation]]</f>
        <v>1.0952380952380953</v>
      </c>
      <c r="U153" s="10">
        <f ca="1">IF(ISNUMBER(L153),((_xlfn.PERCENTILE.INC(IF(ISNUMBER(OFFSET(Q153,-Historic,0)),OFFSET(Q153,-Historic,0),Q$2):Q153,PercentileHigh/100))-(MEDIAN(IF(ISNUMBER(OFFSET(Q153,-Historic,0)),OFFSET(Q153,-Historic,0),Q$2):Q153))),U152)</f>
        <v>0.14285714285714302</v>
      </c>
      <c r="V153" s="10">
        <f ca="1">IF(ISNUMBER(L153),((_xlfn.PERCENTILE.INC(Q$2:Q153,PercentileHigh/100))-(MEDIAN(Q$2:Q153))),U152)</f>
        <v>0.14285714285714302</v>
      </c>
      <c r="W153" s="10">
        <f ca="1">IF(ISNUMBER(CFDTable[[#This Row],[Done Today]]),SUM($F153:$K153),$W152)</f>
        <v>124</v>
      </c>
      <c r="X153" s="10">
        <f ca="1">IF(ISNUMBER(CFDTable[[#This Row],[Done Today]]),SUM($F153:$K153),$X152)</f>
        <v>124</v>
      </c>
      <c r="Y153" s="10">
        <f ca="1">SUM(LOOKUP(2,1/(M$1:M152&lt;&gt;""),M$1:M152)+CFDTable[[#This Row],[lowDaily]])</f>
        <v>125.04761904761909</v>
      </c>
      <c r="Z153" s="10">
        <f ca="1">SUM(LOOKUP(2,1/(N$1:N152&lt;&gt;""),N$1:N152)+Q153)</f>
        <v>125.23809523809504</v>
      </c>
      <c r="AA153" s="10">
        <f ca="1">SUM(LOOKUP(2,1/(O$1:O152&lt;&gt;""),O$1:O152)+CFDTable[[#This Row],[highDaily]])</f>
        <v>125.8571428571432</v>
      </c>
      <c r="AB153" s="12">
        <f>IF(CFDTable[[#This Row],[Date]]=DeadlineDate,CFDTable[Future Work],0)</f>
        <v>0</v>
      </c>
    </row>
    <row r="154" spans="1:28">
      <c r="A154" s="8">
        <f>CFDTable[[#This Row],[Date]]</f>
        <v>42627</v>
      </c>
      <c r="B154" s="38">
        <f>Data!B154</f>
        <v>42627</v>
      </c>
      <c r="C154" s="10">
        <f ca="1">IF(ISNUMBER(CFDTable[[#This Row],[Ready]]),NA(),CFDTable[[#This Row],[Target]]-CFDTable[[#This Row],[To Do]])</f>
        <v>77</v>
      </c>
      <c r="D154" s="10">
        <f ca="1">IF(CFDTable[[#This Row],[Emergence]]&gt;0,CFDTable[[#This Row],[Future Work]]-CFDTable[[#This Row],[Emergence]],NA())</f>
        <v>81</v>
      </c>
      <c r="E154" s="10">
        <f>Data!C154</f>
        <v>43</v>
      </c>
      <c r="F154" s="10">
        <f ca="1">Data!D154</f>
        <v>47</v>
      </c>
      <c r="G154" s="10" t="e">
        <f ca="1">IF(TodaysDate&gt;=$B154,Data!E154,NA())</f>
        <v>#N/A</v>
      </c>
      <c r="H154" s="10" t="e">
        <f ca="1">IF(TodaysDate&gt;=$B154,Data!F154,NA())</f>
        <v>#N/A</v>
      </c>
      <c r="I154" s="10" t="e">
        <f ca="1">IF(TodaysDate&gt;=$B154,Data!G154,NA())</f>
        <v>#N/A</v>
      </c>
      <c r="J154" s="10" t="e">
        <f ca="1">IF(TodaysDate&gt;=$B154,Data!H154,NA())</f>
        <v>#N/A</v>
      </c>
      <c r="K154" s="10" t="e">
        <f ca="1">IF(TodaysDate&gt;=$B154,Data!I154,NA())</f>
        <v>#N/A</v>
      </c>
      <c r="L154" s="10" t="e">
        <f ca="1">IF(CFDTable[[#This Row],[Done]]&gt;0,(CFDTable[[#This Row],[Done]])-(K153),0)</f>
        <v>#N/A</v>
      </c>
      <c r="M154" s="10" t="e">
        <f ca="1">IF(ISNUMBER($L154),SUM(CFDTable[[#This Row],[Done]]),IF(CFDTable[[#This Row],[lookupLow]]&gt;=CFDTable[[#This Row],[Target]]+CFDTable[[#This Row],[lowDaily]],NA(),CFDTable[[#This Row],[lookupLow]]))</f>
        <v>#N/A</v>
      </c>
      <c r="N154" s="10" t="e">
        <f ca="1">IF(ISNUMBER($L154),SUM(CFDTable[[#This Row],[Done]]),IF(CFDTable[[#This Row],[lookupMedian]]&gt;=$X154+Q154,NA(),CFDTable[[#This Row],[lookupMedian]]))</f>
        <v>#N/A</v>
      </c>
      <c r="O154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54" s="10">
        <f ca="1">CFDTable[[#This Row],[AvgDaily]]-CFDTable[[#This Row],[Deviation]]</f>
        <v>0.80952380952380931</v>
      </c>
      <c r="Q154" s="10">
        <f ca="1">AVERAGE(IF(ISNUMBER(L154),IF(ISNUMBER(OFFSET(L154,-Historic,0)),OFFSET(L154,-Historic,0),L$2):L154,Q153))</f>
        <v>0.95238095238095233</v>
      </c>
      <c r="R154" s="10">
        <f ca="1">AVERAGE(IF(ISNUMBER(L154),IF(ISNUMBER(OFFSET(L154,-Historic,0)),OFFSET(L154,-Historic,0),L$2):L154,R153))</f>
        <v>0.95238095238095233</v>
      </c>
      <c r="S154" s="10">
        <f ca="1">AVERAGE(IF(ISNUMBER(L154),OFFSET(L$2,DaysToIgnoreOnAvg,0):L154,S153))</f>
        <v>0.88311688311688308</v>
      </c>
      <c r="T154" s="10">
        <f ca="1">CFDTable[[#This Row],[AvgDaily]]+CFDTable[[#This Row],[Deviation]]</f>
        <v>1.0952380952380953</v>
      </c>
      <c r="U154" s="10">
        <f ca="1">IF(ISNUMBER(L154),((_xlfn.PERCENTILE.INC(IF(ISNUMBER(OFFSET(Q154,-Historic,0)),OFFSET(Q154,-Historic,0),Q$2):Q154,PercentileHigh/100))-(MEDIAN(IF(ISNUMBER(OFFSET(Q154,-Historic,0)),OFFSET(Q154,-Historic,0),Q$2):Q154))),U153)</f>
        <v>0.14285714285714302</v>
      </c>
      <c r="V154" s="10">
        <f ca="1">IF(ISNUMBER(L154),((_xlfn.PERCENTILE.INC(Q$2:Q154,PercentileHigh/100))-(MEDIAN(Q$2:Q154))),U153)</f>
        <v>0.14285714285714302</v>
      </c>
      <c r="W154" s="10">
        <f ca="1">IF(ISNUMBER(CFDTable[[#This Row],[Done Today]]),SUM($F154:$K154),$W153)</f>
        <v>124</v>
      </c>
      <c r="X154" s="10">
        <f ca="1">IF(ISNUMBER(CFDTable[[#This Row],[Done Today]]),SUM($F154:$K154),$X153)</f>
        <v>124</v>
      </c>
      <c r="Y154" s="10">
        <f ca="1">SUM(LOOKUP(2,1/(M$1:M153&lt;&gt;""),M$1:M153)+CFDTable[[#This Row],[lowDaily]])</f>
        <v>125.04761904761909</v>
      </c>
      <c r="Z154" s="10">
        <f ca="1">SUM(LOOKUP(2,1/(N$1:N153&lt;&gt;""),N$1:N153)+Q154)</f>
        <v>125.23809523809504</v>
      </c>
      <c r="AA154" s="10">
        <f ca="1">SUM(LOOKUP(2,1/(O$1:O153&lt;&gt;""),O$1:O153)+CFDTable[[#This Row],[highDaily]])</f>
        <v>125.8571428571432</v>
      </c>
      <c r="AB154" s="12">
        <f>IF(CFDTable[[#This Row],[Date]]=DeadlineDate,CFDTable[Future Work],0)</f>
        <v>0</v>
      </c>
    </row>
    <row r="155" spans="1:28">
      <c r="A155" s="8">
        <f>CFDTable[[#This Row],[Date]]</f>
        <v>42628</v>
      </c>
      <c r="B155" s="38">
        <f>Data!B155</f>
        <v>42628</v>
      </c>
      <c r="C155" s="10">
        <f ca="1">IF(ISNUMBER(CFDTable[[#This Row],[Ready]]),NA(),CFDTable[[#This Row],[Target]]-CFDTable[[#This Row],[To Do]])</f>
        <v>77</v>
      </c>
      <c r="D155" s="10">
        <f ca="1">IF(CFDTable[[#This Row],[Emergence]]&gt;0,CFDTable[[#This Row],[Future Work]]-CFDTable[[#This Row],[Emergence]],NA())</f>
        <v>81</v>
      </c>
      <c r="E155" s="10">
        <f>Data!C155</f>
        <v>43</v>
      </c>
      <c r="F155" s="10">
        <f ca="1">Data!D155</f>
        <v>47</v>
      </c>
      <c r="G155" s="10" t="e">
        <f ca="1">IF(TodaysDate&gt;=$B155,Data!E155,NA())</f>
        <v>#N/A</v>
      </c>
      <c r="H155" s="10" t="e">
        <f ca="1">IF(TodaysDate&gt;=$B155,Data!F155,NA())</f>
        <v>#N/A</v>
      </c>
      <c r="I155" s="10" t="e">
        <f ca="1">IF(TodaysDate&gt;=$B155,Data!G155,NA())</f>
        <v>#N/A</v>
      </c>
      <c r="J155" s="10" t="e">
        <f ca="1">IF(TodaysDate&gt;=$B155,Data!H155,NA())</f>
        <v>#N/A</v>
      </c>
      <c r="K155" s="10" t="e">
        <f ca="1">IF(TodaysDate&gt;=$B155,Data!I155,NA())</f>
        <v>#N/A</v>
      </c>
      <c r="L155" s="10" t="e">
        <f ca="1">IF(CFDTable[[#This Row],[Done]]&gt;0,(CFDTable[[#This Row],[Done]])-(K154),0)</f>
        <v>#N/A</v>
      </c>
      <c r="M155" s="10" t="e">
        <f ca="1">IF(ISNUMBER($L155),SUM(CFDTable[[#This Row],[Done]]),IF(CFDTable[[#This Row],[lookupLow]]&gt;=CFDTable[[#This Row],[Target]]+CFDTable[[#This Row],[lowDaily]],NA(),CFDTable[[#This Row],[lookupLow]]))</f>
        <v>#N/A</v>
      </c>
      <c r="N155" s="10" t="e">
        <f ca="1">IF(ISNUMBER($L155),SUM(CFDTable[[#This Row],[Done]]),IF(CFDTable[[#This Row],[lookupMedian]]&gt;=$X155+Q155,NA(),CFDTable[[#This Row],[lookupMedian]]))</f>
        <v>#N/A</v>
      </c>
      <c r="O155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55" s="10">
        <f ca="1">CFDTable[[#This Row],[AvgDaily]]-CFDTable[[#This Row],[Deviation]]</f>
        <v>0.80952380952380931</v>
      </c>
      <c r="Q155" s="10">
        <f ca="1">AVERAGE(IF(ISNUMBER(L155),IF(ISNUMBER(OFFSET(L155,-Historic,0)),OFFSET(L155,-Historic,0),L$2):L155,Q154))</f>
        <v>0.95238095238095233</v>
      </c>
      <c r="R155" s="10">
        <f ca="1">AVERAGE(IF(ISNUMBER(L155),IF(ISNUMBER(OFFSET(L155,-Historic,0)),OFFSET(L155,-Historic,0),L$2):L155,R154))</f>
        <v>0.95238095238095233</v>
      </c>
      <c r="S155" s="10">
        <f ca="1">AVERAGE(IF(ISNUMBER(L155),OFFSET(L$2,DaysToIgnoreOnAvg,0):L155,S154))</f>
        <v>0.88311688311688308</v>
      </c>
      <c r="T155" s="10">
        <f ca="1">CFDTable[[#This Row],[AvgDaily]]+CFDTable[[#This Row],[Deviation]]</f>
        <v>1.0952380952380953</v>
      </c>
      <c r="U155" s="10">
        <f ca="1">IF(ISNUMBER(L155),((_xlfn.PERCENTILE.INC(IF(ISNUMBER(OFFSET(Q155,-Historic,0)),OFFSET(Q155,-Historic,0),Q$2):Q155,PercentileHigh/100))-(MEDIAN(IF(ISNUMBER(OFFSET(Q155,-Historic,0)),OFFSET(Q155,-Historic,0),Q$2):Q155))),U154)</f>
        <v>0.14285714285714302</v>
      </c>
      <c r="V155" s="10">
        <f ca="1">IF(ISNUMBER(L155),((_xlfn.PERCENTILE.INC(Q$2:Q155,PercentileHigh/100))-(MEDIAN(Q$2:Q155))),U154)</f>
        <v>0.14285714285714302</v>
      </c>
      <c r="W155" s="10">
        <f ca="1">IF(ISNUMBER(CFDTable[[#This Row],[Done Today]]),SUM($F155:$K155),$W154)</f>
        <v>124</v>
      </c>
      <c r="X155" s="10">
        <f ca="1">IF(ISNUMBER(CFDTable[[#This Row],[Done Today]]),SUM($F155:$K155),$X154)</f>
        <v>124</v>
      </c>
      <c r="Y155" s="10">
        <f ca="1">SUM(LOOKUP(2,1/(M$1:M154&lt;&gt;""),M$1:M154)+CFDTable[[#This Row],[lowDaily]])</f>
        <v>125.04761904761909</v>
      </c>
      <c r="Z155" s="10">
        <f ca="1">SUM(LOOKUP(2,1/(N$1:N154&lt;&gt;""),N$1:N154)+Q155)</f>
        <v>125.23809523809504</v>
      </c>
      <c r="AA155" s="10">
        <f ca="1">SUM(LOOKUP(2,1/(O$1:O154&lt;&gt;""),O$1:O154)+CFDTable[[#This Row],[highDaily]])</f>
        <v>125.8571428571432</v>
      </c>
      <c r="AB155" s="12">
        <f>IF(CFDTable[[#This Row],[Date]]=DeadlineDate,CFDTable[Future Work],0)</f>
        <v>0</v>
      </c>
    </row>
    <row r="156" spans="1:28">
      <c r="A156" s="8">
        <f>CFDTable[[#This Row],[Date]]</f>
        <v>42629</v>
      </c>
      <c r="B156" s="38">
        <f>Data!B156</f>
        <v>42629</v>
      </c>
      <c r="C156" s="10">
        <f ca="1">IF(ISNUMBER(CFDTable[[#This Row],[Ready]]),NA(),CFDTable[[#This Row],[Target]]-CFDTable[[#This Row],[To Do]])</f>
        <v>77</v>
      </c>
      <c r="D156" s="10">
        <f ca="1">IF(CFDTable[[#This Row],[Emergence]]&gt;0,CFDTable[[#This Row],[Future Work]]-CFDTable[[#This Row],[Emergence]],NA())</f>
        <v>81</v>
      </c>
      <c r="E156" s="10">
        <f>Data!C156</f>
        <v>43</v>
      </c>
      <c r="F156" s="10">
        <f ca="1">Data!D156</f>
        <v>47</v>
      </c>
      <c r="G156" s="10" t="e">
        <f ca="1">IF(TodaysDate&gt;=$B156,Data!E156,NA())</f>
        <v>#N/A</v>
      </c>
      <c r="H156" s="10" t="e">
        <f ca="1">IF(TodaysDate&gt;=$B156,Data!F156,NA())</f>
        <v>#N/A</v>
      </c>
      <c r="I156" s="10" t="e">
        <f ca="1">IF(TodaysDate&gt;=$B156,Data!G156,NA())</f>
        <v>#N/A</v>
      </c>
      <c r="J156" s="10" t="e">
        <f ca="1">IF(TodaysDate&gt;=$B156,Data!H156,NA())</f>
        <v>#N/A</v>
      </c>
      <c r="K156" s="10" t="e">
        <f ca="1">IF(TodaysDate&gt;=$B156,Data!I156,NA())</f>
        <v>#N/A</v>
      </c>
      <c r="L156" s="10" t="e">
        <f ca="1">IF(CFDTable[[#This Row],[Done]]&gt;0,(CFDTable[[#This Row],[Done]])-(K155),0)</f>
        <v>#N/A</v>
      </c>
      <c r="M156" s="10" t="e">
        <f ca="1">IF(ISNUMBER($L156),SUM(CFDTable[[#This Row],[Done]]),IF(CFDTable[[#This Row],[lookupLow]]&gt;=CFDTable[[#This Row],[Target]]+CFDTable[[#This Row],[lowDaily]],NA(),CFDTable[[#This Row],[lookupLow]]))</f>
        <v>#N/A</v>
      </c>
      <c r="N156" s="10" t="e">
        <f ca="1">IF(ISNUMBER($L156),SUM(CFDTable[[#This Row],[Done]]),IF(CFDTable[[#This Row],[lookupMedian]]&gt;=$X156+Q156,NA(),CFDTable[[#This Row],[lookupMedian]]))</f>
        <v>#N/A</v>
      </c>
      <c r="O156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56" s="10">
        <f ca="1">CFDTable[[#This Row],[AvgDaily]]-CFDTable[[#This Row],[Deviation]]</f>
        <v>0.80952380952380931</v>
      </c>
      <c r="Q156" s="10">
        <f ca="1">AVERAGE(IF(ISNUMBER(L156),IF(ISNUMBER(OFFSET(L156,-Historic,0)),OFFSET(L156,-Historic,0),L$2):L156,Q155))</f>
        <v>0.95238095238095233</v>
      </c>
      <c r="R156" s="10">
        <f ca="1">AVERAGE(IF(ISNUMBER(L156),IF(ISNUMBER(OFFSET(L156,-Historic,0)),OFFSET(L156,-Historic,0),L$2):L156,R155))</f>
        <v>0.95238095238095233</v>
      </c>
      <c r="S156" s="10">
        <f ca="1">AVERAGE(IF(ISNUMBER(L156),OFFSET(L$2,DaysToIgnoreOnAvg,0):L156,S155))</f>
        <v>0.88311688311688308</v>
      </c>
      <c r="T156" s="10">
        <f ca="1">CFDTable[[#This Row],[AvgDaily]]+CFDTable[[#This Row],[Deviation]]</f>
        <v>1.0952380952380953</v>
      </c>
      <c r="U156" s="10">
        <f ca="1">IF(ISNUMBER(L156),((_xlfn.PERCENTILE.INC(IF(ISNUMBER(OFFSET(Q156,-Historic,0)),OFFSET(Q156,-Historic,0),Q$2):Q156,PercentileHigh/100))-(MEDIAN(IF(ISNUMBER(OFFSET(Q156,-Historic,0)),OFFSET(Q156,-Historic,0),Q$2):Q156))),U155)</f>
        <v>0.14285714285714302</v>
      </c>
      <c r="V156" s="10">
        <f ca="1">IF(ISNUMBER(L156),((_xlfn.PERCENTILE.INC(Q$2:Q156,PercentileHigh/100))-(MEDIAN(Q$2:Q156))),U155)</f>
        <v>0.14285714285714302</v>
      </c>
      <c r="W156" s="10">
        <f ca="1">IF(ISNUMBER(CFDTable[[#This Row],[Done Today]]),SUM($F156:$K156),$W155)</f>
        <v>124</v>
      </c>
      <c r="X156" s="10">
        <f ca="1">IF(ISNUMBER(CFDTable[[#This Row],[Done Today]]),SUM($F156:$K156),$X155)</f>
        <v>124</v>
      </c>
      <c r="Y156" s="10">
        <f ca="1">SUM(LOOKUP(2,1/(M$1:M155&lt;&gt;""),M$1:M155)+CFDTable[[#This Row],[lowDaily]])</f>
        <v>125.04761904761909</v>
      </c>
      <c r="Z156" s="10">
        <f ca="1">SUM(LOOKUP(2,1/(N$1:N155&lt;&gt;""),N$1:N155)+Q156)</f>
        <v>125.23809523809504</v>
      </c>
      <c r="AA156" s="10">
        <f ca="1">SUM(LOOKUP(2,1/(O$1:O155&lt;&gt;""),O$1:O155)+CFDTable[[#This Row],[highDaily]])</f>
        <v>125.8571428571432</v>
      </c>
      <c r="AB156" s="12">
        <f>IF(CFDTable[[#This Row],[Date]]=DeadlineDate,CFDTable[Future Work],0)</f>
        <v>0</v>
      </c>
    </row>
    <row r="157" spans="1:28">
      <c r="A157" s="8">
        <f>CFDTable[[#This Row],[Date]]</f>
        <v>42632</v>
      </c>
      <c r="B157" s="38">
        <f>Data!B157</f>
        <v>42632</v>
      </c>
      <c r="C157" s="10">
        <f ca="1">IF(ISNUMBER(CFDTable[[#This Row],[Ready]]),NA(),CFDTable[[#This Row],[Target]]-CFDTable[[#This Row],[To Do]])</f>
        <v>77</v>
      </c>
      <c r="D157" s="10">
        <f ca="1">IF(CFDTable[[#This Row],[Emergence]]&gt;0,CFDTable[[#This Row],[Future Work]]-CFDTable[[#This Row],[Emergence]],NA())</f>
        <v>81</v>
      </c>
      <c r="E157" s="10">
        <f>Data!C157</f>
        <v>43</v>
      </c>
      <c r="F157" s="10">
        <f ca="1">Data!D157</f>
        <v>47</v>
      </c>
      <c r="G157" s="10" t="e">
        <f ca="1">IF(TodaysDate&gt;=$B157,Data!E157,NA())</f>
        <v>#N/A</v>
      </c>
      <c r="H157" s="10" t="e">
        <f ca="1">IF(TodaysDate&gt;=$B157,Data!F157,NA())</f>
        <v>#N/A</v>
      </c>
      <c r="I157" s="10" t="e">
        <f ca="1">IF(TodaysDate&gt;=$B157,Data!G157,NA())</f>
        <v>#N/A</v>
      </c>
      <c r="J157" s="10" t="e">
        <f ca="1">IF(TodaysDate&gt;=$B157,Data!H157,NA())</f>
        <v>#N/A</v>
      </c>
      <c r="K157" s="10" t="e">
        <f ca="1">IF(TodaysDate&gt;=$B157,Data!I157,NA())</f>
        <v>#N/A</v>
      </c>
      <c r="L157" s="10" t="e">
        <f ca="1">IF(CFDTable[[#This Row],[Done]]&gt;0,(CFDTable[[#This Row],[Done]])-(K156),0)</f>
        <v>#N/A</v>
      </c>
      <c r="M157" s="10" t="e">
        <f ca="1">IF(ISNUMBER($L157),SUM(CFDTable[[#This Row],[Done]]),IF(CFDTable[[#This Row],[lookupLow]]&gt;=CFDTable[[#This Row],[Target]]+CFDTable[[#This Row],[lowDaily]],NA(),CFDTable[[#This Row],[lookupLow]]))</f>
        <v>#N/A</v>
      </c>
      <c r="N157" s="10" t="e">
        <f ca="1">IF(ISNUMBER($L157),SUM(CFDTable[[#This Row],[Done]]),IF(CFDTable[[#This Row],[lookupMedian]]&gt;=$X157+Q157,NA(),CFDTable[[#This Row],[lookupMedian]]))</f>
        <v>#N/A</v>
      </c>
      <c r="O157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57" s="10">
        <f ca="1">CFDTable[[#This Row],[AvgDaily]]-CFDTable[[#This Row],[Deviation]]</f>
        <v>0.80952380952380931</v>
      </c>
      <c r="Q157" s="10">
        <f ca="1">AVERAGE(IF(ISNUMBER(L157),IF(ISNUMBER(OFFSET(L157,-Historic,0)),OFFSET(L157,-Historic,0),L$2):L157,Q156))</f>
        <v>0.95238095238095233</v>
      </c>
      <c r="R157" s="10">
        <f ca="1">AVERAGE(IF(ISNUMBER(L157),IF(ISNUMBER(OFFSET(L157,-Historic,0)),OFFSET(L157,-Historic,0),L$2):L157,R156))</f>
        <v>0.95238095238095233</v>
      </c>
      <c r="S157" s="10">
        <f ca="1">AVERAGE(IF(ISNUMBER(L157),OFFSET(L$2,DaysToIgnoreOnAvg,0):L157,S156))</f>
        <v>0.88311688311688308</v>
      </c>
      <c r="T157" s="10">
        <f ca="1">CFDTable[[#This Row],[AvgDaily]]+CFDTable[[#This Row],[Deviation]]</f>
        <v>1.0952380952380953</v>
      </c>
      <c r="U157" s="10">
        <f ca="1">IF(ISNUMBER(L157),((_xlfn.PERCENTILE.INC(IF(ISNUMBER(OFFSET(Q157,-Historic,0)),OFFSET(Q157,-Historic,0),Q$2):Q157,PercentileHigh/100))-(MEDIAN(IF(ISNUMBER(OFFSET(Q157,-Historic,0)),OFFSET(Q157,-Historic,0),Q$2):Q157))),U156)</f>
        <v>0.14285714285714302</v>
      </c>
      <c r="V157" s="10">
        <f ca="1">IF(ISNUMBER(L157),((_xlfn.PERCENTILE.INC(Q$2:Q157,PercentileHigh/100))-(MEDIAN(Q$2:Q157))),U156)</f>
        <v>0.14285714285714302</v>
      </c>
      <c r="W157" s="10">
        <f ca="1">IF(ISNUMBER(CFDTable[[#This Row],[Done Today]]),SUM($F157:$K157),$W156)</f>
        <v>124</v>
      </c>
      <c r="X157" s="10">
        <f ca="1">IF(ISNUMBER(CFDTable[[#This Row],[Done Today]]),SUM($F157:$K157),$X156)</f>
        <v>124</v>
      </c>
      <c r="Y157" s="10">
        <f ca="1">SUM(LOOKUP(2,1/(M$1:M156&lt;&gt;""),M$1:M156)+CFDTable[[#This Row],[lowDaily]])</f>
        <v>125.04761904761909</v>
      </c>
      <c r="Z157" s="10">
        <f ca="1">SUM(LOOKUP(2,1/(N$1:N156&lt;&gt;""),N$1:N156)+Q157)</f>
        <v>125.23809523809504</v>
      </c>
      <c r="AA157" s="10">
        <f ca="1">SUM(LOOKUP(2,1/(O$1:O156&lt;&gt;""),O$1:O156)+CFDTable[[#This Row],[highDaily]])</f>
        <v>125.8571428571432</v>
      </c>
      <c r="AB157" s="12">
        <f>IF(CFDTable[[#This Row],[Date]]=DeadlineDate,CFDTable[Future Work],0)</f>
        <v>0</v>
      </c>
    </row>
    <row r="158" spans="1:28">
      <c r="A158" s="8">
        <f>CFDTable[[#This Row],[Date]]</f>
        <v>42633</v>
      </c>
      <c r="B158" s="38">
        <f>Data!B158</f>
        <v>42633</v>
      </c>
      <c r="C158" s="10">
        <f ca="1">IF(ISNUMBER(CFDTable[[#This Row],[Ready]]),NA(),CFDTable[[#This Row],[Target]]-CFDTable[[#This Row],[To Do]])</f>
        <v>77</v>
      </c>
      <c r="D158" s="10">
        <f ca="1">IF(CFDTable[[#This Row],[Emergence]]&gt;0,CFDTable[[#This Row],[Future Work]]-CFDTable[[#This Row],[Emergence]],NA())</f>
        <v>81</v>
      </c>
      <c r="E158" s="10">
        <f>Data!C158</f>
        <v>43</v>
      </c>
      <c r="F158" s="10">
        <f ca="1">Data!D158</f>
        <v>47</v>
      </c>
      <c r="G158" s="10" t="e">
        <f ca="1">IF(TodaysDate&gt;=$B158,Data!E158,NA())</f>
        <v>#N/A</v>
      </c>
      <c r="H158" s="10" t="e">
        <f ca="1">IF(TodaysDate&gt;=$B158,Data!F158,NA())</f>
        <v>#N/A</v>
      </c>
      <c r="I158" s="10" t="e">
        <f ca="1">IF(TodaysDate&gt;=$B158,Data!G158,NA())</f>
        <v>#N/A</v>
      </c>
      <c r="J158" s="10" t="e">
        <f ca="1">IF(TodaysDate&gt;=$B158,Data!H158,NA())</f>
        <v>#N/A</v>
      </c>
      <c r="K158" s="10" t="e">
        <f ca="1">IF(TodaysDate&gt;=$B158,Data!I158,NA())</f>
        <v>#N/A</v>
      </c>
      <c r="L158" s="10" t="e">
        <f ca="1">IF(CFDTable[[#This Row],[Done]]&gt;0,(CFDTable[[#This Row],[Done]])-(K157),0)</f>
        <v>#N/A</v>
      </c>
      <c r="M158" s="10" t="e">
        <f ca="1">IF(ISNUMBER($L158),SUM(CFDTable[[#This Row],[Done]]),IF(CFDTable[[#This Row],[lookupLow]]&gt;=CFDTable[[#This Row],[Target]]+CFDTable[[#This Row],[lowDaily]],NA(),CFDTable[[#This Row],[lookupLow]]))</f>
        <v>#N/A</v>
      </c>
      <c r="N158" s="10" t="e">
        <f ca="1">IF(ISNUMBER($L158),SUM(CFDTable[[#This Row],[Done]]),IF(CFDTable[[#This Row],[lookupMedian]]&gt;=$X158+Q158,NA(),CFDTable[[#This Row],[lookupMedian]]))</f>
        <v>#N/A</v>
      </c>
      <c r="O158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58" s="10">
        <f ca="1">CFDTable[[#This Row],[AvgDaily]]-CFDTable[[#This Row],[Deviation]]</f>
        <v>0.80952380952380931</v>
      </c>
      <c r="Q158" s="10">
        <f ca="1">AVERAGE(IF(ISNUMBER(L158),IF(ISNUMBER(OFFSET(L158,-Historic,0)),OFFSET(L158,-Historic,0),L$2):L158,Q157))</f>
        <v>0.95238095238095233</v>
      </c>
      <c r="R158" s="10">
        <f ca="1">AVERAGE(IF(ISNUMBER(L158),IF(ISNUMBER(OFFSET(L158,-Historic,0)),OFFSET(L158,-Historic,0),L$2):L158,R157))</f>
        <v>0.95238095238095233</v>
      </c>
      <c r="S158" s="10">
        <f ca="1">AVERAGE(IF(ISNUMBER(L158),OFFSET(L$2,DaysToIgnoreOnAvg,0):L158,S157))</f>
        <v>0.88311688311688308</v>
      </c>
      <c r="T158" s="10">
        <f ca="1">CFDTable[[#This Row],[AvgDaily]]+CFDTable[[#This Row],[Deviation]]</f>
        <v>1.0952380952380953</v>
      </c>
      <c r="U158" s="10">
        <f ca="1">IF(ISNUMBER(L158),((_xlfn.PERCENTILE.INC(IF(ISNUMBER(OFFSET(Q158,-Historic,0)),OFFSET(Q158,-Historic,0),Q$2):Q158,PercentileHigh/100))-(MEDIAN(IF(ISNUMBER(OFFSET(Q158,-Historic,0)),OFFSET(Q158,-Historic,0),Q$2):Q158))),U157)</f>
        <v>0.14285714285714302</v>
      </c>
      <c r="V158" s="10">
        <f ca="1">IF(ISNUMBER(L158),((_xlfn.PERCENTILE.INC(Q$2:Q158,PercentileHigh/100))-(MEDIAN(Q$2:Q158))),U157)</f>
        <v>0.14285714285714302</v>
      </c>
      <c r="W158" s="10">
        <f ca="1">IF(ISNUMBER(CFDTable[[#This Row],[Done Today]]),SUM($F158:$K158),$W157)</f>
        <v>124</v>
      </c>
      <c r="X158" s="10">
        <f ca="1">IF(ISNUMBER(CFDTable[[#This Row],[Done Today]]),SUM($F158:$K158),$X157)</f>
        <v>124</v>
      </c>
      <c r="Y158" s="10">
        <f ca="1">SUM(LOOKUP(2,1/(M$1:M157&lt;&gt;""),M$1:M157)+CFDTable[[#This Row],[lowDaily]])</f>
        <v>125.04761904761909</v>
      </c>
      <c r="Z158" s="10">
        <f ca="1">SUM(LOOKUP(2,1/(N$1:N157&lt;&gt;""),N$1:N157)+Q158)</f>
        <v>125.23809523809504</v>
      </c>
      <c r="AA158" s="10">
        <f ca="1">SUM(LOOKUP(2,1/(O$1:O157&lt;&gt;""),O$1:O157)+CFDTable[[#This Row],[highDaily]])</f>
        <v>125.8571428571432</v>
      </c>
      <c r="AB158" s="12">
        <f>IF(CFDTable[[#This Row],[Date]]=DeadlineDate,CFDTable[Future Work],0)</f>
        <v>0</v>
      </c>
    </row>
    <row r="159" spans="1:28">
      <c r="A159" s="8">
        <f>CFDTable[[#This Row],[Date]]</f>
        <v>42634</v>
      </c>
      <c r="B159" s="38">
        <f>Data!B159</f>
        <v>42634</v>
      </c>
      <c r="C159" s="10">
        <f ca="1">IF(ISNUMBER(CFDTable[[#This Row],[Ready]]),NA(),CFDTable[[#This Row],[Target]]-CFDTable[[#This Row],[To Do]])</f>
        <v>77</v>
      </c>
      <c r="D159" s="10">
        <f ca="1">IF(CFDTable[[#This Row],[Emergence]]&gt;0,CFDTable[[#This Row],[Future Work]]-CFDTable[[#This Row],[Emergence]],NA())</f>
        <v>81</v>
      </c>
      <c r="E159" s="10">
        <f>Data!C159</f>
        <v>43</v>
      </c>
      <c r="F159" s="10">
        <f ca="1">Data!D159</f>
        <v>47</v>
      </c>
      <c r="G159" s="10" t="e">
        <f ca="1">IF(TodaysDate&gt;=$B159,Data!E159,NA())</f>
        <v>#N/A</v>
      </c>
      <c r="H159" s="10" t="e">
        <f ca="1">IF(TodaysDate&gt;=$B159,Data!F159,NA())</f>
        <v>#N/A</v>
      </c>
      <c r="I159" s="10" t="e">
        <f ca="1">IF(TodaysDate&gt;=$B159,Data!G159,NA())</f>
        <v>#N/A</v>
      </c>
      <c r="J159" s="10" t="e">
        <f ca="1">IF(TodaysDate&gt;=$B159,Data!H159,NA())</f>
        <v>#N/A</v>
      </c>
      <c r="K159" s="10" t="e">
        <f ca="1">IF(TodaysDate&gt;=$B159,Data!I159,NA())</f>
        <v>#N/A</v>
      </c>
      <c r="L159" s="10" t="e">
        <f ca="1">IF(CFDTable[[#This Row],[Done]]&gt;0,(CFDTable[[#This Row],[Done]])-(K158),0)</f>
        <v>#N/A</v>
      </c>
      <c r="M159" s="10" t="e">
        <f ca="1">IF(ISNUMBER($L159),SUM(CFDTable[[#This Row],[Done]]),IF(CFDTable[[#This Row],[lookupLow]]&gt;=CFDTable[[#This Row],[Target]]+CFDTable[[#This Row],[lowDaily]],NA(),CFDTable[[#This Row],[lookupLow]]))</f>
        <v>#N/A</v>
      </c>
      <c r="N159" s="10" t="e">
        <f ca="1">IF(ISNUMBER($L159),SUM(CFDTable[[#This Row],[Done]]),IF(CFDTable[[#This Row],[lookupMedian]]&gt;=$X159+Q159,NA(),CFDTable[[#This Row],[lookupMedian]]))</f>
        <v>#N/A</v>
      </c>
      <c r="O159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59" s="10">
        <f ca="1">CFDTable[[#This Row],[AvgDaily]]-CFDTable[[#This Row],[Deviation]]</f>
        <v>0.80952380952380931</v>
      </c>
      <c r="Q159" s="10">
        <f ca="1">AVERAGE(IF(ISNUMBER(L159),IF(ISNUMBER(OFFSET(L159,-Historic,0)),OFFSET(L159,-Historic,0),L$2):L159,Q158))</f>
        <v>0.95238095238095233</v>
      </c>
      <c r="R159" s="10">
        <f ca="1">AVERAGE(IF(ISNUMBER(L159),IF(ISNUMBER(OFFSET(L159,-Historic,0)),OFFSET(L159,-Historic,0),L$2):L159,R158))</f>
        <v>0.95238095238095233</v>
      </c>
      <c r="S159" s="10">
        <f ca="1">AVERAGE(IF(ISNUMBER(L159),OFFSET(L$2,DaysToIgnoreOnAvg,0):L159,S158))</f>
        <v>0.88311688311688308</v>
      </c>
      <c r="T159" s="10">
        <f ca="1">CFDTable[[#This Row],[AvgDaily]]+CFDTable[[#This Row],[Deviation]]</f>
        <v>1.0952380952380953</v>
      </c>
      <c r="U159" s="10">
        <f ca="1">IF(ISNUMBER(L159),((_xlfn.PERCENTILE.INC(IF(ISNUMBER(OFFSET(Q159,-Historic,0)),OFFSET(Q159,-Historic,0),Q$2):Q159,PercentileHigh/100))-(MEDIAN(IF(ISNUMBER(OFFSET(Q159,-Historic,0)),OFFSET(Q159,-Historic,0),Q$2):Q159))),U158)</f>
        <v>0.14285714285714302</v>
      </c>
      <c r="V159" s="10">
        <f ca="1">IF(ISNUMBER(L159),((_xlfn.PERCENTILE.INC(Q$2:Q159,PercentileHigh/100))-(MEDIAN(Q$2:Q159))),U158)</f>
        <v>0.14285714285714302</v>
      </c>
      <c r="W159" s="10">
        <f ca="1">IF(ISNUMBER(CFDTable[[#This Row],[Done Today]]),SUM($F159:$K159),$W158)</f>
        <v>124</v>
      </c>
      <c r="X159" s="10">
        <f ca="1">IF(ISNUMBER(CFDTable[[#This Row],[Done Today]]),SUM($F159:$K159),$X158)</f>
        <v>124</v>
      </c>
      <c r="Y159" s="10">
        <f ca="1">SUM(LOOKUP(2,1/(M$1:M158&lt;&gt;""),M$1:M158)+CFDTable[[#This Row],[lowDaily]])</f>
        <v>125.04761904761909</v>
      </c>
      <c r="Z159" s="10">
        <f ca="1">SUM(LOOKUP(2,1/(N$1:N158&lt;&gt;""),N$1:N158)+Q159)</f>
        <v>125.23809523809504</v>
      </c>
      <c r="AA159" s="10">
        <f ca="1">SUM(LOOKUP(2,1/(O$1:O158&lt;&gt;""),O$1:O158)+CFDTable[[#This Row],[highDaily]])</f>
        <v>125.8571428571432</v>
      </c>
      <c r="AB159" s="12">
        <f>IF(CFDTable[[#This Row],[Date]]=DeadlineDate,CFDTable[Future Work],0)</f>
        <v>0</v>
      </c>
    </row>
    <row r="160" spans="1:28">
      <c r="A160" s="8">
        <f>CFDTable[[#This Row],[Date]]</f>
        <v>42635</v>
      </c>
      <c r="B160" s="38">
        <f>Data!B160</f>
        <v>42635</v>
      </c>
      <c r="C160" s="10">
        <f ca="1">IF(ISNUMBER(CFDTable[[#This Row],[Ready]]),NA(),CFDTable[[#This Row],[Target]]-CFDTable[[#This Row],[To Do]])</f>
        <v>77</v>
      </c>
      <c r="D160" s="10">
        <f ca="1">IF(CFDTable[[#This Row],[Emergence]]&gt;0,CFDTable[[#This Row],[Future Work]]-CFDTable[[#This Row],[Emergence]],NA())</f>
        <v>81</v>
      </c>
      <c r="E160" s="10">
        <f>Data!C160</f>
        <v>43</v>
      </c>
      <c r="F160" s="10">
        <f ca="1">Data!D160</f>
        <v>47</v>
      </c>
      <c r="G160" s="10" t="e">
        <f ca="1">IF(TodaysDate&gt;=$B160,Data!E160,NA())</f>
        <v>#N/A</v>
      </c>
      <c r="H160" s="10" t="e">
        <f ca="1">IF(TodaysDate&gt;=$B160,Data!F160,NA())</f>
        <v>#N/A</v>
      </c>
      <c r="I160" s="10" t="e">
        <f ca="1">IF(TodaysDate&gt;=$B160,Data!G160,NA())</f>
        <v>#N/A</v>
      </c>
      <c r="J160" s="10" t="e">
        <f ca="1">IF(TodaysDate&gt;=$B160,Data!H160,NA())</f>
        <v>#N/A</v>
      </c>
      <c r="K160" s="10" t="e">
        <f ca="1">IF(TodaysDate&gt;=$B160,Data!I160,NA())</f>
        <v>#N/A</v>
      </c>
      <c r="L160" s="10" t="e">
        <f ca="1">IF(CFDTable[[#This Row],[Done]]&gt;0,(CFDTable[[#This Row],[Done]])-(K159),0)</f>
        <v>#N/A</v>
      </c>
      <c r="M160" s="10" t="e">
        <f ca="1">IF(ISNUMBER($L160),SUM(CFDTable[[#This Row],[Done]]),IF(CFDTable[[#This Row],[lookupLow]]&gt;=CFDTable[[#This Row],[Target]]+CFDTable[[#This Row],[lowDaily]],NA(),CFDTable[[#This Row],[lookupLow]]))</f>
        <v>#N/A</v>
      </c>
      <c r="N160" s="10" t="e">
        <f ca="1">IF(ISNUMBER($L160),SUM(CFDTable[[#This Row],[Done]]),IF(CFDTable[[#This Row],[lookupMedian]]&gt;=$X160+Q160,NA(),CFDTable[[#This Row],[lookupMedian]]))</f>
        <v>#N/A</v>
      </c>
      <c r="O160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60" s="10">
        <f ca="1">CFDTable[[#This Row],[AvgDaily]]-CFDTable[[#This Row],[Deviation]]</f>
        <v>0.80952380952380931</v>
      </c>
      <c r="Q160" s="10">
        <f ca="1">AVERAGE(IF(ISNUMBER(L160),IF(ISNUMBER(OFFSET(L160,-Historic,0)),OFFSET(L160,-Historic,0),L$2):L160,Q159))</f>
        <v>0.95238095238095233</v>
      </c>
      <c r="R160" s="10">
        <f ca="1">AVERAGE(IF(ISNUMBER(L160),IF(ISNUMBER(OFFSET(L160,-Historic,0)),OFFSET(L160,-Historic,0),L$2):L160,R159))</f>
        <v>0.95238095238095233</v>
      </c>
      <c r="S160" s="10">
        <f ca="1">AVERAGE(IF(ISNUMBER(L160),OFFSET(L$2,DaysToIgnoreOnAvg,0):L160,S159))</f>
        <v>0.88311688311688308</v>
      </c>
      <c r="T160" s="10">
        <f ca="1">CFDTable[[#This Row],[AvgDaily]]+CFDTable[[#This Row],[Deviation]]</f>
        <v>1.0952380952380953</v>
      </c>
      <c r="U160" s="10">
        <f ca="1">IF(ISNUMBER(L160),((_xlfn.PERCENTILE.INC(IF(ISNUMBER(OFFSET(Q160,-Historic,0)),OFFSET(Q160,-Historic,0),Q$2):Q160,PercentileHigh/100))-(MEDIAN(IF(ISNUMBER(OFFSET(Q160,-Historic,0)),OFFSET(Q160,-Historic,0),Q$2):Q160))),U159)</f>
        <v>0.14285714285714302</v>
      </c>
      <c r="V160" s="10">
        <f ca="1">IF(ISNUMBER(L160),((_xlfn.PERCENTILE.INC(Q$2:Q160,PercentileHigh/100))-(MEDIAN(Q$2:Q160))),U159)</f>
        <v>0.14285714285714302</v>
      </c>
      <c r="W160" s="10">
        <f ca="1">IF(ISNUMBER(CFDTable[[#This Row],[Done Today]]),SUM($F160:$K160),$W159)</f>
        <v>124</v>
      </c>
      <c r="X160" s="10">
        <f ca="1">IF(ISNUMBER(CFDTable[[#This Row],[Done Today]]),SUM($F160:$K160),$X159)</f>
        <v>124</v>
      </c>
      <c r="Y160" s="10">
        <f ca="1">SUM(LOOKUP(2,1/(M$1:M159&lt;&gt;""),M$1:M159)+CFDTable[[#This Row],[lowDaily]])</f>
        <v>125.04761904761909</v>
      </c>
      <c r="Z160" s="10">
        <f ca="1">SUM(LOOKUP(2,1/(N$1:N159&lt;&gt;""),N$1:N159)+Q160)</f>
        <v>125.23809523809504</v>
      </c>
      <c r="AA160" s="10">
        <f ca="1">SUM(LOOKUP(2,1/(O$1:O159&lt;&gt;""),O$1:O159)+CFDTable[[#This Row],[highDaily]])</f>
        <v>125.8571428571432</v>
      </c>
      <c r="AB160" s="12">
        <f>IF(CFDTable[[#This Row],[Date]]=DeadlineDate,CFDTable[Future Work],0)</f>
        <v>0</v>
      </c>
    </row>
    <row r="161" spans="1:28">
      <c r="A161" s="8">
        <f>CFDTable[[#This Row],[Date]]</f>
        <v>42636</v>
      </c>
      <c r="B161" s="38">
        <f>Data!B161</f>
        <v>42636</v>
      </c>
      <c r="C161" s="10">
        <f ca="1">IF(ISNUMBER(CFDTable[[#This Row],[Ready]]),NA(),CFDTable[[#This Row],[Target]]-CFDTable[[#This Row],[To Do]])</f>
        <v>77</v>
      </c>
      <c r="D161" s="10">
        <f ca="1">IF(CFDTable[[#This Row],[Emergence]]&gt;0,CFDTable[[#This Row],[Future Work]]-CFDTable[[#This Row],[Emergence]],NA())</f>
        <v>81</v>
      </c>
      <c r="E161" s="10">
        <f>Data!C161</f>
        <v>43</v>
      </c>
      <c r="F161" s="10">
        <f ca="1">Data!D161</f>
        <v>47</v>
      </c>
      <c r="G161" s="10" t="e">
        <f ca="1">IF(TodaysDate&gt;=$B161,Data!E161,NA())</f>
        <v>#N/A</v>
      </c>
      <c r="H161" s="10" t="e">
        <f ca="1">IF(TodaysDate&gt;=$B161,Data!F161,NA())</f>
        <v>#N/A</v>
      </c>
      <c r="I161" s="10" t="e">
        <f ca="1">IF(TodaysDate&gt;=$B161,Data!G161,NA())</f>
        <v>#N/A</v>
      </c>
      <c r="J161" s="10" t="e">
        <f ca="1">IF(TodaysDate&gt;=$B161,Data!H161,NA())</f>
        <v>#N/A</v>
      </c>
      <c r="K161" s="10" t="e">
        <f ca="1">IF(TodaysDate&gt;=$B161,Data!I161,NA())</f>
        <v>#N/A</v>
      </c>
      <c r="L161" s="10" t="e">
        <f ca="1">IF(CFDTable[[#This Row],[Done]]&gt;0,(CFDTable[[#This Row],[Done]])-(K160),0)</f>
        <v>#N/A</v>
      </c>
      <c r="M161" s="10" t="e">
        <f ca="1">IF(ISNUMBER($L161),SUM(CFDTable[[#This Row],[Done]]),IF(CFDTable[[#This Row],[lookupLow]]&gt;=CFDTable[[#This Row],[Target]]+CFDTable[[#This Row],[lowDaily]],NA(),CFDTable[[#This Row],[lookupLow]]))</f>
        <v>#N/A</v>
      </c>
      <c r="N161" s="10" t="e">
        <f ca="1">IF(ISNUMBER($L161),SUM(CFDTable[[#This Row],[Done]]),IF(CFDTable[[#This Row],[lookupMedian]]&gt;=$X161+Q161,NA(),CFDTable[[#This Row],[lookupMedian]]))</f>
        <v>#N/A</v>
      </c>
      <c r="O161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61" s="10">
        <f ca="1">CFDTable[[#This Row],[AvgDaily]]-CFDTable[[#This Row],[Deviation]]</f>
        <v>0.80952380952380931</v>
      </c>
      <c r="Q161" s="10">
        <f ca="1">AVERAGE(IF(ISNUMBER(L161),IF(ISNUMBER(OFFSET(L161,-Historic,0)),OFFSET(L161,-Historic,0),L$2):L161,Q160))</f>
        <v>0.95238095238095233</v>
      </c>
      <c r="R161" s="10">
        <f ca="1">AVERAGE(IF(ISNUMBER(L161),IF(ISNUMBER(OFFSET(L161,-Historic,0)),OFFSET(L161,-Historic,0),L$2):L161,R160))</f>
        <v>0.95238095238095233</v>
      </c>
      <c r="S161" s="10">
        <f ca="1">AVERAGE(IF(ISNUMBER(L161),OFFSET(L$2,DaysToIgnoreOnAvg,0):L161,S160))</f>
        <v>0.88311688311688308</v>
      </c>
      <c r="T161" s="10">
        <f ca="1">CFDTable[[#This Row],[AvgDaily]]+CFDTable[[#This Row],[Deviation]]</f>
        <v>1.0952380952380953</v>
      </c>
      <c r="U161" s="10">
        <f ca="1">IF(ISNUMBER(L161),((_xlfn.PERCENTILE.INC(IF(ISNUMBER(OFFSET(Q161,-Historic,0)),OFFSET(Q161,-Historic,0),Q$2):Q161,PercentileHigh/100))-(MEDIAN(IF(ISNUMBER(OFFSET(Q161,-Historic,0)),OFFSET(Q161,-Historic,0),Q$2):Q161))),U160)</f>
        <v>0.14285714285714302</v>
      </c>
      <c r="V161" s="10">
        <f ca="1">IF(ISNUMBER(L161),((_xlfn.PERCENTILE.INC(Q$2:Q161,PercentileHigh/100))-(MEDIAN(Q$2:Q161))),U160)</f>
        <v>0.14285714285714302</v>
      </c>
      <c r="W161" s="10">
        <f ca="1">IF(ISNUMBER(CFDTable[[#This Row],[Done Today]]),SUM($F161:$K161),$W160)</f>
        <v>124</v>
      </c>
      <c r="X161" s="10">
        <f ca="1">IF(ISNUMBER(CFDTable[[#This Row],[Done Today]]),SUM($F161:$K161),$X160)</f>
        <v>124</v>
      </c>
      <c r="Y161" s="10">
        <f ca="1">SUM(LOOKUP(2,1/(M$1:M160&lt;&gt;""),M$1:M160)+CFDTable[[#This Row],[lowDaily]])</f>
        <v>125.04761904761909</v>
      </c>
      <c r="Z161" s="10">
        <f ca="1">SUM(LOOKUP(2,1/(N$1:N160&lt;&gt;""),N$1:N160)+Q161)</f>
        <v>125.23809523809504</v>
      </c>
      <c r="AA161" s="10">
        <f ca="1">SUM(LOOKUP(2,1/(O$1:O160&lt;&gt;""),O$1:O160)+CFDTable[[#This Row],[highDaily]])</f>
        <v>125.8571428571432</v>
      </c>
      <c r="AB161" s="12">
        <f>IF(CFDTable[[#This Row],[Date]]=DeadlineDate,CFDTable[Future Work],0)</f>
        <v>0</v>
      </c>
    </row>
    <row r="162" spans="1:28">
      <c r="A162" s="8">
        <f>CFDTable[[#This Row],[Date]]</f>
        <v>42639</v>
      </c>
      <c r="B162" s="38">
        <f>Data!B162</f>
        <v>42639</v>
      </c>
      <c r="C162" s="10">
        <f ca="1">IF(ISNUMBER(CFDTable[[#This Row],[Ready]]),NA(),CFDTable[[#This Row],[Target]]-CFDTable[[#This Row],[To Do]])</f>
        <v>77</v>
      </c>
      <c r="D162" s="10">
        <f ca="1">IF(CFDTable[[#This Row],[Emergence]]&gt;0,CFDTable[[#This Row],[Future Work]]-CFDTable[[#This Row],[Emergence]],NA())</f>
        <v>81</v>
      </c>
      <c r="E162" s="10">
        <f>Data!C162</f>
        <v>43</v>
      </c>
      <c r="F162" s="10">
        <f ca="1">Data!D162</f>
        <v>47</v>
      </c>
      <c r="G162" s="10" t="e">
        <f ca="1">IF(TodaysDate&gt;=$B162,Data!E162,NA())</f>
        <v>#N/A</v>
      </c>
      <c r="H162" s="10" t="e">
        <f ca="1">IF(TodaysDate&gt;=$B162,Data!F162,NA())</f>
        <v>#N/A</v>
      </c>
      <c r="I162" s="10" t="e">
        <f ca="1">IF(TodaysDate&gt;=$B162,Data!G162,NA())</f>
        <v>#N/A</v>
      </c>
      <c r="J162" s="10" t="e">
        <f ca="1">IF(TodaysDate&gt;=$B162,Data!H162,NA())</f>
        <v>#N/A</v>
      </c>
      <c r="K162" s="10" t="e">
        <f ca="1">IF(TodaysDate&gt;=$B162,Data!I162,NA())</f>
        <v>#N/A</v>
      </c>
      <c r="L162" s="10" t="e">
        <f ca="1">IF(CFDTable[[#This Row],[Done]]&gt;0,(CFDTable[[#This Row],[Done]])-(K161),0)</f>
        <v>#N/A</v>
      </c>
      <c r="M162" s="10" t="e">
        <f ca="1">IF(ISNUMBER($L162),SUM(CFDTable[[#This Row],[Done]]),IF(CFDTable[[#This Row],[lookupLow]]&gt;=CFDTable[[#This Row],[Target]]+CFDTable[[#This Row],[lowDaily]],NA(),CFDTable[[#This Row],[lookupLow]]))</f>
        <v>#N/A</v>
      </c>
      <c r="N162" s="10" t="e">
        <f ca="1">IF(ISNUMBER($L162),SUM(CFDTable[[#This Row],[Done]]),IF(CFDTable[[#This Row],[lookupMedian]]&gt;=$X162+Q162,NA(),CFDTable[[#This Row],[lookupMedian]]))</f>
        <v>#N/A</v>
      </c>
      <c r="O162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62" s="10">
        <f ca="1">CFDTable[[#This Row],[AvgDaily]]-CFDTable[[#This Row],[Deviation]]</f>
        <v>0.80952380952380931</v>
      </c>
      <c r="Q162" s="10">
        <f ca="1">AVERAGE(IF(ISNUMBER(L162),IF(ISNUMBER(OFFSET(L162,-Historic,0)),OFFSET(L162,-Historic,0),L$2):L162,Q161))</f>
        <v>0.95238095238095233</v>
      </c>
      <c r="R162" s="10">
        <f ca="1">AVERAGE(IF(ISNUMBER(L162),IF(ISNUMBER(OFFSET(L162,-Historic,0)),OFFSET(L162,-Historic,0),L$2):L162,R161))</f>
        <v>0.95238095238095233</v>
      </c>
      <c r="S162" s="10">
        <f ca="1">AVERAGE(IF(ISNUMBER(L162),OFFSET(L$2,DaysToIgnoreOnAvg,0):L162,S161))</f>
        <v>0.88311688311688308</v>
      </c>
      <c r="T162" s="10">
        <f ca="1">CFDTable[[#This Row],[AvgDaily]]+CFDTable[[#This Row],[Deviation]]</f>
        <v>1.0952380952380953</v>
      </c>
      <c r="U162" s="10">
        <f ca="1">IF(ISNUMBER(L162),((_xlfn.PERCENTILE.INC(IF(ISNUMBER(OFFSET(Q162,-Historic,0)),OFFSET(Q162,-Historic,0),Q$2):Q162,PercentileHigh/100))-(MEDIAN(IF(ISNUMBER(OFFSET(Q162,-Historic,0)),OFFSET(Q162,-Historic,0),Q$2):Q162))),U161)</f>
        <v>0.14285714285714302</v>
      </c>
      <c r="V162" s="10">
        <f ca="1">IF(ISNUMBER(L162),((_xlfn.PERCENTILE.INC(Q$2:Q162,PercentileHigh/100))-(MEDIAN(Q$2:Q162))),U161)</f>
        <v>0.14285714285714302</v>
      </c>
      <c r="W162" s="10">
        <f ca="1">IF(ISNUMBER(CFDTable[[#This Row],[Done Today]]),SUM($F162:$K162),$W161)</f>
        <v>124</v>
      </c>
      <c r="X162" s="10">
        <f ca="1">IF(ISNUMBER(CFDTable[[#This Row],[Done Today]]),SUM($F162:$K162),$X161)</f>
        <v>124</v>
      </c>
      <c r="Y162" s="10">
        <f ca="1">SUM(LOOKUP(2,1/(M$1:M161&lt;&gt;""),M$1:M161)+CFDTable[[#This Row],[lowDaily]])</f>
        <v>125.04761904761909</v>
      </c>
      <c r="Z162" s="10">
        <f ca="1">SUM(LOOKUP(2,1/(N$1:N161&lt;&gt;""),N$1:N161)+Q162)</f>
        <v>125.23809523809504</v>
      </c>
      <c r="AA162" s="10">
        <f ca="1">SUM(LOOKUP(2,1/(O$1:O161&lt;&gt;""),O$1:O161)+CFDTable[[#This Row],[highDaily]])</f>
        <v>125.8571428571432</v>
      </c>
      <c r="AB162" s="12">
        <f>IF(CFDTable[[#This Row],[Date]]=DeadlineDate,CFDTable[Future Work],0)</f>
        <v>0</v>
      </c>
    </row>
    <row r="163" spans="1:28">
      <c r="A163" s="8">
        <f>CFDTable[[#This Row],[Date]]</f>
        <v>42640</v>
      </c>
      <c r="B163" s="38">
        <f>Data!B163</f>
        <v>42640</v>
      </c>
      <c r="C163" s="10">
        <f ca="1">IF(ISNUMBER(CFDTable[[#This Row],[Ready]]),NA(),CFDTable[[#This Row],[Target]]-CFDTable[[#This Row],[To Do]])</f>
        <v>77</v>
      </c>
      <c r="D163" s="10">
        <f ca="1">IF(CFDTable[[#This Row],[Emergence]]&gt;0,CFDTable[[#This Row],[Future Work]]-CFDTable[[#This Row],[Emergence]],NA())</f>
        <v>81</v>
      </c>
      <c r="E163" s="10">
        <f>Data!C163</f>
        <v>43</v>
      </c>
      <c r="F163" s="10">
        <f ca="1">Data!D163</f>
        <v>47</v>
      </c>
      <c r="G163" s="10" t="e">
        <f ca="1">IF(TodaysDate&gt;=$B163,Data!E163,NA())</f>
        <v>#N/A</v>
      </c>
      <c r="H163" s="10" t="e">
        <f ca="1">IF(TodaysDate&gt;=$B163,Data!F163,NA())</f>
        <v>#N/A</v>
      </c>
      <c r="I163" s="10" t="e">
        <f ca="1">IF(TodaysDate&gt;=$B163,Data!G163,NA())</f>
        <v>#N/A</v>
      </c>
      <c r="J163" s="10" t="e">
        <f ca="1">IF(TodaysDate&gt;=$B163,Data!H163,NA())</f>
        <v>#N/A</v>
      </c>
      <c r="K163" s="10" t="e">
        <f ca="1">IF(TodaysDate&gt;=$B163,Data!I163,NA())</f>
        <v>#N/A</v>
      </c>
      <c r="L163" s="10" t="e">
        <f ca="1">IF(CFDTable[[#This Row],[Done]]&gt;0,(CFDTable[[#This Row],[Done]])-(K162),0)</f>
        <v>#N/A</v>
      </c>
      <c r="M163" s="10" t="e">
        <f ca="1">IF(ISNUMBER($L163),SUM(CFDTable[[#This Row],[Done]]),IF(CFDTable[[#This Row],[lookupLow]]&gt;=CFDTable[[#This Row],[Target]]+CFDTable[[#This Row],[lowDaily]],NA(),CFDTable[[#This Row],[lookupLow]]))</f>
        <v>#N/A</v>
      </c>
      <c r="N163" s="10" t="e">
        <f ca="1">IF(ISNUMBER($L163),SUM(CFDTable[[#This Row],[Done]]),IF(CFDTable[[#This Row],[lookupMedian]]&gt;=$X163+Q163,NA(),CFDTable[[#This Row],[lookupMedian]]))</f>
        <v>#N/A</v>
      </c>
      <c r="O163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63" s="10">
        <f ca="1">CFDTable[[#This Row],[AvgDaily]]-CFDTable[[#This Row],[Deviation]]</f>
        <v>0.80952380952380931</v>
      </c>
      <c r="Q163" s="10">
        <f ca="1">AVERAGE(IF(ISNUMBER(L163),IF(ISNUMBER(OFFSET(L163,-Historic,0)),OFFSET(L163,-Historic,0),L$2):L163,Q162))</f>
        <v>0.95238095238095233</v>
      </c>
      <c r="R163" s="10">
        <f ca="1">AVERAGE(IF(ISNUMBER(L163),IF(ISNUMBER(OFFSET(L163,-Historic,0)),OFFSET(L163,-Historic,0),L$2):L163,R162))</f>
        <v>0.95238095238095233</v>
      </c>
      <c r="S163" s="10">
        <f ca="1">AVERAGE(IF(ISNUMBER(L163),OFFSET(L$2,DaysToIgnoreOnAvg,0):L163,S162))</f>
        <v>0.88311688311688308</v>
      </c>
      <c r="T163" s="10">
        <f ca="1">CFDTable[[#This Row],[AvgDaily]]+CFDTable[[#This Row],[Deviation]]</f>
        <v>1.0952380952380953</v>
      </c>
      <c r="U163" s="10">
        <f ca="1">IF(ISNUMBER(L163),((_xlfn.PERCENTILE.INC(IF(ISNUMBER(OFFSET(Q163,-Historic,0)),OFFSET(Q163,-Historic,0),Q$2):Q163,PercentileHigh/100))-(MEDIAN(IF(ISNUMBER(OFFSET(Q163,-Historic,0)),OFFSET(Q163,-Historic,0),Q$2):Q163))),U162)</f>
        <v>0.14285714285714302</v>
      </c>
      <c r="V163" s="10">
        <f ca="1">IF(ISNUMBER(L163),((_xlfn.PERCENTILE.INC(Q$2:Q163,PercentileHigh/100))-(MEDIAN(Q$2:Q163))),U162)</f>
        <v>0.14285714285714302</v>
      </c>
      <c r="W163" s="10">
        <f ca="1">IF(ISNUMBER(CFDTable[[#This Row],[Done Today]]),SUM($F163:$K163),$W162)</f>
        <v>124</v>
      </c>
      <c r="X163" s="10">
        <f ca="1">IF(ISNUMBER(CFDTable[[#This Row],[Done Today]]),SUM($F163:$K163),$X162)</f>
        <v>124</v>
      </c>
      <c r="Y163" s="10">
        <f ca="1">SUM(LOOKUP(2,1/(M$1:M162&lt;&gt;""),M$1:M162)+CFDTable[[#This Row],[lowDaily]])</f>
        <v>125.04761904761909</v>
      </c>
      <c r="Z163" s="10">
        <f ca="1">SUM(LOOKUP(2,1/(N$1:N162&lt;&gt;""),N$1:N162)+Q163)</f>
        <v>125.23809523809504</v>
      </c>
      <c r="AA163" s="10">
        <f ca="1">SUM(LOOKUP(2,1/(O$1:O162&lt;&gt;""),O$1:O162)+CFDTable[[#This Row],[highDaily]])</f>
        <v>125.8571428571432</v>
      </c>
      <c r="AB163" s="12">
        <f>IF(CFDTable[[#This Row],[Date]]=DeadlineDate,CFDTable[Future Work],0)</f>
        <v>0</v>
      </c>
    </row>
    <row r="164" spans="1:28">
      <c r="A164" s="8">
        <f>CFDTable[[#This Row],[Date]]</f>
        <v>42641</v>
      </c>
      <c r="B164" s="38">
        <f>Data!B164</f>
        <v>42641</v>
      </c>
      <c r="C164" s="10">
        <f ca="1">IF(ISNUMBER(CFDTable[[#This Row],[Ready]]),NA(),CFDTable[[#This Row],[Target]]-CFDTable[[#This Row],[To Do]])</f>
        <v>77</v>
      </c>
      <c r="D164" s="10">
        <f ca="1">IF(CFDTable[[#This Row],[Emergence]]&gt;0,CFDTable[[#This Row],[Future Work]]-CFDTable[[#This Row],[Emergence]],NA())</f>
        <v>81</v>
      </c>
      <c r="E164" s="10">
        <f>Data!C164</f>
        <v>43</v>
      </c>
      <c r="F164" s="10">
        <f ca="1">Data!D164</f>
        <v>47</v>
      </c>
      <c r="G164" s="10" t="e">
        <f ca="1">IF(TodaysDate&gt;=$B164,Data!E164,NA())</f>
        <v>#N/A</v>
      </c>
      <c r="H164" s="10" t="e">
        <f ca="1">IF(TodaysDate&gt;=$B164,Data!F164,NA())</f>
        <v>#N/A</v>
      </c>
      <c r="I164" s="10" t="e">
        <f ca="1">IF(TodaysDate&gt;=$B164,Data!G164,NA())</f>
        <v>#N/A</v>
      </c>
      <c r="J164" s="10" t="e">
        <f ca="1">IF(TodaysDate&gt;=$B164,Data!H164,NA())</f>
        <v>#N/A</v>
      </c>
      <c r="K164" s="10" t="e">
        <f ca="1">IF(TodaysDate&gt;=$B164,Data!I164,NA())</f>
        <v>#N/A</v>
      </c>
      <c r="L164" s="10" t="e">
        <f ca="1">IF(CFDTable[[#This Row],[Done]]&gt;0,(CFDTable[[#This Row],[Done]])-(K163),0)</f>
        <v>#N/A</v>
      </c>
      <c r="M164" s="10" t="e">
        <f ca="1">IF(ISNUMBER($L164),SUM(CFDTable[[#This Row],[Done]]),IF(CFDTable[[#This Row],[lookupLow]]&gt;=CFDTable[[#This Row],[Target]]+CFDTable[[#This Row],[lowDaily]],NA(),CFDTable[[#This Row],[lookupLow]]))</f>
        <v>#N/A</v>
      </c>
      <c r="N164" s="10" t="e">
        <f ca="1">IF(ISNUMBER($L164),SUM(CFDTable[[#This Row],[Done]]),IF(CFDTable[[#This Row],[lookupMedian]]&gt;=$X164+Q164,NA(),CFDTable[[#This Row],[lookupMedian]]))</f>
        <v>#N/A</v>
      </c>
      <c r="O164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64" s="10">
        <f ca="1">CFDTable[[#This Row],[AvgDaily]]-CFDTable[[#This Row],[Deviation]]</f>
        <v>0.80952380952380931</v>
      </c>
      <c r="Q164" s="10">
        <f ca="1">AVERAGE(IF(ISNUMBER(L164),IF(ISNUMBER(OFFSET(L164,-Historic,0)),OFFSET(L164,-Historic,0),L$2):L164,Q163))</f>
        <v>0.95238095238095233</v>
      </c>
      <c r="R164" s="10">
        <f ca="1">AVERAGE(IF(ISNUMBER(L164),IF(ISNUMBER(OFFSET(L164,-Historic,0)),OFFSET(L164,-Historic,0),L$2):L164,R163))</f>
        <v>0.95238095238095233</v>
      </c>
      <c r="S164" s="10">
        <f ca="1">AVERAGE(IF(ISNUMBER(L164),OFFSET(L$2,DaysToIgnoreOnAvg,0):L164,S163))</f>
        <v>0.88311688311688308</v>
      </c>
      <c r="T164" s="10">
        <f ca="1">CFDTable[[#This Row],[AvgDaily]]+CFDTable[[#This Row],[Deviation]]</f>
        <v>1.0952380952380953</v>
      </c>
      <c r="U164" s="10">
        <f ca="1">IF(ISNUMBER(L164),((_xlfn.PERCENTILE.INC(IF(ISNUMBER(OFFSET(Q164,-Historic,0)),OFFSET(Q164,-Historic,0),Q$2):Q164,PercentileHigh/100))-(MEDIAN(IF(ISNUMBER(OFFSET(Q164,-Historic,0)),OFFSET(Q164,-Historic,0),Q$2):Q164))),U163)</f>
        <v>0.14285714285714302</v>
      </c>
      <c r="V164" s="10">
        <f ca="1">IF(ISNUMBER(L164),((_xlfn.PERCENTILE.INC(Q$2:Q164,PercentileHigh/100))-(MEDIAN(Q$2:Q164))),U163)</f>
        <v>0.14285714285714302</v>
      </c>
      <c r="W164" s="10">
        <f ca="1">IF(ISNUMBER(CFDTable[[#This Row],[Done Today]]),SUM($F164:$K164),$W163)</f>
        <v>124</v>
      </c>
      <c r="X164" s="10">
        <f ca="1">IF(ISNUMBER(CFDTable[[#This Row],[Done Today]]),SUM($F164:$K164),$X163)</f>
        <v>124</v>
      </c>
      <c r="Y164" s="10">
        <f ca="1">SUM(LOOKUP(2,1/(M$1:M163&lt;&gt;""),M$1:M163)+CFDTable[[#This Row],[lowDaily]])</f>
        <v>125.04761904761909</v>
      </c>
      <c r="Z164" s="10">
        <f ca="1">SUM(LOOKUP(2,1/(N$1:N163&lt;&gt;""),N$1:N163)+Q164)</f>
        <v>125.23809523809504</v>
      </c>
      <c r="AA164" s="10">
        <f ca="1">SUM(LOOKUP(2,1/(O$1:O163&lt;&gt;""),O$1:O163)+CFDTable[[#This Row],[highDaily]])</f>
        <v>125.8571428571432</v>
      </c>
      <c r="AB164" s="12">
        <f>IF(CFDTable[[#This Row],[Date]]=DeadlineDate,CFDTable[Future Work],0)</f>
        <v>0</v>
      </c>
    </row>
    <row r="165" spans="1:28">
      <c r="A165" s="8">
        <f>CFDTable[[#This Row],[Date]]</f>
        <v>42642</v>
      </c>
      <c r="B165" s="38">
        <f>Data!B165</f>
        <v>42642</v>
      </c>
      <c r="C165" s="10">
        <f ca="1">IF(ISNUMBER(CFDTable[[#This Row],[Ready]]),NA(),CFDTable[[#This Row],[Target]]-CFDTable[[#This Row],[To Do]])</f>
        <v>77</v>
      </c>
      <c r="D165" s="10">
        <f ca="1">IF(CFDTable[[#This Row],[Emergence]]&gt;0,CFDTable[[#This Row],[Future Work]]-CFDTable[[#This Row],[Emergence]],NA())</f>
        <v>81</v>
      </c>
      <c r="E165" s="10">
        <f>Data!C165</f>
        <v>43</v>
      </c>
      <c r="F165" s="10">
        <f ca="1">Data!D165</f>
        <v>47</v>
      </c>
      <c r="G165" s="10" t="e">
        <f ca="1">IF(TodaysDate&gt;=$B165,Data!E165,NA())</f>
        <v>#N/A</v>
      </c>
      <c r="H165" s="10" t="e">
        <f ca="1">IF(TodaysDate&gt;=$B165,Data!F165,NA())</f>
        <v>#N/A</v>
      </c>
      <c r="I165" s="10" t="e">
        <f ca="1">IF(TodaysDate&gt;=$B165,Data!G165,NA())</f>
        <v>#N/A</v>
      </c>
      <c r="J165" s="10" t="e">
        <f ca="1">IF(TodaysDate&gt;=$B165,Data!H165,NA())</f>
        <v>#N/A</v>
      </c>
      <c r="K165" s="10" t="e">
        <f ca="1">IF(TodaysDate&gt;=$B165,Data!I165,NA())</f>
        <v>#N/A</v>
      </c>
      <c r="L165" s="10" t="e">
        <f ca="1">IF(CFDTable[[#This Row],[Done]]&gt;0,(CFDTable[[#This Row],[Done]])-(K164),0)</f>
        <v>#N/A</v>
      </c>
      <c r="M165" s="10" t="e">
        <f ca="1">IF(ISNUMBER($L165),SUM(CFDTable[[#This Row],[Done]]),IF(CFDTable[[#This Row],[lookupLow]]&gt;=CFDTable[[#This Row],[Target]]+CFDTable[[#This Row],[lowDaily]],NA(),CFDTable[[#This Row],[lookupLow]]))</f>
        <v>#N/A</v>
      </c>
      <c r="N165" s="10" t="e">
        <f ca="1">IF(ISNUMBER($L165),SUM(CFDTable[[#This Row],[Done]]),IF(CFDTable[[#This Row],[lookupMedian]]&gt;=$X165+Q165,NA(),CFDTable[[#This Row],[lookupMedian]]))</f>
        <v>#N/A</v>
      </c>
      <c r="O165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65" s="10">
        <f ca="1">CFDTable[[#This Row],[AvgDaily]]-CFDTable[[#This Row],[Deviation]]</f>
        <v>0.80952380952380931</v>
      </c>
      <c r="Q165" s="10">
        <f ca="1">AVERAGE(IF(ISNUMBER(L165),IF(ISNUMBER(OFFSET(L165,-Historic,0)),OFFSET(L165,-Historic,0),L$2):L165,Q164))</f>
        <v>0.95238095238095233</v>
      </c>
      <c r="R165" s="10">
        <f ca="1">AVERAGE(IF(ISNUMBER(L165),IF(ISNUMBER(OFFSET(L165,-Historic,0)),OFFSET(L165,-Historic,0),L$2):L165,R164))</f>
        <v>0.95238095238095233</v>
      </c>
      <c r="S165" s="10">
        <f ca="1">AVERAGE(IF(ISNUMBER(L165),OFFSET(L$2,DaysToIgnoreOnAvg,0):L165,S164))</f>
        <v>0.88311688311688308</v>
      </c>
      <c r="T165" s="10">
        <f ca="1">CFDTable[[#This Row],[AvgDaily]]+CFDTable[[#This Row],[Deviation]]</f>
        <v>1.0952380952380953</v>
      </c>
      <c r="U165" s="10">
        <f ca="1">IF(ISNUMBER(L165),((_xlfn.PERCENTILE.INC(IF(ISNUMBER(OFFSET(Q165,-Historic,0)),OFFSET(Q165,-Historic,0),Q$2):Q165,PercentileHigh/100))-(MEDIAN(IF(ISNUMBER(OFFSET(Q165,-Historic,0)),OFFSET(Q165,-Historic,0),Q$2):Q165))),U164)</f>
        <v>0.14285714285714302</v>
      </c>
      <c r="V165" s="10">
        <f ca="1">IF(ISNUMBER(L165),((_xlfn.PERCENTILE.INC(Q$2:Q165,PercentileHigh/100))-(MEDIAN(Q$2:Q165))),U164)</f>
        <v>0.14285714285714302</v>
      </c>
      <c r="W165" s="10">
        <f ca="1">IF(ISNUMBER(CFDTable[[#This Row],[Done Today]]),SUM($F165:$K165),$W164)</f>
        <v>124</v>
      </c>
      <c r="X165" s="10">
        <f ca="1">IF(ISNUMBER(CFDTable[[#This Row],[Done Today]]),SUM($F165:$K165),$X164)</f>
        <v>124</v>
      </c>
      <c r="Y165" s="10">
        <f ca="1">SUM(LOOKUP(2,1/(M$1:M164&lt;&gt;""),M$1:M164)+CFDTable[[#This Row],[lowDaily]])</f>
        <v>125.04761904761909</v>
      </c>
      <c r="Z165" s="10">
        <f ca="1">SUM(LOOKUP(2,1/(N$1:N164&lt;&gt;""),N$1:N164)+Q165)</f>
        <v>125.23809523809504</v>
      </c>
      <c r="AA165" s="10">
        <f ca="1">SUM(LOOKUP(2,1/(O$1:O164&lt;&gt;""),O$1:O164)+CFDTable[[#This Row],[highDaily]])</f>
        <v>125.8571428571432</v>
      </c>
      <c r="AB165" s="12">
        <f>IF(CFDTable[[#This Row],[Date]]=DeadlineDate,CFDTable[Future Work],0)</f>
        <v>0</v>
      </c>
    </row>
    <row r="166" spans="1:28">
      <c r="A166" s="8">
        <f>CFDTable[[#This Row],[Date]]</f>
        <v>42643</v>
      </c>
      <c r="B166" s="38">
        <f>Data!B166</f>
        <v>42643</v>
      </c>
      <c r="C166" s="10">
        <f ca="1">IF(ISNUMBER(CFDTable[[#This Row],[Ready]]),NA(),CFDTable[[#This Row],[Target]]-CFDTable[[#This Row],[To Do]])</f>
        <v>77</v>
      </c>
      <c r="D166" s="10">
        <f ca="1">IF(CFDTable[[#This Row],[Emergence]]&gt;0,CFDTable[[#This Row],[Future Work]]-CFDTable[[#This Row],[Emergence]],NA())</f>
        <v>81</v>
      </c>
      <c r="E166" s="10">
        <f>Data!C166</f>
        <v>43</v>
      </c>
      <c r="F166" s="10">
        <f ca="1">Data!D166</f>
        <v>47</v>
      </c>
      <c r="G166" s="10" t="e">
        <f ca="1">IF(TodaysDate&gt;=$B166,Data!E166,NA())</f>
        <v>#N/A</v>
      </c>
      <c r="H166" s="10" t="e">
        <f ca="1">IF(TodaysDate&gt;=$B166,Data!F166,NA())</f>
        <v>#N/A</v>
      </c>
      <c r="I166" s="10" t="e">
        <f ca="1">IF(TodaysDate&gt;=$B166,Data!G166,NA())</f>
        <v>#N/A</v>
      </c>
      <c r="J166" s="10" t="e">
        <f ca="1">IF(TodaysDate&gt;=$B166,Data!H166,NA())</f>
        <v>#N/A</v>
      </c>
      <c r="K166" s="10" t="e">
        <f ca="1">IF(TodaysDate&gt;=$B166,Data!I166,NA())</f>
        <v>#N/A</v>
      </c>
      <c r="L166" s="10" t="e">
        <f ca="1">IF(CFDTable[[#This Row],[Done]]&gt;0,(CFDTable[[#This Row],[Done]])-(K165),0)</f>
        <v>#N/A</v>
      </c>
      <c r="M166" s="10" t="e">
        <f ca="1">IF(ISNUMBER($L166),SUM(CFDTable[[#This Row],[Done]]),IF(CFDTable[[#This Row],[lookupLow]]&gt;=CFDTable[[#This Row],[Target]]+CFDTable[[#This Row],[lowDaily]],NA(),CFDTable[[#This Row],[lookupLow]]))</f>
        <v>#N/A</v>
      </c>
      <c r="N166" s="10" t="e">
        <f ca="1">IF(ISNUMBER($L166),SUM(CFDTable[[#This Row],[Done]]),IF(CFDTable[[#This Row],[lookupMedian]]&gt;=$X166+Q166,NA(),CFDTable[[#This Row],[lookupMedian]]))</f>
        <v>#N/A</v>
      </c>
      <c r="O166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66" s="10">
        <f ca="1">CFDTable[[#This Row],[AvgDaily]]-CFDTable[[#This Row],[Deviation]]</f>
        <v>0.80952380952380931</v>
      </c>
      <c r="Q166" s="10">
        <f ca="1">AVERAGE(IF(ISNUMBER(L166),IF(ISNUMBER(OFFSET(L166,-Historic,0)),OFFSET(L166,-Historic,0),L$2):L166,Q165))</f>
        <v>0.95238095238095233</v>
      </c>
      <c r="R166" s="10">
        <f ca="1">AVERAGE(IF(ISNUMBER(L166),IF(ISNUMBER(OFFSET(L166,-Historic,0)),OFFSET(L166,-Historic,0),L$2):L166,R165))</f>
        <v>0.95238095238095233</v>
      </c>
      <c r="S166" s="10">
        <f ca="1">AVERAGE(IF(ISNUMBER(L166),OFFSET(L$2,DaysToIgnoreOnAvg,0):L166,S165))</f>
        <v>0.88311688311688308</v>
      </c>
      <c r="T166" s="10">
        <f ca="1">CFDTable[[#This Row],[AvgDaily]]+CFDTable[[#This Row],[Deviation]]</f>
        <v>1.0952380952380953</v>
      </c>
      <c r="U166" s="10">
        <f ca="1">IF(ISNUMBER(L166),((_xlfn.PERCENTILE.INC(IF(ISNUMBER(OFFSET(Q166,-Historic,0)),OFFSET(Q166,-Historic,0),Q$2):Q166,PercentileHigh/100))-(MEDIAN(IF(ISNUMBER(OFFSET(Q166,-Historic,0)),OFFSET(Q166,-Historic,0),Q$2):Q166))),U165)</f>
        <v>0.14285714285714302</v>
      </c>
      <c r="V166" s="10">
        <f ca="1">IF(ISNUMBER(L166),((_xlfn.PERCENTILE.INC(Q$2:Q166,PercentileHigh/100))-(MEDIAN(Q$2:Q166))),U165)</f>
        <v>0.14285714285714302</v>
      </c>
      <c r="W166" s="10">
        <f ca="1">IF(ISNUMBER(CFDTable[[#This Row],[Done Today]]),SUM($F166:$K166),$W165)</f>
        <v>124</v>
      </c>
      <c r="X166" s="10">
        <f ca="1">IF(ISNUMBER(CFDTable[[#This Row],[Done Today]]),SUM($F166:$K166),$X165)</f>
        <v>124</v>
      </c>
      <c r="Y166" s="10">
        <f ca="1">SUM(LOOKUP(2,1/(M$1:M165&lt;&gt;""),M$1:M165)+CFDTable[[#This Row],[lowDaily]])</f>
        <v>125.04761904761909</v>
      </c>
      <c r="Z166" s="10">
        <f ca="1">SUM(LOOKUP(2,1/(N$1:N165&lt;&gt;""),N$1:N165)+Q166)</f>
        <v>125.23809523809504</v>
      </c>
      <c r="AA166" s="10">
        <f ca="1">SUM(LOOKUP(2,1/(O$1:O165&lt;&gt;""),O$1:O165)+CFDTable[[#This Row],[highDaily]])</f>
        <v>125.8571428571432</v>
      </c>
      <c r="AB166" s="12">
        <f>IF(CFDTable[[#This Row],[Date]]=DeadlineDate,CFDTable[Future Work],0)</f>
        <v>0</v>
      </c>
    </row>
    <row r="167" spans="1:28">
      <c r="A167" s="8">
        <f>CFDTable[[#This Row],[Date]]</f>
        <v>42646</v>
      </c>
      <c r="B167" s="38">
        <f>Data!B167</f>
        <v>42646</v>
      </c>
      <c r="C167" s="10">
        <f ca="1">IF(ISNUMBER(CFDTable[[#This Row],[Ready]]),NA(),CFDTable[[#This Row],[Target]]-CFDTable[[#This Row],[To Do]])</f>
        <v>77</v>
      </c>
      <c r="D167" s="10">
        <f ca="1">IF(CFDTable[[#This Row],[Emergence]]&gt;0,CFDTable[[#This Row],[Future Work]]-CFDTable[[#This Row],[Emergence]],NA())</f>
        <v>81</v>
      </c>
      <c r="E167" s="10">
        <f>Data!C167</f>
        <v>43</v>
      </c>
      <c r="F167" s="10">
        <f ca="1">Data!D167</f>
        <v>47</v>
      </c>
      <c r="G167" s="10" t="e">
        <f ca="1">IF(TodaysDate&gt;=$B167,Data!E167,NA())</f>
        <v>#N/A</v>
      </c>
      <c r="H167" s="10" t="e">
        <f ca="1">IF(TodaysDate&gt;=$B167,Data!F167,NA())</f>
        <v>#N/A</v>
      </c>
      <c r="I167" s="10" t="e">
        <f ca="1">IF(TodaysDate&gt;=$B167,Data!G167,NA())</f>
        <v>#N/A</v>
      </c>
      <c r="J167" s="10" t="e">
        <f ca="1">IF(TodaysDate&gt;=$B167,Data!H167,NA())</f>
        <v>#N/A</v>
      </c>
      <c r="K167" s="10" t="e">
        <f ca="1">IF(TodaysDate&gt;=$B167,Data!I167,NA())</f>
        <v>#N/A</v>
      </c>
      <c r="L167" s="10" t="e">
        <f ca="1">IF(CFDTable[[#This Row],[Done]]&gt;0,(CFDTable[[#This Row],[Done]])-(K166),0)</f>
        <v>#N/A</v>
      </c>
      <c r="M167" s="10" t="e">
        <f ca="1">IF(ISNUMBER($L167),SUM(CFDTable[[#This Row],[Done]]),IF(CFDTable[[#This Row],[lookupLow]]&gt;=CFDTable[[#This Row],[Target]]+CFDTable[[#This Row],[lowDaily]],NA(),CFDTable[[#This Row],[lookupLow]]))</f>
        <v>#N/A</v>
      </c>
      <c r="N167" s="10" t="e">
        <f ca="1">IF(ISNUMBER($L167),SUM(CFDTable[[#This Row],[Done]]),IF(CFDTable[[#This Row],[lookupMedian]]&gt;=$X167+Q167,NA(),CFDTable[[#This Row],[lookupMedian]]))</f>
        <v>#N/A</v>
      </c>
      <c r="O167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67" s="10">
        <f ca="1">CFDTable[[#This Row],[AvgDaily]]-CFDTable[[#This Row],[Deviation]]</f>
        <v>0.80952380952380931</v>
      </c>
      <c r="Q167" s="10">
        <f ca="1">AVERAGE(IF(ISNUMBER(L167),IF(ISNUMBER(OFFSET(L167,-Historic,0)),OFFSET(L167,-Historic,0),L$2):L167,Q166))</f>
        <v>0.95238095238095233</v>
      </c>
      <c r="R167" s="10">
        <f ca="1">AVERAGE(IF(ISNUMBER(L167),IF(ISNUMBER(OFFSET(L167,-Historic,0)),OFFSET(L167,-Historic,0),L$2):L167,R166))</f>
        <v>0.95238095238095233</v>
      </c>
      <c r="S167" s="10">
        <f ca="1">AVERAGE(IF(ISNUMBER(L167),OFFSET(L$2,DaysToIgnoreOnAvg,0):L167,S166))</f>
        <v>0.88311688311688308</v>
      </c>
      <c r="T167" s="10">
        <f ca="1">CFDTable[[#This Row],[AvgDaily]]+CFDTable[[#This Row],[Deviation]]</f>
        <v>1.0952380952380953</v>
      </c>
      <c r="U167" s="10">
        <f ca="1">IF(ISNUMBER(L167),((_xlfn.PERCENTILE.INC(IF(ISNUMBER(OFFSET(Q167,-Historic,0)),OFFSET(Q167,-Historic,0),Q$2):Q167,PercentileHigh/100))-(MEDIAN(IF(ISNUMBER(OFFSET(Q167,-Historic,0)),OFFSET(Q167,-Historic,0),Q$2):Q167))),U166)</f>
        <v>0.14285714285714302</v>
      </c>
      <c r="V167" s="10">
        <f ca="1">IF(ISNUMBER(L167),((_xlfn.PERCENTILE.INC(Q$2:Q167,PercentileHigh/100))-(MEDIAN(Q$2:Q167))),U166)</f>
        <v>0.14285714285714302</v>
      </c>
      <c r="W167" s="10">
        <f ca="1">IF(ISNUMBER(CFDTable[[#This Row],[Done Today]]),SUM($F167:$K167),$W166)</f>
        <v>124</v>
      </c>
      <c r="X167" s="10">
        <f ca="1">IF(ISNUMBER(CFDTable[[#This Row],[Done Today]]),SUM($F167:$K167),$X166)</f>
        <v>124</v>
      </c>
      <c r="Y167" s="10">
        <f ca="1">SUM(LOOKUP(2,1/(M$1:M166&lt;&gt;""),M$1:M166)+CFDTable[[#This Row],[lowDaily]])</f>
        <v>125.04761904761909</v>
      </c>
      <c r="Z167" s="10">
        <f ca="1">SUM(LOOKUP(2,1/(N$1:N166&lt;&gt;""),N$1:N166)+Q167)</f>
        <v>125.23809523809504</v>
      </c>
      <c r="AA167" s="10">
        <f ca="1">SUM(LOOKUP(2,1/(O$1:O166&lt;&gt;""),O$1:O166)+CFDTable[[#This Row],[highDaily]])</f>
        <v>125.8571428571432</v>
      </c>
      <c r="AB167" s="12">
        <f>IF(CFDTable[[#This Row],[Date]]=DeadlineDate,CFDTable[Future Work],0)</f>
        <v>0</v>
      </c>
    </row>
    <row r="168" spans="1:28">
      <c r="A168" s="8">
        <f>CFDTable[[#This Row],[Date]]</f>
        <v>42647</v>
      </c>
      <c r="B168" s="38">
        <f>Data!B168</f>
        <v>42647</v>
      </c>
      <c r="C168" s="10">
        <f ca="1">IF(ISNUMBER(CFDTable[[#This Row],[Ready]]),NA(),CFDTable[[#This Row],[Target]]-CFDTable[[#This Row],[To Do]])</f>
        <v>77</v>
      </c>
      <c r="D168" s="10">
        <f ca="1">IF(CFDTable[[#This Row],[Emergence]]&gt;0,CFDTable[[#This Row],[Future Work]]-CFDTable[[#This Row],[Emergence]],NA())</f>
        <v>81</v>
      </c>
      <c r="E168" s="10">
        <f>Data!C168</f>
        <v>43</v>
      </c>
      <c r="F168" s="10">
        <f ca="1">Data!D168</f>
        <v>47</v>
      </c>
      <c r="G168" s="10" t="e">
        <f ca="1">IF(TodaysDate&gt;=$B168,Data!E168,NA())</f>
        <v>#N/A</v>
      </c>
      <c r="H168" s="10" t="e">
        <f ca="1">IF(TodaysDate&gt;=$B168,Data!F168,NA())</f>
        <v>#N/A</v>
      </c>
      <c r="I168" s="10" t="e">
        <f ca="1">IF(TodaysDate&gt;=$B168,Data!G168,NA())</f>
        <v>#N/A</v>
      </c>
      <c r="J168" s="10" t="e">
        <f ca="1">IF(TodaysDate&gt;=$B168,Data!H168,NA())</f>
        <v>#N/A</v>
      </c>
      <c r="K168" s="10" t="e">
        <f ca="1">IF(TodaysDate&gt;=$B168,Data!I168,NA())</f>
        <v>#N/A</v>
      </c>
      <c r="L168" s="10" t="e">
        <f ca="1">IF(CFDTable[[#This Row],[Done]]&gt;0,(CFDTable[[#This Row],[Done]])-(K167),0)</f>
        <v>#N/A</v>
      </c>
      <c r="M168" s="10" t="e">
        <f ca="1">IF(ISNUMBER($L168),SUM(CFDTable[[#This Row],[Done]]),IF(CFDTable[[#This Row],[lookupLow]]&gt;=CFDTable[[#This Row],[Target]]+CFDTable[[#This Row],[lowDaily]],NA(),CFDTable[[#This Row],[lookupLow]]))</f>
        <v>#N/A</v>
      </c>
      <c r="N168" s="10" t="e">
        <f ca="1">IF(ISNUMBER($L168),SUM(CFDTable[[#This Row],[Done]]),IF(CFDTable[[#This Row],[lookupMedian]]&gt;=$X168+Q168,NA(),CFDTable[[#This Row],[lookupMedian]]))</f>
        <v>#N/A</v>
      </c>
      <c r="O168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68" s="10">
        <f ca="1">CFDTable[[#This Row],[AvgDaily]]-CFDTable[[#This Row],[Deviation]]</f>
        <v>0.80952380952380931</v>
      </c>
      <c r="Q168" s="10">
        <f ca="1">AVERAGE(IF(ISNUMBER(L168),IF(ISNUMBER(OFFSET(L168,-Historic,0)),OFFSET(L168,-Historic,0),L$2):L168,Q167))</f>
        <v>0.95238095238095233</v>
      </c>
      <c r="R168" s="10">
        <f ca="1">AVERAGE(IF(ISNUMBER(L168),IF(ISNUMBER(OFFSET(L168,-Historic,0)),OFFSET(L168,-Historic,0),L$2):L168,R167))</f>
        <v>0.95238095238095233</v>
      </c>
      <c r="S168" s="10">
        <f ca="1">AVERAGE(IF(ISNUMBER(L168),OFFSET(L$2,DaysToIgnoreOnAvg,0):L168,S167))</f>
        <v>0.88311688311688308</v>
      </c>
      <c r="T168" s="10">
        <f ca="1">CFDTable[[#This Row],[AvgDaily]]+CFDTable[[#This Row],[Deviation]]</f>
        <v>1.0952380952380953</v>
      </c>
      <c r="U168" s="10">
        <f ca="1">IF(ISNUMBER(L168),((_xlfn.PERCENTILE.INC(IF(ISNUMBER(OFFSET(Q168,-Historic,0)),OFFSET(Q168,-Historic,0),Q$2):Q168,PercentileHigh/100))-(MEDIAN(IF(ISNUMBER(OFFSET(Q168,-Historic,0)),OFFSET(Q168,-Historic,0),Q$2):Q168))),U167)</f>
        <v>0.14285714285714302</v>
      </c>
      <c r="V168" s="10">
        <f ca="1">IF(ISNUMBER(L168),((_xlfn.PERCENTILE.INC(Q$2:Q168,PercentileHigh/100))-(MEDIAN(Q$2:Q168))),U167)</f>
        <v>0.14285714285714302</v>
      </c>
      <c r="W168" s="10">
        <f ca="1">IF(ISNUMBER(CFDTable[[#This Row],[Done Today]]),SUM($F168:$K168),$W167)</f>
        <v>124</v>
      </c>
      <c r="X168" s="10">
        <f ca="1">IF(ISNUMBER(CFDTable[[#This Row],[Done Today]]),SUM($F168:$K168),$X167)</f>
        <v>124</v>
      </c>
      <c r="Y168" s="10">
        <f ca="1">SUM(LOOKUP(2,1/(M$1:M167&lt;&gt;""),M$1:M167)+CFDTable[[#This Row],[lowDaily]])</f>
        <v>125.04761904761909</v>
      </c>
      <c r="Z168" s="10">
        <f ca="1">SUM(LOOKUP(2,1/(N$1:N167&lt;&gt;""),N$1:N167)+Q168)</f>
        <v>125.23809523809504</v>
      </c>
      <c r="AA168" s="10">
        <f ca="1">SUM(LOOKUP(2,1/(O$1:O167&lt;&gt;""),O$1:O167)+CFDTable[[#This Row],[highDaily]])</f>
        <v>125.8571428571432</v>
      </c>
      <c r="AB168" s="12">
        <f>IF(CFDTable[[#This Row],[Date]]=DeadlineDate,CFDTable[Future Work],0)</f>
        <v>0</v>
      </c>
    </row>
    <row r="169" spans="1:28">
      <c r="A169" s="8">
        <f>CFDTable[[#This Row],[Date]]</f>
        <v>42648</v>
      </c>
      <c r="B169" s="38">
        <f>Data!B169</f>
        <v>42648</v>
      </c>
      <c r="C169" s="10">
        <f ca="1">IF(ISNUMBER(CFDTable[[#This Row],[Ready]]),NA(),CFDTable[[#This Row],[Target]]-CFDTable[[#This Row],[To Do]])</f>
        <v>77</v>
      </c>
      <c r="D169" s="10">
        <f ca="1">IF(CFDTable[[#This Row],[Emergence]]&gt;0,CFDTable[[#This Row],[Future Work]]-CFDTable[[#This Row],[Emergence]],NA())</f>
        <v>81</v>
      </c>
      <c r="E169" s="10">
        <f>Data!C169</f>
        <v>43</v>
      </c>
      <c r="F169" s="10">
        <f ca="1">Data!D169</f>
        <v>47</v>
      </c>
      <c r="G169" s="10" t="e">
        <f ca="1">IF(TodaysDate&gt;=$B169,Data!E169,NA())</f>
        <v>#N/A</v>
      </c>
      <c r="H169" s="10" t="e">
        <f ca="1">IF(TodaysDate&gt;=$B169,Data!F169,NA())</f>
        <v>#N/A</v>
      </c>
      <c r="I169" s="10" t="e">
        <f ca="1">IF(TodaysDate&gt;=$B169,Data!G169,NA())</f>
        <v>#N/A</v>
      </c>
      <c r="J169" s="10" t="e">
        <f ca="1">IF(TodaysDate&gt;=$B169,Data!H169,NA())</f>
        <v>#N/A</v>
      </c>
      <c r="K169" s="10" t="e">
        <f ca="1">IF(TodaysDate&gt;=$B169,Data!I169,NA())</f>
        <v>#N/A</v>
      </c>
      <c r="L169" s="10" t="e">
        <f ca="1">IF(CFDTable[[#This Row],[Done]]&gt;0,(CFDTable[[#This Row],[Done]])-(K168),0)</f>
        <v>#N/A</v>
      </c>
      <c r="M169" s="10" t="e">
        <f ca="1">IF(ISNUMBER($L169),SUM(CFDTable[[#This Row],[Done]]),IF(CFDTable[[#This Row],[lookupLow]]&gt;=CFDTable[[#This Row],[Target]]+CFDTable[[#This Row],[lowDaily]],NA(),CFDTable[[#This Row],[lookupLow]]))</f>
        <v>#N/A</v>
      </c>
      <c r="N169" s="10" t="e">
        <f ca="1">IF(ISNUMBER($L169),SUM(CFDTable[[#This Row],[Done]]),IF(CFDTable[[#This Row],[lookupMedian]]&gt;=$X169+Q169,NA(),CFDTable[[#This Row],[lookupMedian]]))</f>
        <v>#N/A</v>
      </c>
      <c r="O169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69" s="10">
        <f ca="1">CFDTable[[#This Row],[AvgDaily]]-CFDTable[[#This Row],[Deviation]]</f>
        <v>0.80952380952380931</v>
      </c>
      <c r="Q169" s="10">
        <f ca="1">AVERAGE(IF(ISNUMBER(L169),IF(ISNUMBER(OFFSET(L169,-Historic,0)),OFFSET(L169,-Historic,0),L$2):L169,Q168))</f>
        <v>0.95238095238095233</v>
      </c>
      <c r="R169" s="10">
        <f ca="1">AVERAGE(IF(ISNUMBER(L169),IF(ISNUMBER(OFFSET(L169,-Historic,0)),OFFSET(L169,-Historic,0),L$2):L169,R168))</f>
        <v>0.95238095238095233</v>
      </c>
      <c r="S169" s="10">
        <f ca="1">AVERAGE(IF(ISNUMBER(L169),OFFSET(L$2,DaysToIgnoreOnAvg,0):L169,S168))</f>
        <v>0.88311688311688308</v>
      </c>
      <c r="T169" s="10">
        <f ca="1">CFDTable[[#This Row],[AvgDaily]]+CFDTable[[#This Row],[Deviation]]</f>
        <v>1.0952380952380953</v>
      </c>
      <c r="U169" s="10">
        <f ca="1">IF(ISNUMBER(L169),((_xlfn.PERCENTILE.INC(IF(ISNUMBER(OFFSET(Q169,-Historic,0)),OFFSET(Q169,-Historic,0),Q$2):Q169,PercentileHigh/100))-(MEDIAN(IF(ISNUMBER(OFFSET(Q169,-Historic,0)),OFFSET(Q169,-Historic,0),Q$2):Q169))),U168)</f>
        <v>0.14285714285714302</v>
      </c>
      <c r="V169" s="10">
        <f ca="1">IF(ISNUMBER(L169),((_xlfn.PERCENTILE.INC(Q$2:Q169,PercentileHigh/100))-(MEDIAN(Q$2:Q169))),U168)</f>
        <v>0.14285714285714302</v>
      </c>
      <c r="W169" s="10">
        <f ca="1">IF(ISNUMBER(CFDTable[[#This Row],[Done Today]]),SUM($F169:$K169),$W168)</f>
        <v>124</v>
      </c>
      <c r="X169" s="10">
        <f ca="1">IF(ISNUMBER(CFDTable[[#This Row],[Done Today]]),SUM($F169:$K169),$X168)</f>
        <v>124</v>
      </c>
      <c r="Y169" s="10">
        <f ca="1">SUM(LOOKUP(2,1/(M$1:M168&lt;&gt;""),M$1:M168)+CFDTable[[#This Row],[lowDaily]])</f>
        <v>125.04761904761909</v>
      </c>
      <c r="Z169" s="10">
        <f ca="1">SUM(LOOKUP(2,1/(N$1:N168&lt;&gt;""),N$1:N168)+Q169)</f>
        <v>125.23809523809504</v>
      </c>
      <c r="AA169" s="10">
        <f ca="1">SUM(LOOKUP(2,1/(O$1:O168&lt;&gt;""),O$1:O168)+CFDTable[[#This Row],[highDaily]])</f>
        <v>125.8571428571432</v>
      </c>
      <c r="AB169" s="12">
        <f>IF(CFDTable[[#This Row],[Date]]=DeadlineDate,CFDTable[Future Work],0)</f>
        <v>0</v>
      </c>
    </row>
    <row r="170" spans="1:28">
      <c r="A170" s="8">
        <f>CFDTable[[#This Row],[Date]]</f>
        <v>42649</v>
      </c>
      <c r="B170" s="38">
        <f>Data!B170</f>
        <v>42649</v>
      </c>
      <c r="C170" s="10">
        <f ca="1">IF(ISNUMBER(CFDTable[[#This Row],[Ready]]),NA(),CFDTable[[#This Row],[Target]]-CFDTable[[#This Row],[To Do]])</f>
        <v>77</v>
      </c>
      <c r="D170" s="10">
        <f ca="1">IF(CFDTable[[#This Row],[Emergence]]&gt;0,CFDTable[[#This Row],[Future Work]]-CFDTable[[#This Row],[Emergence]],NA())</f>
        <v>81</v>
      </c>
      <c r="E170" s="10">
        <f>Data!C170</f>
        <v>43</v>
      </c>
      <c r="F170" s="10">
        <f ca="1">Data!D170</f>
        <v>47</v>
      </c>
      <c r="G170" s="10" t="e">
        <f ca="1">IF(TodaysDate&gt;=$B170,Data!E170,NA())</f>
        <v>#N/A</v>
      </c>
      <c r="H170" s="10" t="e">
        <f ca="1">IF(TodaysDate&gt;=$B170,Data!F170,NA())</f>
        <v>#N/A</v>
      </c>
      <c r="I170" s="10" t="e">
        <f ca="1">IF(TodaysDate&gt;=$B170,Data!G170,NA())</f>
        <v>#N/A</v>
      </c>
      <c r="J170" s="10" t="e">
        <f ca="1">IF(TodaysDate&gt;=$B170,Data!H170,NA())</f>
        <v>#N/A</v>
      </c>
      <c r="K170" s="10" t="e">
        <f ca="1">IF(TodaysDate&gt;=$B170,Data!I170,NA())</f>
        <v>#N/A</v>
      </c>
      <c r="L170" s="10" t="e">
        <f ca="1">IF(CFDTable[[#This Row],[Done]]&gt;0,(CFDTable[[#This Row],[Done]])-(K169),0)</f>
        <v>#N/A</v>
      </c>
      <c r="M170" s="10" t="e">
        <f ca="1">IF(ISNUMBER($L170),SUM(CFDTable[[#This Row],[Done]]),IF(CFDTable[[#This Row],[lookupLow]]&gt;=CFDTable[[#This Row],[Target]]+CFDTable[[#This Row],[lowDaily]],NA(),CFDTable[[#This Row],[lookupLow]]))</f>
        <v>#N/A</v>
      </c>
      <c r="N170" s="10" t="e">
        <f ca="1">IF(ISNUMBER($L170),SUM(CFDTable[[#This Row],[Done]]),IF(CFDTable[[#This Row],[lookupMedian]]&gt;=$X170+Q170,NA(),CFDTable[[#This Row],[lookupMedian]]))</f>
        <v>#N/A</v>
      </c>
      <c r="O170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70" s="10">
        <f ca="1">CFDTable[[#This Row],[AvgDaily]]-CFDTable[[#This Row],[Deviation]]</f>
        <v>0.80952380952380931</v>
      </c>
      <c r="Q170" s="10">
        <f ca="1">AVERAGE(IF(ISNUMBER(L170),IF(ISNUMBER(OFFSET(L170,-Historic,0)),OFFSET(L170,-Historic,0),L$2):L170,Q169))</f>
        <v>0.95238095238095233</v>
      </c>
      <c r="R170" s="10">
        <f ca="1">AVERAGE(IF(ISNUMBER(L170),IF(ISNUMBER(OFFSET(L170,-Historic,0)),OFFSET(L170,-Historic,0),L$2):L170,R169))</f>
        <v>0.95238095238095233</v>
      </c>
      <c r="S170" s="10">
        <f ca="1">AVERAGE(IF(ISNUMBER(L170),OFFSET(L$2,DaysToIgnoreOnAvg,0):L170,S169))</f>
        <v>0.88311688311688308</v>
      </c>
      <c r="T170" s="10">
        <f ca="1">CFDTable[[#This Row],[AvgDaily]]+CFDTable[[#This Row],[Deviation]]</f>
        <v>1.0952380952380953</v>
      </c>
      <c r="U170" s="10">
        <f ca="1">IF(ISNUMBER(L170),((_xlfn.PERCENTILE.INC(IF(ISNUMBER(OFFSET(Q170,-Historic,0)),OFFSET(Q170,-Historic,0),Q$2):Q170,PercentileHigh/100))-(MEDIAN(IF(ISNUMBER(OFFSET(Q170,-Historic,0)),OFFSET(Q170,-Historic,0),Q$2):Q170))),U169)</f>
        <v>0.14285714285714302</v>
      </c>
      <c r="V170" s="10">
        <f ca="1">IF(ISNUMBER(L170),((_xlfn.PERCENTILE.INC(Q$2:Q170,PercentileHigh/100))-(MEDIAN(Q$2:Q170))),U169)</f>
        <v>0.14285714285714302</v>
      </c>
      <c r="W170" s="10">
        <f ca="1">IF(ISNUMBER(CFDTable[[#This Row],[Done Today]]),SUM($F170:$K170),$W169)</f>
        <v>124</v>
      </c>
      <c r="X170" s="10">
        <f ca="1">IF(ISNUMBER(CFDTable[[#This Row],[Done Today]]),SUM($F170:$K170),$X169)</f>
        <v>124</v>
      </c>
      <c r="Y170" s="10">
        <f ca="1">SUM(LOOKUP(2,1/(M$1:M169&lt;&gt;""),M$1:M169)+CFDTable[[#This Row],[lowDaily]])</f>
        <v>125.04761904761909</v>
      </c>
      <c r="Z170" s="10">
        <f ca="1">SUM(LOOKUP(2,1/(N$1:N169&lt;&gt;""),N$1:N169)+Q170)</f>
        <v>125.23809523809504</v>
      </c>
      <c r="AA170" s="10">
        <f ca="1">SUM(LOOKUP(2,1/(O$1:O169&lt;&gt;""),O$1:O169)+CFDTable[[#This Row],[highDaily]])</f>
        <v>125.8571428571432</v>
      </c>
      <c r="AB170" s="12">
        <f>IF(CFDTable[[#This Row],[Date]]=DeadlineDate,CFDTable[Future Work],0)</f>
        <v>0</v>
      </c>
    </row>
    <row r="171" spans="1:28">
      <c r="A171" s="8">
        <f>CFDTable[[#This Row],[Date]]</f>
        <v>42650</v>
      </c>
      <c r="B171" s="38">
        <f>Data!B171</f>
        <v>42650</v>
      </c>
      <c r="C171" s="10">
        <f ca="1">IF(ISNUMBER(CFDTable[[#This Row],[Ready]]),NA(),CFDTable[[#This Row],[Target]]-CFDTable[[#This Row],[To Do]])</f>
        <v>77</v>
      </c>
      <c r="D171" s="10">
        <f ca="1">IF(CFDTable[[#This Row],[Emergence]]&gt;0,CFDTable[[#This Row],[Future Work]]-CFDTable[[#This Row],[Emergence]],NA())</f>
        <v>81</v>
      </c>
      <c r="E171" s="10">
        <f>Data!C171</f>
        <v>43</v>
      </c>
      <c r="F171" s="10">
        <f ca="1">Data!D171</f>
        <v>47</v>
      </c>
      <c r="G171" s="10" t="e">
        <f ca="1">IF(TodaysDate&gt;=$B171,Data!E171,NA())</f>
        <v>#N/A</v>
      </c>
      <c r="H171" s="10" t="e">
        <f ca="1">IF(TodaysDate&gt;=$B171,Data!F171,NA())</f>
        <v>#N/A</v>
      </c>
      <c r="I171" s="10" t="e">
        <f ca="1">IF(TodaysDate&gt;=$B171,Data!G171,NA())</f>
        <v>#N/A</v>
      </c>
      <c r="J171" s="10" t="e">
        <f ca="1">IF(TodaysDate&gt;=$B171,Data!H171,NA())</f>
        <v>#N/A</v>
      </c>
      <c r="K171" s="10" t="e">
        <f ca="1">IF(TodaysDate&gt;=$B171,Data!I171,NA())</f>
        <v>#N/A</v>
      </c>
      <c r="L171" s="10" t="e">
        <f ca="1">IF(CFDTable[[#This Row],[Done]]&gt;0,(CFDTable[[#This Row],[Done]])-(K170),0)</f>
        <v>#N/A</v>
      </c>
      <c r="M171" s="10" t="e">
        <f ca="1">IF(ISNUMBER($L171),SUM(CFDTable[[#This Row],[Done]]),IF(CFDTable[[#This Row],[lookupLow]]&gt;=CFDTable[[#This Row],[Target]]+CFDTable[[#This Row],[lowDaily]],NA(),CFDTable[[#This Row],[lookupLow]]))</f>
        <v>#N/A</v>
      </c>
      <c r="N171" s="10" t="e">
        <f ca="1">IF(ISNUMBER($L171),SUM(CFDTable[[#This Row],[Done]]),IF(CFDTable[[#This Row],[lookupMedian]]&gt;=$X171+Q171,NA(),CFDTable[[#This Row],[lookupMedian]]))</f>
        <v>#N/A</v>
      </c>
      <c r="O171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71" s="10">
        <f ca="1">CFDTable[[#This Row],[AvgDaily]]-CFDTable[[#This Row],[Deviation]]</f>
        <v>0.80952380952380931</v>
      </c>
      <c r="Q171" s="10">
        <f ca="1">AVERAGE(IF(ISNUMBER(L171),IF(ISNUMBER(OFFSET(L171,-Historic,0)),OFFSET(L171,-Historic,0),L$2):L171,Q170))</f>
        <v>0.95238095238095233</v>
      </c>
      <c r="R171" s="10">
        <f ca="1">AVERAGE(IF(ISNUMBER(L171),IF(ISNUMBER(OFFSET(L171,-Historic,0)),OFFSET(L171,-Historic,0),L$2):L171,R170))</f>
        <v>0.95238095238095233</v>
      </c>
      <c r="S171" s="10">
        <f ca="1">AVERAGE(IF(ISNUMBER(L171),OFFSET(L$2,DaysToIgnoreOnAvg,0):L171,S170))</f>
        <v>0.88311688311688308</v>
      </c>
      <c r="T171" s="10">
        <f ca="1">CFDTable[[#This Row],[AvgDaily]]+CFDTable[[#This Row],[Deviation]]</f>
        <v>1.0952380952380953</v>
      </c>
      <c r="U171" s="10">
        <f ca="1">IF(ISNUMBER(L171),((_xlfn.PERCENTILE.INC(IF(ISNUMBER(OFFSET(Q171,-Historic,0)),OFFSET(Q171,-Historic,0),Q$2):Q171,PercentileHigh/100))-(MEDIAN(IF(ISNUMBER(OFFSET(Q171,-Historic,0)),OFFSET(Q171,-Historic,0),Q$2):Q171))),U170)</f>
        <v>0.14285714285714302</v>
      </c>
      <c r="V171" s="10">
        <f ca="1">IF(ISNUMBER(L171),((_xlfn.PERCENTILE.INC(Q$2:Q171,PercentileHigh/100))-(MEDIAN(Q$2:Q171))),U170)</f>
        <v>0.14285714285714302</v>
      </c>
      <c r="W171" s="10">
        <f ca="1">IF(ISNUMBER(CFDTable[[#This Row],[Done Today]]),SUM($F171:$K171),$W170)</f>
        <v>124</v>
      </c>
      <c r="X171" s="10">
        <f ca="1">IF(ISNUMBER(CFDTable[[#This Row],[Done Today]]),SUM($F171:$K171),$X170)</f>
        <v>124</v>
      </c>
      <c r="Y171" s="10">
        <f ca="1">SUM(LOOKUP(2,1/(M$1:M170&lt;&gt;""),M$1:M170)+CFDTable[[#This Row],[lowDaily]])</f>
        <v>125.04761904761909</v>
      </c>
      <c r="Z171" s="10">
        <f ca="1">SUM(LOOKUP(2,1/(N$1:N170&lt;&gt;""),N$1:N170)+Q171)</f>
        <v>125.23809523809504</v>
      </c>
      <c r="AA171" s="10">
        <f ca="1">SUM(LOOKUP(2,1/(O$1:O170&lt;&gt;""),O$1:O170)+CFDTable[[#This Row],[highDaily]])</f>
        <v>125.8571428571432</v>
      </c>
      <c r="AB171" s="12">
        <f>IF(CFDTable[[#This Row],[Date]]=DeadlineDate,CFDTable[Future Work],0)</f>
        <v>0</v>
      </c>
    </row>
    <row r="172" spans="1:28">
      <c r="A172" s="8">
        <f>CFDTable[[#This Row],[Date]]</f>
        <v>42653</v>
      </c>
      <c r="B172" s="38">
        <f>Data!B172</f>
        <v>42653</v>
      </c>
      <c r="C172" s="10">
        <f ca="1">IF(ISNUMBER(CFDTable[[#This Row],[Ready]]),NA(),CFDTable[[#This Row],[Target]]-CFDTable[[#This Row],[To Do]])</f>
        <v>77</v>
      </c>
      <c r="D172" s="10">
        <f ca="1">IF(CFDTable[[#This Row],[Emergence]]&gt;0,CFDTable[[#This Row],[Future Work]]-CFDTable[[#This Row],[Emergence]],NA())</f>
        <v>81</v>
      </c>
      <c r="E172" s="10">
        <f>Data!C172</f>
        <v>43</v>
      </c>
      <c r="F172" s="10">
        <f ca="1">Data!D172</f>
        <v>47</v>
      </c>
      <c r="G172" s="10" t="e">
        <f ca="1">IF(TodaysDate&gt;=$B172,Data!E172,NA())</f>
        <v>#N/A</v>
      </c>
      <c r="H172" s="10" t="e">
        <f ca="1">IF(TodaysDate&gt;=$B172,Data!F172,NA())</f>
        <v>#N/A</v>
      </c>
      <c r="I172" s="10" t="e">
        <f ca="1">IF(TodaysDate&gt;=$B172,Data!G172,NA())</f>
        <v>#N/A</v>
      </c>
      <c r="J172" s="10" t="e">
        <f ca="1">IF(TodaysDate&gt;=$B172,Data!H172,NA())</f>
        <v>#N/A</v>
      </c>
      <c r="K172" s="10" t="e">
        <f ca="1">IF(TodaysDate&gt;=$B172,Data!I172,NA())</f>
        <v>#N/A</v>
      </c>
      <c r="L172" s="10" t="e">
        <f ca="1">IF(CFDTable[[#This Row],[Done]]&gt;0,(CFDTable[[#This Row],[Done]])-(K171),0)</f>
        <v>#N/A</v>
      </c>
      <c r="M172" s="10" t="e">
        <f ca="1">IF(ISNUMBER($L172),SUM(CFDTable[[#This Row],[Done]]),IF(CFDTable[[#This Row],[lookupLow]]&gt;=CFDTable[[#This Row],[Target]]+CFDTable[[#This Row],[lowDaily]],NA(),CFDTable[[#This Row],[lookupLow]]))</f>
        <v>#N/A</v>
      </c>
      <c r="N172" s="10" t="e">
        <f ca="1">IF(ISNUMBER($L172),SUM(CFDTable[[#This Row],[Done]]),IF(CFDTable[[#This Row],[lookupMedian]]&gt;=$X172+Q172,NA(),CFDTable[[#This Row],[lookupMedian]]))</f>
        <v>#N/A</v>
      </c>
      <c r="O172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72" s="10">
        <f ca="1">CFDTable[[#This Row],[AvgDaily]]-CFDTable[[#This Row],[Deviation]]</f>
        <v>0.80952380952380931</v>
      </c>
      <c r="Q172" s="10">
        <f ca="1">AVERAGE(IF(ISNUMBER(L172),IF(ISNUMBER(OFFSET(L172,-Historic,0)),OFFSET(L172,-Historic,0),L$2):L172,Q171))</f>
        <v>0.95238095238095233</v>
      </c>
      <c r="R172" s="10">
        <f ca="1">AVERAGE(IF(ISNUMBER(L172),IF(ISNUMBER(OFFSET(L172,-Historic,0)),OFFSET(L172,-Historic,0),L$2):L172,R171))</f>
        <v>0.95238095238095233</v>
      </c>
      <c r="S172" s="10">
        <f ca="1">AVERAGE(IF(ISNUMBER(L172),OFFSET(L$2,DaysToIgnoreOnAvg,0):L172,S171))</f>
        <v>0.88311688311688308</v>
      </c>
      <c r="T172" s="10">
        <f ca="1">CFDTable[[#This Row],[AvgDaily]]+CFDTable[[#This Row],[Deviation]]</f>
        <v>1.0952380952380953</v>
      </c>
      <c r="U172" s="10">
        <f ca="1">IF(ISNUMBER(L172),((_xlfn.PERCENTILE.INC(IF(ISNUMBER(OFFSET(Q172,-Historic,0)),OFFSET(Q172,-Historic,0),Q$2):Q172,PercentileHigh/100))-(MEDIAN(IF(ISNUMBER(OFFSET(Q172,-Historic,0)),OFFSET(Q172,-Historic,0),Q$2):Q172))),U171)</f>
        <v>0.14285714285714302</v>
      </c>
      <c r="V172" s="10">
        <f ca="1">IF(ISNUMBER(L172),((_xlfn.PERCENTILE.INC(Q$2:Q172,PercentileHigh/100))-(MEDIAN(Q$2:Q172))),U171)</f>
        <v>0.14285714285714302</v>
      </c>
      <c r="W172" s="10">
        <f ca="1">IF(ISNUMBER(CFDTable[[#This Row],[Done Today]]),SUM($F172:$K172),$W171)</f>
        <v>124</v>
      </c>
      <c r="X172" s="10">
        <f ca="1">IF(ISNUMBER(CFDTable[[#This Row],[Done Today]]),SUM($F172:$K172),$X171)</f>
        <v>124</v>
      </c>
      <c r="Y172" s="10">
        <f ca="1">SUM(LOOKUP(2,1/(M$1:M171&lt;&gt;""),M$1:M171)+CFDTable[[#This Row],[lowDaily]])</f>
        <v>125.04761904761909</v>
      </c>
      <c r="Z172" s="10">
        <f ca="1">SUM(LOOKUP(2,1/(N$1:N171&lt;&gt;""),N$1:N171)+Q172)</f>
        <v>125.23809523809504</v>
      </c>
      <c r="AA172" s="10">
        <f ca="1">SUM(LOOKUP(2,1/(O$1:O171&lt;&gt;""),O$1:O171)+CFDTable[[#This Row],[highDaily]])</f>
        <v>125.8571428571432</v>
      </c>
      <c r="AB172" s="12">
        <f>IF(CFDTable[[#This Row],[Date]]=DeadlineDate,CFDTable[Future Work],0)</f>
        <v>0</v>
      </c>
    </row>
    <row r="173" spans="1:28">
      <c r="A173" s="8">
        <f>CFDTable[[#This Row],[Date]]</f>
        <v>42654</v>
      </c>
      <c r="B173" s="38">
        <f>Data!B173</f>
        <v>42654</v>
      </c>
      <c r="C173" s="10">
        <f ca="1">IF(ISNUMBER(CFDTable[[#This Row],[Ready]]),NA(),CFDTable[[#This Row],[Target]]-CFDTable[[#This Row],[To Do]])</f>
        <v>77</v>
      </c>
      <c r="D173" s="10">
        <f ca="1">IF(CFDTable[[#This Row],[Emergence]]&gt;0,CFDTable[[#This Row],[Future Work]]-CFDTable[[#This Row],[Emergence]],NA())</f>
        <v>81</v>
      </c>
      <c r="E173" s="10">
        <f>Data!C173</f>
        <v>43</v>
      </c>
      <c r="F173" s="10">
        <f ca="1">Data!D173</f>
        <v>47</v>
      </c>
      <c r="G173" s="10" t="e">
        <f ca="1">IF(TodaysDate&gt;=$B173,Data!E173,NA())</f>
        <v>#N/A</v>
      </c>
      <c r="H173" s="10" t="e">
        <f ca="1">IF(TodaysDate&gt;=$B173,Data!F173,NA())</f>
        <v>#N/A</v>
      </c>
      <c r="I173" s="10" t="e">
        <f ca="1">IF(TodaysDate&gt;=$B173,Data!G173,NA())</f>
        <v>#N/A</v>
      </c>
      <c r="J173" s="10" t="e">
        <f ca="1">IF(TodaysDate&gt;=$B173,Data!H173,NA())</f>
        <v>#N/A</v>
      </c>
      <c r="K173" s="10" t="e">
        <f ca="1">IF(TodaysDate&gt;=$B173,Data!I173,NA())</f>
        <v>#N/A</v>
      </c>
      <c r="L173" s="10" t="e">
        <f ca="1">IF(CFDTable[[#This Row],[Done]]&gt;0,(CFDTable[[#This Row],[Done]])-(K172),0)</f>
        <v>#N/A</v>
      </c>
      <c r="M173" s="10" t="e">
        <f ca="1">IF(ISNUMBER($L173),SUM(CFDTable[[#This Row],[Done]]),IF(CFDTable[[#This Row],[lookupLow]]&gt;=CFDTable[[#This Row],[Target]]+CFDTable[[#This Row],[lowDaily]],NA(),CFDTable[[#This Row],[lookupLow]]))</f>
        <v>#N/A</v>
      </c>
      <c r="N173" s="10" t="e">
        <f ca="1">IF(ISNUMBER($L173),SUM(CFDTable[[#This Row],[Done]]),IF(CFDTable[[#This Row],[lookupMedian]]&gt;=$X173+Q173,NA(),CFDTable[[#This Row],[lookupMedian]]))</f>
        <v>#N/A</v>
      </c>
      <c r="O173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73" s="10">
        <f ca="1">CFDTable[[#This Row],[AvgDaily]]-CFDTable[[#This Row],[Deviation]]</f>
        <v>0.80952380952380931</v>
      </c>
      <c r="Q173" s="10">
        <f ca="1">AVERAGE(IF(ISNUMBER(L173),IF(ISNUMBER(OFFSET(L173,-Historic,0)),OFFSET(L173,-Historic,0),L$2):L173,Q172))</f>
        <v>0.95238095238095233</v>
      </c>
      <c r="R173" s="10">
        <f ca="1">AVERAGE(IF(ISNUMBER(L173),IF(ISNUMBER(OFFSET(L173,-Historic,0)),OFFSET(L173,-Historic,0),L$2):L173,R172))</f>
        <v>0.95238095238095233</v>
      </c>
      <c r="S173" s="10">
        <f ca="1">AVERAGE(IF(ISNUMBER(L173),OFFSET(L$2,DaysToIgnoreOnAvg,0):L173,S172))</f>
        <v>0.88311688311688308</v>
      </c>
      <c r="T173" s="10">
        <f ca="1">CFDTable[[#This Row],[AvgDaily]]+CFDTable[[#This Row],[Deviation]]</f>
        <v>1.0952380952380953</v>
      </c>
      <c r="U173" s="10">
        <f ca="1">IF(ISNUMBER(L173),((_xlfn.PERCENTILE.INC(IF(ISNUMBER(OFFSET(Q173,-Historic,0)),OFFSET(Q173,-Historic,0),Q$2):Q173,PercentileHigh/100))-(MEDIAN(IF(ISNUMBER(OFFSET(Q173,-Historic,0)),OFFSET(Q173,-Historic,0),Q$2):Q173))),U172)</f>
        <v>0.14285714285714302</v>
      </c>
      <c r="V173" s="10">
        <f ca="1">IF(ISNUMBER(L173),((_xlfn.PERCENTILE.INC(Q$2:Q173,PercentileHigh/100))-(MEDIAN(Q$2:Q173))),U172)</f>
        <v>0.14285714285714302</v>
      </c>
      <c r="W173" s="10">
        <f ca="1">IF(ISNUMBER(CFDTable[[#This Row],[Done Today]]),SUM($F173:$K173),$W172)</f>
        <v>124</v>
      </c>
      <c r="X173" s="10">
        <f ca="1">IF(ISNUMBER(CFDTable[[#This Row],[Done Today]]),SUM($F173:$K173),$X172)</f>
        <v>124</v>
      </c>
      <c r="Y173" s="10">
        <f ca="1">SUM(LOOKUP(2,1/(M$1:M172&lt;&gt;""),M$1:M172)+CFDTable[[#This Row],[lowDaily]])</f>
        <v>125.04761904761909</v>
      </c>
      <c r="Z173" s="10">
        <f ca="1">SUM(LOOKUP(2,1/(N$1:N172&lt;&gt;""),N$1:N172)+Q173)</f>
        <v>125.23809523809504</v>
      </c>
      <c r="AA173" s="10">
        <f ca="1">SUM(LOOKUP(2,1/(O$1:O172&lt;&gt;""),O$1:O172)+CFDTable[[#This Row],[highDaily]])</f>
        <v>125.8571428571432</v>
      </c>
      <c r="AB173" s="12">
        <f>IF(CFDTable[[#This Row],[Date]]=DeadlineDate,CFDTable[Future Work],0)</f>
        <v>0</v>
      </c>
    </row>
    <row r="174" spans="1:28">
      <c r="A174" s="8">
        <f>CFDTable[[#This Row],[Date]]</f>
        <v>42655</v>
      </c>
      <c r="B174" s="38">
        <f>Data!B174</f>
        <v>42655</v>
      </c>
      <c r="C174" s="10">
        <f ca="1">IF(ISNUMBER(CFDTable[[#This Row],[Ready]]),NA(),CFDTable[[#This Row],[Target]]-CFDTable[[#This Row],[To Do]])</f>
        <v>77</v>
      </c>
      <c r="D174" s="10">
        <f ca="1">IF(CFDTable[[#This Row],[Emergence]]&gt;0,CFDTable[[#This Row],[Future Work]]-CFDTable[[#This Row],[Emergence]],NA())</f>
        <v>81</v>
      </c>
      <c r="E174" s="10">
        <f>Data!C174</f>
        <v>43</v>
      </c>
      <c r="F174" s="10">
        <f ca="1">Data!D174</f>
        <v>47</v>
      </c>
      <c r="G174" s="10" t="e">
        <f ca="1">IF(TodaysDate&gt;=$B174,Data!E174,NA())</f>
        <v>#N/A</v>
      </c>
      <c r="H174" s="10" t="e">
        <f ca="1">IF(TodaysDate&gt;=$B174,Data!F174,NA())</f>
        <v>#N/A</v>
      </c>
      <c r="I174" s="10" t="e">
        <f ca="1">IF(TodaysDate&gt;=$B174,Data!G174,NA())</f>
        <v>#N/A</v>
      </c>
      <c r="J174" s="10" t="e">
        <f ca="1">IF(TodaysDate&gt;=$B174,Data!H174,NA())</f>
        <v>#N/A</v>
      </c>
      <c r="K174" s="10" t="e">
        <f ca="1">IF(TodaysDate&gt;=$B174,Data!I174,NA())</f>
        <v>#N/A</v>
      </c>
      <c r="L174" s="10" t="e">
        <f ca="1">IF(CFDTable[[#This Row],[Done]]&gt;0,(CFDTable[[#This Row],[Done]])-(K173),0)</f>
        <v>#N/A</v>
      </c>
      <c r="M174" s="10" t="e">
        <f ca="1">IF(ISNUMBER($L174),SUM(CFDTable[[#This Row],[Done]]),IF(CFDTable[[#This Row],[lookupLow]]&gt;=CFDTable[[#This Row],[Target]]+CFDTable[[#This Row],[lowDaily]],NA(),CFDTable[[#This Row],[lookupLow]]))</f>
        <v>#N/A</v>
      </c>
      <c r="N174" s="10" t="e">
        <f ca="1">IF(ISNUMBER($L174),SUM(CFDTable[[#This Row],[Done]]),IF(CFDTable[[#This Row],[lookupMedian]]&gt;=$X174+Q174,NA(),CFDTable[[#This Row],[lookupMedian]]))</f>
        <v>#N/A</v>
      </c>
      <c r="O174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74" s="10">
        <f ca="1">CFDTable[[#This Row],[AvgDaily]]-CFDTable[[#This Row],[Deviation]]</f>
        <v>0.80952380952380931</v>
      </c>
      <c r="Q174" s="10">
        <f ca="1">AVERAGE(IF(ISNUMBER(L174),IF(ISNUMBER(OFFSET(L174,-Historic,0)),OFFSET(L174,-Historic,0),L$2):L174,Q173))</f>
        <v>0.95238095238095233</v>
      </c>
      <c r="R174" s="10">
        <f ca="1">AVERAGE(IF(ISNUMBER(L174),IF(ISNUMBER(OFFSET(L174,-Historic,0)),OFFSET(L174,-Historic,0),L$2):L174,R173))</f>
        <v>0.95238095238095233</v>
      </c>
      <c r="S174" s="10">
        <f ca="1">AVERAGE(IF(ISNUMBER(L174),OFFSET(L$2,DaysToIgnoreOnAvg,0):L174,S173))</f>
        <v>0.88311688311688308</v>
      </c>
      <c r="T174" s="10">
        <f ca="1">CFDTable[[#This Row],[AvgDaily]]+CFDTable[[#This Row],[Deviation]]</f>
        <v>1.0952380952380953</v>
      </c>
      <c r="U174" s="10">
        <f ca="1">IF(ISNUMBER(L174),((_xlfn.PERCENTILE.INC(IF(ISNUMBER(OFFSET(Q174,-Historic,0)),OFFSET(Q174,-Historic,0),Q$2):Q174,PercentileHigh/100))-(MEDIAN(IF(ISNUMBER(OFFSET(Q174,-Historic,0)),OFFSET(Q174,-Historic,0),Q$2):Q174))),U173)</f>
        <v>0.14285714285714302</v>
      </c>
      <c r="V174" s="10">
        <f ca="1">IF(ISNUMBER(L174),((_xlfn.PERCENTILE.INC(Q$2:Q174,PercentileHigh/100))-(MEDIAN(Q$2:Q174))),U173)</f>
        <v>0.14285714285714302</v>
      </c>
      <c r="W174" s="10">
        <f ca="1">IF(ISNUMBER(CFDTable[[#This Row],[Done Today]]),SUM($F174:$K174),$W173)</f>
        <v>124</v>
      </c>
      <c r="X174" s="10">
        <f ca="1">IF(ISNUMBER(CFDTable[[#This Row],[Done Today]]),SUM($F174:$K174),$X173)</f>
        <v>124</v>
      </c>
      <c r="Y174" s="10">
        <f ca="1">SUM(LOOKUP(2,1/(M$1:M173&lt;&gt;""),M$1:M173)+CFDTable[[#This Row],[lowDaily]])</f>
        <v>125.04761904761909</v>
      </c>
      <c r="Z174" s="10">
        <f ca="1">SUM(LOOKUP(2,1/(N$1:N173&lt;&gt;""),N$1:N173)+Q174)</f>
        <v>125.23809523809504</v>
      </c>
      <c r="AA174" s="10">
        <f ca="1">SUM(LOOKUP(2,1/(O$1:O173&lt;&gt;""),O$1:O173)+CFDTable[[#This Row],[highDaily]])</f>
        <v>125.8571428571432</v>
      </c>
      <c r="AB174" s="12">
        <f>IF(CFDTable[[#This Row],[Date]]=DeadlineDate,CFDTable[Future Work],0)</f>
        <v>0</v>
      </c>
    </row>
    <row r="175" spans="1:28">
      <c r="A175" s="8">
        <f>CFDTable[[#This Row],[Date]]</f>
        <v>42656</v>
      </c>
      <c r="B175" s="38">
        <f>Data!B175</f>
        <v>42656</v>
      </c>
      <c r="C175" s="10">
        <f ca="1">IF(ISNUMBER(CFDTable[[#This Row],[Ready]]),NA(),CFDTable[[#This Row],[Target]]-CFDTable[[#This Row],[To Do]])</f>
        <v>77</v>
      </c>
      <c r="D175" s="10">
        <f ca="1">IF(CFDTable[[#This Row],[Emergence]]&gt;0,CFDTable[[#This Row],[Future Work]]-CFDTable[[#This Row],[Emergence]],NA())</f>
        <v>81</v>
      </c>
      <c r="E175" s="10">
        <f>Data!C175</f>
        <v>43</v>
      </c>
      <c r="F175" s="10">
        <f ca="1">Data!D175</f>
        <v>47</v>
      </c>
      <c r="G175" s="10" t="e">
        <f ca="1">IF(TodaysDate&gt;=$B175,Data!E175,NA())</f>
        <v>#N/A</v>
      </c>
      <c r="H175" s="10" t="e">
        <f ca="1">IF(TodaysDate&gt;=$B175,Data!F175,NA())</f>
        <v>#N/A</v>
      </c>
      <c r="I175" s="10" t="e">
        <f ca="1">IF(TodaysDate&gt;=$B175,Data!G175,NA())</f>
        <v>#N/A</v>
      </c>
      <c r="J175" s="10" t="e">
        <f ca="1">IF(TodaysDate&gt;=$B175,Data!H175,NA())</f>
        <v>#N/A</v>
      </c>
      <c r="K175" s="10" t="e">
        <f ca="1">IF(TodaysDate&gt;=$B175,Data!I175,NA())</f>
        <v>#N/A</v>
      </c>
      <c r="L175" s="10" t="e">
        <f ca="1">IF(CFDTable[[#This Row],[Done]]&gt;0,(CFDTable[[#This Row],[Done]])-(K174),0)</f>
        <v>#N/A</v>
      </c>
      <c r="M175" s="10" t="e">
        <f ca="1">IF(ISNUMBER($L175),SUM(CFDTable[[#This Row],[Done]]),IF(CFDTable[[#This Row],[lookupLow]]&gt;=CFDTable[[#This Row],[Target]]+CFDTable[[#This Row],[lowDaily]],NA(),CFDTable[[#This Row],[lookupLow]]))</f>
        <v>#N/A</v>
      </c>
      <c r="N175" s="10" t="e">
        <f ca="1">IF(ISNUMBER($L175),SUM(CFDTable[[#This Row],[Done]]),IF(CFDTable[[#This Row],[lookupMedian]]&gt;=$X175+Q175,NA(),CFDTable[[#This Row],[lookupMedian]]))</f>
        <v>#N/A</v>
      </c>
      <c r="O175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75" s="10">
        <f ca="1">CFDTable[[#This Row],[AvgDaily]]-CFDTable[[#This Row],[Deviation]]</f>
        <v>0.80952380952380931</v>
      </c>
      <c r="Q175" s="10">
        <f ca="1">AVERAGE(IF(ISNUMBER(L175),IF(ISNUMBER(OFFSET(L175,-Historic,0)),OFFSET(L175,-Historic,0),L$2):L175,Q174))</f>
        <v>0.95238095238095233</v>
      </c>
      <c r="R175" s="10">
        <f ca="1">AVERAGE(IF(ISNUMBER(L175),IF(ISNUMBER(OFFSET(L175,-Historic,0)),OFFSET(L175,-Historic,0),L$2):L175,R174))</f>
        <v>0.95238095238095233</v>
      </c>
      <c r="S175" s="10">
        <f ca="1">AVERAGE(IF(ISNUMBER(L175),OFFSET(L$2,DaysToIgnoreOnAvg,0):L175,S174))</f>
        <v>0.88311688311688308</v>
      </c>
      <c r="T175" s="10">
        <f ca="1">CFDTable[[#This Row],[AvgDaily]]+CFDTable[[#This Row],[Deviation]]</f>
        <v>1.0952380952380953</v>
      </c>
      <c r="U175" s="10">
        <f ca="1">IF(ISNUMBER(L175),((_xlfn.PERCENTILE.INC(IF(ISNUMBER(OFFSET(Q175,-Historic,0)),OFFSET(Q175,-Historic,0),Q$2):Q175,PercentileHigh/100))-(MEDIAN(IF(ISNUMBER(OFFSET(Q175,-Historic,0)),OFFSET(Q175,-Historic,0),Q$2):Q175))),U174)</f>
        <v>0.14285714285714302</v>
      </c>
      <c r="V175" s="10">
        <f ca="1">IF(ISNUMBER(L175),((_xlfn.PERCENTILE.INC(Q$2:Q175,PercentileHigh/100))-(MEDIAN(Q$2:Q175))),U174)</f>
        <v>0.14285714285714302</v>
      </c>
      <c r="W175" s="10">
        <f ca="1">IF(ISNUMBER(CFDTable[[#This Row],[Done Today]]),SUM($F175:$K175),$W174)</f>
        <v>124</v>
      </c>
      <c r="X175" s="10">
        <f ca="1">IF(ISNUMBER(CFDTable[[#This Row],[Done Today]]),SUM($F175:$K175),$X174)</f>
        <v>124</v>
      </c>
      <c r="Y175" s="10">
        <f ca="1">SUM(LOOKUP(2,1/(M$1:M174&lt;&gt;""),M$1:M174)+CFDTable[[#This Row],[lowDaily]])</f>
        <v>125.04761904761909</v>
      </c>
      <c r="Z175" s="10">
        <f ca="1">SUM(LOOKUP(2,1/(N$1:N174&lt;&gt;""),N$1:N174)+Q175)</f>
        <v>125.23809523809504</v>
      </c>
      <c r="AA175" s="10">
        <f ca="1">SUM(LOOKUP(2,1/(O$1:O174&lt;&gt;""),O$1:O174)+CFDTable[[#This Row],[highDaily]])</f>
        <v>125.8571428571432</v>
      </c>
      <c r="AB175" s="12">
        <f>IF(CFDTable[[#This Row],[Date]]=DeadlineDate,CFDTable[Future Work],0)</f>
        <v>0</v>
      </c>
    </row>
    <row r="176" spans="1:28">
      <c r="A176" s="8">
        <f>CFDTable[[#This Row],[Date]]</f>
        <v>42657</v>
      </c>
      <c r="B176" s="38">
        <f>Data!B176</f>
        <v>42657</v>
      </c>
      <c r="C176" s="10">
        <f ca="1">IF(ISNUMBER(CFDTable[[#This Row],[Ready]]),NA(),CFDTable[[#This Row],[Target]]-CFDTable[[#This Row],[To Do]])</f>
        <v>77</v>
      </c>
      <c r="D176" s="10">
        <f ca="1">IF(CFDTable[[#This Row],[Emergence]]&gt;0,CFDTable[[#This Row],[Future Work]]-CFDTable[[#This Row],[Emergence]],NA())</f>
        <v>81</v>
      </c>
      <c r="E176" s="10">
        <f>Data!C176</f>
        <v>43</v>
      </c>
      <c r="F176" s="10">
        <f ca="1">Data!D176</f>
        <v>47</v>
      </c>
      <c r="G176" s="10" t="e">
        <f ca="1">IF(TodaysDate&gt;=$B176,Data!E176,NA())</f>
        <v>#N/A</v>
      </c>
      <c r="H176" s="10" t="e">
        <f ca="1">IF(TodaysDate&gt;=$B176,Data!F176,NA())</f>
        <v>#N/A</v>
      </c>
      <c r="I176" s="10" t="e">
        <f ca="1">IF(TodaysDate&gt;=$B176,Data!G176,NA())</f>
        <v>#N/A</v>
      </c>
      <c r="J176" s="10" t="e">
        <f ca="1">IF(TodaysDate&gt;=$B176,Data!H176,NA())</f>
        <v>#N/A</v>
      </c>
      <c r="K176" s="10" t="e">
        <f ca="1">IF(TodaysDate&gt;=$B176,Data!I176,NA())</f>
        <v>#N/A</v>
      </c>
      <c r="L176" s="10" t="e">
        <f ca="1">IF(CFDTable[[#This Row],[Done]]&gt;0,(CFDTable[[#This Row],[Done]])-(K175),0)</f>
        <v>#N/A</v>
      </c>
      <c r="M176" s="10" t="e">
        <f ca="1">IF(ISNUMBER($L176),SUM(CFDTable[[#This Row],[Done]]),IF(CFDTable[[#This Row],[lookupLow]]&gt;=CFDTable[[#This Row],[Target]]+CFDTable[[#This Row],[lowDaily]],NA(),CFDTable[[#This Row],[lookupLow]]))</f>
        <v>#N/A</v>
      </c>
      <c r="N176" s="10" t="e">
        <f ca="1">IF(ISNUMBER($L176),SUM(CFDTable[[#This Row],[Done]]),IF(CFDTable[[#This Row],[lookupMedian]]&gt;=$X176+Q176,NA(),CFDTable[[#This Row],[lookupMedian]]))</f>
        <v>#N/A</v>
      </c>
      <c r="O176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76" s="10">
        <f ca="1">CFDTable[[#This Row],[AvgDaily]]-CFDTable[[#This Row],[Deviation]]</f>
        <v>0.80952380952380931</v>
      </c>
      <c r="Q176" s="10">
        <f ca="1">AVERAGE(IF(ISNUMBER(L176),IF(ISNUMBER(OFFSET(L176,-Historic,0)),OFFSET(L176,-Historic,0),L$2):L176,Q175))</f>
        <v>0.95238095238095233</v>
      </c>
      <c r="R176" s="10">
        <f ca="1">AVERAGE(IF(ISNUMBER(L176),IF(ISNUMBER(OFFSET(L176,-Historic,0)),OFFSET(L176,-Historic,0),L$2):L176,R175))</f>
        <v>0.95238095238095233</v>
      </c>
      <c r="S176" s="10">
        <f ca="1">AVERAGE(IF(ISNUMBER(L176),OFFSET(L$2,DaysToIgnoreOnAvg,0):L176,S175))</f>
        <v>0.88311688311688308</v>
      </c>
      <c r="T176" s="10">
        <f ca="1">CFDTable[[#This Row],[AvgDaily]]+CFDTable[[#This Row],[Deviation]]</f>
        <v>1.0952380952380953</v>
      </c>
      <c r="U176" s="10">
        <f ca="1">IF(ISNUMBER(L176),((_xlfn.PERCENTILE.INC(IF(ISNUMBER(OFFSET(Q176,-Historic,0)),OFFSET(Q176,-Historic,0),Q$2):Q176,PercentileHigh/100))-(MEDIAN(IF(ISNUMBER(OFFSET(Q176,-Historic,0)),OFFSET(Q176,-Historic,0),Q$2):Q176))),U175)</f>
        <v>0.14285714285714302</v>
      </c>
      <c r="V176" s="10">
        <f ca="1">IF(ISNUMBER(L176),((_xlfn.PERCENTILE.INC(Q$2:Q176,PercentileHigh/100))-(MEDIAN(Q$2:Q176))),U175)</f>
        <v>0.14285714285714302</v>
      </c>
      <c r="W176" s="10">
        <f ca="1">IF(ISNUMBER(CFDTable[[#This Row],[Done Today]]),SUM($F176:$K176),$W175)</f>
        <v>124</v>
      </c>
      <c r="X176" s="10">
        <f ca="1">IF(ISNUMBER(CFDTable[[#This Row],[Done Today]]),SUM($F176:$K176),$X175)</f>
        <v>124</v>
      </c>
      <c r="Y176" s="10">
        <f ca="1">SUM(LOOKUP(2,1/(M$1:M175&lt;&gt;""),M$1:M175)+CFDTable[[#This Row],[lowDaily]])</f>
        <v>125.04761904761909</v>
      </c>
      <c r="Z176" s="10">
        <f ca="1">SUM(LOOKUP(2,1/(N$1:N175&lt;&gt;""),N$1:N175)+Q176)</f>
        <v>125.23809523809504</v>
      </c>
      <c r="AA176" s="10">
        <f ca="1">SUM(LOOKUP(2,1/(O$1:O175&lt;&gt;""),O$1:O175)+CFDTable[[#This Row],[highDaily]])</f>
        <v>125.8571428571432</v>
      </c>
      <c r="AB176" s="12">
        <f>IF(CFDTable[[#This Row],[Date]]=DeadlineDate,CFDTable[Future Work],0)</f>
        <v>0</v>
      </c>
    </row>
    <row r="177" spans="1:28">
      <c r="A177" s="8">
        <f>CFDTable[[#This Row],[Date]]</f>
        <v>42660</v>
      </c>
      <c r="B177" s="38">
        <f>Data!B177</f>
        <v>42660</v>
      </c>
      <c r="C177" s="10">
        <f ca="1">IF(ISNUMBER(CFDTable[[#This Row],[Ready]]),NA(),CFDTable[[#This Row],[Target]]-CFDTable[[#This Row],[To Do]])</f>
        <v>77</v>
      </c>
      <c r="D177" s="10">
        <f ca="1">IF(CFDTable[[#This Row],[Emergence]]&gt;0,CFDTable[[#This Row],[Future Work]]-CFDTable[[#This Row],[Emergence]],NA())</f>
        <v>81</v>
      </c>
      <c r="E177" s="10">
        <f>Data!C177</f>
        <v>43</v>
      </c>
      <c r="F177" s="10">
        <f ca="1">Data!D177</f>
        <v>47</v>
      </c>
      <c r="G177" s="10" t="e">
        <f ca="1">IF(TodaysDate&gt;=$B177,Data!E177,NA())</f>
        <v>#N/A</v>
      </c>
      <c r="H177" s="10" t="e">
        <f ca="1">IF(TodaysDate&gt;=$B177,Data!F177,NA())</f>
        <v>#N/A</v>
      </c>
      <c r="I177" s="10" t="e">
        <f ca="1">IF(TodaysDate&gt;=$B177,Data!G177,NA())</f>
        <v>#N/A</v>
      </c>
      <c r="J177" s="10" t="e">
        <f ca="1">IF(TodaysDate&gt;=$B177,Data!H177,NA())</f>
        <v>#N/A</v>
      </c>
      <c r="K177" s="10" t="e">
        <f ca="1">IF(TodaysDate&gt;=$B177,Data!I177,NA())</f>
        <v>#N/A</v>
      </c>
      <c r="L177" s="10" t="e">
        <f ca="1">IF(CFDTable[[#This Row],[Done]]&gt;0,(CFDTable[[#This Row],[Done]])-(K176),0)</f>
        <v>#N/A</v>
      </c>
      <c r="M177" s="10" t="e">
        <f ca="1">IF(ISNUMBER($L177),SUM(CFDTable[[#This Row],[Done]]),IF(CFDTable[[#This Row],[lookupLow]]&gt;=CFDTable[[#This Row],[Target]]+CFDTable[[#This Row],[lowDaily]],NA(),CFDTable[[#This Row],[lookupLow]]))</f>
        <v>#N/A</v>
      </c>
      <c r="N177" s="10" t="e">
        <f ca="1">IF(ISNUMBER($L177),SUM(CFDTable[[#This Row],[Done]]),IF(CFDTable[[#This Row],[lookupMedian]]&gt;=$X177+Q177,NA(),CFDTable[[#This Row],[lookupMedian]]))</f>
        <v>#N/A</v>
      </c>
      <c r="O177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77" s="10">
        <f ca="1">CFDTable[[#This Row],[AvgDaily]]-CFDTable[[#This Row],[Deviation]]</f>
        <v>0.80952380952380931</v>
      </c>
      <c r="Q177" s="10">
        <f ca="1">AVERAGE(IF(ISNUMBER(L177),IF(ISNUMBER(OFFSET(L177,-Historic,0)),OFFSET(L177,-Historic,0),L$2):L177,Q176))</f>
        <v>0.95238095238095233</v>
      </c>
      <c r="R177" s="10">
        <f ca="1">AVERAGE(IF(ISNUMBER(L177),IF(ISNUMBER(OFFSET(L177,-Historic,0)),OFFSET(L177,-Historic,0),L$2):L177,R176))</f>
        <v>0.95238095238095233</v>
      </c>
      <c r="S177" s="10">
        <f ca="1">AVERAGE(IF(ISNUMBER(L177),OFFSET(L$2,DaysToIgnoreOnAvg,0):L177,S176))</f>
        <v>0.88311688311688308</v>
      </c>
      <c r="T177" s="10">
        <f ca="1">CFDTable[[#This Row],[AvgDaily]]+CFDTable[[#This Row],[Deviation]]</f>
        <v>1.0952380952380953</v>
      </c>
      <c r="U177" s="10">
        <f ca="1">IF(ISNUMBER(L177),((_xlfn.PERCENTILE.INC(IF(ISNUMBER(OFFSET(Q177,-Historic,0)),OFFSET(Q177,-Historic,0),Q$2):Q177,PercentileHigh/100))-(MEDIAN(IF(ISNUMBER(OFFSET(Q177,-Historic,0)),OFFSET(Q177,-Historic,0),Q$2):Q177))),U176)</f>
        <v>0.14285714285714302</v>
      </c>
      <c r="V177" s="10">
        <f ca="1">IF(ISNUMBER(L177),((_xlfn.PERCENTILE.INC(Q$2:Q177,PercentileHigh/100))-(MEDIAN(Q$2:Q177))),U176)</f>
        <v>0.14285714285714302</v>
      </c>
      <c r="W177" s="10">
        <f ca="1">IF(ISNUMBER(CFDTable[[#This Row],[Done Today]]),SUM($F177:$K177),$W176)</f>
        <v>124</v>
      </c>
      <c r="X177" s="10">
        <f ca="1">IF(ISNUMBER(CFDTable[[#This Row],[Done Today]]),SUM($F177:$K177),$X176)</f>
        <v>124</v>
      </c>
      <c r="Y177" s="10">
        <f ca="1">SUM(LOOKUP(2,1/(M$1:M176&lt;&gt;""),M$1:M176)+CFDTable[[#This Row],[lowDaily]])</f>
        <v>125.04761904761909</v>
      </c>
      <c r="Z177" s="10">
        <f ca="1">SUM(LOOKUP(2,1/(N$1:N176&lt;&gt;""),N$1:N176)+Q177)</f>
        <v>125.23809523809504</v>
      </c>
      <c r="AA177" s="10">
        <f ca="1">SUM(LOOKUP(2,1/(O$1:O176&lt;&gt;""),O$1:O176)+CFDTable[[#This Row],[highDaily]])</f>
        <v>125.8571428571432</v>
      </c>
      <c r="AB177" s="12">
        <f>IF(CFDTable[[#This Row],[Date]]=DeadlineDate,CFDTable[Future Work],0)</f>
        <v>0</v>
      </c>
    </row>
    <row r="178" spans="1:28">
      <c r="A178" s="8">
        <f>CFDTable[[#This Row],[Date]]</f>
        <v>42661</v>
      </c>
      <c r="B178" s="38">
        <f>Data!B178</f>
        <v>42661</v>
      </c>
      <c r="C178" s="10">
        <f ca="1">IF(ISNUMBER(CFDTable[[#This Row],[Ready]]),NA(),CFDTable[[#This Row],[Target]]-CFDTable[[#This Row],[To Do]])</f>
        <v>77</v>
      </c>
      <c r="D178" s="10">
        <f ca="1">IF(CFDTable[[#This Row],[Emergence]]&gt;0,CFDTable[[#This Row],[Future Work]]-CFDTable[[#This Row],[Emergence]],NA())</f>
        <v>81</v>
      </c>
      <c r="E178" s="10">
        <f>Data!C178</f>
        <v>43</v>
      </c>
      <c r="F178" s="10">
        <f ca="1">Data!D178</f>
        <v>47</v>
      </c>
      <c r="G178" s="10" t="e">
        <f ca="1">IF(TodaysDate&gt;=$B178,Data!E178,NA())</f>
        <v>#N/A</v>
      </c>
      <c r="H178" s="10" t="e">
        <f ca="1">IF(TodaysDate&gt;=$B178,Data!F178,NA())</f>
        <v>#N/A</v>
      </c>
      <c r="I178" s="10" t="e">
        <f ca="1">IF(TodaysDate&gt;=$B178,Data!G178,NA())</f>
        <v>#N/A</v>
      </c>
      <c r="J178" s="10" t="e">
        <f ca="1">IF(TodaysDate&gt;=$B178,Data!H178,NA())</f>
        <v>#N/A</v>
      </c>
      <c r="K178" s="10" t="e">
        <f ca="1">IF(TodaysDate&gt;=$B178,Data!I178,NA())</f>
        <v>#N/A</v>
      </c>
      <c r="L178" s="10" t="e">
        <f ca="1">IF(CFDTable[[#This Row],[Done]]&gt;0,(CFDTable[[#This Row],[Done]])-(K177),0)</f>
        <v>#N/A</v>
      </c>
      <c r="M178" s="10" t="e">
        <f ca="1">IF(ISNUMBER($L178),SUM(CFDTable[[#This Row],[Done]]),IF(CFDTable[[#This Row],[lookupLow]]&gt;=CFDTable[[#This Row],[Target]]+CFDTable[[#This Row],[lowDaily]],NA(),CFDTable[[#This Row],[lookupLow]]))</f>
        <v>#N/A</v>
      </c>
      <c r="N178" s="10" t="e">
        <f ca="1">IF(ISNUMBER($L178),SUM(CFDTable[[#This Row],[Done]]),IF(CFDTable[[#This Row],[lookupMedian]]&gt;=$X178+Q178,NA(),CFDTable[[#This Row],[lookupMedian]]))</f>
        <v>#N/A</v>
      </c>
      <c r="O178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78" s="10">
        <f ca="1">CFDTable[[#This Row],[AvgDaily]]-CFDTable[[#This Row],[Deviation]]</f>
        <v>0.80952380952380931</v>
      </c>
      <c r="Q178" s="10">
        <f ca="1">AVERAGE(IF(ISNUMBER(L178),IF(ISNUMBER(OFFSET(L178,-Historic,0)),OFFSET(L178,-Historic,0),L$2):L178,Q177))</f>
        <v>0.95238095238095233</v>
      </c>
      <c r="R178" s="10">
        <f ca="1">AVERAGE(IF(ISNUMBER(L178),IF(ISNUMBER(OFFSET(L178,-Historic,0)),OFFSET(L178,-Historic,0),L$2):L178,R177))</f>
        <v>0.95238095238095233</v>
      </c>
      <c r="S178" s="10">
        <f ca="1">AVERAGE(IF(ISNUMBER(L178),OFFSET(L$2,DaysToIgnoreOnAvg,0):L178,S177))</f>
        <v>0.88311688311688308</v>
      </c>
      <c r="T178" s="10">
        <f ca="1">CFDTable[[#This Row],[AvgDaily]]+CFDTable[[#This Row],[Deviation]]</f>
        <v>1.0952380952380953</v>
      </c>
      <c r="U178" s="10">
        <f ca="1">IF(ISNUMBER(L178),((_xlfn.PERCENTILE.INC(IF(ISNUMBER(OFFSET(Q178,-Historic,0)),OFFSET(Q178,-Historic,0),Q$2):Q178,PercentileHigh/100))-(MEDIAN(IF(ISNUMBER(OFFSET(Q178,-Historic,0)),OFFSET(Q178,-Historic,0),Q$2):Q178))),U177)</f>
        <v>0.14285714285714302</v>
      </c>
      <c r="V178" s="10">
        <f ca="1">IF(ISNUMBER(L178),((_xlfn.PERCENTILE.INC(Q$2:Q178,PercentileHigh/100))-(MEDIAN(Q$2:Q178))),U177)</f>
        <v>0.14285714285714302</v>
      </c>
      <c r="W178" s="10">
        <f ca="1">IF(ISNUMBER(CFDTable[[#This Row],[Done Today]]),SUM($F178:$K178),$W177)</f>
        <v>124</v>
      </c>
      <c r="X178" s="10">
        <f ca="1">IF(ISNUMBER(CFDTable[[#This Row],[Done Today]]),SUM($F178:$K178),$X177)</f>
        <v>124</v>
      </c>
      <c r="Y178" s="10">
        <f ca="1">SUM(LOOKUP(2,1/(M$1:M177&lt;&gt;""),M$1:M177)+CFDTable[[#This Row],[lowDaily]])</f>
        <v>125.04761904761909</v>
      </c>
      <c r="Z178" s="10">
        <f ca="1">SUM(LOOKUP(2,1/(N$1:N177&lt;&gt;""),N$1:N177)+Q178)</f>
        <v>125.23809523809504</v>
      </c>
      <c r="AA178" s="10">
        <f ca="1">SUM(LOOKUP(2,1/(O$1:O177&lt;&gt;""),O$1:O177)+CFDTable[[#This Row],[highDaily]])</f>
        <v>125.8571428571432</v>
      </c>
      <c r="AB178" s="12">
        <f>IF(CFDTable[[#This Row],[Date]]=DeadlineDate,CFDTable[Future Work],0)</f>
        <v>0</v>
      </c>
    </row>
    <row r="179" spans="1:28">
      <c r="A179" s="8">
        <f>CFDTable[[#This Row],[Date]]</f>
        <v>42662</v>
      </c>
      <c r="B179" s="38">
        <f>Data!B179</f>
        <v>42662</v>
      </c>
      <c r="C179" s="10">
        <f ca="1">IF(ISNUMBER(CFDTable[[#This Row],[Ready]]),NA(),CFDTable[[#This Row],[Target]]-CFDTable[[#This Row],[To Do]])</f>
        <v>77</v>
      </c>
      <c r="D179" s="10">
        <f ca="1">IF(CFDTable[[#This Row],[Emergence]]&gt;0,CFDTable[[#This Row],[Future Work]]-CFDTable[[#This Row],[Emergence]],NA())</f>
        <v>81</v>
      </c>
      <c r="E179" s="10">
        <f>Data!C179</f>
        <v>43</v>
      </c>
      <c r="F179" s="10">
        <f ca="1">Data!D179</f>
        <v>47</v>
      </c>
      <c r="G179" s="10" t="e">
        <f ca="1">IF(TodaysDate&gt;=$B179,Data!E179,NA())</f>
        <v>#N/A</v>
      </c>
      <c r="H179" s="10" t="e">
        <f ca="1">IF(TodaysDate&gt;=$B179,Data!F179,NA())</f>
        <v>#N/A</v>
      </c>
      <c r="I179" s="10" t="e">
        <f ca="1">IF(TodaysDate&gt;=$B179,Data!G179,NA())</f>
        <v>#N/A</v>
      </c>
      <c r="J179" s="10" t="e">
        <f ca="1">IF(TodaysDate&gt;=$B179,Data!H179,NA())</f>
        <v>#N/A</v>
      </c>
      <c r="K179" s="10" t="e">
        <f ca="1">IF(TodaysDate&gt;=$B179,Data!I179,NA())</f>
        <v>#N/A</v>
      </c>
      <c r="L179" s="10" t="e">
        <f ca="1">IF(CFDTable[[#This Row],[Done]]&gt;0,(CFDTable[[#This Row],[Done]])-(K178),0)</f>
        <v>#N/A</v>
      </c>
      <c r="M179" s="10" t="e">
        <f ca="1">IF(ISNUMBER($L179),SUM(CFDTable[[#This Row],[Done]]),IF(CFDTable[[#This Row],[lookupLow]]&gt;=CFDTable[[#This Row],[Target]]+CFDTable[[#This Row],[lowDaily]],NA(),CFDTable[[#This Row],[lookupLow]]))</f>
        <v>#N/A</v>
      </c>
      <c r="N179" s="10" t="e">
        <f ca="1">IF(ISNUMBER($L179),SUM(CFDTable[[#This Row],[Done]]),IF(CFDTable[[#This Row],[lookupMedian]]&gt;=$X179+Q179,NA(),CFDTable[[#This Row],[lookupMedian]]))</f>
        <v>#N/A</v>
      </c>
      <c r="O179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79" s="10">
        <f ca="1">CFDTable[[#This Row],[AvgDaily]]-CFDTable[[#This Row],[Deviation]]</f>
        <v>0.80952380952380931</v>
      </c>
      <c r="Q179" s="10">
        <f ca="1">AVERAGE(IF(ISNUMBER(L179),IF(ISNUMBER(OFFSET(L179,-Historic,0)),OFFSET(L179,-Historic,0),L$2):L179,Q178))</f>
        <v>0.95238095238095233</v>
      </c>
      <c r="R179" s="10">
        <f ca="1">AVERAGE(IF(ISNUMBER(L179),IF(ISNUMBER(OFFSET(L179,-Historic,0)),OFFSET(L179,-Historic,0),L$2):L179,R178))</f>
        <v>0.95238095238095233</v>
      </c>
      <c r="S179" s="10">
        <f ca="1">AVERAGE(IF(ISNUMBER(L179),OFFSET(L$2,DaysToIgnoreOnAvg,0):L179,S178))</f>
        <v>0.88311688311688308</v>
      </c>
      <c r="T179" s="10">
        <f ca="1">CFDTable[[#This Row],[AvgDaily]]+CFDTable[[#This Row],[Deviation]]</f>
        <v>1.0952380952380953</v>
      </c>
      <c r="U179" s="10">
        <f ca="1">IF(ISNUMBER(L179),((_xlfn.PERCENTILE.INC(IF(ISNUMBER(OFFSET(Q179,-Historic,0)),OFFSET(Q179,-Historic,0),Q$2):Q179,PercentileHigh/100))-(MEDIAN(IF(ISNUMBER(OFFSET(Q179,-Historic,0)),OFFSET(Q179,-Historic,0),Q$2):Q179))),U178)</f>
        <v>0.14285714285714302</v>
      </c>
      <c r="V179" s="10">
        <f ca="1">IF(ISNUMBER(L179),((_xlfn.PERCENTILE.INC(Q$2:Q179,PercentileHigh/100))-(MEDIAN(Q$2:Q179))),U178)</f>
        <v>0.14285714285714302</v>
      </c>
      <c r="W179" s="10">
        <f ca="1">IF(ISNUMBER(CFDTable[[#This Row],[Done Today]]),SUM($F179:$K179),$W178)</f>
        <v>124</v>
      </c>
      <c r="X179" s="10">
        <f ca="1">IF(ISNUMBER(CFDTable[[#This Row],[Done Today]]),SUM($F179:$K179),$X178)</f>
        <v>124</v>
      </c>
      <c r="Y179" s="10">
        <f ca="1">SUM(LOOKUP(2,1/(M$1:M178&lt;&gt;""),M$1:M178)+CFDTable[[#This Row],[lowDaily]])</f>
        <v>125.04761904761909</v>
      </c>
      <c r="Z179" s="10">
        <f ca="1">SUM(LOOKUP(2,1/(N$1:N178&lt;&gt;""),N$1:N178)+Q179)</f>
        <v>125.23809523809504</v>
      </c>
      <c r="AA179" s="10">
        <f ca="1">SUM(LOOKUP(2,1/(O$1:O178&lt;&gt;""),O$1:O178)+CFDTable[[#This Row],[highDaily]])</f>
        <v>125.8571428571432</v>
      </c>
      <c r="AB179" s="12">
        <f>IF(CFDTable[[#This Row],[Date]]=DeadlineDate,CFDTable[Future Work],0)</f>
        <v>0</v>
      </c>
    </row>
    <row r="180" spans="1:28">
      <c r="A180" s="8">
        <f>CFDTable[[#This Row],[Date]]</f>
        <v>42663</v>
      </c>
      <c r="B180" s="38">
        <f>Data!B180</f>
        <v>42663</v>
      </c>
      <c r="C180" s="10">
        <f ca="1">IF(ISNUMBER(CFDTable[[#This Row],[Ready]]),NA(),CFDTable[[#This Row],[Target]]-CFDTable[[#This Row],[To Do]])</f>
        <v>77</v>
      </c>
      <c r="D180" s="10">
        <f ca="1">IF(CFDTable[[#This Row],[Emergence]]&gt;0,CFDTable[[#This Row],[Future Work]]-CFDTable[[#This Row],[Emergence]],NA())</f>
        <v>81</v>
      </c>
      <c r="E180" s="10">
        <f>Data!C180</f>
        <v>43</v>
      </c>
      <c r="F180" s="10">
        <f ca="1">Data!D180</f>
        <v>47</v>
      </c>
      <c r="G180" s="10" t="e">
        <f ca="1">IF(TodaysDate&gt;=$B180,Data!E180,NA())</f>
        <v>#N/A</v>
      </c>
      <c r="H180" s="10" t="e">
        <f ca="1">IF(TodaysDate&gt;=$B180,Data!F180,NA())</f>
        <v>#N/A</v>
      </c>
      <c r="I180" s="10" t="e">
        <f ca="1">IF(TodaysDate&gt;=$B180,Data!G180,NA())</f>
        <v>#N/A</v>
      </c>
      <c r="J180" s="10" t="e">
        <f ca="1">IF(TodaysDate&gt;=$B180,Data!H180,NA())</f>
        <v>#N/A</v>
      </c>
      <c r="K180" s="10" t="e">
        <f ca="1">IF(TodaysDate&gt;=$B180,Data!I180,NA())</f>
        <v>#N/A</v>
      </c>
      <c r="L180" s="10" t="e">
        <f ca="1">IF(CFDTable[[#This Row],[Done]]&gt;0,(CFDTable[[#This Row],[Done]])-(K179),0)</f>
        <v>#N/A</v>
      </c>
      <c r="M180" s="10" t="e">
        <f ca="1">IF(ISNUMBER($L180),SUM(CFDTable[[#This Row],[Done]]),IF(CFDTable[[#This Row],[lookupLow]]&gt;=CFDTable[[#This Row],[Target]]+CFDTable[[#This Row],[lowDaily]],NA(),CFDTable[[#This Row],[lookupLow]]))</f>
        <v>#N/A</v>
      </c>
      <c r="N180" s="10" t="e">
        <f ca="1">IF(ISNUMBER($L180),SUM(CFDTable[[#This Row],[Done]]),IF(CFDTable[[#This Row],[lookupMedian]]&gt;=$X180+Q180,NA(),CFDTable[[#This Row],[lookupMedian]]))</f>
        <v>#N/A</v>
      </c>
      <c r="O180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80" s="10">
        <f ca="1">CFDTable[[#This Row],[AvgDaily]]-CFDTable[[#This Row],[Deviation]]</f>
        <v>0.80952380952380931</v>
      </c>
      <c r="Q180" s="10">
        <f ca="1">AVERAGE(IF(ISNUMBER(L180),IF(ISNUMBER(OFFSET(L180,-Historic,0)),OFFSET(L180,-Historic,0),L$2):L180,Q179))</f>
        <v>0.95238095238095233</v>
      </c>
      <c r="R180" s="10">
        <f ca="1">AVERAGE(IF(ISNUMBER(L180),IF(ISNUMBER(OFFSET(L180,-Historic,0)),OFFSET(L180,-Historic,0),L$2):L180,R179))</f>
        <v>0.95238095238095233</v>
      </c>
      <c r="S180" s="10">
        <f ca="1">AVERAGE(IF(ISNUMBER(L180),OFFSET(L$2,DaysToIgnoreOnAvg,0):L180,S179))</f>
        <v>0.88311688311688308</v>
      </c>
      <c r="T180" s="10">
        <f ca="1">CFDTable[[#This Row],[AvgDaily]]+CFDTable[[#This Row],[Deviation]]</f>
        <v>1.0952380952380953</v>
      </c>
      <c r="U180" s="10">
        <f ca="1">IF(ISNUMBER(L180),((_xlfn.PERCENTILE.INC(IF(ISNUMBER(OFFSET(Q180,-Historic,0)),OFFSET(Q180,-Historic,0),Q$2):Q180,PercentileHigh/100))-(MEDIAN(IF(ISNUMBER(OFFSET(Q180,-Historic,0)),OFFSET(Q180,-Historic,0),Q$2):Q180))),U179)</f>
        <v>0.14285714285714302</v>
      </c>
      <c r="V180" s="10">
        <f ca="1">IF(ISNUMBER(L180),((_xlfn.PERCENTILE.INC(Q$2:Q180,PercentileHigh/100))-(MEDIAN(Q$2:Q180))),U179)</f>
        <v>0.14285714285714302</v>
      </c>
      <c r="W180" s="10">
        <f ca="1">IF(ISNUMBER(CFDTable[[#This Row],[Done Today]]),SUM($F180:$K180),$W179)</f>
        <v>124</v>
      </c>
      <c r="X180" s="10">
        <f ca="1">IF(ISNUMBER(CFDTable[[#This Row],[Done Today]]),SUM($F180:$K180),$X179)</f>
        <v>124</v>
      </c>
      <c r="Y180" s="10">
        <f ca="1">SUM(LOOKUP(2,1/(M$1:M179&lt;&gt;""),M$1:M179)+CFDTable[[#This Row],[lowDaily]])</f>
        <v>125.04761904761909</v>
      </c>
      <c r="Z180" s="10">
        <f ca="1">SUM(LOOKUP(2,1/(N$1:N179&lt;&gt;""),N$1:N179)+Q180)</f>
        <v>125.23809523809504</v>
      </c>
      <c r="AA180" s="10">
        <f ca="1">SUM(LOOKUP(2,1/(O$1:O179&lt;&gt;""),O$1:O179)+CFDTable[[#This Row],[highDaily]])</f>
        <v>125.8571428571432</v>
      </c>
      <c r="AB180" s="12">
        <f>IF(CFDTable[[#This Row],[Date]]=DeadlineDate,CFDTable[Future Work],0)</f>
        <v>0</v>
      </c>
    </row>
    <row r="181" spans="1:28">
      <c r="A181" s="8">
        <f>CFDTable[[#This Row],[Date]]</f>
        <v>42664</v>
      </c>
      <c r="B181" s="38">
        <f>Data!B181</f>
        <v>42664</v>
      </c>
      <c r="C181" s="10">
        <f ca="1">IF(ISNUMBER(CFDTable[[#This Row],[Ready]]),NA(),CFDTable[[#This Row],[Target]]-CFDTable[[#This Row],[To Do]])</f>
        <v>77</v>
      </c>
      <c r="D181" s="10">
        <f ca="1">IF(CFDTable[[#This Row],[Emergence]]&gt;0,CFDTable[[#This Row],[Future Work]]-CFDTable[[#This Row],[Emergence]],NA())</f>
        <v>81</v>
      </c>
      <c r="E181" s="10">
        <f>Data!C181</f>
        <v>43</v>
      </c>
      <c r="F181" s="10">
        <f ca="1">Data!D181</f>
        <v>47</v>
      </c>
      <c r="G181" s="10" t="e">
        <f ca="1">IF(TodaysDate&gt;=$B181,Data!E181,NA())</f>
        <v>#N/A</v>
      </c>
      <c r="H181" s="10" t="e">
        <f ca="1">IF(TodaysDate&gt;=$B181,Data!F181,NA())</f>
        <v>#N/A</v>
      </c>
      <c r="I181" s="10" t="e">
        <f ca="1">IF(TodaysDate&gt;=$B181,Data!G181,NA())</f>
        <v>#N/A</v>
      </c>
      <c r="J181" s="10" t="e">
        <f ca="1">IF(TodaysDate&gt;=$B181,Data!H181,NA())</f>
        <v>#N/A</v>
      </c>
      <c r="K181" s="10" t="e">
        <f ca="1">IF(TodaysDate&gt;=$B181,Data!I181,NA())</f>
        <v>#N/A</v>
      </c>
      <c r="L181" s="10" t="e">
        <f ca="1">IF(CFDTable[[#This Row],[Done]]&gt;0,(CFDTable[[#This Row],[Done]])-(K180),0)</f>
        <v>#N/A</v>
      </c>
      <c r="M181" s="10" t="e">
        <f ca="1">IF(ISNUMBER($L181),SUM(CFDTable[[#This Row],[Done]]),IF(CFDTable[[#This Row],[lookupLow]]&gt;=CFDTable[[#This Row],[Target]]+CFDTable[[#This Row],[lowDaily]],NA(),CFDTable[[#This Row],[lookupLow]]))</f>
        <v>#N/A</v>
      </c>
      <c r="N181" s="10" t="e">
        <f ca="1">IF(ISNUMBER($L181),SUM(CFDTable[[#This Row],[Done]]),IF(CFDTable[[#This Row],[lookupMedian]]&gt;=$X181+Q181,NA(),CFDTable[[#This Row],[lookupMedian]]))</f>
        <v>#N/A</v>
      </c>
      <c r="O181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81" s="10">
        <f ca="1">CFDTable[[#This Row],[AvgDaily]]-CFDTable[[#This Row],[Deviation]]</f>
        <v>0.80952380952380931</v>
      </c>
      <c r="Q181" s="10">
        <f ca="1">AVERAGE(IF(ISNUMBER(L181),IF(ISNUMBER(OFFSET(L181,-Historic,0)),OFFSET(L181,-Historic,0),L$2):L181,Q180))</f>
        <v>0.95238095238095233</v>
      </c>
      <c r="R181" s="10">
        <f ca="1">AVERAGE(IF(ISNUMBER(L181),IF(ISNUMBER(OFFSET(L181,-Historic,0)),OFFSET(L181,-Historic,0),L$2):L181,R180))</f>
        <v>0.95238095238095233</v>
      </c>
      <c r="S181" s="10">
        <f ca="1">AVERAGE(IF(ISNUMBER(L181),OFFSET(L$2,DaysToIgnoreOnAvg,0):L181,S180))</f>
        <v>0.88311688311688308</v>
      </c>
      <c r="T181" s="10">
        <f ca="1">CFDTable[[#This Row],[AvgDaily]]+CFDTable[[#This Row],[Deviation]]</f>
        <v>1.0952380952380953</v>
      </c>
      <c r="U181" s="10">
        <f ca="1">IF(ISNUMBER(L181),((_xlfn.PERCENTILE.INC(IF(ISNUMBER(OFFSET(Q181,-Historic,0)),OFFSET(Q181,-Historic,0),Q$2):Q181,PercentileHigh/100))-(MEDIAN(IF(ISNUMBER(OFFSET(Q181,-Historic,0)),OFFSET(Q181,-Historic,0),Q$2):Q181))),U180)</f>
        <v>0.14285714285714302</v>
      </c>
      <c r="V181" s="10">
        <f ca="1">IF(ISNUMBER(L181),((_xlfn.PERCENTILE.INC(Q$2:Q181,PercentileHigh/100))-(MEDIAN(Q$2:Q181))),U180)</f>
        <v>0.14285714285714302</v>
      </c>
      <c r="W181" s="10">
        <f ca="1">IF(ISNUMBER(CFDTable[[#This Row],[Done Today]]),SUM($F181:$K181),$W180)</f>
        <v>124</v>
      </c>
      <c r="X181" s="10">
        <f ca="1">IF(ISNUMBER(CFDTable[[#This Row],[Done Today]]),SUM($F181:$K181),$X180)</f>
        <v>124</v>
      </c>
      <c r="Y181" s="10">
        <f ca="1">SUM(LOOKUP(2,1/(M$1:M180&lt;&gt;""),M$1:M180)+CFDTable[[#This Row],[lowDaily]])</f>
        <v>125.04761904761909</v>
      </c>
      <c r="Z181" s="10">
        <f ca="1">SUM(LOOKUP(2,1/(N$1:N180&lt;&gt;""),N$1:N180)+Q181)</f>
        <v>125.23809523809504</v>
      </c>
      <c r="AA181" s="10">
        <f ca="1">SUM(LOOKUP(2,1/(O$1:O180&lt;&gt;""),O$1:O180)+CFDTable[[#This Row],[highDaily]])</f>
        <v>125.8571428571432</v>
      </c>
      <c r="AB181" s="12">
        <f>IF(CFDTable[[#This Row],[Date]]=DeadlineDate,CFDTable[Future Work],0)</f>
        <v>0</v>
      </c>
    </row>
    <row r="182" spans="1:28">
      <c r="A182" s="8">
        <f>CFDTable[[#This Row],[Date]]</f>
        <v>42667</v>
      </c>
      <c r="B182" s="38">
        <f>Data!B182</f>
        <v>42667</v>
      </c>
      <c r="C182" s="10">
        <f ca="1">IF(ISNUMBER(CFDTable[[#This Row],[Ready]]),NA(),CFDTable[[#This Row],[Target]]-CFDTable[[#This Row],[To Do]])</f>
        <v>77</v>
      </c>
      <c r="D182" s="10">
        <f ca="1">IF(CFDTable[[#This Row],[Emergence]]&gt;0,CFDTable[[#This Row],[Future Work]]-CFDTable[[#This Row],[Emergence]],NA())</f>
        <v>81</v>
      </c>
      <c r="E182" s="10">
        <f>Data!C182</f>
        <v>43</v>
      </c>
      <c r="F182" s="10">
        <f ca="1">Data!D182</f>
        <v>47</v>
      </c>
      <c r="G182" s="10" t="e">
        <f ca="1">IF(TodaysDate&gt;=$B182,Data!E182,NA())</f>
        <v>#N/A</v>
      </c>
      <c r="H182" s="10" t="e">
        <f ca="1">IF(TodaysDate&gt;=$B182,Data!F182,NA())</f>
        <v>#N/A</v>
      </c>
      <c r="I182" s="10" t="e">
        <f ca="1">IF(TodaysDate&gt;=$B182,Data!G182,NA())</f>
        <v>#N/A</v>
      </c>
      <c r="J182" s="10" t="e">
        <f ca="1">IF(TodaysDate&gt;=$B182,Data!H182,NA())</f>
        <v>#N/A</v>
      </c>
      <c r="K182" s="10" t="e">
        <f ca="1">IF(TodaysDate&gt;=$B182,Data!I182,NA())</f>
        <v>#N/A</v>
      </c>
      <c r="L182" s="10" t="e">
        <f ca="1">IF(CFDTable[[#This Row],[Done]]&gt;0,(CFDTable[[#This Row],[Done]])-(K181),0)</f>
        <v>#N/A</v>
      </c>
      <c r="M182" s="10" t="e">
        <f ca="1">IF(ISNUMBER($L182),SUM(CFDTable[[#This Row],[Done]]),IF(CFDTable[[#This Row],[lookupLow]]&gt;=CFDTable[[#This Row],[Target]]+CFDTable[[#This Row],[lowDaily]],NA(),CFDTable[[#This Row],[lookupLow]]))</f>
        <v>#N/A</v>
      </c>
      <c r="N182" s="10" t="e">
        <f ca="1">IF(ISNUMBER($L182),SUM(CFDTable[[#This Row],[Done]]),IF(CFDTable[[#This Row],[lookupMedian]]&gt;=$X182+Q182,NA(),CFDTable[[#This Row],[lookupMedian]]))</f>
        <v>#N/A</v>
      </c>
      <c r="O182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82" s="10">
        <f ca="1">CFDTable[[#This Row],[AvgDaily]]-CFDTable[[#This Row],[Deviation]]</f>
        <v>0.80952380952380931</v>
      </c>
      <c r="Q182" s="10">
        <f ca="1">AVERAGE(IF(ISNUMBER(L182),IF(ISNUMBER(OFFSET(L182,-Historic,0)),OFFSET(L182,-Historic,0),L$2):L182,Q181))</f>
        <v>0.95238095238095233</v>
      </c>
      <c r="R182" s="10">
        <f ca="1">AVERAGE(IF(ISNUMBER(L182),IF(ISNUMBER(OFFSET(L182,-Historic,0)),OFFSET(L182,-Historic,0),L$2):L182,R181))</f>
        <v>0.95238095238095233</v>
      </c>
      <c r="S182" s="10">
        <f ca="1">AVERAGE(IF(ISNUMBER(L182),OFFSET(L$2,DaysToIgnoreOnAvg,0):L182,S181))</f>
        <v>0.88311688311688308</v>
      </c>
      <c r="T182" s="10">
        <f ca="1">CFDTable[[#This Row],[AvgDaily]]+CFDTable[[#This Row],[Deviation]]</f>
        <v>1.0952380952380953</v>
      </c>
      <c r="U182" s="10">
        <f ca="1">IF(ISNUMBER(L182),((_xlfn.PERCENTILE.INC(IF(ISNUMBER(OFFSET(Q182,-Historic,0)),OFFSET(Q182,-Historic,0),Q$2):Q182,PercentileHigh/100))-(MEDIAN(IF(ISNUMBER(OFFSET(Q182,-Historic,0)),OFFSET(Q182,-Historic,0),Q$2):Q182))),U181)</f>
        <v>0.14285714285714302</v>
      </c>
      <c r="V182" s="10">
        <f ca="1">IF(ISNUMBER(L182),((_xlfn.PERCENTILE.INC(Q$2:Q182,PercentileHigh/100))-(MEDIAN(Q$2:Q182))),U181)</f>
        <v>0.14285714285714302</v>
      </c>
      <c r="W182" s="10">
        <f ca="1">IF(ISNUMBER(CFDTable[[#This Row],[Done Today]]),SUM($F182:$K182),$W181)</f>
        <v>124</v>
      </c>
      <c r="X182" s="10">
        <f ca="1">IF(ISNUMBER(CFDTable[[#This Row],[Done Today]]),SUM($F182:$K182),$X181)</f>
        <v>124</v>
      </c>
      <c r="Y182" s="10">
        <f ca="1">SUM(LOOKUP(2,1/(M$1:M181&lt;&gt;""),M$1:M181)+CFDTable[[#This Row],[lowDaily]])</f>
        <v>125.04761904761909</v>
      </c>
      <c r="Z182" s="10">
        <f ca="1">SUM(LOOKUP(2,1/(N$1:N181&lt;&gt;""),N$1:N181)+Q182)</f>
        <v>125.23809523809504</v>
      </c>
      <c r="AA182" s="10">
        <f ca="1">SUM(LOOKUP(2,1/(O$1:O181&lt;&gt;""),O$1:O181)+CFDTable[[#This Row],[highDaily]])</f>
        <v>125.8571428571432</v>
      </c>
      <c r="AB182" s="12">
        <f>IF(CFDTable[[#This Row],[Date]]=DeadlineDate,CFDTable[Future Work],0)</f>
        <v>0</v>
      </c>
    </row>
    <row r="183" spans="1:28">
      <c r="A183" s="8">
        <f>CFDTable[[#This Row],[Date]]</f>
        <v>42668</v>
      </c>
      <c r="B183" s="38">
        <f>Data!B183</f>
        <v>42668</v>
      </c>
      <c r="C183" s="10">
        <f ca="1">IF(ISNUMBER(CFDTable[[#This Row],[Ready]]),NA(),CFDTable[[#This Row],[Target]]-CFDTable[[#This Row],[To Do]])</f>
        <v>77</v>
      </c>
      <c r="D183" s="10">
        <f ca="1">IF(CFDTable[[#This Row],[Emergence]]&gt;0,CFDTable[[#This Row],[Future Work]]-CFDTable[[#This Row],[Emergence]],NA())</f>
        <v>81</v>
      </c>
      <c r="E183" s="10">
        <f>Data!C183</f>
        <v>43</v>
      </c>
      <c r="F183" s="10">
        <f ca="1">Data!D183</f>
        <v>47</v>
      </c>
      <c r="G183" s="10" t="e">
        <f ca="1">IF(TodaysDate&gt;=$B183,Data!E183,NA())</f>
        <v>#N/A</v>
      </c>
      <c r="H183" s="10" t="e">
        <f ca="1">IF(TodaysDate&gt;=$B183,Data!F183,NA())</f>
        <v>#N/A</v>
      </c>
      <c r="I183" s="10" t="e">
        <f ca="1">IF(TodaysDate&gt;=$B183,Data!G183,NA())</f>
        <v>#N/A</v>
      </c>
      <c r="J183" s="10" t="e">
        <f ca="1">IF(TodaysDate&gt;=$B183,Data!H183,NA())</f>
        <v>#N/A</v>
      </c>
      <c r="K183" s="10" t="e">
        <f ca="1">IF(TodaysDate&gt;=$B183,Data!I183,NA())</f>
        <v>#N/A</v>
      </c>
      <c r="L183" s="10" t="e">
        <f ca="1">IF(CFDTable[[#This Row],[Done]]&gt;0,(CFDTable[[#This Row],[Done]])-(K182),0)</f>
        <v>#N/A</v>
      </c>
      <c r="M183" s="10" t="e">
        <f ca="1">IF(ISNUMBER($L183),SUM(CFDTable[[#This Row],[Done]]),IF(CFDTable[[#This Row],[lookupLow]]&gt;=CFDTable[[#This Row],[Target]]+CFDTable[[#This Row],[lowDaily]],NA(),CFDTable[[#This Row],[lookupLow]]))</f>
        <v>#N/A</v>
      </c>
      <c r="N183" s="10" t="e">
        <f ca="1">IF(ISNUMBER($L183),SUM(CFDTable[[#This Row],[Done]]),IF(CFDTable[[#This Row],[lookupMedian]]&gt;=$X183+Q183,NA(),CFDTable[[#This Row],[lookupMedian]]))</f>
        <v>#N/A</v>
      </c>
      <c r="O183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83" s="10">
        <f ca="1">CFDTable[[#This Row],[AvgDaily]]-CFDTable[[#This Row],[Deviation]]</f>
        <v>0.80952380952380931</v>
      </c>
      <c r="Q183" s="10">
        <f ca="1">AVERAGE(IF(ISNUMBER(L183),IF(ISNUMBER(OFFSET(L183,-Historic,0)),OFFSET(L183,-Historic,0),L$2):L183,Q182))</f>
        <v>0.95238095238095233</v>
      </c>
      <c r="R183" s="10">
        <f ca="1">AVERAGE(IF(ISNUMBER(L183),IF(ISNUMBER(OFFSET(L183,-Historic,0)),OFFSET(L183,-Historic,0),L$2):L183,R182))</f>
        <v>0.95238095238095233</v>
      </c>
      <c r="S183" s="10">
        <f ca="1">AVERAGE(IF(ISNUMBER(L183),OFFSET(L$2,DaysToIgnoreOnAvg,0):L183,S182))</f>
        <v>0.88311688311688308</v>
      </c>
      <c r="T183" s="10">
        <f ca="1">CFDTable[[#This Row],[AvgDaily]]+CFDTable[[#This Row],[Deviation]]</f>
        <v>1.0952380952380953</v>
      </c>
      <c r="U183" s="10">
        <f ca="1">IF(ISNUMBER(L183),((_xlfn.PERCENTILE.INC(IF(ISNUMBER(OFFSET(Q183,-Historic,0)),OFFSET(Q183,-Historic,0),Q$2):Q183,PercentileHigh/100))-(MEDIAN(IF(ISNUMBER(OFFSET(Q183,-Historic,0)),OFFSET(Q183,-Historic,0),Q$2):Q183))),U182)</f>
        <v>0.14285714285714302</v>
      </c>
      <c r="V183" s="10">
        <f ca="1">IF(ISNUMBER(L183),((_xlfn.PERCENTILE.INC(Q$2:Q183,PercentileHigh/100))-(MEDIAN(Q$2:Q183))),U182)</f>
        <v>0.14285714285714302</v>
      </c>
      <c r="W183" s="10">
        <f ca="1">IF(ISNUMBER(CFDTable[[#This Row],[Done Today]]),SUM($F183:$K183),$W182)</f>
        <v>124</v>
      </c>
      <c r="X183" s="10">
        <f ca="1">IF(ISNUMBER(CFDTable[[#This Row],[Done Today]]),SUM($F183:$K183),$X182)</f>
        <v>124</v>
      </c>
      <c r="Y183" s="10">
        <f ca="1">SUM(LOOKUP(2,1/(M$1:M182&lt;&gt;""),M$1:M182)+CFDTable[[#This Row],[lowDaily]])</f>
        <v>125.04761904761909</v>
      </c>
      <c r="Z183" s="10">
        <f ca="1">SUM(LOOKUP(2,1/(N$1:N182&lt;&gt;""),N$1:N182)+Q183)</f>
        <v>125.23809523809504</v>
      </c>
      <c r="AA183" s="10">
        <f ca="1">SUM(LOOKUP(2,1/(O$1:O182&lt;&gt;""),O$1:O182)+CFDTable[[#This Row],[highDaily]])</f>
        <v>125.8571428571432</v>
      </c>
      <c r="AB183" s="12">
        <f>IF(CFDTable[[#This Row],[Date]]=DeadlineDate,CFDTable[Future Work],0)</f>
        <v>0</v>
      </c>
    </row>
    <row r="184" spans="1:28">
      <c r="A184" s="8">
        <f>CFDTable[[#This Row],[Date]]</f>
        <v>42669</v>
      </c>
      <c r="B184" s="38">
        <f>Data!B184</f>
        <v>42669</v>
      </c>
      <c r="C184" s="10">
        <f ca="1">IF(ISNUMBER(CFDTable[[#This Row],[Ready]]),NA(),CFDTable[[#This Row],[Target]]-CFDTable[[#This Row],[To Do]])</f>
        <v>77</v>
      </c>
      <c r="D184" s="10">
        <f ca="1">IF(CFDTable[[#This Row],[Emergence]]&gt;0,CFDTable[[#This Row],[Future Work]]-CFDTable[[#This Row],[Emergence]],NA())</f>
        <v>81</v>
      </c>
      <c r="E184" s="10">
        <f>Data!C184</f>
        <v>43</v>
      </c>
      <c r="F184" s="10">
        <f ca="1">Data!D184</f>
        <v>47</v>
      </c>
      <c r="G184" s="10" t="e">
        <f ca="1">IF(TodaysDate&gt;=$B184,Data!E184,NA())</f>
        <v>#N/A</v>
      </c>
      <c r="H184" s="10" t="e">
        <f ca="1">IF(TodaysDate&gt;=$B184,Data!F184,NA())</f>
        <v>#N/A</v>
      </c>
      <c r="I184" s="10" t="e">
        <f ca="1">IF(TodaysDate&gt;=$B184,Data!G184,NA())</f>
        <v>#N/A</v>
      </c>
      <c r="J184" s="10" t="e">
        <f ca="1">IF(TodaysDate&gt;=$B184,Data!H184,NA())</f>
        <v>#N/A</v>
      </c>
      <c r="K184" s="10" t="e">
        <f ca="1">IF(TodaysDate&gt;=$B184,Data!I184,NA())</f>
        <v>#N/A</v>
      </c>
      <c r="L184" s="10" t="e">
        <f ca="1">IF(CFDTable[[#This Row],[Done]]&gt;0,(CFDTable[[#This Row],[Done]])-(K183),0)</f>
        <v>#N/A</v>
      </c>
      <c r="M184" s="10" t="e">
        <f ca="1">IF(ISNUMBER($L184),SUM(CFDTable[[#This Row],[Done]]),IF(CFDTable[[#This Row],[lookupLow]]&gt;=CFDTable[[#This Row],[Target]]+CFDTable[[#This Row],[lowDaily]],NA(),CFDTable[[#This Row],[lookupLow]]))</f>
        <v>#N/A</v>
      </c>
      <c r="N184" s="10" t="e">
        <f ca="1">IF(ISNUMBER($L184),SUM(CFDTable[[#This Row],[Done]]),IF(CFDTable[[#This Row],[lookupMedian]]&gt;=$X184+Q184,NA(),CFDTable[[#This Row],[lookupMedian]]))</f>
        <v>#N/A</v>
      </c>
      <c r="O184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84" s="10">
        <f ca="1">CFDTable[[#This Row],[AvgDaily]]-CFDTable[[#This Row],[Deviation]]</f>
        <v>0.80952380952380931</v>
      </c>
      <c r="Q184" s="10">
        <f ca="1">AVERAGE(IF(ISNUMBER(L184),IF(ISNUMBER(OFFSET(L184,-Historic,0)),OFFSET(L184,-Historic,0),L$2):L184,Q183))</f>
        <v>0.95238095238095233</v>
      </c>
      <c r="R184" s="10">
        <f ca="1">AVERAGE(IF(ISNUMBER(L184),IF(ISNUMBER(OFFSET(L184,-Historic,0)),OFFSET(L184,-Historic,0),L$2):L184,R183))</f>
        <v>0.95238095238095233</v>
      </c>
      <c r="S184" s="10">
        <f ca="1">AVERAGE(IF(ISNUMBER(L184),OFFSET(L$2,DaysToIgnoreOnAvg,0):L184,S183))</f>
        <v>0.88311688311688308</v>
      </c>
      <c r="T184" s="10">
        <f ca="1">CFDTable[[#This Row],[AvgDaily]]+CFDTable[[#This Row],[Deviation]]</f>
        <v>1.0952380952380953</v>
      </c>
      <c r="U184" s="10">
        <f ca="1">IF(ISNUMBER(L184),((_xlfn.PERCENTILE.INC(IF(ISNUMBER(OFFSET(Q184,-Historic,0)),OFFSET(Q184,-Historic,0),Q$2):Q184,PercentileHigh/100))-(MEDIAN(IF(ISNUMBER(OFFSET(Q184,-Historic,0)),OFFSET(Q184,-Historic,0),Q$2):Q184))),U183)</f>
        <v>0.14285714285714302</v>
      </c>
      <c r="V184" s="10">
        <f ca="1">IF(ISNUMBER(L184),((_xlfn.PERCENTILE.INC(Q$2:Q184,PercentileHigh/100))-(MEDIAN(Q$2:Q184))),U183)</f>
        <v>0.14285714285714302</v>
      </c>
      <c r="W184" s="10">
        <f ca="1">IF(ISNUMBER(CFDTable[[#This Row],[Done Today]]),SUM($F184:$K184),$W183)</f>
        <v>124</v>
      </c>
      <c r="X184" s="10">
        <f ca="1">IF(ISNUMBER(CFDTable[[#This Row],[Done Today]]),SUM($F184:$K184),$X183)</f>
        <v>124</v>
      </c>
      <c r="Y184" s="10">
        <f ca="1">SUM(LOOKUP(2,1/(M$1:M183&lt;&gt;""),M$1:M183)+CFDTable[[#This Row],[lowDaily]])</f>
        <v>125.04761904761909</v>
      </c>
      <c r="Z184" s="10">
        <f ca="1">SUM(LOOKUP(2,1/(N$1:N183&lt;&gt;""),N$1:N183)+Q184)</f>
        <v>125.23809523809504</v>
      </c>
      <c r="AA184" s="10">
        <f ca="1">SUM(LOOKUP(2,1/(O$1:O183&lt;&gt;""),O$1:O183)+CFDTable[[#This Row],[highDaily]])</f>
        <v>125.8571428571432</v>
      </c>
      <c r="AB184" s="12">
        <f>IF(CFDTable[[#This Row],[Date]]=DeadlineDate,CFDTable[Future Work],0)</f>
        <v>0</v>
      </c>
    </row>
    <row r="185" spans="1:28">
      <c r="A185" s="8">
        <f>CFDTable[[#This Row],[Date]]</f>
        <v>42670</v>
      </c>
      <c r="B185" s="38">
        <f>Data!B185</f>
        <v>42670</v>
      </c>
      <c r="C185" s="10">
        <f ca="1">IF(ISNUMBER(CFDTable[[#This Row],[Ready]]),NA(),CFDTable[[#This Row],[Target]]-CFDTable[[#This Row],[To Do]])</f>
        <v>77</v>
      </c>
      <c r="D185" s="10">
        <f ca="1">IF(CFDTable[[#This Row],[Emergence]]&gt;0,CFDTable[[#This Row],[Future Work]]-CFDTable[[#This Row],[Emergence]],NA())</f>
        <v>81</v>
      </c>
      <c r="E185" s="10">
        <f>Data!C185</f>
        <v>43</v>
      </c>
      <c r="F185" s="10">
        <f ca="1">Data!D185</f>
        <v>47</v>
      </c>
      <c r="G185" s="10" t="e">
        <f ca="1">IF(TodaysDate&gt;=$B185,Data!E185,NA())</f>
        <v>#N/A</v>
      </c>
      <c r="H185" s="10" t="e">
        <f ca="1">IF(TodaysDate&gt;=$B185,Data!F185,NA())</f>
        <v>#N/A</v>
      </c>
      <c r="I185" s="10" t="e">
        <f ca="1">IF(TodaysDate&gt;=$B185,Data!G185,NA())</f>
        <v>#N/A</v>
      </c>
      <c r="J185" s="10" t="e">
        <f ca="1">IF(TodaysDate&gt;=$B185,Data!H185,NA())</f>
        <v>#N/A</v>
      </c>
      <c r="K185" s="10" t="e">
        <f ca="1">IF(TodaysDate&gt;=$B185,Data!I185,NA())</f>
        <v>#N/A</v>
      </c>
      <c r="L185" s="10" t="e">
        <f ca="1">IF(CFDTable[[#This Row],[Done]]&gt;0,(CFDTable[[#This Row],[Done]])-(K184),0)</f>
        <v>#N/A</v>
      </c>
      <c r="M185" s="10" t="e">
        <f ca="1">IF(ISNUMBER($L185),SUM(CFDTable[[#This Row],[Done]]),IF(CFDTable[[#This Row],[lookupLow]]&gt;=CFDTable[[#This Row],[Target]]+CFDTable[[#This Row],[lowDaily]],NA(),CFDTable[[#This Row],[lookupLow]]))</f>
        <v>#N/A</v>
      </c>
      <c r="N185" s="10" t="e">
        <f ca="1">IF(ISNUMBER($L185),SUM(CFDTable[[#This Row],[Done]]),IF(CFDTable[[#This Row],[lookupMedian]]&gt;=$X185+Q185,NA(),CFDTable[[#This Row],[lookupMedian]]))</f>
        <v>#N/A</v>
      </c>
      <c r="O185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85" s="10">
        <f ca="1">CFDTable[[#This Row],[AvgDaily]]-CFDTable[[#This Row],[Deviation]]</f>
        <v>0.80952380952380931</v>
      </c>
      <c r="Q185" s="10">
        <f ca="1">AVERAGE(IF(ISNUMBER(L185),IF(ISNUMBER(OFFSET(L185,-Historic,0)),OFFSET(L185,-Historic,0),L$2):L185,Q184))</f>
        <v>0.95238095238095233</v>
      </c>
      <c r="R185" s="10">
        <f ca="1">AVERAGE(IF(ISNUMBER(L185),IF(ISNUMBER(OFFSET(L185,-Historic,0)),OFFSET(L185,-Historic,0),L$2):L185,R184))</f>
        <v>0.95238095238095233</v>
      </c>
      <c r="S185" s="10">
        <f ca="1">AVERAGE(IF(ISNUMBER(L185),OFFSET(L$2,DaysToIgnoreOnAvg,0):L185,S184))</f>
        <v>0.88311688311688308</v>
      </c>
      <c r="T185" s="10">
        <f ca="1">CFDTable[[#This Row],[AvgDaily]]+CFDTable[[#This Row],[Deviation]]</f>
        <v>1.0952380952380953</v>
      </c>
      <c r="U185" s="10">
        <f ca="1">IF(ISNUMBER(L185),((_xlfn.PERCENTILE.INC(IF(ISNUMBER(OFFSET(Q185,-Historic,0)),OFFSET(Q185,-Historic,0),Q$2):Q185,PercentileHigh/100))-(MEDIAN(IF(ISNUMBER(OFFSET(Q185,-Historic,0)),OFFSET(Q185,-Historic,0),Q$2):Q185))),U184)</f>
        <v>0.14285714285714302</v>
      </c>
      <c r="V185" s="10">
        <f ca="1">IF(ISNUMBER(L185),((_xlfn.PERCENTILE.INC(Q$2:Q185,PercentileHigh/100))-(MEDIAN(Q$2:Q185))),U184)</f>
        <v>0.14285714285714302</v>
      </c>
      <c r="W185" s="10">
        <f ca="1">IF(ISNUMBER(CFDTable[[#This Row],[Done Today]]),SUM($F185:$K185),$W184)</f>
        <v>124</v>
      </c>
      <c r="X185" s="10">
        <f ca="1">IF(ISNUMBER(CFDTable[[#This Row],[Done Today]]),SUM($F185:$K185),$X184)</f>
        <v>124</v>
      </c>
      <c r="Y185" s="10">
        <f ca="1">SUM(LOOKUP(2,1/(M$1:M184&lt;&gt;""),M$1:M184)+CFDTable[[#This Row],[lowDaily]])</f>
        <v>125.04761904761909</v>
      </c>
      <c r="Z185" s="10">
        <f ca="1">SUM(LOOKUP(2,1/(N$1:N184&lt;&gt;""),N$1:N184)+Q185)</f>
        <v>125.23809523809504</v>
      </c>
      <c r="AA185" s="10">
        <f ca="1">SUM(LOOKUP(2,1/(O$1:O184&lt;&gt;""),O$1:O184)+CFDTable[[#This Row],[highDaily]])</f>
        <v>125.8571428571432</v>
      </c>
      <c r="AB185" s="12">
        <f>IF(CFDTable[[#This Row],[Date]]=DeadlineDate,CFDTable[Future Work],0)</f>
        <v>0</v>
      </c>
    </row>
    <row r="186" spans="1:28">
      <c r="A186" s="8">
        <f>CFDTable[[#This Row],[Date]]</f>
        <v>42671</v>
      </c>
      <c r="B186" s="38">
        <f>Data!B186</f>
        <v>42671</v>
      </c>
      <c r="C186" s="10">
        <f ca="1">IF(ISNUMBER(CFDTable[[#This Row],[Ready]]),NA(),CFDTable[[#This Row],[Target]]-CFDTable[[#This Row],[To Do]])</f>
        <v>77</v>
      </c>
      <c r="D186" s="10">
        <f ca="1">IF(CFDTable[[#This Row],[Emergence]]&gt;0,CFDTable[[#This Row],[Future Work]]-CFDTable[[#This Row],[Emergence]],NA())</f>
        <v>81</v>
      </c>
      <c r="E186" s="10">
        <f>Data!C186</f>
        <v>43</v>
      </c>
      <c r="F186" s="10">
        <f ca="1">Data!D186</f>
        <v>47</v>
      </c>
      <c r="G186" s="10" t="e">
        <f ca="1">IF(TodaysDate&gt;=$B186,Data!E186,NA())</f>
        <v>#N/A</v>
      </c>
      <c r="H186" s="10" t="e">
        <f ca="1">IF(TodaysDate&gt;=$B186,Data!F186,NA())</f>
        <v>#N/A</v>
      </c>
      <c r="I186" s="10" t="e">
        <f ca="1">IF(TodaysDate&gt;=$B186,Data!G186,NA())</f>
        <v>#N/A</v>
      </c>
      <c r="J186" s="10" t="e">
        <f ca="1">IF(TodaysDate&gt;=$B186,Data!H186,NA())</f>
        <v>#N/A</v>
      </c>
      <c r="K186" s="10" t="e">
        <f ca="1">IF(TodaysDate&gt;=$B186,Data!I186,NA())</f>
        <v>#N/A</v>
      </c>
      <c r="L186" s="10" t="e">
        <f ca="1">IF(CFDTable[[#This Row],[Done]]&gt;0,(CFDTable[[#This Row],[Done]])-(K185),0)</f>
        <v>#N/A</v>
      </c>
      <c r="M186" s="10" t="e">
        <f ca="1">IF(ISNUMBER($L186),SUM(CFDTable[[#This Row],[Done]]),IF(CFDTable[[#This Row],[lookupLow]]&gt;=CFDTable[[#This Row],[Target]]+CFDTable[[#This Row],[lowDaily]],NA(),CFDTable[[#This Row],[lookupLow]]))</f>
        <v>#N/A</v>
      </c>
      <c r="N186" s="10" t="e">
        <f ca="1">IF(ISNUMBER($L186),SUM(CFDTable[[#This Row],[Done]]),IF(CFDTable[[#This Row],[lookupMedian]]&gt;=$X186+Q186,NA(),CFDTable[[#This Row],[lookupMedian]]))</f>
        <v>#N/A</v>
      </c>
      <c r="O186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86" s="10">
        <f ca="1">CFDTable[[#This Row],[AvgDaily]]-CFDTable[[#This Row],[Deviation]]</f>
        <v>0.80952380952380931</v>
      </c>
      <c r="Q186" s="10">
        <f ca="1">AVERAGE(IF(ISNUMBER(L186),IF(ISNUMBER(OFFSET(L186,-Historic,0)),OFFSET(L186,-Historic,0),L$2):L186,Q185))</f>
        <v>0.95238095238095233</v>
      </c>
      <c r="R186" s="10">
        <f ca="1">AVERAGE(IF(ISNUMBER(L186),IF(ISNUMBER(OFFSET(L186,-Historic,0)),OFFSET(L186,-Historic,0),L$2):L186,R185))</f>
        <v>0.95238095238095233</v>
      </c>
      <c r="S186" s="10">
        <f ca="1">AVERAGE(IF(ISNUMBER(L186),OFFSET(L$2,DaysToIgnoreOnAvg,0):L186,S185))</f>
        <v>0.88311688311688308</v>
      </c>
      <c r="T186" s="10">
        <f ca="1">CFDTable[[#This Row],[AvgDaily]]+CFDTable[[#This Row],[Deviation]]</f>
        <v>1.0952380952380953</v>
      </c>
      <c r="U186" s="10">
        <f ca="1">IF(ISNUMBER(L186),((_xlfn.PERCENTILE.INC(IF(ISNUMBER(OFFSET(Q186,-Historic,0)),OFFSET(Q186,-Historic,0),Q$2):Q186,PercentileHigh/100))-(MEDIAN(IF(ISNUMBER(OFFSET(Q186,-Historic,0)),OFFSET(Q186,-Historic,0),Q$2):Q186))),U185)</f>
        <v>0.14285714285714302</v>
      </c>
      <c r="V186" s="10">
        <f ca="1">IF(ISNUMBER(L186),((_xlfn.PERCENTILE.INC(Q$2:Q186,PercentileHigh/100))-(MEDIAN(Q$2:Q186))),U185)</f>
        <v>0.14285714285714302</v>
      </c>
      <c r="W186" s="10">
        <f ca="1">IF(ISNUMBER(CFDTable[[#This Row],[Done Today]]),SUM($F186:$K186),$W185)</f>
        <v>124</v>
      </c>
      <c r="X186" s="10">
        <f ca="1">IF(ISNUMBER(CFDTable[[#This Row],[Done Today]]),SUM($F186:$K186),$X185)</f>
        <v>124</v>
      </c>
      <c r="Y186" s="10">
        <f ca="1">SUM(LOOKUP(2,1/(M$1:M185&lt;&gt;""),M$1:M185)+CFDTable[[#This Row],[lowDaily]])</f>
        <v>125.04761904761909</v>
      </c>
      <c r="Z186" s="10">
        <f ca="1">SUM(LOOKUP(2,1/(N$1:N185&lt;&gt;""),N$1:N185)+Q186)</f>
        <v>125.23809523809504</v>
      </c>
      <c r="AA186" s="10">
        <f ca="1">SUM(LOOKUP(2,1/(O$1:O185&lt;&gt;""),O$1:O185)+CFDTable[[#This Row],[highDaily]])</f>
        <v>125.8571428571432</v>
      </c>
      <c r="AB186" s="12">
        <f>IF(CFDTable[[#This Row],[Date]]=DeadlineDate,CFDTable[Future Work],0)</f>
        <v>0</v>
      </c>
    </row>
    <row r="187" spans="1:28">
      <c r="A187" s="8">
        <f>CFDTable[[#This Row],[Date]]</f>
        <v>42674</v>
      </c>
      <c r="B187" s="38">
        <f>Data!B187</f>
        <v>42674</v>
      </c>
      <c r="C187" s="10">
        <f ca="1">IF(ISNUMBER(CFDTable[[#This Row],[Ready]]),NA(),CFDTable[[#This Row],[Target]]-CFDTable[[#This Row],[To Do]])</f>
        <v>77</v>
      </c>
      <c r="D187" s="10">
        <f ca="1">IF(CFDTable[[#This Row],[Emergence]]&gt;0,CFDTable[[#This Row],[Future Work]]-CFDTable[[#This Row],[Emergence]],NA())</f>
        <v>81</v>
      </c>
      <c r="E187" s="10">
        <f>Data!C187</f>
        <v>43</v>
      </c>
      <c r="F187" s="10">
        <f ca="1">Data!D187</f>
        <v>47</v>
      </c>
      <c r="G187" s="10" t="e">
        <f ca="1">IF(TodaysDate&gt;=$B187,Data!E187,NA())</f>
        <v>#N/A</v>
      </c>
      <c r="H187" s="10" t="e">
        <f ca="1">IF(TodaysDate&gt;=$B187,Data!F187,NA())</f>
        <v>#N/A</v>
      </c>
      <c r="I187" s="10" t="e">
        <f ca="1">IF(TodaysDate&gt;=$B187,Data!G187,NA())</f>
        <v>#N/A</v>
      </c>
      <c r="J187" s="10" t="e">
        <f ca="1">IF(TodaysDate&gt;=$B187,Data!H187,NA())</f>
        <v>#N/A</v>
      </c>
      <c r="K187" s="10" t="e">
        <f ca="1">IF(TodaysDate&gt;=$B187,Data!I187,NA())</f>
        <v>#N/A</v>
      </c>
      <c r="L187" s="10" t="e">
        <f ca="1">IF(CFDTable[[#This Row],[Done]]&gt;0,(CFDTable[[#This Row],[Done]])-(K186),0)</f>
        <v>#N/A</v>
      </c>
      <c r="M187" s="10" t="e">
        <f ca="1">IF(ISNUMBER($L187),SUM(CFDTable[[#This Row],[Done]]),IF(CFDTable[[#This Row],[lookupLow]]&gt;=CFDTable[[#This Row],[Target]]+CFDTable[[#This Row],[lowDaily]],NA(),CFDTable[[#This Row],[lookupLow]]))</f>
        <v>#N/A</v>
      </c>
      <c r="N187" s="10" t="e">
        <f ca="1">IF(ISNUMBER($L187),SUM(CFDTable[[#This Row],[Done]]),IF(CFDTable[[#This Row],[lookupMedian]]&gt;=$X187+Q187,NA(),CFDTable[[#This Row],[lookupMedian]]))</f>
        <v>#N/A</v>
      </c>
      <c r="O187" s="10" t="e">
        <f ca="1">IF(ISNUMBER(CFDTable[[#This Row],[Done Today]]),SUM(CFDTable[[#This Row],[Done]]),IF(CFDTable[[#This Row],[lookupHigh]]&gt;=CFDTable[[#This Row],[Target]]+CFDTable[[#This Row],[highDaily]],NA(),CFDTable[[#This Row],[lookupHigh]]))</f>
        <v>#N/A</v>
      </c>
      <c r="P187" s="10">
        <f ca="1">CFDTable[[#This Row],[AvgDaily]]-CFDTable[[#This Row],[Deviation]]</f>
        <v>0.80952380952380931</v>
      </c>
      <c r="Q187" s="10">
        <f ca="1">AVERAGE(IF(ISNUMBER(L187),IF(ISNUMBER(OFFSET(L187,-Historic,0)),OFFSET(L187,-Historic,0),L$2):L187,Q186))</f>
        <v>0.95238095238095233</v>
      </c>
      <c r="R187" s="10">
        <f ca="1">AVERAGE(IF(ISNUMBER(L187),IF(ISNUMBER(OFFSET(L187,-Historic,0)),OFFSET(L187,-Historic,0),L$2):L187,R186))</f>
        <v>0.95238095238095233</v>
      </c>
      <c r="S187" s="10">
        <f ca="1">AVERAGE(IF(ISNUMBER(L187),OFFSET(L$2,DaysToIgnoreOnAvg,0):L187,S186))</f>
        <v>0.88311688311688308</v>
      </c>
      <c r="T187" s="10">
        <f ca="1">CFDTable[[#This Row],[AvgDaily]]+CFDTable[[#This Row],[Deviation]]</f>
        <v>1.0952380952380953</v>
      </c>
      <c r="U187" s="10">
        <f ca="1">IF(ISNUMBER(L187),((_xlfn.PERCENTILE.INC(IF(ISNUMBER(OFFSET(Q187,-Historic,0)),OFFSET(Q187,-Historic,0),Q$2):Q187,PercentileHigh/100))-(MEDIAN(IF(ISNUMBER(OFFSET(Q187,-Historic,0)),OFFSET(Q187,-Historic,0),Q$2):Q187))),U186)</f>
        <v>0.14285714285714302</v>
      </c>
      <c r="V187" s="10">
        <f ca="1">IF(ISNUMBER(L187),((_xlfn.PERCENTILE.INC(Q$2:Q187,PercentileHigh/100))-(MEDIAN(Q$2:Q187))),U186)</f>
        <v>0.14285714285714302</v>
      </c>
      <c r="W187" s="10">
        <f ca="1">IF(ISNUMBER(CFDTable[[#This Row],[Done Today]]),SUM($F187:$K187),$W186)</f>
        <v>124</v>
      </c>
      <c r="X187" s="10">
        <f ca="1">IF(ISNUMBER(CFDTable[[#This Row],[Done Today]]),SUM($F187:$K187),$X186)</f>
        <v>124</v>
      </c>
      <c r="Y187" s="10">
        <f ca="1">SUM(LOOKUP(2,1/(M$1:M186&lt;&gt;""),M$1:M186)+CFDTable[[#This Row],[lowDaily]])</f>
        <v>125.04761904761909</v>
      </c>
      <c r="Z187" s="10">
        <f ca="1">SUM(LOOKUP(2,1/(N$1:N186&lt;&gt;""),N$1:N186)+Q187)</f>
        <v>125.23809523809504</v>
      </c>
      <c r="AA187" s="10">
        <f ca="1">SUM(LOOKUP(2,1/(O$1:O186&lt;&gt;""),O$1:O186)+CFDTable[[#This Row],[highDaily]])</f>
        <v>125.8571428571432</v>
      </c>
      <c r="AB187" s="12">
        <f>IF(CFDTable[[#This Row],[Date]]=DeadlineDate,CFDTable[Future Work],0)</f>
        <v>0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 tint="-0.499984740745262"/>
  </sheetPr>
  <dimension ref="A1:R601"/>
  <sheetViews>
    <sheetView workbookViewId="0">
      <selection activeCell="D21" sqref="D21"/>
    </sheetView>
  </sheetViews>
  <sheetFormatPr defaultColWidth="8.85546875" defaultRowHeight="15"/>
  <cols>
    <col min="1" max="1" width="10.42578125" style="8" customWidth="1"/>
    <col min="2" max="2" width="10.7109375" style="11" bestFit="1" customWidth="1"/>
    <col min="3" max="3" width="21.28515625" style="10" customWidth="1"/>
    <col min="4" max="4" width="10.42578125" style="10" customWidth="1"/>
    <col min="5" max="5" width="16.7109375" style="12" bestFit="1" customWidth="1"/>
    <col min="6" max="6" width="12" style="12" customWidth="1"/>
    <col min="7" max="7" width="15.85546875" style="12" customWidth="1"/>
    <col min="8" max="8" width="10.28515625" style="12" bestFit="1" customWidth="1"/>
    <col min="9" max="9" width="9.28515625" style="12" bestFit="1" customWidth="1"/>
    <col min="10" max="11" width="9.28515625" style="10" bestFit="1" customWidth="1"/>
    <col min="12" max="12" width="10" style="44" customWidth="1"/>
    <col min="13" max="13" width="9.28515625" style="44" bestFit="1" customWidth="1"/>
    <col min="14" max="14" width="11.42578125" style="44" customWidth="1"/>
    <col min="15" max="17" width="14.7109375" style="44" customWidth="1"/>
  </cols>
  <sheetData>
    <row r="1" spans="1:18" s="7" customFormat="1">
      <c r="A1" s="54" t="s">
        <v>59</v>
      </c>
      <c r="B1" s="55" t="s">
        <v>1</v>
      </c>
      <c r="C1" s="56" t="s">
        <v>60</v>
      </c>
      <c r="D1" s="56" t="s">
        <v>3</v>
      </c>
      <c r="E1" s="57" t="s">
        <v>44</v>
      </c>
      <c r="F1" s="57" t="s">
        <v>20</v>
      </c>
      <c r="G1" s="57" t="s">
        <v>48</v>
      </c>
      <c r="H1" s="57" t="s">
        <v>47</v>
      </c>
      <c r="I1" s="57" t="s">
        <v>19</v>
      </c>
      <c r="J1" s="56" t="s">
        <v>7</v>
      </c>
      <c r="K1" s="56" t="s">
        <v>40</v>
      </c>
      <c r="L1" s="58" t="s">
        <v>56</v>
      </c>
      <c r="M1" s="58" t="s">
        <v>55</v>
      </c>
      <c r="N1" s="58" t="s">
        <v>10</v>
      </c>
      <c r="O1" s="59" t="s">
        <v>58</v>
      </c>
      <c r="P1" s="59" t="s">
        <v>61</v>
      </c>
      <c r="Q1" s="59" t="s">
        <v>63</v>
      </c>
      <c r="R1" s="58" t="s">
        <v>62</v>
      </c>
    </row>
    <row r="2" spans="1:18">
      <c r="A2" s="52">
        <f>B2</f>
        <v>42408</v>
      </c>
      <c r="B2" s="46">
        <f>FirstDate</f>
        <v>42408</v>
      </c>
      <c r="C2" s="47">
        <f>SUMIFS('On The Board'!$M$5:$M$219,'On The Board'!F$5:F$219,"&lt;="&amp;$B2,'On The Board'!E$5:E$219,"="&amp;FutureWork)</f>
        <v>0</v>
      </c>
      <c r="D2" s="48">
        <f ca="1">IF(TodaysDate&gt;=B2,SUMIF('On The Board'!F$5:F$219,"&lt;="&amp;$B2,'On The Board'!$M$5:$M$219)-SUM(E2:I2),D1)</f>
        <v>2</v>
      </c>
      <c r="E2" s="48">
        <f>SUMIF('On The Board'!G$5:G$219,"&lt;="&amp;$B2,'On The Board'!$M$5:$M$219)-SUM(F2:I2)</f>
        <v>0</v>
      </c>
      <c r="F2" s="48">
        <f>SUMIF('On The Board'!H$5:H$219,"&lt;="&amp;$B2,'On The Board'!$M$5:$M$219)-SUM(G2:I2)</f>
        <v>3</v>
      </c>
      <c r="G2" s="48">
        <f>SUMIF('On The Board'!I$5:I$219,"&lt;="&amp;$B2,'On The Board'!$M$5:$M$219)-SUM(H2,I2)</f>
        <v>0</v>
      </c>
      <c r="H2" s="48">
        <f>SUMIF('On The Board'!J$5:J$219,"&lt;="&amp;$B2,'On The Board'!$M$5:$M$219)-SUM(I2)</f>
        <v>0</v>
      </c>
      <c r="I2" s="48">
        <f>SUMIF('On The Board'!K$5:K$219,"&lt;="&amp;$B2,'On The Board'!$M$5:$M$219)</f>
        <v>0</v>
      </c>
      <c r="J2" s="47">
        <f t="shared" ref="J2:J65" si="0">SUM(E2:I2)</f>
        <v>3</v>
      </c>
      <c r="K2" s="47">
        <f t="shared" ref="K2:K65" ca="1" si="1">IF(TodaysDate&gt;=B2,SUM(E2:H2),NA())</f>
        <v>3</v>
      </c>
      <c r="L2" s="49">
        <f ca="1">AVERAGE(K$2:K2)</f>
        <v>3</v>
      </c>
      <c r="M2" s="49">
        <f t="shared" ref="M2:M11" ca="1" si="2">IF(ISNUMBER(L2),I2/NETWORKDAYS(B$2,B2,BankHolidays),NA())</f>
        <v>0</v>
      </c>
      <c r="N2" s="49" t="e">
        <f ca="1">IF(M2&gt;0,L2/M2,NA())</f>
        <v>#N/A</v>
      </c>
      <c r="O2" s="53" t="e">
        <f ca="1">AVERAGE(N$2:N2)</f>
        <v>#N/A</v>
      </c>
      <c r="P2" s="53" t="str">
        <f ca="1">IFERROR(DayByDayTable[[#This Row],[Lead Time]],"")</f>
        <v/>
      </c>
      <c r="Q2" s="44">
        <f t="shared" ref="Q2:Q11" ca="1" si="3">PERCENTILE(N$3:N$12,0.8)</f>
        <v>16</v>
      </c>
      <c r="R2" s="44">
        <f ca="1">ROUND(PERCENTILE(DayByDayTable[[#Data],[BlankLeadTime]],0.8),0)</f>
        <v>8</v>
      </c>
    </row>
    <row r="3" spans="1:18">
      <c r="A3" s="52">
        <f t="shared" ref="A3:A65" si="4">B3</f>
        <v>42409</v>
      </c>
      <c r="B3" s="46">
        <f t="shared" ref="B3:B66" si="5">IF(NETWORKDAYS(B2,B2+1,BankHolidays)=2,B2+1,IF(NETWORKDAYS(B2,B2+2,BankHolidays)=2,B2+2,IF(NETWORKDAYS(B2,B2+3,BankHolidays)=2,B2+3,IF(NETWORKDAYS(B2,B2+4,BankHolidays)=2,B2+4,IF(NETWORKDAYS(B2,B2+5,BankHolidays)=2,B2+5,NA())))))</f>
        <v>42409</v>
      </c>
      <c r="C3" s="47">
        <f>SUMIFS('On The Board'!$M$5:$M$219,'On The Board'!F$5:F$219,"&lt;="&amp;$B3,'On The Board'!E$5:E$219,"="&amp;FutureWork)</f>
        <v>0</v>
      </c>
      <c r="D3" s="48">
        <f ca="1">IF(TodaysDate&gt;=B3,SUMIF('On The Board'!F$5:F$219,"&lt;="&amp;$B3,'On The Board'!$M$5:$M$219)-SUM(E3:I3),D2)</f>
        <v>2</v>
      </c>
      <c r="E3" s="48">
        <f>SUMIF('On The Board'!G$5:G$219,"&lt;="&amp;$B3,'On The Board'!$M$5:$M$219)-SUM(F3:I3)</f>
        <v>0</v>
      </c>
      <c r="F3" s="48">
        <f>SUMIF('On The Board'!H$5:H$219,"&lt;="&amp;$B3,'On The Board'!$M$5:$M$219)-SUM(G3:I3)</f>
        <v>1</v>
      </c>
      <c r="G3" s="48">
        <f>SUMIF('On The Board'!I$5:I$219,"&lt;="&amp;$B3,'On The Board'!$M$5:$M$219)-SUM(H3,I3)</f>
        <v>0</v>
      </c>
      <c r="H3" s="48">
        <f>SUMIF('On The Board'!J$5:J$219,"&lt;="&amp;$B3,'On The Board'!$M$5:$M$219)-SUM(I3)</f>
        <v>0</v>
      </c>
      <c r="I3" s="48">
        <f>SUMIF('On The Board'!K$5:K$219,"&lt;="&amp;$B3,'On The Board'!$M$5:$M$219)</f>
        <v>2</v>
      </c>
      <c r="J3" s="47">
        <f t="shared" si="0"/>
        <v>3</v>
      </c>
      <c r="K3" s="47">
        <f t="shared" ca="1" si="1"/>
        <v>1</v>
      </c>
      <c r="L3" s="49">
        <f ca="1">AVERAGE(K$2:K3)</f>
        <v>2</v>
      </c>
      <c r="M3" s="49">
        <f t="shared" ca="1" si="2"/>
        <v>1</v>
      </c>
      <c r="N3" s="49">
        <f t="shared" ref="N3:N66" ca="1" si="6">IF(M3&gt;0,L3/M3,NA())</f>
        <v>2</v>
      </c>
      <c r="O3" s="53" t="e">
        <f ca="1">AVERAGE(N$2:N3)</f>
        <v>#N/A</v>
      </c>
      <c r="P3" s="53">
        <f ca="1">IFERROR(DayByDayTable[[#This Row],[Lead Time]],"")</f>
        <v>2</v>
      </c>
      <c r="Q3" s="44">
        <f t="shared" ca="1" si="3"/>
        <v>16</v>
      </c>
      <c r="R3" s="44">
        <f ca="1">ROUND(PERCENTILE(DayByDayTable[[#Data],[BlankLeadTime]],0.8),0)</f>
        <v>8</v>
      </c>
    </row>
    <row r="4" spans="1:18">
      <c r="A4" s="52">
        <f t="shared" si="4"/>
        <v>42410</v>
      </c>
      <c r="B4" s="46">
        <f t="shared" si="5"/>
        <v>42410</v>
      </c>
      <c r="C4" s="47">
        <f>SUMIFS('On The Board'!$M$5:$M$219,'On The Board'!F$5:F$219,"&lt;="&amp;$B4,'On The Board'!E$5:E$219,"="&amp;FutureWork)</f>
        <v>0</v>
      </c>
      <c r="D4" s="48">
        <f ca="1">IF(TodaysDate&gt;=B4,SUMIF('On The Board'!F$5:F$219,"&lt;="&amp;$B4,'On The Board'!$M$5:$M$219)-SUM(E4:I4),D3)</f>
        <v>0</v>
      </c>
      <c r="E4" s="48">
        <f>SUMIF('On The Board'!G$5:G$219,"&lt;="&amp;$B4,'On The Board'!$M$5:$M$219)-SUM(F4:I4)</f>
        <v>0</v>
      </c>
      <c r="F4" s="48">
        <f>SUMIF('On The Board'!H$5:H$219,"&lt;="&amp;$B4,'On The Board'!$M$5:$M$219)-SUM(G4:I4)</f>
        <v>3</v>
      </c>
      <c r="G4" s="48">
        <f>SUMIF('On The Board'!I$5:I$219,"&lt;="&amp;$B4,'On The Board'!$M$5:$M$219)-SUM(H4,I4)</f>
        <v>0</v>
      </c>
      <c r="H4" s="48">
        <f>SUMIF('On The Board'!J$5:J$219,"&lt;="&amp;$B4,'On The Board'!$M$5:$M$219)-SUM(I4)</f>
        <v>0</v>
      </c>
      <c r="I4" s="48">
        <f>SUMIF('On The Board'!K$5:K$219,"&lt;="&amp;$B4,'On The Board'!$M$5:$M$219)</f>
        <v>2</v>
      </c>
      <c r="J4" s="47">
        <f t="shared" si="0"/>
        <v>5</v>
      </c>
      <c r="K4" s="47">
        <f t="shared" ca="1" si="1"/>
        <v>3</v>
      </c>
      <c r="L4" s="49">
        <f ca="1">AVERAGE(K$2:K4)</f>
        <v>2.3333333333333335</v>
      </c>
      <c r="M4" s="49">
        <f t="shared" ca="1" si="2"/>
        <v>0.66666666666666663</v>
      </c>
      <c r="N4" s="49">
        <f t="shared" ca="1" si="6"/>
        <v>3.5000000000000004</v>
      </c>
      <c r="O4" s="53" t="e">
        <f ca="1">AVERAGE(N$2:N4)</f>
        <v>#N/A</v>
      </c>
      <c r="P4" s="53">
        <f ca="1">IFERROR(DayByDayTable[[#This Row],[Lead Time]],"")</f>
        <v>3.5000000000000004</v>
      </c>
      <c r="Q4" s="44">
        <f t="shared" ca="1" si="3"/>
        <v>16</v>
      </c>
      <c r="R4" s="44">
        <f ca="1">ROUND(PERCENTILE(DayByDayTable[[#Data],[BlankLeadTime]],0.8),0)</f>
        <v>8</v>
      </c>
    </row>
    <row r="5" spans="1:18">
      <c r="A5" s="52">
        <f t="shared" si="4"/>
        <v>42411</v>
      </c>
      <c r="B5" s="46">
        <f t="shared" si="5"/>
        <v>42411</v>
      </c>
      <c r="C5" s="47">
        <f>SUMIFS('On The Board'!$M$5:$M$219,'On The Board'!F$5:F$219,"&lt;="&amp;$B5,'On The Board'!E$5:E$219,"="&amp;FutureWork)</f>
        <v>0</v>
      </c>
      <c r="D5" s="48">
        <f ca="1">IF(TodaysDate&gt;=B5,SUMIF('On The Board'!F$5:F$219,"&lt;="&amp;$B5,'On The Board'!$M$5:$M$219)-SUM(E5:I5),D4)</f>
        <v>0</v>
      </c>
      <c r="E5" s="48">
        <f>SUMIF('On The Board'!G$5:G$219,"&lt;="&amp;$B5,'On The Board'!$M$5:$M$219)-SUM(F5:I5)</f>
        <v>0</v>
      </c>
      <c r="F5" s="48">
        <f>SUMIF('On The Board'!H$5:H$219,"&lt;="&amp;$B5,'On The Board'!$M$5:$M$219)-SUM(G5:I5)</f>
        <v>3</v>
      </c>
      <c r="G5" s="48">
        <f>SUMIF('On The Board'!I$5:I$219,"&lt;="&amp;$B5,'On The Board'!$M$5:$M$219)-SUM(H5,I5)</f>
        <v>0</v>
      </c>
      <c r="H5" s="48">
        <f>SUMIF('On The Board'!J$5:J$219,"&lt;="&amp;$B5,'On The Board'!$M$5:$M$219)-SUM(I5)</f>
        <v>0</v>
      </c>
      <c r="I5" s="48">
        <f>SUMIF('On The Board'!K$5:K$219,"&lt;="&amp;$B5,'On The Board'!$M$5:$M$219)</f>
        <v>2</v>
      </c>
      <c r="J5" s="47">
        <f t="shared" si="0"/>
        <v>5</v>
      </c>
      <c r="K5" s="47">
        <f t="shared" ca="1" si="1"/>
        <v>3</v>
      </c>
      <c r="L5" s="49">
        <f ca="1">AVERAGE(K$2:K5)</f>
        <v>2.5</v>
      </c>
      <c r="M5" s="49">
        <f t="shared" ca="1" si="2"/>
        <v>0.5</v>
      </c>
      <c r="N5" s="49">
        <f t="shared" ca="1" si="6"/>
        <v>5</v>
      </c>
      <c r="O5" s="53" t="e">
        <f ca="1">AVERAGE(N$2:N5)</f>
        <v>#N/A</v>
      </c>
      <c r="P5" s="53">
        <f ca="1">IFERROR(DayByDayTable[[#This Row],[Lead Time]],"")</f>
        <v>5</v>
      </c>
      <c r="Q5" s="44">
        <f t="shared" ca="1" si="3"/>
        <v>16</v>
      </c>
      <c r="R5" s="44">
        <f ca="1">ROUND(PERCENTILE(DayByDayTable[[#Data],[BlankLeadTime]],0.8),0)</f>
        <v>8</v>
      </c>
    </row>
    <row r="6" spans="1:18">
      <c r="A6" s="52">
        <f t="shared" si="4"/>
        <v>42412</v>
      </c>
      <c r="B6" s="46">
        <f t="shared" si="5"/>
        <v>42412</v>
      </c>
      <c r="C6" s="47">
        <f>SUMIFS('On The Board'!$M$5:$M$219,'On The Board'!F$5:F$219,"&lt;="&amp;$B6,'On The Board'!E$5:E$219,"="&amp;FutureWork)</f>
        <v>0</v>
      </c>
      <c r="D6" s="48">
        <f ca="1">IF(TodaysDate&gt;=B6,SUMIF('On The Board'!F$5:F$219,"&lt;="&amp;$B6,'On The Board'!$M$5:$M$219)-SUM(E6:I6),D5)</f>
        <v>0</v>
      </c>
      <c r="E6" s="48">
        <f>SUMIF('On The Board'!G$5:G$219,"&lt;="&amp;$B6,'On The Board'!$M$5:$M$219)-SUM(F6:I6)</f>
        <v>0</v>
      </c>
      <c r="F6" s="48">
        <f>SUMIF('On The Board'!H$5:H$219,"&lt;="&amp;$B6,'On The Board'!$M$5:$M$219)-SUM(G6:I6)</f>
        <v>3</v>
      </c>
      <c r="G6" s="48">
        <f>SUMIF('On The Board'!I$5:I$219,"&lt;="&amp;$B6,'On The Board'!$M$5:$M$219)-SUM(H6,I6)</f>
        <v>0</v>
      </c>
      <c r="H6" s="48">
        <f>SUMIF('On The Board'!J$5:J$219,"&lt;="&amp;$B6,'On The Board'!$M$5:$M$219)-SUM(I6)</f>
        <v>0</v>
      </c>
      <c r="I6" s="48">
        <f>SUMIF('On The Board'!K$5:K$219,"&lt;="&amp;$B6,'On The Board'!$M$5:$M$219)</f>
        <v>2</v>
      </c>
      <c r="J6" s="47">
        <f t="shared" si="0"/>
        <v>5</v>
      </c>
      <c r="K6" s="47">
        <f t="shared" ca="1" si="1"/>
        <v>3</v>
      </c>
      <c r="L6" s="49">
        <f ca="1">AVERAGE(K$2:K6)</f>
        <v>2.6</v>
      </c>
      <c r="M6" s="49">
        <f t="shared" ca="1" si="2"/>
        <v>0.4</v>
      </c>
      <c r="N6" s="49">
        <f t="shared" ca="1" si="6"/>
        <v>6.5</v>
      </c>
      <c r="O6" s="53" t="e">
        <f ca="1">AVERAGE(N$2:N6)</f>
        <v>#N/A</v>
      </c>
      <c r="P6" s="53">
        <f ca="1">IFERROR(DayByDayTable[[#This Row],[Lead Time]],"")</f>
        <v>6.5</v>
      </c>
      <c r="Q6" s="44">
        <f t="shared" ca="1" si="3"/>
        <v>16</v>
      </c>
      <c r="R6" s="44">
        <f ca="1">ROUND(PERCENTILE(DayByDayTable[[#Data],[BlankLeadTime]],0.8),0)</f>
        <v>8</v>
      </c>
    </row>
    <row r="7" spans="1:18">
      <c r="A7" s="52">
        <f t="shared" si="4"/>
        <v>42415</v>
      </c>
      <c r="B7" s="46">
        <f t="shared" si="5"/>
        <v>42415</v>
      </c>
      <c r="C7" s="47">
        <f>SUMIFS('On The Board'!$M$5:$M$219,'On The Board'!F$5:F$219,"&lt;="&amp;$B7,'On The Board'!E$5:E$219,"="&amp;FutureWork)</f>
        <v>0</v>
      </c>
      <c r="D7" s="48">
        <f ca="1">IF(TodaysDate&gt;=B7,SUMIF('On The Board'!F$5:F$219,"&lt;="&amp;$B7,'On The Board'!$M$5:$M$219)-SUM(E7:I7),D6)</f>
        <v>0</v>
      </c>
      <c r="E7" s="48">
        <f>SUMIF('On The Board'!G$5:G$219,"&lt;="&amp;$B7,'On The Board'!$M$5:$M$219)-SUM(F7:I7)</f>
        <v>0</v>
      </c>
      <c r="F7" s="48">
        <f>SUMIF('On The Board'!H$5:H$219,"&lt;="&amp;$B7,'On The Board'!$M$5:$M$219)-SUM(G7:I7)</f>
        <v>3</v>
      </c>
      <c r="G7" s="48">
        <f>SUMIF('On The Board'!I$5:I$219,"&lt;="&amp;$B7,'On The Board'!$M$5:$M$219)-SUM(H7,I7)</f>
        <v>0</v>
      </c>
      <c r="H7" s="48">
        <f>SUMIF('On The Board'!J$5:J$219,"&lt;="&amp;$B7,'On The Board'!$M$5:$M$219)-SUM(I7)</f>
        <v>0</v>
      </c>
      <c r="I7" s="48">
        <f>SUMIF('On The Board'!K$5:K$219,"&lt;="&amp;$B7,'On The Board'!$M$5:$M$219)</f>
        <v>2</v>
      </c>
      <c r="J7" s="47">
        <f t="shared" si="0"/>
        <v>5</v>
      </c>
      <c r="K7" s="47">
        <f t="shared" ca="1" si="1"/>
        <v>3</v>
      </c>
      <c r="L7" s="49">
        <f ca="1">AVERAGE(K$2:K7)</f>
        <v>2.6666666666666665</v>
      </c>
      <c r="M7" s="49">
        <f t="shared" ca="1" si="2"/>
        <v>0.33333333333333331</v>
      </c>
      <c r="N7" s="49">
        <f t="shared" ca="1" si="6"/>
        <v>8</v>
      </c>
      <c r="O7" s="53" t="e">
        <f ca="1">AVERAGE(N$2:N7)</f>
        <v>#N/A</v>
      </c>
      <c r="P7" s="53">
        <f ca="1">IFERROR(DayByDayTable[[#This Row],[Lead Time]],"")</f>
        <v>8</v>
      </c>
      <c r="Q7" s="44">
        <f t="shared" ca="1" si="3"/>
        <v>16</v>
      </c>
      <c r="R7" s="44">
        <f ca="1">ROUND(PERCENTILE(DayByDayTable[[#Data],[BlankLeadTime]],0.8),0)</f>
        <v>8</v>
      </c>
    </row>
    <row r="8" spans="1:18">
      <c r="A8" s="52">
        <f t="shared" si="4"/>
        <v>42416</v>
      </c>
      <c r="B8" s="46">
        <f t="shared" si="5"/>
        <v>42416</v>
      </c>
      <c r="C8" s="47">
        <f>SUMIFS('On The Board'!$M$5:$M$219,'On The Board'!F$5:F$219,"&lt;="&amp;$B8,'On The Board'!E$5:E$219,"="&amp;FutureWork)</f>
        <v>0</v>
      </c>
      <c r="D8" s="48">
        <f ca="1">IF(TodaysDate&gt;=B8,SUMIF('On The Board'!F$5:F$219,"&lt;="&amp;$B8,'On The Board'!$M$5:$M$219)-SUM(E8:I8),D7)</f>
        <v>0</v>
      </c>
      <c r="E8" s="48">
        <f>SUMIF('On The Board'!G$5:G$219,"&lt;="&amp;$B8,'On The Board'!$M$5:$M$219)-SUM(F8:I8)</f>
        <v>0</v>
      </c>
      <c r="F8" s="48">
        <f>SUMIF('On The Board'!H$5:H$219,"&lt;="&amp;$B8,'On The Board'!$M$5:$M$219)-SUM(G8:I8)</f>
        <v>4</v>
      </c>
      <c r="G8" s="48">
        <f>SUMIF('On The Board'!I$5:I$219,"&lt;="&amp;$B8,'On The Board'!$M$5:$M$219)-SUM(H8,I8)</f>
        <v>0</v>
      </c>
      <c r="H8" s="48">
        <f>SUMIF('On The Board'!J$5:J$219,"&lt;="&amp;$B8,'On The Board'!$M$5:$M$219)-SUM(I8)</f>
        <v>0</v>
      </c>
      <c r="I8" s="48">
        <f>SUMIF('On The Board'!K$5:K$219,"&lt;="&amp;$B8,'On The Board'!$M$5:$M$219)</f>
        <v>2</v>
      </c>
      <c r="J8" s="47">
        <f t="shared" si="0"/>
        <v>6</v>
      </c>
      <c r="K8" s="47">
        <f t="shared" ca="1" si="1"/>
        <v>4</v>
      </c>
      <c r="L8" s="49">
        <f ca="1">AVERAGE(K$2:K8)</f>
        <v>2.8571428571428572</v>
      </c>
      <c r="M8" s="49">
        <f t="shared" ca="1" si="2"/>
        <v>0.2857142857142857</v>
      </c>
      <c r="N8" s="49">
        <f t="shared" ca="1" si="6"/>
        <v>10</v>
      </c>
      <c r="O8" s="53" t="e">
        <f ca="1">AVERAGE(N$2:N8)</f>
        <v>#N/A</v>
      </c>
      <c r="P8" s="53">
        <f ca="1">IFERROR(DayByDayTable[[#This Row],[Lead Time]],"")</f>
        <v>10</v>
      </c>
      <c r="Q8" s="44">
        <f t="shared" ca="1" si="3"/>
        <v>16</v>
      </c>
      <c r="R8" s="44">
        <f ca="1">ROUND(PERCENTILE(DayByDayTable[[#Data],[BlankLeadTime]],0.8),0)</f>
        <v>8</v>
      </c>
    </row>
    <row r="9" spans="1:18">
      <c r="A9" s="52">
        <f t="shared" si="4"/>
        <v>42417</v>
      </c>
      <c r="B9" s="46">
        <f t="shared" si="5"/>
        <v>42417</v>
      </c>
      <c r="C9" s="47">
        <f>SUMIFS('On The Board'!$M$5:$M$219,'On The Board'!F$5:F$219,"&lt;="&amp;$B9,'On The Board'!E$5:E$219,"="&amp;FutureWork)</f>
        <v>0</v>
      </c>
      <c r="D9" s="48">
        <f ca="1">IF(TodaysDate&gt;=B9,SUMIF('On The Board'!F$5:F$219,"&lt;="&amp;$B9,'On The Board'!$M$5:$M$219)-SUM(E9:I9),D8)</f>
        <v>1</v>
      </c>
      <c r="E9" s="48">
        <f>SUMIF('On The Board'!G$5:G$219,"&lt;="&amp;$B9,'On The Board'!$M$5:$M$219)-SUM(F9:I9)</f>
        <v>0</v>
      </c>
      <c r="F9" s="48">
        <f>SUMIF('On The Board'!H$5:H$219,"&lt;="&amp;$B9,'On The Board'!$M$5:$M$219)-SUM(G9:I9)</f>
        <v>5</v>
      </c>
      <c r="G9" s="48">
        <f>SUMIF('On The Board'!I$5:I$219,"&lt;="&amp;$B9,'On The Board'!$M$5:$M$219)-SUM(H9,I9)</f>
        <v>0</v>
      </c>
      <c r="H9" s="48">
        <f>SUMIF('On The Board'!J$5:J$219,"&lt;="&amp;$B9,'On The Board'!$M$5:$M$219)-SUM(I9)</f>
        <v>0</v>
      </c>
      <c r="I9" s="48">
        <f>SUMIF('On The Board'!K$5:K$219,"&lt;="&amp;$B9,'On The Board'!$M$5:$M$219)</f>
        <v>2</v>
      </c>
      <c r="J9" s="47">
        <f t="shared" si="0"/>
        <v>7</v>
      </c>
      <c r="K9" s="47">
        <f t="shared" ca="1" si="1"/>
        <v>5</v>
      </c>
      <c r="L9" s="49">
        <f ca="1">AVERAGE(K$2:K9)</f>
        <v>3.125</v>
      </c>
      <c r="M9" s="49">
        <f t="shared" ca="1" si="2"/>
        <v>0.25</v>
      </c>
      <c r="N9" s="49">
        <f t="shared" ca="1" si="6"/>
        <v>12.5</v>
      </c>
      <c r="O9" s="53" t="e">
        <f ca="1">AVERAGE(N$2:N9)</f>
        <v>#N/A</v>
      </c>
      <c r="P9" s="53">
        <f ca="1">IFERROR(DayByDayTable[[#This Row],[Lead Time]],"")</f>
        <v>12.5</v>
      </c>
      <c r="Q9" s="44">
        <f t="shared" ca="1" si="3"/>
        <v>16</v>
      </c>
      <c r="R9" s="44">
        <f ca="1">ROUND(PERCENTILE(DayByDayTable[[#Data],[BlankLeadTime]],0.8),0)</f>
        <v>8</v>
      </c>
    </row>
    <row r="10" spans="1:18">
      <c r="A10" s="52">
        <f t="shared" si="4"/>
        <v>42418</v>
      </c>
      <c r="B10" s="46">
        <f t="shared" si="5"/>
        <v>42418</v>
      </c>
      <c r="C10" s="47">
        <f>SUMIFS('On The Board'!$M$5:$M$219,'On The Board'!F$5:F$219,"&lt;="&amp;$B10,'On The Board'!E$5:E$219,"="&amp;FutureWork)</f>
        <v>0</v>
      </c>
      <c r="D10" s="48">
        <f ca="1">IF(TodaysDate&gt;=B10,SUMIF('On The Board'!F$5:F$219,"&lt;="&amp;$B10,'On The Board'!$M$5:$M$219)-SUM(E10:I10),D9)</f>
        <v>1</v>
      </c>
      <c r="E10" s="48">
        <f>SUMIF('On The Board'!G$5:G$219,"&lt;="&amp;$B10,'On The Board'!$M$5:$M$219)-SUM(F10:I10)</f>
        <v>0</v>
      </c>
      <c r="F10" s="48">
        <f>SUMIF('On The Board'!H$5:H$219,"&lt;="&amp;$B10,'On The Board'!$M$5:$M$219)-SUM(G10:I10)</f>
        <v>7</v>
      </c>
      <c r="G10" s="48">
        <f>SUMIF('On The Board'!I$5:I$219,"&lt;="&amp;$B10,'On The Board'!$M$5:$M$219)-SUM(H10,I10)</f>
        <v>0</v>
      </c>
      <c r="H10" s="48">
        <f>SUMIF('On The Board'!J$5:J$219,"&lt;="&amp;$B10,'On The Board'!$M$5:$M$219)-SUM(I10)</f>
        <v>0</v>
      </c>
      <c r="I10" s="48">
        <f>SUMIF('On The Board'!K$5:K$219,"&lt;="&amp;$B10,'On The Board'!$M$5:$M$219)</f>
        <v>2</v>
      </c>
      <c r="J10" s="47">
        <f t="shared" si="0"/>
        <v>9</v>
      </c>
      <c r="K10" s="47">
        <f t="shared" ca="1" si="1"/>
        <v>7</v>
      </c>
      <c r="L10" s="49">
        <f ca="1">AVERAGE(K$2:K10)</f>
        <v>3.5555555555555554</v>
      </c>
      <c r="M10" s="49">
        <f t="shared" ca="1" si="2"/>
        <v>0.22222222222222221</v>
      </c>
      <c r="N10" s="49">
        <f t="shared" ca="1" si="6"/>
        <v>16</v>
      </c>
      <c r="O10" s="53" t="e">
        <f ca="1">AVERAGE(N$2:N10)</f>
        <v>#N/A</v>
      </c>
      <c r="P10" s="53">
        <f ca="1">IFERROR(DayByDayTable[[#This Row],[Lead Time]],"")</f>
        <v>16</v>
      </c>
      <c r="Q10" s="44">
        <f t="shared" ca="1" si="3"/>
        <v>16</v>
      </c>
      <c r="R10" s="44">
        <f ca="1">ROUND(PERCENTILE(DayByDayTable[[#Data],[BlankLeadTime]],0.8),0)</f>
        <v>8</v>
      </c>
    </row>
    <row r="11" spans="1:18">
      <c r="A11" s="52">
        <f t="shared" si="4"/>
        <v>42419</v>
      </c>
      <c r="B11" s="46">
        <f t="shared" si="5"/>
        <v>42419</v>
      </c>
      <c r="C11" s="47">
        <f>SUMIFS('On The Board'!$M$5:$M$219,'On The Board'!F$5:F$219,"&lt;="&amp;$B11,'On The Board'!E$5:E$219,"="&amp;FutureWork)</f>
        <v>0</v>
      </c>
      <c r="D11" s="48">
        <f ca="1">IF(TodaysDate&gt;=B11,SUMIF('On The Board'!F$5:F$219,"&lt;="&amp;$B11,'On The Board'!$M$5:$M$219)-SUM(E11:I11),D10)</f>
        <v>0</v>
      </c>
      <c r="E11" s="48">
        <f>SUMIF('On The Board'!G$5:G$219,"&lt;="&amp;$B11,'On The Board'!$M$5:$M$219)-SUM(F11:I11)</f>
        <v>1</v>
      </c>
      <c r="F11" s="48">
        <f>SUMIF('On The Board'!H$5:H$219,"&lt;="&amp;$B11,'On The Board'!$M$5:$M$219)-SUM(G11:I11)</f>
        <v>7</v>
      </c>
      <c r="G11" s="48">
        <f>SUMIF('On The Board'!I$5:I$219,"&lt;="&amp;$B11,'On The Board'!$M$5:$M$219)-SUM(H11,I11)</f>
        <v>0</v>
      </c>
      <c r="H11" s="48">
        <f>SUMIF('On The Board'!J$5:J$219,"&lt;="&amp;$B11,'On The Board'!$M$5:$M$219)-SUM(I11)</f>
        <v>0</v>
      </c>
      <c r="I11" s="48">
        <f>SUMIF('On The Board'!K$5:K$219,"&lt;="&amp;$B11,'On The Board'!$M$5:$M$219)</f>
        <v>2</v>
      </c>
      <c r="J11" s="47">
        <f t="shared" si="0"/>
        <v>10</v>
      </c>
      <c r="K11" s="47">
        <f t="shared" ca="1" si="1"/>
        <v>8</v>
      </c>
      <c r="L11" s="49">
        <f ca="1">AVERAGE(K$2:K11)</f>
        <v>4</v>
      </c>
      <c r="M11" s="49">
        <f t="shared" ca="1" si="2"/>
        <v>0.2</v>
      </c>
      <c r="N11" s="49">
        <f t="shared" ca="1" si="6"/>
        <v>20</v>
      </c>
      <c r="O11" s="53" t="e">
        <f ca="1">AVERAGE(N$2:N11)</f>
        <v>#N/A</v>
      </c>
      <c r="P11" s="53">
        <f ca="1">IFERROR(DayByDayTable[[#This Row],[Lead Time]],"")</f>
        <v>20</v>
      </c>
      <c r="Q11" s="44">
        <f t="shared" ca="1" si="3"/>
        <v>16</v>
      </c>
      <c r="R11" s="44">
        <f ca="1">ROUND(PERCENTILE(DayByDayTable[[#Data],[BlankLeadTime]],0.8),0)</f>
        <v>8</v>
      </c>
    </row>
    <row r="12" spans="1:18">
      <c r="A12" s="51">
        <f t="shared" si="4"/>
        <v>42422</v>
      </c>
      <c r="B12" s="11">
        <f t="shared" si="5"/>
        <v>42422</v>
      </c>
      <c r="C12" s="47">
        <f>SUMIFS('On The Board'!$M$5:$M$219,'On The Board'!F$5:F$219,"&lt;="&amp;$B12,'On The Board'!E$5:E$219,"="&amp;FutureWork)</f>
        <v>0</v>
      </c>
      <c r="D12" s="12">
        <f ca="1">IF(TodaysDate&gt;=B12,SUMIF('On The Board'!F$5:F$219,"&lt;="&amp;$B12,'On The Board'!$M$5:$M$219)-SUM(E12:I12),D11)</f>
        <v>1</v>
      </c>
      <c r="E12" s="12">
        <f>SUMIF('On The Board'!G$5:G$219,"&lt;="&amp;$B12,'On The Board'!$M$5:$M$219)-SUM(F12:I12)</f>
        <v>0</v>
      </c>
      <c r="F12" s="12">
        <f>SUMIF('On The Board'!H$5:H$219,"&lt;="&amp;$B12,'On The Board'!$M$5:$M$219)-SUM(G12:I12)</f>
        <v>3</v>
      </c>
      <c r="G12" s="12">
        <f>SUMIF('On The Board'!I$5:I$219,"&lt;="&amp;$B12,'On The Board'!$M$5:$M$219)-SUM(H12,I12)</f>
        <v>4</v>
      </c>
      <c r="H12" s="12">
        <f>SUMIF('On The Board'!J$5:J$219,"&lt;="&amp;$B12,'On The Board'!$M$5:$M$219)-SUM(I12)</f>
        <v>1</v>
      </c>
      <c r="I12" s="12">
        <f>SUMIF('On The Board'!K$5:K$219,"&lt;="&amp;$B12,'On The Board'!$M$5:$M$219)</f>
        <v>3</v>
      </c>
      <c r="J12" s="10">
        <f t="shared" si="0"/>
        <v>11</v>
      </c>
      <c r="K12" s="10">
        <f t="shared" ca="1" si="1"/>
        <v>8</v>
      </c>
      <c r="L12" s="44">
        <f ca="1">AVERAGE(K2:K12)</f>
        <v>4.3636363636363633</v>
      </c>
      <c r="M12" s="44">
        <f t="shared" ref="M12:M75" ca="1" si="7">IF(ISNUMBER(L12),(I12-I2)/NETWORKDAYS(B2,B12,BankHolidays),NA())</f>
        <v>0.27272727272727271</v>
      </c>
      <c r="N12" s="44">
        <f t="shared" ca="1" si="6"/>
        <v>16</v>
      </c>
      <c r="O12" s="53" t="e">
        <f ca="1">AVERAGE(N2:N12)</f>
        <v>#N/A</v>
      </c>
      <c r="P12" s="53">
        <f ca="1">IFERROR(DayByDayTable[[#This Row],[Lead Time]],"")</f>
        <v>16</v>
      </c>
      <c r="Q12" s="44">
        <f ca="1">PERCENTILE(N$3:N12,0.8)</f>
        <v>16</v>
      </c>
      <c r="R12" s="44">
        <f ca="1">ROUND(PERCENTILE(DayByDayTable[[#Data],[BlankLeadTime]],0.8),0)</f>
        <v>8</v>
      </c>
    </row>
    <row r="13" spans="1:18">
      <c r="A13" s="51">
        <f t="shared" si="4"/>
        <v>42423</v>
      </c>
      <c r="B13" s="11">
        <f t="shared" si="5"/>
        <v>42423</v>
      </c>
      <c r="C13" s="47">
        <f>SUMIFS('On The Board'!$M$5:$M$219,'On The Board'!F$5:F$219,"&lt;="&amp;$B13,'On The Board'!E$5:E$219,"="&amp;FutureWork)</f>
        <v>0</v>
      </c>
      <c r="D13" s="12">
        <f ca="1">IF(TodaysDate&gt;=B13,SUMIF('On The Board'!F$5:F$219,"&lt;="&amp;$B13,'On The Board'!$M$5:$M$219)-SUM(E13:I13),D12)</f>
        <v>0</v>
      </c>
      <c r="E13" s="12">
        <f>SUMIF('On The Board'!G$5:G$219,"&lt;="&amp;$B13,'On The Board'!$M$5:$M$219)-SUM(F13:I13)</f>
        <v>0</v>
      </c>
      <c r="F13" s="12">
        <f>SUMIF('On The Board'!H$5:H$219,"&lt;="&amp;$B13,'On The Board'!$M$5:$M$219)-SUM(G13:I13)</f>
        <v>3</v>
      </c>
      <c r="G13" s="12">
        <f>SUMIF('On The Board'!I$5:I$219,"&lt;="&amp;$B13,'On The Board'!$M$5:$M$219)-SUM(H13,I13)</f>
        <v>2</v>
      </c>
      <c r="H13" s="12">
        <f>SUMIF('On The Board'!J$5:J$219,"&lt;="&amp;$B13,'On The Board'!$M$5:$M$219)-SUM(I13)</f>
        <v>1</v>
      </c>
      <c r="I13" s="12">
        <f>SUMIF('On The Board'!K$5:K$219,"&lt;="&amp;$B13,'On The Board'!$M$5:$M$219)</f>
        <v>6</v>
      </c>
      <c r="J13" s="10">
        <f t="shared" si="0"/>
        <v>12</v>
      </c>
      <c r="K13" s="10">
        <f t="shared" ca="1" si="1"/>
        <v>6</v>
      </c>
      <c r="L13" s="44">
        <f t="shared" ref="L13:L76" ca="1" si="8">AVERAGE(K3:K13)</f>
        <v>4.6363636363636367</v>
      </c>
      <c r="M13" s="44">
        <f t="shared" ca="1" si="7"/>
        <v>0.36363636363636365</v>
      </c>
      <c r="N13" s="44">
        <f t="shared" ca="1" si="6"/>
        <v>12.75</v>
      </c>
      <c r="O13" s="53">
        <f t="shared" ref="O13:O76" ca="1" si="9">AVERAGE(N3:N13)</f>
        <v>10.204545454545455</v>
      </c>
      <c r="P13" s="53">
        <f ca="1">IFERROR(DayByDayTable[[#This Row],[Lead Time]],"")</f>
        <v>12.75</v>
      </c>
      <c r="Q13" s="44">
        <f ca="1">PERCENTILE(N$3:N13,0.8)</f>
        <v>16</v>
      </c>
      <c r="R13" s="44">
        <f ca="1">ROUND(PERCENTILE(DayByDayTable[[#Data],[BlankLeadTime]],0.8),0)</f>
        <v>8</v>
      </c>
    </row>
    <row r="14" spans="1:18">
      <c r="A14" s="51">
        <f t="shared" si="4"/>
        <v>42424</v>
      </c>
      <c r="B14" s="11">
        <f t="shared" si="5"/>
        <v>42424</v>
      </c>
      <c r="C14" s="47">
        <f>SUMIFS('On The Board'!$M$5:$M$219,'On The Board'!F$5:F$219,"&lt;="&amp;$B14,'On The Board'!E$5:E$219,"="&amp;FutureWork)</f>
        <v>0</v>
      </c>
      <c r="D14" s="12">
        <f ca="1">IF(TodaysDate&gt;=B14,SUMIF('On The Board'!F$5:F$219,"&lt;="&amp;$B14,'On The Board'!$M$5:$M$219)-SUM(E14:I14),D13)</f>
        <v>1</v>
      </c>
      <c r="E14" s="12">
        <f>SUMIF('On The Board'!G$5:G$219,"&lt;="&amp;$B14,'On The Board'!$M$5:$M$219)-SUM(F14:I14)</f>
        <v>0</v>
      </c>
      <c r="F14" s="12">
        <f>SUMIF('On The Board'!H$5:H$219,"&lt;="&amp;$B14,'On The Board'!$M$5:$M$219)-SUM(G14:I14)</f>
        <v>2</v>
      </c>
      <c r="G14" s="12">
        <f>SUMIF('On The Board'!I$5:I$219,"&lt;="&amp;$B14,'On The Board'!$M$5:$M$219)-SUM(H14,I14)</f>
        <v>1</v>
      </c>
      <c r="H14" s="12">
        <f>SUMIF('On The Board'!J$5:J$219,"&lt;="&amp;$B14,'On The Board'!$M$5:$M$219)-SUM(I14)</f>
        <v>1</v>
      </c>
      <c r="I14" s="12">
        <f>SUMIF('On The Board'!K$5:K$219,"&lt;="&amp;$B14,'On The Board'!$M$5:$M$219)</f>
        <v>8</v>
      </c>
      <c r="J14" s="10">
        <f t="shared" si="0"/>
        <v>12</v>
      </c>
      <c r="K14" s="10">
        <f t="shared" ca="1" si="1"/>
        <v>4</v>
      </c>
      <c r="L14" s="44">
        <f t="shared" ca="1" si="8"/>
        <v>4.9090909090909092</v>
      </c>
      <c r="M14" s="44">
        <f t="shared" ca="1" si="7"/>
        <v>0.54545454545454541</v>
      </c>
      <c r="N14" s="44">
        <f t="shared" ca="1" si="6"/>
        <v>9</v>
      </c>
      <c r="O14" s="53">
        <f t="shared" ca="1" si="9"/>
        <v>10.840909090909092</v>
      </c>
      <c r="P14" s="53">
        <f ca="1">IFERROR(DayByDayTable[[#This Row],[Lead Time]],"")</f>
        <v>9</v>
      </c>
      <c r="Q14" s="44">
        <f ca="1">PERCENTILE(N$3:N14,0.8)</f>
        <v>15.350000000000001</v>
      </c>
      <c r="R14" s="44">
        <f ca="1">ROUND(PERCENTILE(DayByDayTable[[#Data],[BlankLeadTime]],0.8),0)</f>
        <v>8</v>
      </c>
    </row>
    <row r="15" spans="1:18">
      <c r="A15" s="51">
        <f t="shared" si="4"/>
        <v>42425</v>
      </c>
      <c r="B15" s="11">
        <f t="shared" si="5"/>
        <v>42425</v>
      </c>
      <c r="C15" s="47">
        <f>SUMIFS('On The Board'!$M$5:$M$219,'On The Board'!F$5:F$219,"&lt;="&amp;$B15,'On The Board'!E$5:E$219,"="&amp;FutureWork)</f>
        <v>0</v>
      </c>
      <c r="D15" s="12">
        <f ca="1">IF(TodaysDate&gt;=B15,SUMIF('On The Board'!F$5:F$219,"&lt;="&amp;$B15,'On The Board'!$M$5:$M$219)-SUM(E15:I15),D14)</f>
        <v>0</v>
      </c>
      <c r="E15" s="12">
        <f>SUMIF('On The Board'!G$5:G$219,"&lt;="&amp;$B15,'On The Board'!$M$5:$M$219)-SUM(F15:I15)</f>
        <v>0</v>
      </c>
      <c r="F15" s="12">
        <f>SUMIF('On The Board'!H$5:H$219,"&lt;="&amp;$B15,'On The Board'!$M$5:$M$219)-SUM(G15:I15)</f>
        <v>4</v>
      </c>
      <c r="G15" s="12">
        <f>SUMIF('On The Board'!I$5:I$219,"&lt;="&amp;$B15,'On The Board'!$M$5:$M$219)-SUM(H15,I15)</f>
        <v>2</v>
      </c>
      <c r="H15" s="12">
        <f>SUMIF('On The Board'!J$5:J$219,"&lt;="&amp;$B15,'On The Board'!$M$5:$M$219)-SUM(I15)</f>
        <v>1</v>
      </c>
      <c r="I15" s="12">
        <f>SUMIF('On The Board'!K$5:K$219,"&lt;="&amp;$B15,'On The Board'!$M$5:$M$219)</f>
        <v>8</v>
      </c>
      <c r="J15" s="10">
        <f t="shared" si="0"/>
        <v>15</v>
      </c>
      <c r="K15" s="10">
        <f t="shared" ca="1" si="1"/>
        <v>7</v>
      </c>
      <c r="L15" s="44">
        <f t="shared" ca="1" si="8"/>
        <v>5.2727272727272725</v>
      </c>
      <c r="M15" s="44">
        <f t="shared" ca="1" si="7"/>
        <v>0.54545454545454541</v>
      </c>
      <c r="N15" s="44">
        <f t="shared" ca="1" si="6"/>
        <v>9.6666666666666661</v>
      </c>
      <c r="O15" s="53">
        <f t="shared" ca="1" si="9"/>
        <v>11.401515151515152</v>
      </c>
      <c r="P15" s="53">
        <f ca="1">IFERROR(DayByDayTable[[#This Row],[Lead Time]],"")</f>
        <v>9.6666666666666661</v>
      </c>
      <c r="Q15" s="44">
        <f ca="1">PERCENTILE(N4:N15,0.8)</f>
        <v>15.350000000000001</v>
      </c>
      <c r="R15" s="44">
        <f ca="1">ROUND(PERCENTILE(DayByDayTable[[#Data],[BlankLeadTime]],0.8),0)</f>
        <v>8</v>
      </c>
    </row>
    <row r="16" spans="1:18">
      <c r="A16" s="51">
        <f t="shared" si="4"/>
        <v>42426</v>
      </c>
      <c r="B16" s="11">
        <f t="shared" si="5"/>
        <v>42426</v>
      </c>
      <c r="C16" s="47">
        <f>SUMIFS('On The Board'!$M$5:$M$219,'On The Board'!F$5:F$219,"&lt;="&amp;$B16,'On The Board'!E$5:E$219,"="&amp;FutureWork)</f>
        <v>0</v>
      </c>
      <c r="D16" s="12">
        <f ca="1">IF(TodaysDate&gt;=B16,SUMIF('On The Board'!F$5:F$219,"&lt;="&amp;$B16,'On The Board'!$M$5:$M$219)-SUM(E16:I16),D15)</f>
        <v>0</v>
      </c>
      <c r="E16" s="12">
        <f>SUMIF('On The Board'!G$5:G$219,"&lt;="&amp;$B16,'On The Board'!$M$5:$M$219)-SUM(F16:I16)</f>
        <v>0</v>
      </c>
      <c r="F16" s="12">
        <f>SUMIF('On The Board'!H$5:H$219,"&lt;="&amp;$B16,'On The Board'!$M$5:$M$219)-SUM(G16:I16)</f>
        <v>4</v>
      </c>
      <c r="G16" s="12">
        <f>SUMIF('On The Board'!I$5:I$219,"&lt;="&amp;$B16,'On The Board'!$M$5:$M$219)-SUM(H16,I16)</f>
        <v>2</v>
      </c>
      <c r="H16" s="12">
        <f>SUMIF('On The Board'!J$5:J$219,"&lt;="&amp;$B16,'On The Board'!$M$5:$M$219)-SUM(I16)</f>
        <v>1</v>
      </c>
      <c r="I16" s="12">
        <f>SUMIF('On The Board'!K$5:K$219,"&lt;="&amp;$B16,'On The Board'!$M$5:$M$219)</f>
        <v>8</v>
      </c>
      <c r="J16" s="10">
        <f t="shared" si="0"/>
        <v>15</v>
      </c>
      <c r="K16" s="10">
        <f t="shared" ca="1" si="1"/>
        <v>7</v>
      </c>
      <c r="L16" s="44">
        <f t="shared" ca="1" si="8"/>
        <v>5.6363636363636367</v>
      </c>
      <c r="M16" s="44">
        <f t="shared" ca="1" si="7"/>
        <v>0.54545454545454541</v>
      </c>
      <c r="N16" s="44">
        <f t="shared" ca="1" si="6"/>
        <v>10.333333333333334</v>
      </c>
      <c r="O16" s="53">
        <f t="shared" ca="1" si="9"/>
        <v>11.886363636363637</v>
      </c>
      <c r="P16" s="53">
        <f ca="1">IFERROR(DayByDayTable[[#This Row],[Lead Time]],"")</f>
        <v>10.333333333333334</v>
      </c>
      <c r="Q16" s="44">
        <f t="shared" ref="Q16:Q79" ca="1" si="10">PERCENTILE(N5:N16,0.8)</f>
        <v>15.350000000000001</v>
      </c>
      <c r="R16" s="44">
        <f ca="1">ROUND(PERCENTILE(DayByDayTable[[#Data],[BlankLeadTime]],0.8),0)</f>
        <v>8</v>
      </c>
    </row>
    <row r="17" spans="1:18">
      <c r="A17" s="51">
        <f t="shared" si="4"/>
        <v>42429</v>
      </c>
      <c r="B17" s="11">
        <f t="shared" si="5"/>
        <v>42429</v>
      </c>
      <c r="C17" s="47">
        <f>SUMIFS('On The Board'!$M$5:$M$219,'On The Board'!F$5:F$219,"&lt;="&amp;$B17,'On The Board'!E$5:E$219,"="&amp;FutureWork)</f>
        <v>0</v>
      </c>
      <c r="D17" s="12">
        <f ca="1">IF(TodaysDate&gt;=B17,SUMIF('On The Board'!F$5:F$219,"&lt;="&amp;$B17,'On The Board'!$M$5:$M$219)-SUM(E17:I17),D16)</f>
        <v>4</v>
      </c>
      <c r="E17" s="12">
        <f>SUMIF('On The Board'!G$5:G$219,"&lt;="&amp;$B17,'On The Board'!$M$5:$M$219)-SUM(F17:I17)</f>
        <v>1</v>
      </c>
      <c r="F17" s="12">
        <f>SUMIF('On The Board'!H$5:H$219,"&lt;="&amp;$B17,'On The Board'!$M$5:$M$219)-SUM(G17:I17)</f>
        <v>2</v>
      </c>
      <c r="G17" s="12">
        <f>SUMIF('On The Board'!I$5:I$219,"&lt;="&amp;$B17,'On The Board'!$M$5:$M$219)-SUM(H17,I17)</f>
        <v>4</v>
      </c>
      <c r="H17" s="12">
        <f>SUMIF('On The Board'!J$5:J$219,"&lt;="&amp;$B17,'On The Board'!$M$5:$M$219)-SUM(I17)</f>
        <v>1</v>
      </c>
      <c r="I17" s="12">
        <f>SUMIF('On The Board'!K$5:K$219,"&lt;="&amp;$B17,'On The Board'!$M$5:$M$219)</f>
        <v>9</v>
      </c>
      <c r="J17" s="10">
        <f t="shared" si="0"/>
        <v>17</v>
      </c>
      <c r="K17" s="10">
        <f t="shared" ca="1" si="1"/>
        <v>8</v>
      </c>
      <c r="L17" s="44">
        <f t="shared" ca="1" si="8"/>
        <v>6.0909090909090908</v>
      </c>
      <c r="M17" s="44">
        <f t="shared" ca="1" si="7"/>
        <v>0.63636363636363635</v>
      </c>
      <c r="N17" s="44">
        <f t="shared" ca="1" si="6"/>
        <v>9.5714285714285712</v>
      </c>
      <c r="O17" s="53">
        <f t="shared" ca="1" si="9"/>
        <v>12.165584415584417</v>
      </c>
      <c r="P17" s="53">
        <f ca="1">IFERROR(DayByDayTable[[#This Row],[Lead Time]],"")</f>
        <v>9.5714285714285712</v>
      </c>
      <c r="Q17" s="44">
        <f t="shared" ca="1" si="10"/>
        <v>15.350000000000001</v>
      </c>
      <c r="R17" s="44">
        <f ca="1">ROUND(PERCENTILE(DayByDayTable[[#Data],[BlankLeadTime]],0.8),0)</f>
        <v>8</v>
      </c>
    </row>
    <row r="18" spans="1:18">
      <c r="A18" s="51">
        <f t="shared" si="4"/>
        <v>42430</v>
      </c>
      <c r="B18" s="11">
        <f t="shared" si="5"/>
        <v>42430</v>
      </c>
      <c r="C18" s="47">
        <f>SUMIFS('On The Board'!$M$5:$M$219,'On The Board'!F$5:F$219,"&lt;="&amp;$B18,'On The Board'!E$5:E$219,"="&amp;FutureWork)</f>
        <v>0</v>
      </c>
      <c r="D18" s="12">
        <f ca="1">IF(TodaysDate&gt;=B18,SUMIF('On The Board'!F$5:F$219,"&lt;="&amp;$B18,'On The Board'!$M$5:$M$219)-SUM(E18:I18),D17)</f>
        <v>1</v>
      </c>
      <c r="E18" s="12">
        <f>SUMIF('On The Board'!G$5:G$219,"&lt;="&amp;$B18,'On The Board'!$M$5:$M$219)-SUM(F18:I18)</f>
        <v>2</v>
      </c>
      <c r="F18" s="12">
        <f>SUMIF('On The Board'!H$5:H$219,"&lt;="&amp;$B18,'On The Board'!$M$5:$M$219)-SUM(G18:I18)</f>
        <v>3</v>
      </c>
      <c r="G18" s="12">
        <f>SUMIF('On The Board'!I$5:I$219,"&lt;="&amp;$B18,'On The Board'!$M$5:$M$219)-SUM(H18,I18)</f>
        <v>1</v>
      </c>
      <c r="H18" s="12">
        <f>SUMIF('On The Board'!J$5:J$219,"&lt;="&amp;$B18,'On The Board'!$M$5:$M$219)-SUM(I18)</f>
        <v>1</v>
      </c>
      <c r="I18" s="12">
        <f>SUMIF('On The Board'!K$5:K$219,"&lt;="&amp;$B18,'On The Board'!$M$5:$M$219)</f>
        <v>13</v>
      </c>
      <c r="J18" s="10">
        <f t="shared" si="0"/>
        <v>20</v>
      </c>
      <c r="K18" s="10">
        <f t="shared" ca="1" si="1"/>
        <v>7</v>
      </c>
      <c r="L18" s="44">
        <f t="shared" ca="1" si="8"/>
        <v>6.4545454545454541</v>
      </c>
      <c r="M18" s="44">
        <f t="shared" ca="1" si="7"/>
        <v>1</v>
      </c>
      <c r="N18" s="44">
        <f t="shared" ca="1" si="6"/>
        <v>6.4545454545454541</v>
      </c>
      <c r="O18" s="53">
        <f t="shared" ca="1" si="9"/>
        <v>12.02508854781582</v>
      </c>
      <c r="P18" s="53">
        <f ca="1">IFERROR(DayByDayTable[[#This Row],[Lead Time]],"")</f>
        <v>6.4545454545454541</v>
      </c>
      <c r="Q18" s="44">
        <f t="shared" ca="1" si="10"/>
        <v>15.350000000000001</v>
      </c>
      <c r="R18" s="44">
        <f ca="1">ROUND(PERCENTILE(DayByDayTable[[#Data],[BlankLeadTime]],0.8),0)</f>
        <v>8</v>
      </c>
    </row>
    <row r="19" spans="1:18">
      <c r="A19" s="51">
        <f t="shared" si="4"/>
        <v>42431</v>
      </c>
      <c r="B19" s="11">
        <f t="shared" si="5"/>
        <v>42431</v>
      </c>
      <c r="C19" s="47">
        <f>SUMIFS('On The Board'!$M$5:$M$219,'On The Board'!F$5:F$219,"&lt;="&amp;$B19,'On The Board'!E$5:E$219,"="&amp;FutureWork)</f>
        <v>0</v>
      </c>
      <c r="D19" s="12">
        <f ca="1">IF(TodaysDate&gt;=B19,SUMIF('On The Board'!F$5:F$219,"&lt;="&amp;$B19,'On The Board'!$M$5:$M$219)-SUM(E19:I19),D18)</f>
        <v>16</v>
      </c>
      <c r="E19" s="12">
        <f>SUMIF('On The Board'!G$5:G$219,"&lt;="&amp;$B19,'On The Board'!$M$5:$M$219)-SUM(F19:I19)</f>
        <v>2</v>
      </c>
      <c r="F19" s="12">
        <f>SUMIF('On The Board'!H$5:H$219,"&lt;="&amp;$B19,'On The Board'!$M$5:$M$219)-SUM(G19:I19)</f>
        <v>3</v>
      </c>
      <c r="G19" s="12">
        <f>SUMIF('On The Board'!I$5:I$219,"&lt;="&amp;$B19,'On The Board'!$M$5:$M$219)-SUM(H19,I19)</f>
        <v>1</v>
      </c>
      <c r="H19" s="12">
        <f>SUMIF('On The Board'!J$5:J$219,"&lt;="&amp;$B19,'On The Board'!$M$5:$M$219)-SUM(I19)</f>
        <v>1</v>
      </c>
      <c r="I19" s="12">
        <f>SUMIF('On The Board'!K$5:K$219,"&lt;="&amp;$B19,'On The Board'!$M$5:$M$219)</f>
        <v>13</v>
      </c>
      <c r="J19" s="10">
        <f t="shared" si="0"/>
        <v>20</v>
      </c>
      <c r="K19" s="10">
        <f t="shared" ca="1" si="1"/>
        <v>7</v>
      </c>
      <c r="L19" s="44">
        <f t="shared" ca="1" si="8"/>
        <v>6.7272727272727275</v>
      </c>
      <c r="M19" s="44">
        <f t="shared" ca="1" si="7"/>
        <v>1</v>
      </c>
      <c r="N19" s="44">
        <f t="shared" ca="1" si="6"/>
        <v>6.7272727272727275</v>
      </c>
      <c r="O19" s="53">
        <f t="shared" ca="1" si="9"/>
        <v>11.727567886658795</v>
      </c>
      <c r="P19" s="53">
        <f ca="1">IFERROR(DayByDayTable[[#This Row],[Lead Time]],"")</f>
        <v>6.7272727272727275</v>
      </c>
      <c r="Q19" s="44">
        <f t="shared" ca="1" si="10"/>
        <v>15.350000000000001</v>
      </c>
      <c r="R19" s="44">
        <f ca="1">ROUND(PERCENTILE(DayByDayTable[[#Data],[BlankLeadTime]],0.8),0)</f>
        <v>8</v>
      </c>
    </row>
    <row r="20" spans="1:18">
      <c r="A20" s="51">
        <f t="shared" si="4"/>
        <v>42432</v>
      </c>
      <c r="B20" s="11">
        <f t="shared" si="5"/>
        <v>42432</v>
      </c>
      <c r="C20" s="47">
        <f>SUMIFS('On The Board'!$M$5:$M$219,'On The Board'!F$5:F$219,"&lt;="&amp;$B20,'On The Board'!E$5:E$219,"="&amp;FutureWork)</f>
        <v>0</v>
      </c>
      <c r="D20" s="12">
        <f ca="1">IF(TodaysDate&gt;=B20,SUMIF('On The Board'!F$5:F$219,"&lt;="&amp;$B20,'On The Board'!$M$5:$M$219)-SUM(E20:I20),D19)</f>
        <v>15</v>
      </c>
      <c r="E20" s="12">
        <f>SUMIF('On The Board'!G$5:G$219,"&lt;="&amp;$B20,'On The Board'!$M$5:$M$219)-SUM(F20:I20)</f>
        <v>3</v>
      </c>
      <c r="F20" s="12">
        <f>SUMIF('On The Board'!H$5:H$219,"&lt;="&amp;$B20,'On The Board'!$M$5:$M$219)-SUM(G20:I20)</f>
        <v>1</v>
      </c>
      <c r="G20" s="12">
        <f>SUMIF('On The Board'!I$5:I$219,"&lt;="&amp;$B20,'On The Board'!$M$5:$M$219)-SUM(H20,I20)</f>
        <v>0</v>
      </c>
      <c r="H20" s="12">
        <f>SUMIF('On The Board'!J$5:J$219,"&lt;="&amp;$B20,'On The Board'!$M$5:$M$219)-SUM(I20)</f>
        <v>1</v>
      </c>
      <c r="I20" s="12">
        <f>SUMIF('On The Board'!K$5:K$219,"&lt;="&amp;$B20,'On The Board'!$M$5:$M$219)</f>
        <v>16</v>
      </c>
      <c r="J20" s="10">
        <f t="shared" si="0"/>
        <v>21</v>
      </c>
      <c r="K20" s="10">
        <f t="shared" ca="1" si="1"/>
        <v>5</v>
      </c>
      <c r="L20" s="44">
        <f t="shared" ca="1" si="8"/>
        <v>6.7272727272727275</v>
      </c>
      <c r="M20" s="44">
        <f t="shared" ca="1" si="7"/>
        <v>1.2727272727272727</v>
      </c>
      <c r="N20" s="44">
        <f t="shared" ca="1" si="6"/>
        <v>5.2857142857142856</v>
      </c>
      <c r="O20" s="53">
        <f t="shared" ca="1" si="9"/>
        <v>11.071723730814641</v>
      </c>
      <c r="P20" s="53">
        <f ca="1">IFERROR(DayByDayTable[[#This Row],[Lead Time]],"")</f>
        <v>5.2857142857142856</v>
      </c>
      <c r="Q20" s="44">
        <f t="shared" ca="1" si="10"/>
        <v>15.350000000000001</v>
      </c>
      <c r="R20" s="44">
        <f ca="1">ROUND(PERCENTILE(DayByDayTable[[#Data],[BlankLeadTime]],0.8),0)</f>
        <v>8</v>
      </c>
    </row>
    <row r="21" spans="1:18">
      <c r="A21" s="51">
        <f t="shared" si="4"/>
        <v>42433</v>
      </c>
      <c r="B21" s="11">
        <f t="shared" si="5"/>
        <v>42433</v>
      </c>
      <c r="C21" s="47">
        <f>SUMIFS('On The Board'!$M$5:$M$219,'On The Board'!F$5:F$219,"&lt;="&amp;$B21,'On The Board'!E$5:E$219,"="&amp;FutureWork)</f>
        <v>0</v>
      </c>
      <c r="D21" s="12">
        <f ca="1">IF(TodaysDate&gt;=B21,SUMIF('On The Board'!F$5:F$219,"&lt;="&amp;$B21,'On The Board'!$M$5:$M$219)-SUM(E21:I21),D20)</f>
        <v>14</v>
      </c>
      <c r="E21" s="12">
        <f>SUMIF('On The Board'!G$5:G$219,"&lt;="&amp;$B21,'On The Board'!$M$5:$M$219)-SUM(F21:I21)</f>
        <v>4</v>
      </c>
      <c r="F21" s="12">
        <f>SUMIF('On The Board'!H$5:H$219,"&lt;="&amp;$B21,'On The Board'!$M$5:$M$219)-SUM(G21:I21)</f>
        <v>1</v>
      </c>
      <c r="G21" s="12">
        <f>SUMIF('On The Board'!I$5:I$219,"&lt;="&amp;$B21,'On The Board'!$M$5:$M$219)-SUM(H21,I21)</f>
        <v>0</v>
      </c>
      <c r="H21" s="12">
        <f>SUMIF('On The Board'!J$5:J$219,"&lt;="&amp;$B21,'On The Board'!$M$5:$M$219)-SUM(I21)</f>
        <v>1</v>
      </c>
      <c r="I21" s="12">
        <f>SUMIF('On The Board'!K$5:K$219,"&lt;="&amp;$B21,'On The Board'!$M$5:$M$219)</f>
        <v>16</v>
      </c>
      <c r="J21" s="10">
        <f t="shared" si="0"/>
        <v>22</v>
      </c>
      <c r="K21" s="10">
        <f t="shared" ca="1" si="1"/>
        <v>6</v>
      </c>
      <c r="L21" s="44">
        <f t="shared" ca="1" si="8"/>
        <v>6.6363636363636367</v>
      </c>
      <c r="M21" s="44">
        <f t="shared" ca="1" si="7"/>
        <v>1.2727272727272727</v>
      </c>
      <c r="N21" s="44">
        <f t="shared" ca="1" si="6"/>
        <v>5.2142857142857144</v>
      </c>
      <c r="O21" s="53">
        <f t="shared" ca="1" si="9"/>
        <v>10.09120425029516</v>
      </c>
      <c r="P21" s="53">
        <f ca="1">IFERROR(DayByDayTable[[#This Row],[Lead Time]],"")</f>
        <v>5.2142857142857144</v>
      </c>
      <c r="Q21" s="44">
        <f t="shared" ca="1" si="10"/>
        <v>15.350000000000001</v>
      </c>
      <c r="R21" s="44">
        <f ca="1">ROUND(PERCENTILE(DayByDayTable[[#Data],[BlankLeadTime]],0.8),0)</f>
        <v>8</v>
      </c>
    </row>
    <row r="22" spans="1:18">
      <c r="A22" s="51">
        <f t="shared" si="4"/>
        <v>42436</v>
      </c>
      <c r="B22" s="11">
        <f t="shared" si="5"/>
        <v>42436</v>
      </c>
      <c r="C22" s="47">
        <f>SUMIFS('On The Board'!$M$5:$M$219,'On The Board'!F$5:F$219,"&lt;="&amp;$B22,'On The Board'!E$5:E$219,"="&amp;FutureWork)</f>
        <v>0</v>
      </c>
      <c r="D22" s="12">
        <f ca="1">IF(TodaysDate&gt;=B22,SUMIF('On The Board'!F$5:F$219,"&lt;="&amp;$B22,'On The Board'!$M$5:$M$219)-SUM(E22:I22),D21)</f>
        <v>14</v>
      </c>
      <c r="E22" s="12">
        <f>SUMIF('On The Board'!G$5:G$219,"&lt;="&amp;$B22,'On The Board'!$M$5:$M$219)-SUM(F22:I22)</f>
        <v>2</v>
      </c>
      <c r="F22" s="12">
        <f>SUMIF('On The Board'!H$5:H$219,"&lt;="&amp;$B22,'On The Board'!$M$5:$M$219)-SUM(G22:I22)</f>
        <v>2</v>
      </c>
      <c r="G22" s="12">
        <f>SUMIF('On The Board'!I$5:I$219,"&lt;="&amp;$B22,'On The Board'!$M$5:$M$219)-SUM(H22,I22)</f>
        <v>0</v>
      </c>
      <c r="H22" s="12">
        <f>SUMIF('On The Board'!J$5:J$219,"&lt;="&amp;$B22,'On The Board'!$M$5:$M$219)-SUM(I22)</f>
        <v>0</v>
      </c>
      <c r="I22" s="12">
        <f>SUMIF('On The Board'!K$5:K$219,"&lt;="&amp;$B22,'On The Board'!$M$5:$M$219)</f>
        <v>18</v>
      </c>
      <c r="J22" s="10">
        <f t="shared" si="0"/>
        <v>22</v>
      </c>
      <c r="K22" s="10">
        <f t="shared" ca="1" si="1"/>
        <v>4</v>
      </c>
      <c r="L22" s="44">
        <f t="shared" ca="1" si="8"/>
        <v>6.2727272727272725</v>
      </c>
      <c r="M22" s="44">
        <f t="shared" ca="1" si="7"/>
        <v>1.3636363636363635</v>
      </c>
      <c r="N22" s="44">
        <f t="shared" ca="1" si="6"/>
        <v>4.6000000000000005</v>
      </c>
      <c r="O22" s="53">
        <f t="shared" ca="1" si="9"/>
        <v>8.6912042502951596</v>
      </c>
      <c r="P22" s="53">
        <f ca="1">IFERROR(DayByDayTable[[#This Row],[Lead Time]],"")</f>
        <v>4.6000000000000005</v>
      </c>
      <c r="Q22" s="44">
        <f t="shared" ca="1" si="10"/>
        <v>12.266666666666669</v>
      </c>
      <c r="R22" s="44">
        <f ca="1">ROUND(PERCENTILE(DayByDayTable[[#Data],[BlankLeadTime]],0.8),0)</f>
        <v>8</v>
      </c>
    </row>
    <row r="23" spans="1:18">
      <c r="A23" s="51">
        <f t="shared" si="4"/>
        <v>42437</v>
      </c>
      <c r="B23" s="11">
        <f t="shared" si="5"/>
        <v>42437</v>
      </c>
      <c r="C23" s="47">
        <f>SUMIFS('On The Board'!$M$5:$M$219,'On The Board'!F$5:F$219,"&lt;="&amp;$B23,'On The Board'!E$5:E$219,"="&amp;FutureWork)</f>
        <v>0</v>
      </c>
      <c r="D23" s="12">
        <f ca="1">IF(TodaysDate&gt;=B23,SUMIF('On The Board'!F$5:F$219,"&lt;="&amp;$B23,'On The Board'!$M$5:$M$219)-SUM(E23:I23),D22)</f>
        <v>14</v>
      </c>
      <c r="E23" s="12">
        <f>SUMIF('On The Board'!G$5:G$219,"&lt;="&amp;$B23,'On The Board'!$M$5:$M$219)-SUM(F23:I23)</f>
        <v>0</v>
      </c>
      <c r="F23" s="12">
        <f>SUMIF('On The Board'!H$5:H$219,"&lt;="&amp;$B23,'On The Board'!$M$5:$M$219)-SUM(G23:I23)</f>
        <v>2</v>
      </c>
      <c r="G23" s="12">
        <f>SUMIF('On The Board'!I$5:I$219,"&lt;="&amp;$B23,'On The Board'!$M$5:$M$219)-SUM(H23,I23)</f>
        <v>1</v>
      </c>
      <c r="H23" s="12">
        <f>SUMIF('On The Board'!J$5:J$219,"&lt;="&amp;$B23,'On The Board'!$M$5:$M$219)-SUM(I23)</f>
        <v>0</v>
      </c>
      <c r="I23" s="12">
        <f>SUMIF('On The Board'!K$5:K$219,"&lt;="&amp;$B23,'On The Board'!$M$5:$M$219)</f>
        <v>19</v>
      </c>
      <c r="J23" s="10">
        <f t="shared" si="0"/>
        <v>22</v>
      </c>
      <c r="K23" s="10">
        <f t="shared" ca="1" si="1"/>
        <v>3</v>
      </c>
      <c r="L23" s="44">
        <f t="shared" ca="1" si="8"/>
        <v>5.8181818181818183</v>
      </c>
      <c r="M23" s="44">
        <f t="shared" ca="1" si="7"/>
        <v>1.1818181818181819</v>
      </c>
      <c r="N23" s="44">
        <f t="shared" ca="1" si="6"/>
        <v>4.9230769230769234</v>
      </c>
      <c r="O23" s="53">
        <f t="shared" ca="1" si="9"/>
        <v>7.6842112433021521</v>
      </c>
      <c r="P23" s="53">
        <f ca="1">IFERROR(DayByDayTable[[#This Row],[Lead Time]],"")</f>
        <v>4.9230769230769234</v>
      </c>
      <c r="Q23" s="44">
        <f t="shared" ca="1" si="10"/>
        <v>10.200000000000001</v>
      </c>
      <c r="R23" s="44">
        <f ca="1">ROUND(PERCENTILE(DayByDayTable[[#Data],[BlankLeadTime]],0.8),0)</f>
        <v>8</v>
      </c>
    </row>
    <row r="24" spans="1:18">
      <c r="A24" s="51">
        <f t="shared" si="4"/>
        <v>42438</v>
      </c>
      <c r="B24" s="11">
        <f t="shared" si="5"/>
        <v>42438</v>
      </c>
      <c r="C24" s="47">
        <f>SUMIFS('On The Board'!$M$5:$M$219,'On The Board'!F$5:F$219,"&lt;="&amp;$B24,'On The Board'!E$5:E$219,"="&amp;FutureWork)</f>
        <v>43</v>
      </c>
      <c r="D24" s="12">
        <f ca="1">IF(TodaysDate&gt;=B24,SUMIF('On The Board'!F$5:F$219,"&lt;="&amp;$B24,'On The Board'!$M$5:$M$219)-SUM(E24:I24),D23)</f>
        <v>56</v>
      </c>
      <c r="E24" s="12">
        <f>SUMIF('On The Board'!G$5:G$219,"&lt;="&amp;$B24,'On The Board'!$M$5:$M$219)-SUM(F24:I24)</f>
        <v>0</v>
      </c>
      <c r="F24" s="12">
        <f>SUMIF('On The Board'!H$5:H$219,"&lt;="&amp;$B24,'On The Board'!$M$5:$M$219)-SUM(G24:I24)</f>
        <v>3</v>
      </c>
      <c r="G24" s="12">
        <f>SUMIF('On The Board'!I$5:I$219,"&lt;="&amp;$B24,'On The Board'!$M$5:$M$219)-SUM(H24,I24)</f>
        <v>1</v>
      </c>
      <c r="H24" s="12">
        <f>SUMIF('On The Board'!J$5:J$219,"&lt;="&amp;$B24,'On The Board'!$M$5:$M$219)-SUM(I24)</f>
        <v>0</v>
      </c>
      <c r="I24" s="12">
        <f>SUMIF('On The Board'!K$5:K$219,"&lt;="&amp;$B24,'On The Board'!$M$5:$M$219)</f>
        <v>19</v>
      </c>
      <c r="J24" s="10">
        <f t="shared" si="0"/>
        <v>23</v>
      </c>
      <c r="K24" s="10">
        <f t="shared" ca="1" si="1"/>
        <v>4</v>
      </c>
      <c r="L24" s="44">
        <f t="shared" ca="1" si="8"/>
        <v>5.6363636363636367</v>
      </c>
      <c r="M24" s="44">
        <f t="shared" ca="1" si="7"/>
        <v>1</v>
      </c>
      <c r="N24" s="44">
        <f t="shared" ca="1" si="6"/>
        <v>5.6363636363636367</v>
      </c>
      <c r="O24" s="53">
        <f t="shared" ca="1" si="9"/>
        <v>7.0375170284261195</v>
      </c>
      <c r="P24" s="53">
        <f ca="1">IFERROR(DayByDayTable[[#This Row],[Lead Time]],"")</f>
        <v>5.6363636363636367</v>
      </c>
      <c r="Q24" s="44">
        <f t="shared" ca="1" si="10"/>
        <v>9.6476190476190471</v>
      </c>
      <c r="R24" s="44">
        <f ca="1">ROUND(PERCENTILE(DayByDayTable[[#Data],[BlankLeadTime]],0.8),0)</f>
        <v>8</v>
      </c>
    </row>
    <row r="25" spans="1:18">
      <c r="A25" s="51">
        <f t="shared" si="4"/>
        <v>42439</v>
      </c>
      <c r="B25" s="11">
        <f t="shared" si="5"/>
        <v>42439</v>
      </c>
      <c r="C25" s="47">
        <f>SUMIFS('On The Board'!$M$5:$M$219,'On The Board'!F$5:F$219,"&lt;="&amp;$B25,'On The Board'!E$5:E$219,"="&amp;FutureWork)</f>
        <v>43</v>
      </c>
      <c r="D25" s="12">
        <f ca="1">IF(TodaysDate&gt;=B25,SUMIF('On The Board'!F$5:F$219,"&lt;="&amp;$B25,'On The Board'!$M$5:$M$219)-SUM(E25:I25),D24)</f>
        <v>59</v>
      </c>
      <c r="E25" s="12">
        <f>SUMIF('On The Board'!G$5:G$219,"&lt;="&amp;$B25,'On The Board'!$M$5:$M$219)-SUM(F25:I25)</f>
        <v>0</v>
      </c>
      <c r="F25" s="12">
        <f>SUMIF('On The Board'!H$5:H$219,"&lt;="&amp;$B25,'On The Board'!$M$5:$M$219)-SUM(G25:I25)</f>
        <v>3</v>
      </c>
      <c r="G25" s="12">
        <f>SUMIF('On The Board'!I$5:I$219,"&lt;="&amp;$B25,'On The Board'!$M$5:$M$219)-SUM(H25,I25)</f>
        <v>0</v>
      </c>
      <c r="H25" s="12">
        <f>SUMIF('On The Board'!J$5:J$219,"&lt;="&amp;$B25,'On The Board'!$M$5:$M$219)-SUM(I25)</f>
        <v>0</v>
      </c>
      <c r="I25" s="12">
        <f>SUMIF('On The Board'!K$5:K$219,"&lt;="&amp;$B25,'On The Board'!$M$5:$M$219)</f>
        <v>20</v>
      </c>
      <c r="J25" s="10">
        <f t="shared" si="0"/>
        <v>23</v>
      </c>
      <c r="K25" s="10">
        <f t="shared" ca="1" si="1"/>
        <v>3</v>
      </c>
      <c r="L25" s="44">
        <f t="shared" ca="1" si="8"/>
        <v>5.5454545454545459</v>
      </c>
      <c r="M25" s="44">
        <f t="shared" ca="1" si="7"/>
        <v>1.0909090909090908</v>
      </c>
      <c r="N25" s="44">
        <f t="shared" ca="1" si="6"/>
        <v>5.0833333333333339</v>
      </c>
      <c r="O25" s="53">
        <f t="shared" ca="1" si="9"/>
        <v>6.6814564223655131</v>
      </c>
      <c r="P25" s="53">
        <f ca="1">IFERROR(DayByDayTable[[#This Row],[Lead Time]],"")</f>
        <v>5.0833333333333339</v>
      </c>
      <c r="Q25" s="44">
        <f t="shared" ca="1" si="10"/>
        <v>9.4571428571428573</v>
      </c>
      <c r="R25" s="44">
        <f ca="1">ROUND(PERCENTILE(DayByDayTable[[#Data],[BlankLeadTime]],0.8),0)</f>
        <v>8</v>
      </c>
    </row>
    <row r="26" spans="1:18">
      <c r="A26" s="51">
        <f t="shared" si="4"/>
        <v>42440</v>
      </c>
      <c r="B26" s="11">
        <f t="shared" si="5"/>
        <v>42440</v>
      </c>
      <c r="C26" s="47">
        <f>SUMIFS('On The Board'!$M$5:$M$219,'On The Board'!F$5:F$219,"&lt;="&amp;$B26,'On The Board'!E$5:E$219,"="&amp;FutureWork)</f>
        <v>43</v>
      </c>
      <c r="D26" s="12">
        <f ca="1">IF(TodaysDate&gt;=B26,SUMIF('On The Board'!F$5:F$219,"&lt;="&amp;$B26,'On The Board'!$M$5:$M$219)-SUM(E26:I26),D25)</f>
        <v>59</v>
      </c>
      <c r="E26" s="12">
        <f>SUMIF('On The Board'!G$5:G$219,"&lt;="&amp;$B26,'On The Board'!$M$5:$M$219)-SUM(F26:I26)</f>
        <v>0</v>
      </c>
      <c r="F26" s="12">
        <f>SUMIF('On The Board'!H$5:H$219,"&lt;="&amp;$B26,'On The Board'!$M$5:$M$219)-SUM(G26:I26)</f>
        <v>3</v>
      </c>
      <c r="G26" s="12">
        <f>SUMIF('On The Board'!I$5:I$219,"&lt;="&amp;$B26,'On The Board'!$M$5:$M$219)-SUM(H26,I26)</f>
        <v>0</v>
      </c>
      <c r="H26" s="12">
        <f>SUMIF('On The Board'!J$5:J$219,"&lt;="&amp;$B26,'On The Board'!$M$5:$M$219)-SUM(I26)</f>
        <v>0</v>
      </c>
      <c r="I26" s="12">
        <f>SUMIF('On The Board'!K$5:K$219,"&lt;="&amp;$B26,'On The Board'!$M$5:$M$219)</f>
        <v>20</v>
      </c>
      <c r="J26" s="10">
        <f t="shared" si="0"/>
        <v>23</v>
      </c>
      <c r="K26" s="10">
        <f t="shared" ca="1" si="1"/>
        <v>3</v>
      </c>
      <c r="L26" s="44">
        <f t="shared" ca="1" si="8"/>
        <v>5.1818181818181817</v>
      </c>
      <c r="M26" s="44">
        <f t="shared" ca="1" si="7"/>
        <v>1.0909090909090908</v>
      </c>
      <c r="N26" s="44">
        <f t="shared" ca="1" si="6"/>
        <v>4.75</v>
      </c>
      <c r="O26" s="53">
        <f t="shared" ca="1" si="9"/>
        <v>6.2344867253958167</v>
      </c>
      <c r="P26" s="53">
        <f ca="1">IFERROR(DayByDayTable[[#This Row],[Lead Time]],"")</f>
        <v>4.75</v>
      </c>
      <c r="Q26" s="44">
        <f t="shared" ca="1" si="10"/>
        <v>9.002597402597404</v>
      </c>
      <c r="R26" s="44">
        <f ca="1">ROUND(PERCENTILE(DayByDayTable[[#Data],[BlankLeadTime]],0.8),0)</f>
        <v>8</v>
      </c>
    </row>
    <row r="27" spans="1:18">
      <c r="A27" s="51">
        <f t="shared" si="4"/>
        <v>42443</v>
      </c>
      <c r="B27" s="11">
        <f t="shared" si="5"/>
        <v>42443</v>
      </c>
      <c r="C27" s="47">
        <f>SUMIFS('On The Board'!$M$5:$M$219,'On The Board'!F$5:F$219,"&lt;="&amp;$B27,'On The Board'!E$5:E$219,"="&amp;FutureWork)</f>
        <v>43</v>
      </c>
      <c r="D27" s="12">
        <f ca="1">IF(TodaysDate&gt;=B27,SUMIF('On The Board'!F$5:F$219,"&lt;="&amp;$B27,'On The Board'!$M$5:$M$219)-SUM(E27:I27),D26)</f>
        <v>58</v>
      </c>
      <c r="E27" s="12">
        <f>SUMIF('On The Board'!G$5:G$219,"&lt;="&amp;$B27,'On The Board'!$M$5:$M$219)-SUM(F27:I27)</f>
        <v>0</v>
      </c>
      <c r="F27" s="12">
        <f>SUMIF('On The Board'!H$5:H$219,"&lt;="&amp;$B27,'On The Board'!$M$5:$M$219)-SUM(G27:I27)</f>
        <v>3</v>
      </c>
      <c r="G27" s="12">
        <f>SUMIF('On The Board'!I$5:I$219,"&lt;="&amp;$B27,'On The Board'!$M$5:$M$219)-SUM(H27,I27)</f>
        <v>0</v>
      </c>
      <c r="H27" s="12">
        <f>SUMIF('On The Board'!J$5:J$219,"&lt;="&amp;$B27,'On The Board'!$M$5:$M$219)-SUM(I27)</f>
        <v>0</v>
      </c>
      <c r="I27" s="12">
        <f>SUMIF('On The Board'!K$5:K$219,"&lt;="&amp;$B27,'On The Board'!$M$5:$M$219)</f>
        <v>21</v>
      </c>
      <c r="J27" s="10">
        <f t="shared" si="0"/>
        <v>24</v>
      </c>
      <c r="K27" s="10">
        <f t="shared" ca="1" si="1"/>
        <v>3</v>
      </c>
      <c r="L27" s="44">
        <f t="shared" ca="1" si="8"/>
        <v>4.8181818181818183</v>
      </c>
      <c r="M27" s="44">
        <f t="shared" ca="1" si="7"/>
        <v>1.0909090909090908</v>
      </c>
      <c r="N27" s="44">
        <f t="shared" ca="1" si="6"/>
        <v>4.416666666666667</v>
      </c>
      <c r="O27" s="53">
        <f t="shared" ca="1" si="9"/>
        <v>5.6966079375170287</v>
      </c>
      <c r="P27" s="53">
        <f ca="1">IFERROR(DayByDayTable[[#This Row],[Lead Time]],"")</f>
        <v>4.416666666666667</v>
      </c>
      <c r="Q27" s="44">
        <f t="shared" ca="1" si="10"/>
        <v>6.6727272727272728</v>
      </c>
      <c r="R27" s="44">
        <f ca="1">ROUND(PERCENTILE(DayByDayTable[[#Data],[BlankLeadTime]],0.8),0)</f>
        <v>8</v>
      </c>
    </row>
    <row r="28" spans="1:18">
      <c r="A28" s="51">
        <f t="shared" si="4"/>
        <v>42444</v>
      </c>
      <c r="B28" s="11">
        <f t="shared" si="5"/>
        <v>42444</v>
      </c>
      <c r="C28" s="47">
        <f>SUMIFS('On The Board'!$M$5:$M$219,'On The Board'!F$5:F$219,"&lt;="&amp;$B28,'On The Board'!E$5:E$219,"="&amp;FutureWork)</f>
        <v>43</v>
      </c>
      <c r="D28" s="12">
        <f ca="1">IF(TodaysDate&gt;=B28,SUMIF('On The Board'!F$5:F$219,"&lt;="&amp;$B28,'On The Board'!$M$5:$M$219)-SUM(E28:I28),D27)</f>
        <v>57</v>
      </c>
      <c r="E28" s="12">
        <f>SUMIF('On The Board'!G$5:G$219,"&lt;="&amp;$B28,'On The Board'!$M$5:$M$219)-SUM(F28:I28)</f>
        <v>0</v>
      </c>
      <c r="F28" s="12">
        <f>SUMIF('On The Board'!H$5:H$219,"&lt;="&amp;$B28,'On The Board'!$M$5:$M$219)-SUM(G28:I28)</f>
        <v>6</v>
      </c>
      <c r="G28" s="12">
        <f>SUMIF('On The Board'!I$5:I$219,"&lt;="&amp;$B28,'On The Board'!$M$5:$M$219)-SUM(H28,I28)</f>
        <v>0</v>
      </c>
      <c r="H28" s="12">
        <f>SUMIF('On The Board'!J$5:J$219,"&lt;="&amp;$B28,'On The Board'!$M$5:$M$219)-SUM(I28)</f>
        <v>0</v>
      </c>
      <c r="I28" s="12">
        <f>SUMIF('On The Board'!K$5:K$219,"&lt;="&amp;$B28,'On The Board'!$M$5:$M$219)</f>
        <v>21</v>
      </c>
      <c r="J28" s="10">
        <f t="shared" si="0"/>
        <v>27</v>
      </c>
      <c r="K28" s="10">
        <f t="shared" ca="1" si="1"/>
        <v>6</v>
      </c>
      <c r="L28" s="44">
        <f t="shared" ca="1" si="8"/>
        <v>4.6363636363636367</v>
      </c>
      <c r="M28" s="44">
        <f t="shared" ca="1" si="7"/>
        <v>0.72727272727272729</v>
      </c>
      <c r="N28" s="44">
        <f t="shared" ca="1" si="6"/>
        <v>6.375</v>
      </c>
      <c r="O28" s="53">
        <f t="shared" ca="1" si="9"/>
        <v>5.4060235219326129</v>
      </c>
      <c r="P28" s="53">
        <f ca="1">IFERROR(DayByDayTable[[#This Row],[Lead Time]],"")</f>
        <v>6.375</v>
      </c>
      <c r="Q28" s="44">
        <f t="shared" ca="1" si="10"/>
        <v>6.4386363636363635</v>
      </c>
      <c r="R28" s="44">
        <f ca="1">ROUND(PERCENTILE(DayByDayTable[[#Data],[BlankLeadTime]],0.8),0)</f>
        <v>8</v>
      </c>
    </row>
    <row r="29" spans="1:18">
      <c r="A29" s="51">
        <f t="shared" si="4"/>
        <v>42445</v>
      </c>
      <c r="B29" s="11">
        <f t="shared" si="5"/>
        <v>42445</v>
      </c>
      <c r="C29" s="47">
        <f>SUMIFS('On The Board'!$M$5:$M$219,'On The Board'!F$5:F$219,"&lt;="&amp;$B29,'On The Board'!E$5:E$219,"="&amp;FutureWork)</f>
        <v>43</v>
      </c>
      <c r="D29" s="12">
        <f ca="1">IF(TodaysDate&gt;=B29,SUMIF('On The Board'!F$5:F$219,"&lt;="&amp;$B29,'On The Board'!$M$5:$M$219)-SUM(E29:I29),D28)</f>
        <v>56</v>
      </c>
      <c r="E29" s="12">
        <f>SUMIF('On The Board'!G$5:G$219,"&lt;="&amp;$B29,'On The Board'!$M$5:$M$219)-SUM(F29:I29)</f>
        <v>0</v>
      </c>
      <c r="F29" s="12">
        <f>SUMIF('On The Board'!H$5:H$219,"&lt;="&amp;$B29,'On The Board'!$M$5:$M$219)-SUM(G29:I29)</f>
        <v>6</v>
      </c>
      <c r="G29" s="12">
        <f>SUMIF('On The Board'!I$5:I$219,"&lt;="&amp;$B29,'On The Board'!$M$5:$M$219)-SUM(H29,I29)</f>
        <v>0</v>
      </c>
      <c r="H29" s="12">
        <f>SUMIF('On The Board'!J$5:J$219,"&lt;="&amp;$B29,'On The Board'!$M$5:$M$219)-SUM(I29)</f>
        <v>0</v>
      </c>
      <c r="I29" s="12">
        <f>SUMIF('On The Board'!K$5:K$219,"&lt;="&amp;$B29,'On The Board'!$M$5:$M$219)</f>
        <v>22</v>
      </c>
      <c r="J29" s="10">
        <f t="shared" si="0"/>
        <v>28</v>
      </c>
      <c r="K29" s="10">
        <f t="shared" ca="1" si="1"/>
        <v>6</v>
      </c>
      <c r="L29" s="44">
        <f t="shared" ca="1" si="8"/>
        <v>4.5454545454545459</v>
      </c>
      <c r="M29" s="44">
        <f t="shared" ca="1" si="7"/>
        <v>0.81818181818181823</v>
      </c>
      <c r="N29" s="44">
        <f t="shared" ca="1" si="6"/>
        <v>5.5555555555555554</v>
      </c>
      <c r="O29" s="53">
        <f t="shared" ca="1" si="9"/>
        <v>5.3242971674789858</v>
      </c>
      <c r="P29" s="53">
        <f ca="1">IFERROR(DayByDayTable[[#This Row],[Lead Time]],"")</f>
        <v>5.5555555555555554</v>
      </c>
      <c r="Q29" s="44">
        <f t="shared" ca="1" si="10"/>
        <v>6.2272727272727275</v>
      </c>
      <c r="R29" s="44">
        <f ca="1">ROUND(PERCENTILE(DayByDayTable[[#Data],[BlankLeadTime]],0.8),0)</f>
        <v>8</v>
      </c>
    </row>
    <row r="30" spans="1:18">
      <c r="A30" s="51">
        <f t="shared" si="4"/>
        <v>42446</v>
      </c>
      <c r="B30" s="11">
        <f t="shared" si="5"/>
        <v>42446</v>
      </c>
      <c r="C30" s="47">
        <f>SUMIFS('On The Board'!$M$5:$M$219,'On The Board'!F$5:F$219,"&lt;="&amp;$B30,'On The Board'!E$5:E$219,"="&amp;FutureWork)</f>
        <v>43</v>
      </c>
      <c r="D30" s="12">
        <f ca="1">IF(TodaysDate&gt;=B30,SUMIF('On The Board'!F$5:F$219,"&lt;="&amp;$B30,'On The Board'!$M$5:$M$219)-SUM(E30:I30),D29)</f>
        <v>56</v>
      </c>
      <c r="E30" s="12">
        <f>SUMIF('On The Board'!G$5:G$219,"&lt;="&amp;$B30,'On The Board'!$M$5:$M$219)-SUM(F30:I30)</f>
        <v>0</v>
      </c>
      <c r="F30" s="12">
        <f>SUMIF('On The Board'!H$5:H$219,"&lt;="&amp;$B30,'On The Board'!$M$5:$M$219)-SUM(G30:I30)</f>
        <v>6</v>
      </c>
      <c r="G30" s="12">
        <f>SUMIF('On The Board'!I$5:I$219,"&lt;="&amp;$B30,'On The Board'!$M$5:$M$219)-SUM(H30,I30)</f>
        <v>0</v>
      </c>
      <c r="H30" s="12">
        <f>SUMIF('On The Board'!J$5:J$219,"&lt;="&amp;$B30,'On The Board'!$M$5:$M$219)-SUM(I30)</f>
        <v>0</v>
      </c>
      <c r="I30" s="12">
        <f>SUMIF('On The Board'!K$5:K$219,"&lt;="&amp;$B30,'On The Board'!$M$5:$M$219)</f>
        <v>22</v>
      </c>
      <c r="J30" s="10">
        <f t="shared" si="0"/>
        <v>28</v>
      </c>
      <c r="K30" s="10">
        <f t="shared" ca="1" si="1"/>
        <v>6</v>
      </c>
      <c r="L30" s="44">
        <f t="shared" ca="1" si="8"/>
        <v>4.4545454545454541</v>
      </c>
      <c r="M30" s="44">
        <f t="shared" ca="1" si="7"/>
        <v>0.54545454545454541</v>
      </c>
      <c r="N30" s="44">
        <f t="shared" ca="1" si="6"/>
        <v>8.1666666666666661</v>
      </c>
      <c r="O30" s="53">
        <f t="shared" ca="1" si="9"/>
        <v>5.4551511619693436</v>
      </c>
      <c r="P30" s="53">
        <f ca="1">IFERROR(DayByDayTable[[#This Row],[Lead Time]],"")</f>
        <v>8.1666666666666661</v>
      </c>
      <c r="Q30" s="44">
        <f t="shared" ca="1" si="10"/>
        <v>6.2272727272727275</v>
      </c>
      <c r="R30" s="44">
        <f ca="1">ROUND(PERCENTILE(DayByDayTable[[#Data],[BlankLeadTime]],0.8),0)</f>
        <v>8</v>
      </c>
    </row>
    <row r="31" spans="1:18">
      <c r="A31" s="51">
        <f t="shared" si="4"/>
        <v>42447</v>
      </c>
      <c r="B31" s="11">
        <f t="shared" si="5"/>
        <v>42447</v>
      </c>
      <c r="C31" s="47">
        <f>SUMIFS('On The Board'!$M$5:$M$219,'On The Board'!F$5:F$219,"&lt;="&amp;$B31,'On The Board'!E$5:E$219,"="&amp;FutureWork)</f>
        <v>43</v>
      </c>
      <c r="D31" s="12">
        <f ca="1">IF(TodaysDate&gt;=B31,SUMIF('On The Board'!F$5:F$219,"&lt;="&amp;$B31,'On The Board'!$M$5:$M$219)-SUM(E31:I31),D30)</f>
        <v>56</v>
      </c>
      <c r="E31" s="12">
        <f>SUMIF('On The Board'!G$5:G$219,"&lt;="&amp;$B31,'On The Board'!$M$5:$M$219)-SUM(F31:I31)</f>
        <v>0</v>
      </c>
      <c r="F31" s="12">
        <f>SUMIF('On The Board'!H$5:H$219,"&lt;="&amp;$B31,'On The Board'!$M$5:$M$219)-SUM(G31:I31)</f>
        <v>6</v>
      </c>
      <c r="G31" s="12">
        <f>SUMIF('On The Board'!I$5:I$219,"&lt;="&amp;$B31,'On The Board'!$M$5:$M$219)-SUM(H31,I31)</f>
        <v>0</v>
      </c>
      <c r="H31" s="12">
        <f>SUMIF('On The Board'!J$5:J$219,"&lt;="&amp;$B31,'On The Board'!$M$5:$M$219)-SUM(I31)</f>
        <v>0</v>
      </c>
      <c r="I31" s="12">
        <f>SUMIF('On The Board'!K$5:K$219,"&lt;="&amp;$B31,'On The Board'!$M$5:$M$219)</f>
        <v>22</v>
      </c>
      <c r="J31" s="10">
        <f t="shared" si="0"/>
        <v>28</v>
      </c>
      <c r="K31" s="10">
        <f t="shared" ca="1" si="1"/>
        <v>6</v>
      </c>
      <c r="L31" s="44">
        <f t="shared" ca="1" si="8"/>
        <v>4.5454545454545459</v>
      </c>
      <c r="M31" s="44">
        <f t="shared" ca="1" si="7"/>
        <v>0.54545454545454541</v>
      </c>
      <c r="N31" s="44">
        <f t="shared" ca="1" si="6"/>
        <v>8.3333333333333339</v>
      </c>
      <c r="O31" s="53">
        <f t="shared" ca="1" si="9"/>
        <v>5.732207439025621</v>
      </c>
      <c r="P31" s="53">
        <f ca="1">IFERROR(DayByDayTable[[#This Row],[Lead Time]],"")</f>
        <v>8.3333333333333339</v>
      </c>
      <c r="Q31" s="44">
        <f t="shared" ca="1" si="10"/>
        <v>6.2272727272727275</v>
      </c>
      <c r="R31" s="44">
        <f ca="1">ROUND(PERCENTILE(DayByDayTable[[#Data],[BlankLeadTime]],0.8),0)</f>
        <v>8</v>
      </c>
    </row>
    <row r="32" spans="1:18">
      <c r="A32" s="51">
        <f t="shared" si="4"/>
        <v>42450</v>
      </c>
      <c r="B32" s="11">
        <f t="shared" si="5"/>
        <v>42450</v>
      </c>
      <c r="C32" s="47">
        <f>SUMIFS('On The Board'!$M$5:$M$219,'On The Board'!F$5:F$219,"&lt;="&amp;$B32,'On The Board'!E$5:E$219,"="&amp;FutureWork)</f>
        <v>43</v>
      </c>
      <c r="D32" s="12">
        <f ca="1">IF(TodaysDate&gt;=B32,SUMIF('On The Board'!F$5:F$219,"&lt;="&amp;$B32,'On The Board'!$M$5:$M$219)-SUM(E32:I32),D31)</f>
        <v>56</v>
      </c>
      <c r="E32" s="12">
        <f>SUMIF('On The Board'!G$5:G$219,"&lt;="&amp;$B32,'On The Board'!$M$5:$M$219)-SUM(F32:I32)</f>
        <v>0</v>
      </c>
      <c r="F32" s="12">
        <f>SUMIF('On The Board'!H$5:H$219,"&lt;="&amp;$B32,'On The Board'!$M$5:$M$219)-SUM(G32:I32)</f>
        <v>3</v>
      </c>
      <c r="G32" s="12">
        <f>SUMIF('On The Board'!I$5:I$219,"&lt;="&amp;$B32,'On The Board'!$M$5:$M$219)-SUM(H32,I32)</f>
        <v>0</v>
      </c>
      <c r="H32" s="12">
        <f>SUMIF('On The Board'!J$5:J$219,"&lt;="&amp;$B32,'On The Board'!$M$5:$M$219)-SUM(I32)</f>
        <v>0</v>
      </c>
      <c r="I32" s="12">
        <f>SUMIF('On The Board'!K$5:K$219,"&lt;="&amp;$B32,'On The Board'!$M$5:$M$219)</f>
        <v>25</v>
      </c>
      <c r="J32" s="10">
        <f t="shared" si="0"/>
        <v>28</v>
      </c>
      <c r="K32" s="10">
        <f t="shared" ca="1" si="1"/>
        <v>3</v>
      </c>
      <c r="L32" s="44">
        <f t="shared" ca="1" si="8"/>
        <v>4.2727272727272725</v>
      </c>
      <c r="M32" s="44">
        <f t="shared" ca="1" si="7"/>
        <v>0.63636363636363635</v>
      </c>
      <c r="N32" s="44">
        <f t="shared" ca="1" si="6"/>
        <v>6.7142857142857144</v>
      </c>
      <c r="O32" s="53">
        <f t="shared" ca="1" si="9"/>
        <v>5.8685710753892577</v>
      </c>
      <c r="P32" s="53">
        <f ca="1">IFERROR(DayByDayTable[[#This Row],[Lead Time]],"")</f>
        <v>6.7142857142857144</v>
      </c>
      <c r="Q32" s="44">
        <f t="shared" ca="1" si="10"/>
        <v>6.6464285714285722</v>
      </c>
      <c r="R32" s="44">
        <f ca="1">ROUND(PERCENTILE(DayByDayTable[[#Data],[BlankLeadTime]],0.8),0)</f>
        <v>8</v>
      </c>
    </row>
    <row r="33" spans="1:18">
      <c r="A33" s="51">
        <f t="shared" si="4"/>
        <v>42451</v>
      </c>
      <c r="B33" s="11">
        <f t="shared" si="5"/>
        <v>42451</v>
      </c>
      <c r="C33" s="47">
        <f>SUMIFS('On The Board'!$M$5:$M$219,'On The Board'!F$5:F$219,"&lt;="&amp;$B33,'On The Board'!E$5:E$219,"="&amp;FutureWork)</f>
        <v>43</v>
      </c>
      <c r="D33" s="12">
        <f ca="1">IF(TodaysDate&gt;=B33,SUMIF('On The Board'!F$5:F$219,"&lt;="&amp;$B33,'On The Board'!$M$5:$M$219)-SUM(E33:I33),D32)</f>
        <v>58</v>
      </c>
      <c r="E33" s="12">
        <f>SUMIF('On The Board'!G$5:G$219,"&lt;="&amp;$B33,'On The Board'!$M$5:$M$219)-SUM(F33:I33)</f>
        <v>0</v>
      </c>
      <c r="F33" s="12">
        <f>SUMIF('On The Board'!H$5:H$219,"&lt;="&amp;$B33,'On The Board'!$M$5:$M$219)-SUM(G33:I33)</f>
        <v>2</v>
      </c>
      <c r="G33" s="12">
        <f>SUMIF('On The Board'!I$5:I$219,"&lt;="&amp;$B33,'On The Board'!$M$5:$M$219)-SUM(H33,I33)</f>
        <v>0</v>
      </c>
      <c r="H33" s="12">
        <f>SUMIF('On The Board'!J$5:J$219,"&lt;="&amp;$B33,'On The Board'!$M$5:$M$219)-SUM(I33)</f>
        <v>0</v>
      </c>
      <c r="I33" s="12">
        <f>SUMIF('On The Board'!K$5:K$219,"&lt;="&amp;$B33,'On The Board'!$M$5:$M$219)</f>
        <v>26</v>
      </c>
      <c r="J33" s="10">
        <f t="shared" si="0"/>
        <v>28</v>
      </c>
      <c r="K33" s="10">
        <f t="shared" ca="1" si="1"/>
        <v>2</v>
      </c>
      <c r="L33" s="44">
        <f t="shared" ca="1" si="8"/>
        <v>4.0909090909090908</v>
      </c>
      <c r="M33" s="44">
        <f t="shared" ca="1" si="7"/>
        <v>0.63636363636363635</v>
      </c>
      <c r="N33" s="44">
        <f t="shared" ca="1" si="6"/>
        <v>6.4285714285714288</v>
      </c>
      <c r="O33" s="53">
        <f t="shared" ca="1" si="9"/>
        <v>6.0348048416230231</v>
      </c>
      <c r="P33" s="53">
        <f ca="1">IFERROR(DayByDayTable[[#This Row],[Lead Time]],"")</f>
        <v>6.4285714285714288</v>
      </c>
      <c r="Q33" s="44">
        <f t="shared" ca="1" si="10"/>
        <v>6.6571428571428575</v>
      </c>
      <c r="R33" s="44">
        <f ca="1">ROUND(PERCENTILE(DayByDayTable[[#Data],[BlankLeadTime]],0.8),0)</f>
        <v>8</v>
      </c>
    </row>
    <row r="34" spans="1:18">
      <c r="A34" s="51">
        <f t="shared" si="4"/>
        <v>42452</v>
      </c>
      <c r="B34" s="11">
        <f t="shared" si="5"/>
        <v>42452</v>
      </c>
      <c r="C34" s="47">
        <f>SUMIFS('On The Board'!$M$5:$M$219,'On The Board'!F$5:F$219,"&lt;="&amp;$B34,'On The Board'!E$5:E$219,"="&amp;FutureWork)</f>
        <v>43</v>
      </c>
      <c r="D34" s="12">
        <f ca="1">IF(TodaysDate&gt;=B34,SUMIF('On The Board'!F$5:F$219,"&lt;="&amp;$B34,'On The Board'!$M$5:$M$219)-SUM(E34:I34),D33)</f>
        <v>54</v>
      </c>
      <c r="E34" s="12">
        <f>SUMIF('On The Board'!G$5:G$219,"&lt;="&amp;$B34,'On The Board'!$M$5:$M$219)-SUM(F34:I34)</f>
        <v>0</v>
      </c>
      <c r="F34" s="12">
        <f>SUMIF('On The Board'!H$5:H$219,"&lt;="&amp;$B34,'On The Board'!$M$5:$M$219)-SUM(G34:I34)</f>
        <v>5</v>
      </c>
      <c r="G34" s="12">
        <f>SUMIF('On The Board'!I$5:I$219,"&lt;="&amp;$B34,'On The Board'!$M$5:$M$219)-SUM(H34,I34)</f>
        <v>0</v>
      </c>
      <c r="H34" s="12">
        <f>SUMIF('On The Board'!J$5:J$219,"&lt;="&amp;$B34,'On The Board'!$M$5:$M$219)-SUM(I34)</f>
        <v>0</v>
      </c>
      <c r="I34" s="12">
        <f>SUMIF('On The Board'!K$5:K$219,"&lt;="&amp;$B34,'On The Board'!$M$5:$M$219)</f>
        <v>27</v>
      </c>
      <c r="J34" s="10">
        <f t="shared" si="0"/>
        <v>32</v>
      </c>
      <c r="K34" s="10">
        <f t="shared" ca="1" si="1"/>
        <v>5</v>
      </c>
      <c r="L34" s="44">
        <f t="shared" ca="1" si="8"/>
        <v>4.2727272727272725</v>
      </c>
      <c r="M34" s="44">
        <f t="shared" ca="1" si="7"/>
        <v>0.72727272727272729</v>
      </c>
      <c r="N34" s="44">
        <f t="shared" ca="1" si="6"/>
        <v>5.8749999999999991</v>
      </c>
      <c r="O34" s="53">
        <f t="shared" ca="1" si="9"/>
        <v>6.1213433031614848</v>
      </c>
      <c r="P34" s="53">
        <f ca="1">IFERROR(DayByDayTable[[#This Row],[Lead Time]],"")</f>
        <v>5.8749999999999991</v>
      </c>
      <c r="Q34" s="44">
        <f t="shared" ca="1" si="10"/>
        <v>6.6571428571428575</v>
      </c>
      <c r="R34" s="44">
        <f ca="1">ROUND(PERCENTILE(DayByDayTable[[#Data],[BlankLeadTime]],0.8),0)</f>
        <v>8</v>
      </c>
    </row>
    <row r="35" spans="1:18">
      <c r="A35" s="51">
        <f t="shared" si="4"/>
        <v>42453</v>
      </c>
      <c r="B35" s="11">
        <f t="shared" si="5"/>
        <v>42453</v>
      </c>
      <c r="C35" s="47">
        <f>SUMIFS('On The Board'!$M$5:$M$219,'On The Board'!F$5:F$219,"&lt;="&amp;$B35,'On The Board'!E$5:E$219,"="&amp;FutureWork)</f>
        <v>43</v>
      </c>
      <c r="D35" s="12">
        <f ca="1">IF(TodaysDate&gt;=B35,SUMIF('On The Board'!F$5:F$219,"&lt;="&amp;$B35,'On The Board'!$M$5:$M$219)-SUM(E35:I35),D34)</f>
        <v>53</v>
      </c>
      <c r="E35" s="12">
        <f>SUMIF('On The Board'!G$5:G$219,"&lt;="&amp;$B35,'On The Board'!$M$5:$M$219)-SUM(F35:I35)</f>
        <v>0</v>
      </c>
      <c r="F35" s="12">
        <f>SUMIF('On The Board'!H$5:H$219,"&lt;="&amp;$B35,'On The Board'!$M$5:$M$219)-SUM(G35:I35)</f>
        <v>5</v>
      </c>
      <c r="G35" s="12">
        <f>SUMIF('On The Board'!I$5:I$219,"&lt;="&amp;$B35,'On The Board'!$M$5:$M$219)-SUM(H35,I35)</f>
        <v>1</v>
      </c>
      <c r="H35" s="12">
        <f>SUMIF('On The Board'!J$5:J$219,"&lt;="&amp;$B35,'On The Board'!$M$5:$M$219)-SUM(I35)</f>
        <v>0</v>
      </c>
      <c r="I35" s="12">
        <f>SUMIF('On The Board'!K$5:K$219,"&lt;="&amp;$B35,'On The Board'!$M$5:$M$219)</f>
        <v>27</v>
      </c>
      <c r="J35" s="10">
        <f t="shared" si="0"/>
        <v>33</v>
      </c>
      <c r="K35" s="10">
        <f t="shared" ca="1" si="1"/>
        <v>6</v>
      </c>
      <c r="L35" s="44">
        <f t="shared" ca="1" si="8"/>
        <v>4.4545454545454541</v>
      </c>
      <c r="M35" s="44">
        <f t="shared" ca="1" si="7"/>
        <v>0.63636363636363635</v>
      </c>
      <c r="N35" s="44">
        <f t="shared" ca="1" si="6"/>
        <v>6.9999999999999991</v>
      </c>
      <c r="O35" s="53">
        <f t="shared" ca="1" si="9"/>
        <v>6.2453102453102449</v>
      </c>
      <c r="P35" s="53">
        <f ca="1">IFERROR(DayByDayTable[[#This Row],[Lead Time]],"")</f>
        <v>6.9999999999999991</v>
      </c>
      <c r="Q35" s="44">
        <f t="shared" ca="1" si="10"/>
        <v>6.9428571428571422</v>
      </c>
      <c r="R35" s="44">
        <f ca="1">ROUND(PERCENTILE(DayByDayTable[[#Data],[BlankLeadTime]],0.8),0)</f>
        <v>8</v>
      </c>
    </row>
    <row r="36" spans="1:18">
      <c r="A36" s="51">
        <f t="shared" si="4"/>
        <v>42458</v>
      </c>
      <c r="B36" s="11">
        <f t="shared" si="5"/>
        <v>42458</v>
      </c>
      <c r="C36" s="47">
        <f>SUMIFS('On The Board'!$M$5:$M$219,'On The Board'!F$5:F$219,"&lt;="&amp;$B36,'On The Board'!E$5:E$219,"="&amp;FutureWork)</f>
        <v>43</v>
      </c>
      <c r="D36" s="12">
        <f ca="1">IF(TodaysDate&gt;=B36,SUMIF('On The Board'!F$5:F$219,"&lt;="&amp;$B36,'On The Board'!$M$5:$M$219)-SUM(E36:I36),D35)</f>
        <v>52</v>
      </c>
      <c r="E36" s="12">
        <f>SUMIF('On The Board'!G$5:G$219,"&lt;="&amp;$B36,'On The Board'!$M$5:$M$219)-SUM(F36:I36)</f>
        <v>0</v>
      </c>
      <c r="F36" s="12">
        <f>SUMIF('On The Board'!H$5:H$219,"&lt;="&amp;$B36,'On The Board'!$M$5:$M$219)-SUM(G36:I36)</f>
        <v>4</v>
      </c>
      <c r="G36" s="12">
        <f>SUMIF('On The Board'!I$5:I$219,"&lt;="&amp;$B36,'On The Board'!$M$5:$M$219)-SUM(H36,I36)</f>
        <v>0</v>
      </c>
      <c r="H36" s="12">
        <f>SUMIF('On The Board'!J$5:J$219,"&lt;="&amp;$B36,'On The Board'!$M$5:$M$219)-SUM(I36)</f>
        <v>0</v>
      </c>
      <c r="I36" s="12">
        <f>SUMIF('On The Board'!K$5:K$219,"&lt;="&amp;$B36,'On The Board'!$M$5:$M$219)</f>
        <v>30</v>
      </c>
      <c r="J36" s="10">
        <f t="shared" si="0"/>
        <v>34</v>
      </c>
      <c r="K36" s="10">
        <f t="shared" ca="1" si="1"/>
        <v>4</v>
      </c>
      <c r="L36" s="44">
        <f t="shared" ca="1" si="8"/>
        <v>4.5454545454545459</v>
      </c>
      <c r="M36" s="44">
        <f t="shared" ca="1" si="7"/>
        <v>0.90909090909090906</v>
      </c>
      <c r="N36" s="44">
        <f t="shared" ca="1" si="6"/>
        <v>5.0000000000000009</v>
      </c>
      <c r="O36" s="53">
        <f t="shared" ca="1" si="9"/>
        <v>6.237734487734488</v>
      </c>
      <c r="P36" s="53">
        <f ca="1">IFERROR(DayByDayTable[[#This Row],[Lead Time]],"")</f>
        <v>5.0000000000000009</v>
      </c>
      <c r="Q36" s="44">
        <f t="shared" ca="1" si="10"/>
        <v>6.9428571428571422</v>
      </c>
      <c r="R36" s="44">
        <f ca="1">ROUND(PERCENTILE(DayByDayTable[[#Data],[BlankLeadTime]],0.8),0)</f>
        <v>8</v>
      </c>
    </row>
    <row r="37" spans="1:18">
      <c r="A37" s="51">
        <f t="shared" si="4"/>
        <v>42459</v>
      </c>
      <c r="B37" s="11">
        <f t="shared" si="5"/>
        <v>42459</v>
      </c>
      <c r="C37" s="47">
        <f>SUMIFS('On The Board'!$M$5:$M$219,'On The Board'!F$5:F$219,"&lt;="&amp;$B37,'On The Board'!E$5:E$219,"="&amp;FutureWork)</f>
        <v>43</v>
      </c>
      <c r="D37" s="12">
        <f ca="1">IF(TodaysDate&gt;=B37,SUMIF('On The Board'!F$5:F$219,"&lt;="&amp;$B37,'On The Board'!$M$5:$M$219)-SUM(E37:I37),D36)</f>
        <v>51</v>
      </c>
      <c r="E37" s="12">
        <f>SUMIF('On The Board'!G$5:G$219,"&lt;="&amp;$B37,'On The Board'!$M$5:$M$219)-SUM(F37:I37)</f>
        <v>0</v>
      </c>
      <c r="F37" s="12">
        <f>SUMIF('On The Board'!H$5:H$219,"&lt;="&amp;$B37,'On The Board'!$M$5:$M$219)-SUM(G37:I37)</f>
        <v>5</v>
      </c>
      <c r="G37" s="12">
        <f>SUMIF('On The Board'!I$5:I$219,"&lt;="&amp;$B37,'On The Board'!$M$5:$M$219)-SUM(H37,I37)</f>
        <v>0</v>
      </c>
      <c r="H37" s="12">
        <f>SUMIF('On The Board'!J$5:J$219,"&lt;="&amp;$B37,'On The Board'!$M$5:$M$219)-SUM(I37)</f>
        <v>0</v>
      </c>
      <c r="I37" s="12">
        <f>SUMIF('On The Board'!K$5:K$219,"&lt;="&amp;$B37,'On The Board'!$M$5:$M$219)</f>
        <v>30</v>
      </c>
      <c r="J37" s="10">
        <f t="shared" si="0"/>
        <v>35</v>
      </c>
      <c r="K37" s="10">
        <f t="shared" ca="1" si="1"/>
        <v>5</v>
      </c>
      <c r="L37" s="44">
        <f t="shared" ca="1" si="8"/>
        <v>4.7272727272727275</v>
      </c>
      <c r="M37" s="44">
        <f t="shared" ca="1" si="7"/>
        <v>0.81818181818181823</v>
      </c>
      <c r="N37" s="44">
        <f t="shared" ca="1" si="6"/>
        <v>5.7777777777777777</v>
      </c>
      <c r="O37" s="53">
        <f t="shared" ca="1" si="9"/>
        <v>6.3311688311688306</v>
      </c>
      <c r="P37" s="53">
        <f ca="1">IFERROR(DayByDayTable[[#This Row],[Lead Time]],"")</f>
        <v>5.7777777777777777</v>
      </c>
      <c r="Q37" s="44">
        <f t="shared" ca="1" si="10"/>
        <v>6.9428571428571422</v>
      </c>
      <c r="R37" s="44">
        <f ca="1">ROUND(PERCENTILE(DayByDayTable[[#Data],[BlankLeadTime]],0.8),0)</f>
        <v>8</v>
      </c>
    </row>
    <row r="38" spans="1:18">
      <c r="A38" s="51">
        <f t="shared" si="4"/>
        <v>42460</v>
      </c>
      <c r="B38" s="11">
        <f t="shared" si="5"/>
        <v>42460</v>
      </c>
      <c r="C38" s="47">
        <f>SUMIFS('On The Board'!$M$5:$M$219,'On The Board'!F$5:F$219,"&lt;="&amp;$B38,'On The Board'!E$5:E$219,"="&amp;FutureWork)</f>
        <v>43</v>
      </c>
      <c r="D38" s="12">
        <f ca="1">IF(TodaysDate&gt;=B38,SUMIF('On The Board'!F$5:F$219,"&lt;="&amp;$B38,'On The Board'!$M$5:$M$219)-SUM(E38:I38),D37)</f>
        <v>51</v>
      </c>
      <c r="E38" s="12">
        <f>SUMIF('On The Board'!G$5:G$219,"&lt;="&amp;$B38,'On The Board'!$M$5:$M$219)-SUM(F38:I38)</f>
        <v>0</v>
      </c>
      <c r="F38" s="12">
        <f>SUMIF('On The Board'!H$5:H$219,"&lt;="&amp;$B38,'On The Board'!$M$5:$M$219)-SUM(G38:I38)</f>
        <v>5</v>
      </c>
      <c r="G38" s="12">
        <f>SUMIF('On The Board'!I$5:I$219,"&lt;="&amp;$B38,'On The Board'!$M$5:$M$219)-SUM(H38,I38)</f>
        <v>0</v>
      </c>
      <c r="H38" s="12">
        <f>SUMIF('On The Board'!J$5:J$219,"&lt;="&amp;$B38,'On The Board'!$M$5:$M$219)-SUM(I38)</f>
        <v>0</v>
      </c>
      <c r="I38" s="12">
        <f>SUMIF('On The Board'!K$5:K$219,"&lt;="&amp;$B38,'On The Board'!$M$5:$M$219)</f>
        <v>30</v>
      </c>
      <c r="J38" s="10">
        <f t="shared" si="0"/>
        <v>35</v>
      </c>
      <c r="K38" s="10">
        <f t="shared" ca="1" si="1"/>
        <v>5</v>
      </c>
      <c r="L38" s="44">
        <f t="shared" ca="1" si="8"/>
        <v>4.9090909090909092</v>
      </c>
      <c r="M38" s="44">
        <f t="shared" ca="1" si="7"/>
        <v>0.81818181818181823</v>
      </c>
      <c r="N38" s="44">
        <f t="shared" ca="1" si="6"/>
        <v>6</v>
      </c>
      <c r="O38" s="53">
        <f t="shared" ca="1" si="9"/>
        <v>6.4751082251082259</v>
      </c>
      <c r="P38" s="53">
        <f ca="1">IFERROR(DayByDayTable[[#This Row],[Lead Time]],"")</f>
        <v>6</v>
      </c>
      <c r="Q38" s="44">
        <f t="shared" ca="1" si="10"/>
        <v>6.9428571428571422</v>
      </c>
      <c r="R38" s="44">
        <f ca="1">ROUND(PERCENTILE(DayByDayTable[[#Data],[BlankLeadTime]],0.8),0)</f>
        <v>8</v>
      </c>
    </row>
    <row r="39" spans="1:18">
      <c r="A39" s="51">
        <f t="shared" si="4"/>
        <v>42461</v>
      </c>
      <c r="B39" s="11">
        <f t="shared" si="5"/>
        <v>42461</v>
      </c>
      <c r="C39" s="47">
        <f>SUMIFS('On The Board'!$M$5:$M$219,'On The Board'!F$5:F$219,"&lt;="&amp;$B39,'On The Board'!E$5:E$219,"="&amp;FutureWork)</f>
        <v>43</v>
      </c>
      <c r="D39" s="12">
        <f ca="1">IF(TodaysDate&gt;=B39,SUMIF('On The Board'!F$5:F$219,"&lt;="&amp;$B39,'On The Board'!$M$5:$M$219)-SUM(E39:I39),D38)</f>
        <v>51</v>
      </c>
      <c r="E39" s="12">
        <f>SUMIF('On The Board'!G$5:G$219,"&lt;="&amp;$B39,'On The Board'!$M$5:$M$219)-SUM(F39:I39)</f>
        <v>0</v>
      </c>
      <c r="F39" s="12">
        <f>SUMIF('On The Board'!H$5:H$219,"&lt;="&amp;$B39,'On The Board'!$M$5:$M$219)-SUM(G39:I39)</f>
        <v>5</v>
      </c>
      <c r="G39" s="12">
        <f>SUMIF('On The Board'!I$5:I$219,"&lt;="&amp;$B39,'On The Board'!$M$5:$M$219)-SUM(H39,I39)</f>
        <v>0</v>
      </c>
      <c r="H39" s="12">
        <f>SUMIF('On The Board'!J$5:J$219,"&lt;="&amp;$B39,'On The Board'!$M$5:$M$219)-SUM(I39)</f>
        <v>0</v>
      </c>
      <c r="I39" s="12">
        <f>SUMIF('On The Board'!K$5:K$219,"&lt;="&amp;$B39,'On The Board'!$M$5:$M$219)</f>
        <v>31</v>
      </c>
      <c r="J39" s="10">
        <f t="shared" si="0"/>
        <v>36</v>
      </c>
      <c r="K39" s="10">
        <f t="shared" ca="1" si="1"/>
        <v>5</v>
      </c>
      <c r="L39" s="44">
        <f t="shared" ca="1" si="8"/>
        <v>4.8181818181818183</v>
      </c>
      <c r="M39" s="44">
        <f t="shared" ca="1" si="7"/>
        <v>0.81818181818181823</v>
      </c>
      <c r="N39" s="44">
        <f t="shared" ca="1" si="6"/>
        <v>5.8888888888888884</v>
      </c>
      <c r="O39" s="53">
        <f t="shared" ca="1" si="9"/>
        <v>6.4309163059163064</v>
      </c>
      <c r="P39" s="53">
        <f ca="1">IFERROR(DayByDayTable[[#This Row],[Lead Time]],"")</f>
        <v>5.8888888888888884</v>
      </c>
      <c r="Q39" s="44">
        <f t="shared" ca="1" si="10"/>
        <v>6.9428571428571422</v>
      </c>
      <c r="R39" s="44">
        <f ca="1">ROUND(PERCENTILE(DayByDayTable[[#Data],[BlankLeadTime]],0.8),0)</f>
        <v>8</v>
      </c>
    </row>
    <row r="40" spans="1:18">
      <c r="A40" s="51">
        <f t="shared" si="4"/>
        <v>42464</v>
      </c>
      <c r="B40" s="11">
        <f t="shared" si="5"/>
        <v>42464</v>
      </c>
      <c r="C40" s="47">
        <f>SUMIFS('On The Board'!$M$5:$M$219,'On The Board'!F$5:F$219,"&lt;="&amp;$B40,'On The Board'!E$5:E$219,"="&amp;FutureWork)</f>
        <v>43</v>
      </c>
      <c r="D40" s="12">
        <f ca="1">IF(TodaysDate&gt;=B40,SUMIF('On The Board'!F$5:F$219,"&lt;="&amp;$B40,'On The Board'!$M$5:$M$219)-SUM(E40:I40),D39)</f>
        <v>51</v>
      </c>
      <c r="E40" s="12">
        <f>SUMIF('On The Board'!G$5:G$219,"&lt;="&amp;$B40,'On The Board'!$M$5:$M$219)-SUM(F40:I40)</f>
        <v>0</v>
      </c>
      <c r="F40" s="12">
        <f>SUMIF('On The Board'!H$5:H$219,"&lt;="&amp;$B40,'On The Board'!$M$5:$M$219)-SUM(G40:I40)</f>
        <v>4</v>
      </c>
      <c r="G40" s="12">
        <f>SUMIF('On The Board'!I$5:I$219,"&lt;="&amp;$B40,'On The Board'!$M$5:$M$219)-SUM(H40,I40)</f>
        <v>0</v>
      </c>
      <c r="H40" s="12">
        <f>SUMIF('On The Board'!J$5:J$219,"&lt;="&amp;$B40,'On The Board'!$M$5:$M$219)-SUM(I40)</f>
        <v>0</v>
      </c>
      <c r="I40" s="12">
        <f>SUMIF('On The Board'!K$5:K$219,"&lt;="&amp;$B40,'On The Board'!$M$5:$M$219)</f>
        <v>32</v>
      </c>
      <c r="J40" s="10">
        <f t="shared" si="0"/>
        <v>36</v>
      </c>
      <c r="K40" s="10">
        <f t="shared" ca="1" si="1"/>
        <v>4</v>
      </c>
      <c r="L40" s="44">
        <f t="shared" ca="1" si="8"/>
        <v>4.6363636363636367</v>
      </c>
      <c r="M40" s="44">
        <f t="shared" ca="1" si="7"/>
        <v>0.90909090909090906</v>
      </c>
      <c r="N40" s="44">
        <f t="shared" ca="1" si="6"/>
        <v>5.1000000000000005</v>
      </c>
      <c r="O40" s="53">
        <f t="shared" ca="1" si="9"/>
        <v>6.3895021645021641</v>
      </c>
      <c r="P40" s="53">
        <f ca="1">IFERROR(DayByDayTable[[#This Row],[Lead Time]],"")</f>
        <v>5.1000000000000005</v>
      </c>
      <c r="Q40" s="44">
        <f t="shared" ca="1" si="10"/>
        <v>6.9428571428571422</v>
      </c>
      <c r="R40" s="44">
        <f ca="1">ROUND(PERCENTILE(DayByDayTable[[#Data],[BlankLeadTime]],0.8),0)</f>
        <v>8</v>
      </c>
    </row>
    <row r="41" spans="1:18">
      <c r="A41" s="51">
        <f t="shared" si="4"/>
        <v>42465</v>
      </c>
      <c r="B41" s="11">
        <f t="shared" si="5"/>
        <v>42465</v>
      </c>
      <c r="C41" s="47">
        <f>SUMIFS('On The Board'!$M$5:$M$219,'On The Board'!F$5:F$219,"&lt;="&amp;$B41,'On The Board'!E$5:E$219,"="&amp;FutureWork)</f>
        <v>43</v>
      </c>
      <c r="D41" s="12">
        <f ca="1">IF(TodaysDate&gt;=B41,SUMIF('On The Board'!F$5:F$219,"&lt;="&amp;$B41,'On The Board'!$M$5:$M$219)-SUM(E41:I41),D40)</f>
        <v>51</v>
      </c>
      <c r="E41" s="12">
        <f>SUMIF('On The Board'!G$5:G$219,"&lt;="&amp;$B41,'On The Board'!$M$5:$M$219)-SUM(F41:I41)</f>
        <v>0</v>
      </c>
      <c r="F41" s="12">
        <f>SUMIF('On The Board'!H$5:H$219,"&lt;="&amp;$B41,'On The Board'!$M$5:$M$219)-SUM(G41:I41)</f>
        <v>4</v>
      </c>
      <c r="G41" s="12">
        <f>SUMIF('On The Board'!I$5:I$219,"&lt;="&amp;$B41,'On The Board'!$M$5:$M$219)-SUM(H41,I41)</f>
        <v>0</v>
      </c>
      <c r="H41" s="12">
        <f>SUMIF('On The Board'!J$5:J$219,"&lt;="&amp;$B41,'On The Board'!$M$5:$M$219)-SUM(I41)</f>
        <v>0</v>
      </c>
      <c r="I41" s="12">
        <f>SUMIF('On The Board'!K$5:K$219,"&lt;="&amp;$B41,'On The Board'!$M$5:$M$219)</f>
        <v>32</v>
      </c>
      <c r="J41" s="10">
        <f t="shared" si="0"/>
        <v>36</v>
      </c>
      <c r="K41" s="10">
        <f t="shared" ca="1" si="1"/>
        <v>4</v>
      </c>
      <c r="L41" s="44">
        <f t="shared" ca="1" si="8"/>
        <v>4.4545454545454541</v>
      </c>
      <c r="M41" s="44">
        <f t="shared" ca="1" si="7"/>
        <v>0.90909090909090906</v>
      </c>
      <c r="N41" s="44">
        <f t="shared" ca="1" si="6"/>
        <v>4.8999999999999995</v>
      </c>
      <c r="O41" s="53">
        <f t="shared" ca="1" si="9"/>
        <v>6.0925324675324672</v>
      </c>
      <c r="P41" s="53">
        <f ca="1">IFERROR(DayByDayTable[[#This Row],[Lead Time]],"")</f>
        <v>4.8999999999999995</v>
      </c>
      <c r="Q41" s="44">
        <f t="shared" ca="1" si="10"/>
        <v>6.9428571428571422</v>
      </c>
      <c r="R41" s="44">
        <f ca="1">ROUND(PERCENTILE(DayByDayTable[[#Data],[BlankLeadTime]],0.8),0)</f>
        <v>8</v>
      </c>
    </row>
    <row r="42" spans="1:18">
      <c r="A42" s="51">
        <f t="shared" si="4"/>
        <v>42466</v>
      </c>
      <c r="B42" s="11">
        <f t="shared" si="5"/>
        <v>42466</v>
      </c>
      <c r="C42" s="47">
        <f>SUMIFS('On The Board'!$M$5:$M$219,'On The Board'!F$5:F$219,"&lt;="&amp;$B42,'On The Board'!E$5:E$219,"="&amp;FutureWork)</f>
        <v>43</v>
      </c>
      <c r="D42" s="12">
        <f ca="1">IF(TodaysDate&gt;=B42,SUMIF('On The Board'!F$5:F$219,"&lt;="&amp;$B42,'On The Board'!$M$5:$M$219)-SUM(E42:I42),D41)</f>
        <v>50</v>
      </c>
      <c r="E42" s="12">
        <f>SUMIF('On The Board'!G$5:G$219,"&lt;="&amp;$B42,'On The Board'!$M$5:$M$219)-SUM(F42:I42)</f>
        <v>0</v>
      </c>
      <c r="F42" s="12">
        <f>SUMIF('On The Board'!H$5:H$219,"&lt;="&amp;$B42,'On The Board'!$M$5:$M$219)-SUM(G42:I42)</f>
        <v>3</v>
      </c>
      <c r="G42" s="12">
        <f>SUMIF('On The Board'!I$5:I$219,"&lt;="&amp;$B42,'On The Board'!$M$5:$M$219)-SUM(H42,I42)</f>
        <v>0</v>
      </c>
      <c r="H42" s="12">
        <f>SUMIF('On The Board'!J$5:J$219,"&lt;="&amp;$B42,'On The Board'!$M$5:$M$219)-SUM(I42)</f>
        <v>0</v>
      </c>
      <c r="I42" s="12">
        <f>SUMIF('On The Board'!K$5:K$219,"&lt;="&amp;$B42,'On The Board'!$M$5:$M$219)</f>
        <v>34</v>
      </c>
      <c r="J42" s="10">
        <f t="shared" si="0"/>
        <v>37</v>
      </c>
      <c r="K42" s="10">
        <f t="shared" ca="1" si="1"/>
        <v>3</v>
      </c>
      <c r="L42" s="44">
        <f t="shared" ca="1" si="8"/>
        <v>4.1818181818181817</v>
      </c>
      <c r="M42" s="44">
        <f t="shared" ca="1" si="7"/>
        <v>0.81818181818181823</v>
      </c>
      <c r="N42" s="44">
        <f t="shared" ca="1" si="6"/>
        <v>5.1111111111111107</v>
      </c>
      <c r="O42" s="53">
        <f t="shared" ca="1" si="9"/>
        <v>5.799603174603174</v>
      </c>
      <c r="P42" s="53">
        <f ca="1">IFERROR(DayByDayTable[[#This Row],[Lead Time]],"")</f>
        <v>5.1111111111111107</v>
      </c>
      <c r="Q42" s="44">
        <f t="shared" ca="1" si="10"/>
        <v>6.6571428571428575</v>
      </c>
      <c r="R42" s="44">
        <f ca="1">ROUND(PERCENTILE(DayByDayTable[[#Data],[BlankLeadTime]],0.8),0)</f>
        <v>8</v>
      </c>
    </row>
    <row r="43" spans="1:18">
      <c r="A43" s="51">
        <f t="shared" si="4"/>
        <v>42467</v>
      </c>
      <c r="B43" s="11">
        <f t="shared" si="5"/>
        <v>42467</v>
      </c>
      <c r="C43" s="47">
        <f>SUMIFS('On The Board'!$M$5:$M$219,'On The Board'!F$5:F$219,"&lt;="&amp;$B43,'On The Board'!E$5:E$219,"="&amp;FutureWork)</f>
        <v>43</v>
      </c>
      <c r="D43" s="12">
        <f ca="1">IF(TodaysDate&gt;=B43,SUMIF('On The Board'!F$5:F$219,"&lt;="&amp;$B43,'On The Board'!$M$5:$M$219)-SUM(E43:I43),D42)</f>
        <v>49</v>
      </c>
      <c r="E43" s="12">
        <f>SUMIF('On The Board'!G$5:G$219,"&lt;="&amp;$B43,'On The Board'!$M$5:$M$219)-SUM(F43:I43)</f>
        <v>0</v>
      </c>
      <c r="F43" s="12">
        <f>SUMIF('On The Board'!H$5:H$219,"&lt;="&amp;$B43,'On The Board'!$M$5:$M$219)-SUM(G43:I43)</f>
        <v>4</v>
      </c>
      <c r="G43" s="12">
        <f>SUMIF('On The Board'!I$5:I$219,"&lt;="&amp;$B43,'On The Board'!$M$5:$M$219)-SUM(H43,I43)</f>
        <v>0</v>
      </c>
      <c r="H43" s="12">
        <f>SUMIF('On The Board'!J$5:J$219,"&lt;="&amp;$B43,'On The Board'!$M$5:$M$219)-SUM(I43)</f>
        <v>0</v>
      </c>
      <c r="I43" s="12">
        <f>SUMIF('On The Board'!K$5:K$219,"&lt;="&amp;$B43,'On The Board'!$M$5:$M$219)</f>
        <v>34</v>
      </c>
      <c r="J43" s="10">
        <f t="shared" si="0"/>
        <v>38</v>
      </c>
      <c r="K43" s="10">
        <f t="shared" ca="1" si="1"/>
        <v>4</v>
      </c>
      <c r="L43" s="44">
        <f t="shared" ca="1" si="8"/>
        <v>4.2727272727272725</v>
      </c>
      <c r="M43" s="44">
        <f t="shared" ca="1" si="7"/>
        <v>0.72727272727272729</v>
      </c>
      <c r="N43" s="44">
        <f t="shared" ca="1" si="6"/>
        <v>5.8749999999999991</v>
      </c>
      <c r="O43" s="53">
        <f t="shared" ca="1" si="9"/>
        <v>5.7233044733044727</v>
      </c>
      <c r="P43" s="53">
        <f ca="1">IFERROR(DayByDayTable[[#This Row],[Lead Time]],"")</f>
        <v>5.8749999999999991</v>
      </c>
      <c r="Q43" s="44">
        <f t="shared" ca="1" si="10"/>
        <v>6.3428571428571434</v>
      </c>
      <c r="R43" s="44">
        <f ca="1">ROUND(PERCENTILE(DayByDayTable[[#Data],[BlankLeadTime]],0.8),0)</f>
        <v>8</v>
      </c>
    </row>
    <row r="44" spans="1:18">
      <c r="A44" s="51">
        <f t="shared" si="4"/>
        <v>42468</v>
      </c>
      <c r="B44" s="11">
        <f t="shared" si="5"/>
        <v>42468</v>
      </c>
      <c r="C44" s="47">
        <f>SUMIFS('On The Board'!$M$5:$M$219,'On The Board'!F$5:F$219,"&lt;="&amp;$B44,'On The Board'!E$5:E$219,"="&amp;FutureWork)</f>
        <v>43</v>
      </c>
      <c r="D44" s="12">
        <f ca="1">IF(TodaysDate&gt;=B44,SUMIF('On The Board'!F$5:F$219,"&lt;="&amp;$B44,'On The Board'!$M$5:$M$219)-SUM(E44:I44),D43)</f>
        <v>49</v>
      </c>
      <c r="E44" s="12">
        <f>SUMIF('On The Board'!G$5:G$219,"&lt;="&amp;$B44,'On The Board'!$M$5:$M$219)-SUM(F44:I44)</f>
        <v>0</v>
      </c>
      <c r="F44" s="12">
        <f>SUMIF('On The Board'!H$5:H$219,"&lt;="&amp;$B44,'On The Board'!$M$5:$M$219)-SUM(G44:I44)</f>
        <v>4</v>
      </c>
      <c r="G44" s="12">
        <f>SUMIF('On The Board'!I$5:I$219,"&lt;="&amp;$B44,'On The Board'!$M$5:$M$219)-SUM(H44,I44)</f>
        <v>0</v>
      </c>
      <c r="H44" s="12">
        <f>SUMIF('On The Board'!J$5:J$219,"&lt;="&amp;$B44,'On The Board'!$M$5:$M$219)-SUM(I44)</f>
        <v>0</v>
      </c>
      <c r="I44" s="12">
        <f>SUMIF('On The Board'!K$5:K$219,"&lt;="&amp;$B44,'On The Board'!$M$5:$M$219)</f>
        <v>34</v>
      </c>
      <c r="J44" s="10">
        <f t="shared" si="0"/>
        <v>38</v>
      </c>
      <c r="K44" s="10">
        <f t="shared" ca="1" si="1"/>
        <v>4</v>
      </c>
      <c r="L44" s="44">
        <f t="shared" ca="1" si="8"/>
        <v>4.4545454545454541</v>
      </c>
      <c r="M44" s="44">
        <f t="shared" ca="1" si="7"/>
        <v>0.63636363636363635</v>
      </c>
      <c r="N44" s="44">
        <f t="shared" ca="1" si="6"/>
        <v>6.9999999999999991</v>
      </c>
      <c r="O44" s="53">
        <f t="shared" ca="1" si="9"/>
        <v>5.7752525252525251</v>
      </c>
      <c r="P44" s="53">
        <f ca="1">IFERROR(DayByDayTable[[#This Row],[Lead Time]],"")</f>
        <v>6.9999999999999991</v>
      </c>
      <c r="Q44" s="44">
        <f t="shared" ca="1" si="10"/>
        <v>6.3428571428571434</v>
      </c>
      <c r="R44" s="44">
        <f ca="1">ROUND(PERCENTILE(DayByDayTable[[#Data],[BlankLeadTime]],0.8),0)</f>
        <v>8</v>
      </c>
    </row>
    <row r="45" spans="1:18">
      <c r="A45" s="51">
        <f t="shared" si="4"/>
        <v>42471</v>
      </c>
      <c r="B45" s="11">
        <f t="shared" si="5"/>
        <v>42471</v>
      </c>
      <c r="C45" s="47">
        <f>SUMIFS('On The Board'!$M$5:$M$219,'On The Board'!F$5:F$219,"&lt;="&amp;$B45,'On The Board'!E$5:E$219,"="&amp;FutureWork)</f>
        <v>43</v>
      </c>
      <c r="D45" s="12">
        <f ca="1">IF(TodaysDate&gt;=B45,SUMIF('On The Board'!F$5:F$219,"&lt;="&amp;$B45,'On The Board'!$M$5:$M$219)-SUM(E45:I45),D44)</f>
        <v>48</v>
      </c>
      <c r="E45" s="12">
        <f>SUMIF('On The Board'!G$5:G$219,"&lt;="&amp;$B45,'On The Board'!$M$5:$M$219)-SUM(F45:I45)</f>
        <v>0</v>
      </c>
      <c r="F45" s="12">
        <f>SUMIF('On The Board'!H$5:H$219,"&lt;="&amp;$B45,'On The Board'!$M$5:$M$219)-SUM(G45:I45)</f>
        <v>5</v>
      </c>
      <c r="G45" s="12">
        <f>SUMIF('On The Board'!I$5:I$219,"&lt;="&amp;$B45,'On The Board'!$M$5:$M$219)-SUM(H45,I45)</f>
        <v>0</v>
      </c>
      <c r="H45" s="12">
        <f>SUMIF('On The Board'!J$5:J$219,"&lt;="&amp;$B45,'On The Board'!$M$5:$M$219)-SUM(I45)</f>
        <v>0</v>
      </c>
      <c r="I45" s="12">
        <f>SUMIF('On The Board'!K$5:K$219,"&lt;="&amp;$B45,'On The Board'!$M$5:$M$219)</f>
        <v>36</v>
      </c>
      <c r="J45" s="10">
        <f t="shared" si="0"/>
        <v>41</v>
      </c>
      <c r="K45" s="10">
        <f t="shared" ca="1" si="1"/>
        <v>5</v>
      </c>
      <c r="L45" s="44">
        <f t="shared" ca="1" si="8"/>
        <v>4.4545454545454541</v>
      </c>
      <c r="M45" s="44">
        <f t="shared" ca="1" si="7"/>
        <v>0.81818181818181823</v>
      </c>
      <c r="N45" s="44">
        <f t="shared" ca="1" si="6"/>
        <v>5.4444444444444438</v>
      </c>
      <c r="O45" s="53">
        <f t="shared" ca="1" si="9"/>
        <v>5.7361111111111107</v>
      </c>
      <c r="P45" s="53">
        <f ca="1">IFERROR(DayByDayTable[[#This Row],[Lead Time]],"")</f>
        <v>5.4444444444444438</v>
      </c>
      <c r="Q45" s="44">
        <f t="shared" ca="1" si="10"/>
        <v>5.9777777777777779</v>
      </c>
      <c r="R45" s="44">
        <f ca="1">ROUND(PERCENTILE(DayByDayTable[[#Data],[BlankLeadTime]],0.8),0)</f>
        <v>8</v>
      </c>
    </row>
    <row r="46" spans="1:18">
      <c r="A46" s="51">
        <f t="shared" si="4"/>
        <v>42472</v>
      </c>
      <c r="B46" s="11">
        <f t="shared" si="5"/>
        <v>42472</v>
      </c>
      <c r="C46" s="47">
        <f>SUMIFS('On The Board'!$M$5:$M$219,'On The Board'!F$5:F$219,"&lt;="&amp;$B46,'On The Board'!E$5:E$219,"="&amp;FutureWork)</f>
        <v>43</v>
      </c>
      <c r="D46" s="12">
        <f ca="1">IF(TodaysDate&gt;=B46,SUMIF('On The Board'!F$5:F$219,"&lt;="&amp;$B46,'On The Board'!$M$5:$M$219)-SUM(E46:I46),D45)</f>
        <v>45</v>
      </c>
      <c r="E46" s="12">
        <f>SUMIF('On The Board'!G$5:G$219,"&lt;="&amp;$B46,'On The Board'!$M$5:$M$219)-SUM(F46:I46)</f>
        <v>0</v>
      </c>
      <c r="F46" s="12">
        <f>SUMIF('On The Board'!H$5:H$219,"&lt;="&amp;$B46,'On The Board'!$M$5:$M$219)-SUM(G46:I46)</f>
        <v>8</v>
      </c>
      <c r="G46" s="12">
        <f>SUMIF('On The Board'!I$5:I$219,"&lt;="&amp;$B46,'On The Board'!$M$5:$M$219)-SUM(H46,I46)</f>
        <v>0</v>
      </c>
      <c r="H46" s="12">
        <f>SUMIF('On The Board'!J$5:J$219,"&lt;="&amp;$B46,'On The Board'!$M$5:$M$219)-SUM(I46)</f>
        <v>0</v>
      </c>
      <c r="I46" s="12">
        <f>SUMIF('On The Board'!K$5:K$219,"&lt;="&amp;$B46,'On The Board'!$M$5:$M$219)</f>
        <v>36</v>
      </c>
      <c r="J46" s="10">
        <f t="shared" si="0"/>
        <v>44</v>
      </c>
      <c r="K46" s="10">
        <f t="shared" ca="1" si="1"/>
        <v>8</v>
      </c>
      <c r="L46" s="44">
        <f t="shared" ca="1" si="8"/>
        <v>4.6363636363636367</v>
      </c>
      <c r="M46" s="44">
        <f t="shared" ca="1" si="7"/>
        <v>0.54545454545454541</v>
      </c>
      <c r="N46" s="44">
        <f t="shared" ca="1" si="6"/>
        <v>8.5000000000000018</v>
      </c>
      <c r="O46" s="53">
        <f t="shared" ca="1" si="9"/>
        <v>5.8724747474747483</v>
      </c>
      <c r="P46" s="53">
        <f ca="1">IFERROR(DayByDayTable[[#This Row],[Lead Time]],"")</f>
        <v>8.5000000000000018</v>
      </c>
      <c r="Q46" s="44">
        <f t="shared" ca="1" si="10"/>
        <v>6.8</v>
      </c>
      <c r="R46" s="44">
        <f ca="1">ROUND(PERCENTILE(DayByDayTable[[#Data],[BlankLeadTime]],0.8),0)</f>
        <v>8</v>
      </c>
    </row>
    <row r="47" spans="1:18">
      <c r="A47" s="51">
        <f t="shared" si="4"/>
        <v>42473</v>
      </c>
      <c r="B47" s="11">
        <f t="shared" si="5"/>
        <v>42473</v>
      </c>
      <c r="C47" s="47">
        <f>SUMIFS('On The Board'!$M$5:$M$219,'On The Board'!F$5:F$219,"&lt;="&amp;$B47,'On The Board'!E$5:E$219,"="&amp;FutureWork)</f>
        <v>43</v>
      </c>
      <c r="D47" s="12">
        <f ca="1">IF(TodaysDate&gt;=B47,SUMIF('On The Board'!F$5:F$219,"&lt;="&amp;$B47,'On The Board'!$M$5:$M$219)-SUM(E47:I47),D46)</f>
        <v>45</v>
      </c>
      <c r="E47" s="12">
        <f>SUMIF('On The Board'!G$5:G$219,"&lt;="&amp;$B47,'On The Board'!$M$5:$M$219)-SUM(F47:I47)</f>
        <v>0</v>
      </c>
      <c r="F47" s="12">
        <f>SUMIF('On The Board'!H$5:H$219,"&lt;="&amp;$B47,'On The Board'!$M$5:$M$219)-SUM(G47:I47)</f>
        <v>7</v>
      </c>
      <c r="G47" s="12">
        <f>SUMIF('On The Board'!I$5:I$219,"&lt;="&amp;$B47,'On The Board'!$M$5:$M$219)-SUM(H47,I47)</f>
        <v>0</v>
      </c>
      <c r="H47" s="12">
        <f>SUMIF('On The Board'!J$5:J$219,"&lt;="&amp;$B47,'On The Board'!$M$5:$M$219)-SUM(I47)</f>
        <v>1</v>
      </c>
      <c r="I47" s="12">
        <f>SUMIF('On The Board'!K$5:K$219,"&lt;="&amp;$B47,'On The Board'!$M$5:$M$219)</f>
        <v>36</v>
      </c>
      <c r="J47" s="10">
        <f t="shared" si="0"/>
        <v>44</v>
      </c>
      <c r="K47" s="10">
        <f t="shared" ca="1" si="1"/>
        <v>8</v>
      </c>
      <c r="L47" s="44">
        <f t="shared" ca="1" si="8"/>
        <v>5</v>
      </c>
      <c r="M47" s="44">
        <f t="shared" ca="1" si="7"/>
        <v>0.54545454545454541</v>
      </c>
      <c r="N47" s="44">
        <f t="shared" ca="1" si="6"/>
        <v>9.1666666666666679</v>
      </c>
      <c r="O47" s="53">
        <f t="shared" ca="1" si="9"/>
        <v>6.2512626262626263</v>
      </c>
      <c r="P47" s="53">
        <f ca="1">IFERROR(DayByDayTable[[#This Row],[Lead Time]],"")</f>
        <v>9.1666666666666679</v>
      </c>
      <c r="Q47" s="44">
        <f t="shared" ca="1" si="10"/>
        <v>6.8</v>
      </c>
      <c r="R47" s="44">
        <f ca="1">ROUND(PERCENTILE(DayByDayTable[[#Data],[BlankLeadTime]],0.8),0)</f>
        <v>8</v>
      </c>
    </row>
    <row r="48" spans="1:18">
      <c r="A48" s="51">
        <f t="shared" si="4"/>
        <v>42474</v>
      </c>
      <c r="B48" s="11">
        <f t="shared" si="5"/>
        <v>42474</v>
      </c>
      <c r="C48" s="47">
        <f>SUMIFS('On The Board'!$M$5:$M$219,'On The Board'!F$5:F$219,"&lt;="&amp;$B48,'On The Board'!E$5:E$219,"="&amp;FutureWork)</f>
        <v>43</v>
      </c>
      <c r="D48" s="12">
        <f ca="1">IF(TodaysDate&gt;=B48,SUMIF('On The Board'!F$5:F$219,"&lt;="&amp;$B48,'On The Board'!$M$5:$M$219)-SUM(E48:I48),D47)</f>
        <v>45</v>
      </c>
      <c r="E48" s="12">
        <f>SUMIF('On The Board'!G$5:G$219,"&lt;="&amp;$B48,'On The Board'!$M$5:$M$219)-SUM(F48:I48)</f>
        <v>0</v>
      </c>
      <c r="F48" s="12">
        <f>SUMIF('On The Board'!H$5:H$219,"&lt;="&amp;$B48,'On The Board'!$M$5:$M$219)-SUM(G48:I48)</f>
        <v>9</v>
      </c>
      <c r="G48" s="12">
        <f>SUMIF('On The Board'!I$5:I$219,"&lt;="&amp;$B48,'On The Board'!$M$5:$M$219)-SUM(H48,I48)</f>
        <v>0</v>
      </c>
      <c r="H48" s="12">
        <f>SUMIF('On The Board'!J$5:J$219,"&lt;="&amp;$B48,'On The Board'!$M$5:$M$219)-SUM(I48)</f>
        <v>1</v>
      </c>
      <c r="I48" s="12">
        <f>SUMIF('On The Board'!K$5:K$219,"&lt;="&amp;$B48,'On The Board'!$M$5:$M$219)</f>
        <v>36</v>
      </c>
      <c r="J48" s="10">
        <f t="shared" si="0"/>
        <v>46</v>
      </c>
      <c r="K48" s="10">
        <f t="shared" ca="1" si="1"/>
        <v>10</v>
      </c>
      <c r="L48" s="44">
        <f t="shared" ca="1" si="8"/>
        <v>5.4545454545454541</v>
      </c>
      <c r="M48" s="44">
        <f t="shared" ca="1" si="7"/>
        <v>0.54545454545454541</v>
      </c>
      <c r="N48" s="44">
        <f t="shared" ca="1" si="6"/>
        <v>10</v>
      </c>
      <c r="O48" s="53">
        <f t="shared" ca="1" si="9"/>
        <v>6.6351010101010104</v>
      </c>
      <c r="P48" s="53">
        <f ca="1">IFERROR(DayByDayTable[[#This Row],[Lead Time]],"")</f>
        <v>10</v>
      </c>
      <c r="Q48" s="44">
        <f t="shared" ca="1" si="10"/>
        <v>8.2000000000000028</v>
      </c>
      <c r="R48" s="44">
        <f ca="1">ROUND(PERCENTILE(DayByDayTable[[#Data],[BlankLeadTime]],0.8),0)</f>
        <v>8</v>
      </c>
    </row>
    <row r="49" spans="1:18">
      <c r="A49" s="51">
        <f t="shared" si="4"/>
        <v>42475</v>
      </c>
      <c r="B49" s="11">
        <f t="shared" si="5"/>
        <v>42475</v>
      </c>
      <c r="C49" s="47">
        <f>SUMIFS('On The Board'!$M$5:$M$219,'On The Board'!F$5:F$219,"&lt;="&amp;$B49,'On The Board'!E$5:E$219,"="&amp;FutureWork)</f>
        <v>43</v>
      </c>
      <c r="D49" s="12">
        <f ca="1">IF(TodaysDate&gt;=B49,SUMIF('On The Board'!F$5:F$219,"&lt;="&amp;$B49,'On The Board'!$M$5:$M$219)-SUM(E49:I49),D48)</f>
        <v>45</v>
      </c>
      <c r="E49" s="12">
        <f>SUMIF('On The Board'!G$5:G$219,"&lt;="&amp;$B49,'On The Board'!$M$5:$M$219)-SUM(F49:I49)</f>
        <v>0</v>
      </c>
      <c r="F49" s="12">
        <f>SUMIF('On The Board'!H$5:H$219,"&lt;="&amp;$B49,'On The Board'!$M$5:$M$219)-SUM(G49:I49)</f>
        <v>4</v>
      </c>
      <c r="G49" s="12">
        <f>SUMIF('On The Board'!I$5:I$219,"&lt;="&amp;$B49,'On The Board'!$M$5:$M$219)-SUM(H49,I49)</f>
        <v>0</v>
      </c>
      <c r="H49" s="12">
        <f>SUMIF('On The Board'!J$5:J$219,"&lt;="&amp;$B49,'On The Board'!$M$5:$M$219)-SUM(I49)</f>
        <v>1</v>
      </c>
      <c r="I49" s="12">
        <f>SUMIF('On The Board'!K$5:K$219,"&lt;="&amp;$B49,'On The Board'!$M$5:$M$219)</f>
        <v>41</v>
      </c>
      <c r="J49" s="10">
        <f t="shared" si="0"/>
        <v>46</v>
      </c>
      <c r="K49" s="10">
        <f t="shared" ca="1" si="1"/>
        <v>5</v>
      </c>
      <c r="L49" s="44">
        <f t="shared" ca="1" si="8"/>
        <v>5.4545454545454541</v>
      </c>
      <c r="M49" s="44">
        <f t="shared" ca="1" si="7"/>
        <v>0.90909090909090906</v>
      </c>
      <c r="N49" s="44">
        <f t="shared" ca="1" si="6"/>
        <v>6</v>
      </c>
      <c r="O49" s="53">
        <f t="shared" ca="1" si="9"/>
        <v>6.6351010101010104</v>
      </c>
      <c r="P49" s="53">
        <f ca="1">IFERROR(DayByDayTable[[#This Row],[Lead Time]],"")</f>
        <v>6</v>
      </c>
      <c r="Q49" s="44">
        <f t="shared" ca="1" si="10"/>
        <v>8.2000000000000028</v>
      </c>
      <c r="R49" s="44">
        <f ca="1">ROUND(PERCENTILE(DayByDayTable[[#Data],[BlankLeadTime]],0.8),0)</f>
        <v>8</v>
      </c>
    </row>
    <row r="50" spans="1:18">
      <c r="A50" s="51">
        <f t="shared" si="4"/>
        <v>42478</v>
      </c>
      <c r="B50" s="11">
        <f t="shared" si="5"/>
        <v>42478</v>
      </c>
      <c r="C50" s="47">
        <f>SUMIFS('On The Board'!$M$5:$M$219,'On The Board'!F$5:F$219,"&lt;="&amp;$B50,'On The Board'!E$5:E$219,"="&amp;FutureWork)</f>
        <v>43</v>
      </c>
      <c r="D50" s="12">
        <f ca="1">IF(TodaysDate&gt;=B50,SUMIF('On The Board'!F$5:F$219,"&lt;="&amp;$B50,'On The Board'!$M$5:$M$219)-SUM(E50:I50),D49)</f>
        <v>45</v>
      </c>
      <c r="E50" s="12">
        <f>SUMIF('On The Board'!G$5:G$219,"&lt;="&amp;$B50,'On The Board'!$M$5:$M$219)-SUM(F50:I50)</f>
        <v>0</v>
      </c>
      <c r="F50" s="12">
        <f>SUMIF('On The Board'!H$5:H$219,"&lt;="&amp;$B50,'On The Board'!$M$5:$M$219)-SUM(G50:I50)</f>
        <v>4</v>
      </c>
      <c r="G50" s="12">
        <f>SUMIF('On The Board'!I$5:I$219,"&lt;="&amp;$B50,'On The Board'!$M$5:$M$219)-SUM(H50,I50)</f>
        <v>0</v>
      </c>
      <c r="H50" s="12">
        <f>SUMIF('On The Board'!J$5:J$219,"&lt;="&amp;$B50,'On The Board'!$M$5:$M$219)-SUM(I50)</f>
        <v>1</v>
      </c>
      <c r="I50" s="12">
        <f>SUMIF('On The Board'!K$5:K$219,"&lt;="&amp;$B50,'On The Board'!$M$5:$M$219)</f>
        <v>41</v>
      </c>
      <c r="J50" s="10">
        <f t="shared" si="0"/>
        <v>46</v>
      </c>
      <c r="K50" s="10">
        <f t="shared" ca="1" si="1"/>
        <v>5</v>
      </c>
      <c r="L50" s="44">
        <f t="shared" ca="1" si="8"/>
        <v>5.4545454545454541</v>
      </c>
      <c r="M50" s="44">
        <f t="shared" ca="1" si="7"/>
        <v>0.81818181818181823</v>
      </c>
      <c r="N50" s="44">
        <f t="shared" ca="1" si="6"/>
        <v>6.6666666666666661</v>
      </c>
      <c r="O50" s="53">
        <f t="shared" ca="1" si="9"/>
        <v>6.7058080808080822</v>
      </c>
      <c r="P50" s="53">
        <f ca="1">IFERROR(DayByDayTable[[#This Row],[Lead Time]],"")</f>
        <v>6.6666666666666661</v>
      </c>
      <c r="Q50" s="44">
        <f t="shared" ca="1" si="10"/>
        <v>8.2000000000000028</v>
      </c>
      <c r="R50" s="44">
        <f ca="1">ROUND(PERCENTILE(DayByDayTable[[#Data],[BlankLeadTime]],0.8),0)</f>
        <v>8</v>
      </c>
    </row>
    <row r="51" spans="1:18">
      <c r="A51" s="51">
        <f t="shared" si="4"/>
        <v>42479</v>
      </c>
      <c r="B51" s="11">
        <f t="shared" si="5"/>
        <v>42479</v>
      </c>
      <c r="C51" s="47">
        <f>SUMIFS('On The Board'!$M$5:$M$219,'On The Board'!F$5:F$219,"&lt;="&amp;$B51,'On The Board'!E$5:E$219,"="&amp;FutureWork)</f>
        <v>43</v>
      </c>
      <c r="D51" s="12">
        <f ca="1">IF(TodaysDate&gt;=B51,SUMIF('On The Board'!F$5:F$219,"&lt;="&amp;$B51,'On The Board'!$M$5:$M$219)-SUM(E51:I51),D50)</f>
        <v>45</v>
      </c>
      <c r="E51" s="12">
        <f>SUMIF('On The Board'!G$5:G$219,"&lt;="&amp;$B51,'On The Board'!$M$5:$M$219)-SUM(F51:I51)</f>
        <v>0</v>
      </c>
      <c r="F51" s="12">
        <f>SUMIF('On The Board'!H$5:H$219,"&lt;="&amp;$B51,'On The Board'!$M$5:$M$219)-SUM(G51:I51)</f>
        <v>4</v>
      </c>
      <c r="G51" s="12">
        <f>SUMIF('On The Board'!I$5:I$219,"&lt;="&amp;$B51,'On The Board'!$M$5:$M$219)-SUM(H51,I51)</f>
        <v>0</v>
      </c>
      <c r="H51" s="12">
        <f>SUMIF('On The Board'!J$5:J$219,"&lt;="&amp;$B51,'On The Board'!$M$5:$M$219)-SUM(I51)</f>
        <v>1</v>
      </c>
      <c r="I51" s="12">
        <f>SUMIF('On The Board'!K$5:K$219,"&lt;="&amp;$B51,'On The Board'!$M$5:$M$219)</f>
        <v>41</v>
      </c>
      <c r="J51" s="10">
        <f t="shared" si="0"/>
        <v>46</v>
      </c>
      <c r="K51" s="10">
        <f t="shared" ca="1" si="1"/>
        <v>5</v>
      </c>
      <c r="L51" s="44">
        <f t="shared" ca="1" si="8"/>
        <v>5.5454545454545459</v>
      </c>
      <c r="M51" s="44">
        <f t="shared" ca="1" si="7"/>
        <v>0.81818181818181823</v>
      </c>
      <c r="N51" s="44">
        <f t="shared" ca="1" si="6"/>
        <v>6.7777777777777777</v>
      </c>
      <c r="O51" s="53">
        <f t="shared" ca="1" si="9"/>
        <v>6.8583333333333334</v>
      </c>
      <c r="P51" s="53">
        <f ca="1">IFERROR(DayByDayTable[[#This Row],[Lead Time]],"")</f>
        <v>6.7777777777777777</v>
      </c>
      <c r="Q51" s="44">
        <f t="shared" ca="1" si="10"/>
        <v>8.2000000000000028</v>
      </c>
      <c r="R51" s="44">
        <f ca="1">ROUND(PERCENTILE(DayByDayTable[[#Data],[BlankLeadTime]],0.8),0)</f>
        <v>8</v>
      </c>
    </row>
    <row r="52" spans="1:18">
      <c r="A52" s="51">
        <f t="shared" si="4"/>
        <v>42480</v>
      </c>
      <c r="B52" s="11">
        <f t="shared" si="5"/>
        <v>42480</v>
      </c>
      <c r="C52" s="47">
        <f>SUMIFS('On The Board'!$M$5:$M$219,'On The Board'!F$5:F$219,"&lt;="&amp;$B52,'On The Board'!E$5:E$219,"="&amp;FutureWork)</f>
        <v>43</v>
      </c>
      <c r="D52" s="12">
        <f ca="1">IF(TodaysDate&gt;=B52,SUMIF('On The Board'!F$5:F$219,"&lt;="&amp;$B52,'On The Board'!$M$5:$M$219)-SUM(E52:I52),D51)</f>
        <v>44</v>
      </c>
      <c r="E52" s="12">
        <f>SUMIF('On The Board'!G$5:G$219,"&lt;="&amp;$B52,'On The Board'!$M$5:$M$219)-SUM(F52:I52)</f>
        <v>0</v>
      </c>
      <c r="F52" s="12">
        <f>SUMIF('On The Board'!H$5:H$219,"&lt;="&amp;$B52,'On The Board'!$M$5:$M$219)-SUM(G52:I52)</f>
        <v>4</v>
      </c>
      <c r="G52" s="12">
        <f>SUMIF('On The Board'!I$5:I$219,"&lt;="&amp;$B52,'On The Board'!$M$5:$M$219)-SUM(H52,I52)</f>
        <v>0</v>
      </c>
      <c r="H52" s="12">
        <f>SUMIF('On The Board'!J$5:J$219,"&lt;="&amp;$B52,'On The Board'!$M$5:$M$219)-SUM(I52)</f>
        <v>1</v>
      </c>
      <c r="I52" s="12">
        <f>SUMIF('On The Board'!K$5:K$219,"&lt;="&amp;$B52,'On The Board'!$M$5:$M$219)</f>
        <v>42</v>
      </c>
      <c r="J52" s="10">
        <f t="shared" si="0"/>
        <v>47</v>
      </c>
      <c r="K52" s="10">
        <f t="shared" ca="1" si="1"/>
        <v>5</v>
      </c>
      <c r="L52" s="44">
        <f t="shared" ca="1" si="8"/>
        <v>5.6363636363636367</v>
      </c>
      <c r="M52" s="44">
        <f t="shared" ca="1" si="7"/>
        <v>0.72727272727272729</v>
      </c>
      <c r="N52" s="44">
        <f t="shared" ca="1" si="6"/>
        <v>7.75</v>
      </c>
      <c r="O52" s="53">
        <f t="shared" ca="1" si="9"/>
        <v>7.1174242424242431</v>
      </c>
      <c r="P52" s="53">
        <f ca="1">IFERROR(DayByDayTable[[#This Row],[Lead Time]],"")</f>
        <v>7.75</v>
      </c>
      <c r="Q52" s="44">
        <f t="shared" ca="1" si="10"/>
        <v>8.3500000000000014</v>
      </c>
      <c r="R52" s="44">
        <f ca="1">ROUND(PERCENTILE(DayByDayTable[[#Data],[BlankLeadTime]],0.8),0)</f>
        <v>8</v>
      </c>
    </row>
    <row r="53" spans="1:18">
      <c r="A53" s="51">
        <f t="shared" si="4"/>
        <v>42481</v>
      </c>
      <c r="B53" s="11">
        <f t="shared" si="5"/>
        <v>42481</v>
      </c>
      <c r="C53" s="47">
        <f>SUMIFS('On The Board'!$M$5:$M$219,'On The Board'!F$5:F$219,"&lt;="&amp;$B53,'On The Board'!E$5:E$219,"="&amp;FutureWork)</f>
        <v>43</v>
      </c>
      <c r="D53" s="12">
        <f ca="1">IF(TodaysDate&gt;=B53,SUMIF('On The Board'!F$5:F$219,"&lt;="&amp;$B53,'On The Board'!$M$5:$M$219)-SUM(E53:I53),D52)</f>
        <v>45</v>
      </c>
      <c r="E53" s="12">
        <f>SUMIF('On The Board'!G$5:G$219,"&lt;="&amp;$B53,'On The Board'!$M$5:$M$219)-SUM(F53:I53)</f>
        <v>0</v>
      </c>
      <c r="F53" s="12">
        <f>SUMIF('On The Board'!H$5:H$219,"&lt;="&amp;$B53,'On The Board'!$M$5:$M$219)-SUM(G53:I53)</f>
        <v>6</v>
      </c>
      <c r="G53" s="12">
        <f>SUMIF('On The Board'!I$5:I$219,"&lt;="&amp;$B53,'On The Board'!$M$5:$M$219)-SUM(H53,I53)</f>
        <v>0</v>
      </c>
      <c r="H53" s="12">
        <f>SUMIF('On The Board'!J$5:J$219,"&lt;="&amp;$B53,'On The Board'!$M$5:$M$219)-SUM(I53)</f>
        <v>0</v>
      </c>
      <c r="I53" s="12">
        <f>SUMIF('On The Board'!K$5:K$219,"&lt;="&amp;$B53,'On The Board'!$M$5:$M$219)</f>
        <v>43</v>
      </c>
      <c r="J53" s="10">
        <f t="shared" si="0"/>
        <v>49</v>
      </c>
      <c r="K53" s="10">
        <f t="shared" ca="1" si="1"/>
        <v>6</v>
      </c>
      <c r="L53" s="44">
        <f t="shared" ca="1" si="8"/>
        <v>5.9090909090909092</v>
      </c>
      <c r="M53" s="44">
        <f t="shared" ca="1" si="7"/>
        <v>0.81818181818181823</v>
      </c>
      <c r="N53" s="44">
        <f t="shared" ca="1" si="6"/>
        <v>7.2222222222222214</v>
      </c>
      <c r="O53" s="53">
        <f t="shared" ca="1" si="9"/>
        <v>7.3093434343434334</v>
      </c>
      <c r="P53" s="53">
        <f ca="1">IFERROR(DayByDayTable[[#This Row],[Lead Time]],"")</f>
        <v>7.2222222222222214</v>
      </c>
      <c r="Q53" s="44">
        <f t="shared" ca="1" si="10"/>
        <v>8.3500000000000014</v>
      </c>
      <c r="R53" s="44">
        <f ca="1">ROUND(PERCENTILE(DayByDayTable[[#Data],[BlankLeadTime]],0.8),0)</f>
        <v>8</v>
      </c>
    </row>
    <row r="54" spans="1:18">
      <c r="A54" s="51">
        <f t="shared" si="4"/>
        <v>42482</v>
      </c>
      <c r="B54" s="11">
        <f t="shared" si="5"/>
        <v>42482</v>
      </c>
      <c r="C54" s="47">
        <f>SUMIFS('On The Board'!$M$5:$M$219,'On The Board'!F$5:F$219,"&lt;="&amp;$B54,'On The Board'!E$5:E$219,"="&amp;FutureWork)</f>
        <v>43</v>
      </c>
      <c r="D54" s="12">
        <f ca="1">IF(TodaysDate&gt;=B54,SUMIF('On The Board'!F$5:F$219,"&lt;="&amp;$B54,'On The Board'!$M$5:$M$219)-SUM(E54:I54),D53)</f>
        <v>44</v>
      </c>
      <c r="E54" s="12">
        <f>SUMIF('On The Board'!G$5:G$219,"&lt;="&amp;$B54,'On The Board'!$M$5:$M$219)-SUM(F54:I54)</f>
        <v>0</v>
      </c>
      <c r="F54" s="12">
        <f>SUMIF('On The Board'!H$5:H$219,"&lt;="&amp;$B54,'On The Board'!$M$5:$M$219)-SUM(G54:I54)</f>
        <v>4</v>
      </c>
      <c r="G54" s="12">
        <f>SUMIF('On The Board'!I$5:I$219,"&lt;="&amp;$B54,'On The Board'!$M$5:$M$219)-SUM(H54,I54)</f>
        <v>0</v>
      </c>
      <c r="H54" s="12">
        <f>SUMIF('On The Board'!J$5:J$219,"&lt;="&amp;$B54,'On The Board'!$M$5:$M$219)-SUM(I54)</f>
        <v>0</v>
      </c>
      <c r="I54" s="12">
        <f>SUMIF('On The Board'!K$5:K$219,"&lt;="&amp;$B54,'On The Board'!$M$5:$M$219)</f>
        <v>48</v>
      </c>
      <c r="J54" s="10">
        <f t="shared" si="0"/>
        <v>52</v>
      </c>
      <c r="K54" s="10">
        <f t="shared" ca="1" si="1"/>
        <v>4</v>
      </c>
      <c r="L54" s="44">
        <f t="shared" ca="1" si="8"/>
        <v>5.9090909090909092</v>
      </c>
      <c r="M54" s="44">
        <f t="shared" ca="1" si="7"/>
        <v>1.2727272727272727</v>
      </c>
      <c r="N54" s="44">
        <f t="shared" ca="1" si="6"/>
        <v>4.6428571428571432</v>
      </c>
      <c r="O54" s="53">
        <f t="shared" ca="1" si="9"/>
        <v>7.1973304473304465</v>
      </c>
      <c r="P54" s="53">
        <f ca="1">IFERROR(DayByDayTable[[#This Row],[Lead Time]],"")</f>
        <v>4.6428571428571432</v>
      </c>
      <c r="Q54" s="44">
        <f t="shared" ca="1" si="10"/>
        <v>8.3500000000000014</v>
      </c>
      <c r="R54" s="44">
        <f ca="1">ROUND(PERCENTILE(DayByDayTable[[#Data],[BlankLeadTime]],0.8),0)</f>
        <v>8</v>
      </c>
    </row>
    <row r="55" spans="1:18">
      <c r="A55" s="51">
        <f t="shared" si="4"/>
        <v>42485</v>
      </c>
      <c r="B55" s="11">
        <f t="shared" si="5"/>
        <v>42485</v>
      </c>
      <c r="C55" s="47">
        <f>SUMIFS('On The Board'!$M$5:$M$219,'On The Board'!F$5:F$219,"&lt;="&amp;$B55,'On The Board'!E$5:E$219,"="&amp;FutureWork)</f>
        <v>43</v>
      </c>
      <c r="D55" s="12">
        <f ca="1">IF(TodaysDate&gt;=B55,SUMIF('On The Board'!F$5:F$219,"&lt;="&amp;$B55,'On The Board'!$M$5:$M$219)-SUM(E55:I55),D54)</f>
        <v>44</v>
      </c>
      <c r="E55" s="12">
        <f>SUMIF('On The Board'!G$5:G$219,"&lt;="&amp;$B55,'On The Board'!$M$5:$M$219)-SUM(F55:I55)</f>
        <v>0</v>
      </c>
      <c r="F55" s="12">
        <f>SUMIF('On The Board'!H$5:H$219,"&lt;="&amp;$B55,'On The Board'!$M$5:$M$219)-SUM(G55:I55)</f>
        <v>4</v>
      </c>
      <c r="G55" s="12">
        <f>SUMIF('On The Board'!I$5:I$219,"&lt;="&amp;$B55,'On The Board'!$M$5:$M$219)-SUM(H55,I55)</f>
        <v>0</v>
      </c>
      <c r="H55" s="12">
        <f>SUMIF('On The Board'!J$5:J$219,"&lt;="&amp;$B55,'On The Board'!$M$5:$M$219)-SUM(I55)</f>
        <v>0</v>
      </c>
      <c r="I55" s="12">
        <f>SUMIF('On The Board'!K$5:K$219,"&lt;="&amp;$B55,'On The Board'!$M$5:$M$219)</f>
        <v>48</v>
      </c>
      <c r="J55" s="10">
        <f t="shared" si="0"/>
        <v>52</v>
      </c>
      <c r="K55" s="10">
        <f t="shared" ca="1" si="1"/>
        <v>4</v>
      </c>
      <c r="L55" s="44">
        <f t="shared" ca="1" si="8"/>
        <v>5.9090909090909092</v>
      </c>
      <c r="M55" s="44">
        <f t="shared" ca="1" si="7"/>
        <v>1.0909090909090908</v>
      </c>
      <c r="N55" s="44">
        <f t="shared" ca="1" si="6"/>
        <v>5.416666666666667</v>
      </c>
      <c r="O55" s="53">
        <f t="shared" ca="1" si="9"/>
        <v>7.0533910533910529</v>
      </c>
      <c r="P55" s="53">
        <f ca="1">IFERROR(DayByDayTable[[#This Row],[Lead Time]],"")</f>
        <v>5.416666666666667</v>
      </c>
      <c r="Q55" s="44">
        <f t="shared" ca="1" si="10"/>
        <v>8.3500000000000014</v>
      </c>
      <c r="R55" s="44">
        <f ca="1">ROUND(PERCENTILE(DayByDayTable[[#Data],[BlankLeadTime]],0.8),0)</f>
        <v>8</v>
      </c>
    </row>
    <row r="56" spans="1:18">
      <c r="A56" s="51">
        <f t="shared" si="4"/>
        <v>42486</v>
      </c>
      <c r="B56" s="11">
        <f t="shared" si="5"/>
        <v>42486</v>
      </c>
      <c r="C56" s="47">
        <f>SUMIFS('On The Board'!$M$5:$M$219,'On The Board'!F$5:F$219,"&lt;="&amp;$B56,'On The Board'!E$5:E$219,"="&amp;FutureWork)</f>
        <v>43</v>
      </c>
      <c r="D56" s="12">
        <f ca="1">IF(TodaysDate&gt;=B56,SUMIF('On The Board'!F$5:F$219,"&lt;="&amp;$B56,'On The Board'!$M$5:$M$219)-SUM(E56:I56),D55)</f>
        <v>44</v>
      </c>
      <c r="E56" s="12">
        <f>SUMIF('On The Board'!G$5:G$219,"&lt;="&amp;$B56,'On The Board'!$M$5:$M$219)-SUM(F56:I56)</f>
        <v>0</v>
      </c>
      <c r="F56" s="12">
        <f>SUMIF('On The Board'!H$5:H$219,"&lt;="&amp;$B56,'On The Board'!$M$5:$M$219)-SUM(G56:I56)</f>
        <v>4</v>
      </c>
      <c r="G56" s="12">
        <f>SUMIF('On The Board'!I$5:I$219,"&lt;="&amp;$B56,'On The Board'!$M$5:$M$219)-SUM(H56,I56)</f>
        <v>0</v>
      </c>
      <c r="H56" s="12">
        <f>SUMIF('On The Board'!J$5:J$219,"&lt;="&amp;$B56,'On The Board'!$M$5:$M$219)-SUM(I56)</f>
        <v>0</v>
      </c>
      <c r="I56" s="12">
        <f>SUMIF('On The Board'!K$5:K$219,"&lt;="&amp;$B56,'On The Board'!$M$5:$M$219)</f>
        <v>49</v>
      </c>
      <c r="J56" s="10">
        <f t="shared" si="0"/>
        <v>53</v>
      </c>
      <c r="K56" s="10">
        <f t="shared" ca="1" si="1"/>
        <v>4</v>
      </c>
      <c r="L56" s="44">
        <f t="shared" ca="1" si="8"/>
        <v>5.8181818181818183</v>
      </c>
      <c r="M56" s="44">
        <f t="shared" ca="1" si="7"/>
        <v>1.1818181818181819</v>
      </c>
      <c r="N56" s="44">
        <f t="shared" ca="1" si="6"/>
        <v>4.9230769230769234</v>
      </c>
      <c r="O56" s="53">
        <f t="shared" ca="1" si="9"/>
        <v>7.0059940059940065</v>
      </c>
      <c r="P56" s="53">
        <f ca="1">IFERROR(DayByDayTable[[#This Row],[Lead Time]],"")</f>
        <v>4.9230769230769234</v>
      </c>
      <c r="Q56" s="44">
        <f t="shared" ca="1" si="10"/>
        <v>8.3500000000000014</v>
      </c>
      <c r="R56" s="44">
        <f ca="1">ROUND(PERCENTILE(DayByDayTable[[#Data],[BlankLeadTime]],0.8),0)</f>
        <v>8</v>
      </c>
    </row>
    <row r="57" spans="1:18">
      <c r="A57" s="51">
        <f t="shared" si="4"/>
        <v>42487</v>
      </c>
      <c r="B57" s="11">
        <f t="shared" si="5"/>
        <v>42487</v>
      </c>
      <c r="C57" s="47">
        <f>SUMIFS('On The Board'!$M$5:$M$219,'On The Board'!F$5:F$219,"&lt;="&amp;$B57,'On The Board'!E$5:E$219,"="&amp;FutureWork)</f>
        <v>43</v>
      </c>
      <c r="D57" s="12">
        <f ca="1">IF(TodaysDate&gt;=B57,SUMIF('On The Board'!F$5:F$219,"&lt;="&amp;$B57,'On The Board'!$M$5:$M$219)-SUM(E57:I57),D56)</f>
        <v>44</v>
      </c>
      <c r="E57" s="12">
        <f>SUMIF('On The Board'!G$5:G$219,"&lt;="&amp;$B57,'On The Board'!$M$5:$M$219)-SUM(F57:I57)</f>
        <v>0</v>
      </c>
      <c r="F57" s="12">
        <f>SUMIF('On The Board'!H$5:H$219,"&lt;="&amp;$B57,'On The Board'!$M$5:$M$219)-SUM(G57:I57)</f>
        <v>6</v>
      </c>
      <c r="G57" s="12">
        <f>SUMIF('On The Board'!I$5:I$219,"&lt;="&amp;$B57,'On The Board'!$M$5:$M$219)-SUM(H57,I57)</f>
        <v>0</v>
      </c>
      <c r="H57" s="12">
        <f>SUMIF('On The Board'!J$5:J$219,"&lt;="&amp;$B57,'On The Board'!$M$5:$M$219)-SUM(I57)</f>
        <v>0</v>
      </c>
      <c r="I57" s="12">
        <f>SUMIF('On The Board'!K$5:K$219,"&lt;="&amp;$B57,'On The Board'!$M$5:$M$219)</f>
        <v>49</v>
      </c>
      <c r="J57" s="10">
        <f t="shared" si="0"/>
        <v>55</v>
      </c>
      <c r="K57" s="10">
        <f t="shared" ca="1" si="1"/>
        <v>6</v>
      </c>
      <c r="L57" s="44">
        <f t="shared" ca="1" si="8"/>
        <v>5.6363636363636367</v>
      </c>
      <c r="M57" s="44">
        <f t="shared" ca="1" si="7"/>
        <v>1.1818181818181819</v>
      </c>
      <c r="N57" s="44">
        <f t="shared" ca="1" si="6"/>
        <v>4.7692307692307692</v>
      </c>
      <c r="O57" s="53">
        <f t="shared" ca="1" si="9"/>
        <v>6.6668331668331682</v>
      </c>
      <c r="P57" s="53">
        <f ca="1">IFERROR(DayByDayTable[[#This Row],[Lead Time]],"")</f>
        <v>4.7692307692307692</v>
      </c>
      <c r="Q57" s="44">
        <f t="shared" ca="1" si="10"/>
        <v>8.3500000000000014</v>
      </c>
      <c r="R57" s="44">
        <f ca="1">ROUND(PERCENTILE(DayByDayTable[[#Data],[BlankLeadTime]],0.8),0)</f>
        <v>8</v>
      </c>
    </row>
    <row r="58" spans="1:18">
      <c r="A58" s="51">
        <f t="shared" si="4"/>
        <v>42488</v>
      </c>
      <c r="B58" s="11">
        <f t="shared" si="5"/>
        <v>42488</v>
      </c>
      <c r="C58" s="47">
        <f>SUMIFS('On The Board'!$M$5:$M$219,'On The Board'!F$5:F$219,"&lt;="&amp;$B58,'On The Board'!E$5:E$219,"="&amp;FutureWork)</f>
        <v>43</v>
      </c>
      <c r="D58" s="12">
        <f ca="1">IF(TodaysDate&gt;=B58,SUMIF('On The Board'!F$5:F$219,"&lt;="&amp;$B58,'On The Board'!$M$5:$M$219)-SUM(E58:I58),D57)</f>
        <v>44</v>
      </c>
      <c r="E58" s="12">
        <f>SUMIF('On The Board'!G$5:G$219,"&lt;="&amp;$B58,'On The Board'!$M$5:$M$219)-SUM(F58:I58)</f>
        <v>0</v>
      </c>
      <c r="F58" s="12">
        <f>SUMIF('On The Board'!H$5:H$219,"&lt;="&amp;$B58,'On The Board'!$M$5:$M$219)-SUM(G58:I58)</f>
        <v>6</v>
      </c>
      <c r="G58" s="12">
        <f>SUMIF('On The Board'!I$5:I$219,"&lt;="&amp;$B58,'On The Board'!$M$5:$M$219)-SUM(H58,I58)</f>
        <v>0</v>
      </c>
      <c r="H58" s="12">
        <f>SUMIF('On The Board'!J$5:J$219,"&lt;="&amp;$B58,'On The Board'!$M$5:$M$219)-SUM(I58)</f>
        <v>0</v>
      </c>
      <c r="I58" s="12">
        <f>SUMIF('On The Board'!K$5:K$219,"&lt;="&amp;$B58,'On The Board'!$M$5:$M$219)</f>
        <v>50</v>
      </c>
      <c r="J58" s="10">
        <f t="shared" si="0"/>
        <v>56</v>
      </c>
      <c r="K58" s="10">
        <f t="shared" ca="1" si="1"/>
        <v>6</v>
      </c>
      <c r="L58" s="44">
        <f t="shared" ca="1" si="8"/>
        <v>5.4545454545454541</v>
      </c>
      <c r="M58" s="44">
        <f t="shared" ca="1" si="7"/>
        <v>1.2727272727272727</v>
      </c>
      <c r="N58" s="44">
        <f t="shared" ca="1" si="6"/>
        <v>4.2857142857142856</v>
      </c>
      <c r="O58" s="53">
        <f t="shared" ca="1" si="9"/>
        <v>6.2231102231102247</v>
      </c>
      <c r="P58" s="53">
        <f ca="1">IFERROR(DayByDayTable[[#This Row],[Lead Time]],"")</f>
        <v>4.2857142857142856</v>
      </c>
      <c r="Q58" s="44">
        <f t="shared" ca="1" si="10"/>
        <v>7.6444444444444448</v>
      </c>
      <c r="R58" s="44">
        <f ca="1">ROUND(PERCENTILE(DayByDayTable[[#Data],[BlankLeadTime]],0.8),0)</f>
        <v>8</v>
      </c>
    </row>
    <row r="59" spans="1:18">
      <c r="A59" s="51">
        <f t="shared" si="4"/>
        <v>42489</v>
      </c>
      <c r="B59" s="11">
        <f t="shared" si="5"/>
        <v>42489</v>
      </c>
      <c r="C59" s="47">
        <f>SUMIFS('On The Board'!$M$5:$M$219,'On The Board'!F$5:F$219,"&lt;="&amp;$B59,'On The Board'!E$5:E$219,"="&amp;FutureWork)</f>
        <v>43</v>
      </c>
      <c r="D59" s="12">
        <f ca="1">IF(TodaysDate&gt;=B59,SUMIF('On The Board'!F$5:F$219,"&lt;="&amp;$B59,'On The Board'!$M$5:$M$219)-SUM(E59:I59),D58)</f>
        <v>44</v>
      </c>
      <c r="E59" s="12">
        <f>SUMIF('On The Board'!G$5:G$219,"&lt;="&amp;$B59,'On The Board'!$M$5:$M$219)-SUM(F59:I59)</f>
        <v>0</v>
      </c>
      <c r="F59" s="12">
        <f>SUMIF('On The Board'!H$5:H$219,"&lt;="&amp;$B59,'On The Board'!$M$5:$M$219)-SUM(G59:I59)</f>
        <v>6</v>
      </c>
      <c r="G59" s="12">
        <f>SUMIF('On The Board'!I$5:I$219,"&lt;="&amp;$B59,'On The Board'!$M$5:$M$219)-SUM(H59,I59)</f>
        <v>0</v>
      </c>
      <c r="H59" s="12">
        <f>SUMIF('On The Board'!J$5:J$219,"&lt;="&amp;$B59,'On The Board'!$M$5:$M$219)-SUM(I59)</f>
        <v>0</v>
      </c>
      <c r="I59" s="12">
        <f>SUMIF('On The Board'!K$5:K$219,"&lt;="&amp;$B59,'On The Board'!$M$5:$M$219)</f>
        <v>50</v>
      </c>
      <c r="J59" s="10">
        <f t="shared" si="0"/>
        <v>56</v>
      </c>
      <c r="K59" s="10">
        <f t="shared" ca="1" si="1"/>
        <v>6</v>
      </c>
      <c r="L59" s="44">
        <f t="shared" ca="1" si="8"/>
        <v>5.0909090909090908</v>
      </c>
      <c r="M59" s="44">
        <f t="shared" ca="1" si="7"/>
        <v>0.81818181818181823</v>
      </c>
      <c r="N59" s="44">
        <f t="shared" ca="1" si="6"/>
        <v>6.2222222222222214</v>
      </c>
      <c r="O59" s="53">
        <f t="shared" ca="1" si="9"/>
        <v>5.8796758796758786</v>
      </c>
      <c r="P59" s="53">
        <f ca="1">IFERROR(DayByDayTable[[#This Row],[Lead Time]],"")</f>
        <v>6.2222222222222214</v>
      </c>
      <c r="Q59" s="44">
        <f t="shared" ca="1" si="10"/>
        <v>7.1333333333333329</v>
      </c>
      <c r="R59" s="44">
        <f ca="1">ROUND(PERCENTILE(DayByDayTable[[#Data],[BlankLeadTime]],0.8),0)</f>
        <v>8</v>
      </c>
    </row>
    <row r="60" spans="1:18">
      <c r="A60" s="51">
        <f t="shared" si="4"/>
        <v>42493</v>
      </c>
      <c r="B60" s="11">
        <f t="shared" si="5"/>
        <v>42493</v>
      </c>
      <c r="C60" s="47">
        <f>SUMIFS('On The Board'!$M$5:$M$219,'On The Board'!F$5:F$219,"&lt;="&amp;$B60,'On The Board'!E$5:E$219,"="&amp;FutureWork)</f>
        <v>43</v>
      </c>
      <c r="D60" s="12">
        <f ca="1">IF(TodaysDate&gt;=B60,SUMIF('On The Board'!F$5:F$219,"&lt;="&amp;$B60,'On The Board'!$M$5:$M$219)-SUM(E60:I60),D59)</f>
        <v>44</v>
      </c>
      <c r="E60" s="12">
        <f>SUMIF('On The Board'!G$5:G$219,"&lt;="&amp;$B60,'On The Board'!$M$5:$M$219)-SUM(F60:I60)</f>
        <v>0</v>
      </c>
      <c r="F60" s="12">
        <f>SUMIF('On The Board'!H$5:H$219,"&lt;="&amp;$B60,'On The Board'!$M$5:$M$219)-SUM(G60:I60)</f>
        <v>6</v>
      </c>
      <c r="G60" s="12">
        <f>SUMIF('On The Board'!I$5:I$219,"&lt;="&amp;$B60,'On The Board'!$M$5:$M$219)-SUM(H60,I60)</f>
        <v>0</v>
      </c>
      <c r="H60" s="12">
        <f>SUMIF('On The Board'!J$5:J$219,"&lt;="&amp;$B60,'On The Board'!$M$5:$M$219)-SUM(I60)</f>
        <v>0</v>
      </c>
      <c r="I60" s="12">
        <f>SUMIF('On The Board'!K$5:K$219,"&lt;="&amp;$B60,'On The Board'!$M$5:$M$219)</f>
        <v>50</v>
      </c>
      <c r="J60" s="10">
        <f t="shared" si="0"/>
        <v>56</v>
      </c>
      <c r="K60" s="10">
        <f t="shared" ca="1" si="1"/>
        <v>6</v>
      </c>
      <c r="L60" s="44">
        <f t="shared" ca="1" si="8"/>
        <v>5.1818181818181817</v>
      </c>
      <c r="M60" s="44">
        <f t="shared" ca="1" si="7"/>
        <v>0.81818181818181823</v>
      </c>
      <c r="N60" s="44">
        <f t="shared" ca="1" si="6"/>
        <v>6.333333333333333</v>
      </c>
      <c r="O60" s="53">
        <f t="shared" ca="1" si="9"/>
        <v>5.9099789099789097</v>
      </c>
      <c r="P60" s="53">
        <f ca="1">IFERROR(DayByDayTable[[#This Row],[Lead Time]],"")</f>
        <v>6.333333333333333</v>
      </c>
      <c r="Q60" s="44">
        <f t="shared" ca="1" si="10"/>
        <v>6.7555555555555555</v>
      </c>
      <c r="R60" s="44">
        <f ca="1">ROUND(PERCENTILE(DayByDayTable[[#Data],[BlankLeadTime]],0.8),0)</f>
        <v>8</v>
      </c>
    </row>
    <row r="61" spans="1:18">
      <c r="A61" s="51">
        <f t="shared" si="4"/>
        <v>42494</v>
      </c>
      <c r="B61" s="11">
        <f t="shared" si="5"/>
        <v>42494</v>
      </c>
      <c r="C61" s="47">
        <f>SUMIFS('On The Board'!$M$5:$M$219,'On The Board'!F$5:F$219,"&lt;="&amp;$B61,'On The Board'!E$5:E$219,"="&amp;FutureWork)</f>
        <v>43</v>
      </c>
      <c r="D61" s="12">
        <f ca="1">IF(TodaysDate&gt;=B61,SUMIF('On The Board'!F$5:F$219,"&lt;="&amp;$B61,'On The Board'!$M$5:$M$219)-SUM(E61:I61),D60)</f>
        <v>44</v>
      </c>
      <c r="E61" s="12">
        <f>SUMIF('On The Board'!G$5:G$219,"&lt;="&amp;$B61,'On The Board'!$M$5:$M$219)-SUM(F61:I61)</f>
        <v>0</v>
      </c>
      <c r="F61" s="12">
        <f>SUMIF('On The Board'!H$5:H$219,"&lt;="&amp;$B61,'On The Board'!$M$5:$M$219)-SUM(G61:I61)</f>
        <v>7</v>
      </c>
      <c r="G61" s="12">
        <f>SUMIF('On The Board'!I$5:I$219,"&lt;="&amp;$B61,'On The Board'!$M$5:$M$219)-SUM(H61,I61)</f>
        <v>0</v>
      </c>
      <c r="H61" s="12">
        <f>SUMIF('On The Board'!J$5:J$219,"&lt;="&amp;$B61,'On The Board'!$M$5:$M$219)-SUM(I61)</f>
        <v>0</v>
      </c>
      <c r="I61" s="12">
        <f>SUMIF('On The Board'!K$5:K$219,"&lt;="&amp;$B61,'On The Board'!$M$5:$M$219)</f>
        <v>50</v>
      </c>
      <c r="J61" s="10">
        <f t="shared" si="0"/>
        <v>57</v>
      </c>
      <c r="K61" s="10">
        <f t="shared" ca="1" si="1"/>
        <v>7</v>
      </c>
      <c r="L61" s="44">
        <f t="shared" ca="1" si="8"/>
        <v>5.3636363636363633</v>
      </c>
      <c r="M61" s="44">
        <f t="shared" ca="1" si="7"/>
        <v>0.81818181818181823</v>
      </c>
      <c r="N61" s="44">
        <f t="shared" ca="1" si="6"/>
        <v>6.5555555555555545</v>
      </c>
      <c r="O61" s="53">
        <f t="shared" ca="1" si="9"/>
        <v>5.8998778998778993</v>
      </c>
      <c r="P61" s="53">
        <f ca="1">IFERROR(DayByDayTable[[#This Row],[Lead Time]],"")</f>
        <v>6.5555555555555545</v>
      </c>
      <c r="Q61" s="44">
        <f t="shared" ca="1" si="10"/>
        <v>6.7555555555555555</v>
      </c>
      <c r="R61" s="44">
        <f ca="1">ROUND(PERCENTILE(DayByDayTable[[#Data],[BlankLeadTime]],0.8),0)</f>
        <v>8</v>
      </c>
    </row>
    <row r="62" spans="1:18">
      <c r="A62" s="51">
        <f t="shared" si="4"/>
        <v>42495</v>
      </c>
      <c r="B62" s="11">
        <f t="shared" si="5"/>
        <v>42495</v>
      </c>
      <c r="C62" s="47">
        <f>SUMIFS('On The Board'!$M$5:$M$219,'On The Board'!F$5:F$219,"&lt;="&amp;$B62,'On The Board'!E$5:E$219,"="&amp;FutureWork)</f>
        <v>43</v>
      </c>
      <c r="D62" s="12">
        <f ca="1">IF(TodaysDate&gt;=B62,SUMIF('On The Board'!F$5:F$219,"&lt;="&amp;$B62,'On The Board'!$M$5:$M$219)-SUM(E62:I62),D61)</f>
        <v>44</v>
      </c>
      <c r="E62" s="12">
        <f>SUMIF('On The Board'!G$5:G$219,"&lt;="&amp;$B62,'On The Board'!$M$5:$M$219)-SUM(F62:I62)</f>
        <v>0</v>
      </c>
      <c r="F62" s="12">
        <f>SUMIF('On The Board'!H$5:H$219,"&lt;="&amp;$B62,'On The Board'!$M$5:$M$219)-SUM(G62:I62)</f>
        <v>8</v>
      </c>
      <c r="G62" s="12">
        <f>SUMIF('On The Board'!I$5:I$219,"&lt;="&amp;$B62,'On The Board'!$M$5:$M$219)-SUM(H62,I62)</f>
        <v>0</v>
      </c>
      <c r="H62" s="12">
        <f>SUMIF('On The Board'!J$5:J$219,"&lt;="&amp;$B62,'On The Board'!$M$5:$M$219)-SUM(I62)</f>
        <v>0</v>
      </c>
      <c r="I62" s="12">
        <f>SUMIF('On The Board'!K$5:K$219,"&lt;="&amp;$B62,'On The Board'!$M$5:$M$219)</f>
        <v>50</v>
      </c>
      <c r="J62" s="10">
        <f t="shared" si="0"/>
        <v>58</v>
      </c>
      <c r="K62" s="10">
        <f t="shared" ca="1" si="1"/>
        <v>8</v>
      </c>
      <c r="L62" s="44">
        <f t="shared" ca="1" si="8"/>
        <v>5.6363636363636367</v>
      </c>
      <c r="M62" s="44">
        <f t="shared" ca="1" si="7"/>
        <v>0.72727272727272729</v>
      </c>
      <c r="N62" s="44">
        <f t="shared" ca="1" si="6"/>
        <v>7.75</v>
      </c>
      <c r="O62" s="53">
        <f t="shared" ca="1" si="9"/>
        <v>5.9882617382617385</v>
      </c>
      <c r="P62" s="53">
        <f ca="1">IFERROR(DayByDayTable[[#This Row],[Lead Time]],"")</f>
        <v>7.75</v>
      </c>
      <c r="Q62" s="44">
        <f t="shared" ca="1" si="10"/>
        <v>7.1333333333333329</v>
      </c>
      <c r="R62" s="44">
        <f ca="1">ROUND(PERCENTILE(DayByDayTable[[#Data],[BlankLeadTime]],0.8),0)</f>
        <v>8</v>
      </c>
    </row>
    <row r="63" spans="1:18">
      <c r="A63" s="51">
        <f t="shared" si="4"/>
        <v>42496</v>
      </c>
      <c r="B63" s="11">
        <f t="shared" si="5"/>
        <v>42496</v>
      </c>
      <c r="C63" s="47">
        <f>SUMIFS('On The Board'!$M$5:$M$219,'On The Board'!F$5:F$219,"&lt;="&amp;$B63,'On The Board'!E$5:E$219,"="&amp;FutureWork)</f>
        <v>43</v>
      </c>
      <c r="D63" s="12">
        <f ca="1">IF(TodaysDate&gt;=B63,SUMIF('On The Board'!F$5:F$219,"&lt;="&amp;$B63,'On The Board'!$M$5:$M$219)-SUM(E63:I63),D62)</f>
        <v>44</v>
      </c>
      <c r="E63" s="12">
        <f>SUMIF('On The Board'!G$5:G$219,"&lt;="&amp;$B63,'On The Board'!$M$5:$M$219)-SUM(F63:I63)</f>
        <v>0</v>
      </c>
      <c r="F63" s="12">
        <f>SUMIF('On The Board'!H$5:H$219,"&lt;="&amp;$B63,'On The Board'!$M$5:$M$219)-SUM(G63:I63)</f>
        <v>4</v>
      </c>
      <c r="G63" s="12">
        <f>SUMIF('On The Board'!I$5:I$219,"&lt;="&amp;$B63,'On The Board'!$M$5:$M$219)-SUM(H63,I63)</f>
        <v>0</v>
      </c>
      <c r="H63" s="12">
        <f>SUMIF('On The Board'!J$5:J$219,"&lt;="&amp;$B63,'On The Board'!$M$5:$M$219)-SUM(I63)</f>
        <v>0</v>
      </c>
      <c r="I63" s="12">
        <f>SUMIF('On The Board'!K$5:K$219,"&lt;="&amp;$B63,'On The Board'!$M$5:$M$219)</f>
        <v>54</v>
      </c>
      <c r="J63" s="10">
        <f t="shared" si="0"/>
        <v>58</v>
      </c>
      <c r="K63" s="10">
        <f t="shared" ca="1" si="1"/>
        <v>4</v>
      </c>
      <c r="L63" s="44">
        <f t="shared" ca="1" si="8"/>
        <v>5.5454545454545459</v>
      </c>
      <c r="M63" s="44">
        <f t="shared" ca="1" si="7"/>
        <v>1</v>
      </c>
      <c r="N63" s="44">
        <f t="shared" ca="1" si="6"/>
        <v>5.5454545454545459</v>
      </c>
      <c r="O63" s="53">
        <f t="shared" ca="1" si="9"/>
        <v>5.7878485151212429</v>
      </c>
      <c r="P63" s="53">
        <f ca="1">IFERROR(DayByDayTable[[#This Row],[Lead Time]],"")</f>
        <v>5.5454545454545459</v>
      </c>
      <c r="Q63" s="44">
        <f t="shared" ca="1" si="10"/>
        <v>7.0888888888888886</v>
      </c>
      <c r="R63" s="44">
        <f ca="1">ROUND(PERCENTILE(DayByDayTable[[#Data],[BlankLeadTime]],0.8),0)</f>
        <v>8</v>
      </c>
    </row>
    <row r="64" spans="1:18">
      <c r="A64" s="51">
        <f t="shared" si="4"/>
        <v>42499</v>
      </c>
      <c r="B64" s="11">
        <f t="shared" si="5"/>
        <v>42499</v>
      </c>
      <c r="C64" s="47">
        <f>SUMIFS('On The Board'!$M$5:$M$219,'On The Board'!F$5:F$219,"&lt;="&amp;$B64,'On The Board'!E$5:E$219,"="&amp;FutureWork)</f>
        <v>43</v>
      </c>
      <c r="D64" s="12">
        <f ca="1">IF(TodaysDate&gt;=B64,SUMIF('On The Board'!F$5:F$219,"&lt;="&amp;$B64,'On The Board'!$M$5:$M$219)-SUM(E64:I64),D63)</f>
        <v>49</v>
      </c>
      <c r="E64" s="12">
        <f>SUMIF('On The Board'!G$5:G$219,"&lt;="&amp;$B64,'On The Board'!$M$5:$M$219)-SUM(F64:I64)</f>
        <v>0</v>
      </c>
      <c r="F64" s="12">
        <f>SUMIF('On The Board'!H$5:H$219,"&lt;="&amp;$B64,'On The Board'!$M$5:$M$219)-SUM(G64:I64)</f>
        <v>2</v>
      </c>
      <c r="G64" s="12">
        <f>SUMIF('On The Board'!I$5:I$219,"&lt;="&amp;$B64,'On The Board'!$M$5:$M$219)-SUM(H64,I64)</f>
        <v>0</v>
      </c>
      <c r="H64" s="12">
        <f>SUMIF('On The Board'!J$5:J$219,"&lt;="&amp;$B64,'On The Board'!$M$5:$M$219)-SUM(I64)</f>
        <v>0</v>
      </c>
      <c r="I64" s="12">
        <f>SUMIF('On The Board'!K$5:K$219,"&lt;="&amp;$B64,'On The Board'!$M$5:$M$219)</f>
        <v>56</v>
      </c>
      <c r="J64" s="10">
        <f t="shared" si="0"/>
        <v>58</v>
      </c>
      <c r="K64" s="10">
        <f t="shared" ca="1" si="1"/>
        <v>2</v>
      </c>
      <c r="L64" s="44">
        <f t="shared" ca="1" si="8"/>
        <v>5.1818181818181817</v>
      </c>
      <c r="M64" s="44">
        <f t="shared" ca="1" si="7"/>
        <v>0.72727272727272729</v>
      </c>
      <c r="N64" s="44">
        <f t="shared" ca="1" si="6"/>
        <v>7.125</v>
      </c>
      <c r="O64" s="53">
        <f t="shared" ca="1" si="9"/>
        <v>5.7790101312828588</v>
      </c>
      <c r="P64" s="53">
        <f ca="1">IFERROR(DayByDayTable[[#This Row],[Lead Time]],"")</f>
        <v>7.125</v>
      </c>
      <c r="Q64" s="44">
        <f t="shared" ca="1" si="10"/>
        <v>7.0111111111111111</v>
      </c>
      <c r="R64" s="44">
        <f ca="1">ROUND(PERCENTILE(DayByDayTable[[#Data],[BlankLeadTime]],0.8),0)</f>
        <v>8</v>
      </c>
    </row>
    <row r="65" spans="1:18">
      <c r="A65" s="51">
        <f t="shared" si="4"/>
        <v>42500</v>
      </c>
      <c r="B65" s="11">
        <f t="shared" si="5"/>
        <v>42500</v>
      </c>
      <c r="C65" s="47">
        <f>SUMIFS('On The Board'!$M$5:$M$219,'On The Board'!F$5:F$219,"&lt;="&amp;$B65,'On The Board'!E$5:E$219,"="&amp;FutureWork)</f>
        <v>43</v>
      </c>
      <c r="D65" s="12">
        <f ca="1">IF(TodaysDate&gt;=B65,SUMIF('On The Board'!F$5:F$219,"&lt;="&amp;$B65,'On The Board'!$M$5:$M$219)-SUM(E65:I65),D64)</f>
        <v>48</v>
      </c>
      <c r="E65" s="12">
        <f>SUMIF('On The Board'!G$5:G$219,"&lt;="&amp;$B65,'On The Board'!$M$5:$M$219)-SUM(F65:I65)</f>
        <v>0</v>
      </c>
      <c r="F65" s="12">
        <f>SUMIF('On The Board'!H$5:H$219,"&lt;="&amp;$B65,'On The Board'!$M$5:$M$219)-SUM(G65:I65)</f>
        <v>5</v>
      </c>
      <c r="G65" s="12">
        <f>SUMIF('On The Board'!I$5:I$219,"&lt;="&amp;$B65,'On The Board'!$M$5:$M$219)-SUM(H65,I65)</f>
        <v>0</v>
      </c>
      <c r="H65" s="12">
        <f>SUMIF('On The Board'!J$5:J$219,"&lt;="&amp;$B65,'On The Board'!$M$5:$M$219)-SUM(I65)</f>
        <v>0</v>
      </c>
      <c r="I65" s="12">
        <f>SUMIF('On The Board'!K$5:K$219,"&lt;="&amp;$B65,'On The Board'!$M$5:$M$219)</f>
        <v>56</v>
      </c>
      <c r="J65" s="10">
        <f t="shared" si="0"/>
        <v>61</v>
      </c>
      <c r="K65" s="10">
        <f t="shared" ca="1" si="1"/>
        <v>5</v>
      </c>
      <c r="L65" s="44">
        <f t="shared" ca="1" si="8"/>
        <v>5.2727272727272725</v>
      </c>
      <c r="M65" s="44">
        <f t="shared" ca="1" si="7"/>
        <v>0.72727272727272729</v>
      </c>
      <c r="N65" s="44">
        <f t="shared" ca="1" si="6"/>
        <v>7.2499999999999991</v>
      </c>
      <c r="O65" s="53">
        <f t="shared" ca="1" si="9"/>
        <v>6.0160231182958457</v>
      </c>
      <c r="P65" s="53">
        <f ca="1">IFERROR(DayByDayTable[[#This Row],[Lead Time]],"")</f>
        <v>7.2499999999999991</v>
      </c>
      <c r="Q65" s="44">
        <f t="shared" ca="1" si="10"/>
        <v>7.0111111111111111</v>
      </c>
      <c r="R65" s="44">
        <f ca="1">ROUND(PERCENTILE(DayByDayTable[[#Data],[BlankLeadTime]],0.8),0)</f>
        <v>8</v>
      </c>
    </row>
    <row r="66" spans="1:18">
      <c r="A66" s="51">
        <f t="shared" ref="A66:A129" si="11">B66</f>
        <v>42501</v>
      </c>
      <c r="B66" s="11">
        <f t="shared" si="5"/>
        <v>42501</v>
      </c>
      <c r="C66" s="47">
        <f>SUMIFS('On The Board'!$M$5:$M$219,'On The Board'!F$5:F$219,"&lt;="&amp;$B66,'On The Board'!E$5:E$219,"="&amp;FutureWork)</f>
        <v>43</v>
      </c>
      <c r="D66" s="12">
        <f ca="1">IF(TodaysDate&gt;=B66,SUMIF('On The Board'!F$5:F$219,"&lt;="&amp;$B66,'On The Board'!$M$5:$M$219)-SUM(E66:I66),D65)</f>
        <v>47</v>
      </c>
      <c r="E66" s="12">
        <f>SUMIF('On The Board'!G$5:G$219,"&lt;="&amp;$B66,'On The Board'!$M$5:$M$219)-SUM(F66:I66)</f>
        <v>0</v>
      </c>
      <c r="F66" s="12">
        <f>SUMIF('On The Board'!H$5:H$219,"&lt;="&amp;$B66,'On The Board'!$M$5:$M$219)-SUM(G66:I66)</f>
        <v>6</v>
      </c>
      <c r="G66" s="12">
        <f>SUMIF('On The Board'!I$5:I$219,"&lt;="&amp;$B66,'On The Board'!$M$5:$M$219)-SUM(H66,I66)</f>
        <v>0</v>
      </c>
      <c r="H66" s="12">
        <f>SUMIF('On The Board'!J$5:J$219,"&lt;="&amp;$B66,'On The Board'!$M$5:$M$219)-SUM(I66)</f>
        <v>0</v>
      </c>
      <c r="I66" s="12">
        <f>SUMIF('On The Board'!K$5:K$219,"&lt;="&amp;$B66,'On The Board'!$M$5:$M$219)</f>
        <v>59</v>
      </c>
      <c r="J66" s="10">
        <f t="shared" ref="J66:J129" si="12">SUM(E66:I66)</f>
        <v>65</v>
      </c>
      <c r="K66" s="10">
        <f t="shared" ref="K66:K129" ca="1" si="13">IF(TodaysDate&gt;=B66,SUM(E66:H66),NA())</f>
        <v>6</v>
      </c>
      <c r="L66" s="44">
        <f t="shared" ca="1" si="8"/>
        <v>5.4545454545454541</v>
      </c>
      <c r="M66" s="44">
        <f t="shared" ca="1" si="7"/>
        <v>0.90909090909090906</v>
      </c>
      <c r="N66" s="44">
        <f t="shared" ca="1" si="6"/>
        <v>6</v>
      </c>
      <c r="O66" s="53">
        <f t="shared" ca="1" si="9"/>
        <v>6.0690534213261484</v>
      </c>
      <c r="P66" s="53">
        <f ca="1">IFERROR(DayByDayTable[[#This Row],[Lead Time]],"")</f>
        <v>6</v>
      </c>
      <c r="Q66" s="44">
        <f t="shared" ca="1" si="10"/>
        <v>7.0111111111111111</v>
      </c>
      <c r="R66" s="44">
        <f ca="1">ROUND(PERCENTILE(DayByDayTable[[#Data],[BlankLeadTime]],0.8),0)</f>
        <v>8</v>
      </c>
    </row>
    <row r="67" spans="1:18">
      <c r="A67" s="51">
        <f t="shared" si="11"/>
        <v>42502</v>
      </c>
      <c r="B67" s="11">
        <f t="shared" ref="B67:B130" si="14">IF(NETWORKDAYS(B66,B66+1,BankHolidays)=2,B66+1,IF(NETWORKDAYS(B66,B66+2,BankHolidays)=2,B66+2,IF(NETWORKDAYS(B66,B66+3,BankHolidays)=2,B66+3,IF(NETWORKDAYS(B66,B66+4,BankHolidays)=2,B66+4,IF(NETWORKDAYS(B66,B66+5,BankHolidays)=2,B66+5,NA())))))</f>
        <v>42502</v>
      </c>
      <c r="C67" s="47">
        <f>SUMIFS('On The Board'!$M$5:$M$219,'On The Board'!F$5:F$219,"&lt;="&amp;$B67,'On The Board'!E$5:E$219,"="&amp;FutureWork)</f>
        <v>43</v>
      </c>
      <c r="D67" s="12">
        <f ca="1">IF(TodaysDate&gt;=B67,SUMIF('On The Board'!F$5:F$219,"&lt;="&amp;$B67,'On The Board'!$M$5:$M$219)-SUM(E67:I67),D66)</f>
        <v>47</v>
      </c>
      <c r="E67" s="12">
        <f>SUMIF('On The Board'!G$5:G$219,"&lt;="&amp;$B67,'On The Board'!$M$5:$M$219)-SUM(F67:I67)</f>
        <v>0</v>
      </c>
      <c r="F67" s="12">
        <f>SUMIF('On The Board'!H$5:H$219,"&lt;="&amp;$B67,'On The Board'!$M$5:$M$219)-SUM(G67:I67)</f>
        <v>6</v>
      </c>
      <c r="G67" s="12">
        <f>SUMIF('On The Board'!I$5:I$219,"&lt;="&amp;$B67,'On The Board'!$M$5:$M$219)-SUM(H67,I67)</f>
        <v>0</v>
      </c>
      <c r="H67" s="12">
        <f>SUMIF('On The Board'!J$5:J$219,"&lt;="&amp;$B67,'On The Board'!$M$5:$M$219)-SUM(I67)</f>
        <v>0</v>
      </c>
      <c r="I67" s="12">
        <f>SUMIF('On The Board'!K$5:K$219,"&lt;="&amp;$B67,'On The Board'!$M$5:$M$219)</f>
        <v>60</v>
      </c>
      <c r="J67" s="10">
        <f t="shared" si="12"/>
        <v>66</v>
      </c>
      <c r="K67" s="10">
        <f t="shared" ca="1" si="13"/>
        <v>6</v>
      </c>
      <c r="L67" s="44">
        <f t="shared" ca="1" si="8"/>
        <v>5.6363636363636367</v>
      </c>
      <c r="M67" s="44">
        <f t="shared" ca="1" si="7"/>
        <v>1</v>
      </c>
      <c r="N67" s="44">
        <f t="shared" ref="N67:N130" ca="1" si="15">IF(M67&gt;0,L67/M67,NA())</f>
        <v>5.6363636363636367</v>
      </c>
      <c r="O67" s="53">
        <f t="shared" ca="1" si="9"/>
        <v>6.1338976679885775</v>
      </c>
      <c r="P67" s="53">
        <f ca="1">IFERROR(DayByDayTable[[#This Row],[Lead Time]],"")</f>
        <v>5.6363636363636367</v>
      </c>
      <c r="Q67" s="44">
        <f t="shared" ca="1" si="10"/>
        <v>7.0111111111111111</v>
      </c>
      <c r="R67" s="44">
        <f ca="1">ROUND(PERCENTILE(DayByDayTable[[#Data],[BlankLeadTime]],0.8),0)</f>
        <v>8</v>
      </c>
    </row>
    <row r="68" spans="1:18">
      <c r="A68" s="51">
        <f t="shared" si="11"/>
        <v>42503</v>
      </c>
      <c r="B68" s="11">
        <f t="shared" si="14"/>
        <v>42503</v>
      </c>
      <c r="C68" s="47">
        <f>SUMIFS('On The Board'!$M$5:$M$219,'On The Board'!F$5:F$219,"&lt;="&amp;$B68,'On The Board'!E$5:E$219,"="&amp;FutureWork)</f>
        <v>43</v>
      </c>
      <c r="D68" s="12">
        <f ca="1">IF(TodaysDate&gt;=B68,SUMIF('On The Board'!F$5:F$219,"&lt;="&amp;$B68,'On The Board'!$M$5:$M$219)-SUM(E68:I68),D67)</f>
        <v>48</v>
      </c>
      <c r="E68" s="12">
        <f>SUMIF('On The Board'!G$5:G$219,"&lt;="&amp;$B68,'On The Board'!$M$5:$M$219)-SUM(F68:I68)</f>
        <v>0</v>
      </c>
      <c r="F68" s="12">
        <f>SUMIF('On The Board'!H$5:H$219,"&lt;="&amp;$B68,'On The Board'!$M$5:$M$219)-SUM(G68:I68)</f>
        <v>5</v>
      </c>
      <c r="G68" s="12">
        <f>SUMIF('On The Board'!I$5:I$219,"&lt;="&amp;$B68,'On The Board'!$M$5:$M$219)-SUM(H68,I68)</f>
        <v>1</v>
      </c>
      <c r="H68" s="12">
        <f>SUMIF('On The Board'!J$5:J$219,"&lt;="&amp;$B68,'On The Board'!$M$5:$M$219)-SUM(I68)</f>
        <v>0</v>
      </c>
      <c r="I68" s="12">
        <f>SUMIF('On The Board'!K$5:K$219,"&lt;="&amp;$B68,'On The Board'!$M$5:$M$219)</f>
        <v>60</v>
      </c>
      <c r="J68" s="10">
        <f t="shared" si="12"/>
        <v>66</v>
      </c>
      <c r="K68" s="10">
        <f t="shared" ca="1" si="13"/>
        <v>6</v>
      </c>
      <c r="L68" s="44">
        <f t="shared" ca="1" si="8"/>
        <v>5.6363636363636367</v>
      </c>
      <c r="M68" s="44">
        <f t="shared" ca="1" si="7"/>
        <v>0.90909090909090906</v>
      </c>
      <c r="N68" s="44">
        <f t="shared" ca="1" si="15"/>
        <v>6.2</v>
      </c>
      <c r="O68" s="53">
        <f t="shared" ca="1" si="9"/>
        <v>6.2639675980585077</v>
      </c>
      <c r="P68" s="53">
        <f ca="1">IFERROR(DayByDayTable[[#This Row],[Lead Time]],"")</f>
        <v>6.2</v>
      </c>
      <c r="Q68" s="44">
        <f t="shared" ca="1" si="10"/>
        <v>7.0111111111111111</v>
      </c>
      <c r="R68" s="44">
        <f ca="1">ROUND(PERCENTILE(DayByDayTable[[#Data],[BlankLeadTime]],0.8),0)</f>
        <v>8</v>
      </c>
    </row>
    <row r="69" spans="1:18">
      <c r="A69" s="51">
        <f t="shared" si="11"/>
        <v>42506</v>
      </c>
      <c r="B69" s="11">
        <f t="shared" si="14"/>
        <v>42506</v>
      </c>
      <c r="C69" s="47">
        <f>SUMIFS('On The Board'!$M$5:$M$219,'On The Board'!F$5:F$219,"&lt;="&amp;$B69,'On The Board'!E$5:E$219,"="&amp;FutureWork)</f>
        <v>43</v>
      </c>
      <c r="D69" s="12">
        <f ca="1">IF(TodaysDate&gt;=B69,SUMIF('On The Board'!F$5:F$219,"&lt;="&amp;$B69,'On The Board'!$M$5:$M$219)-SUM(E69:I69),D68)</f>
        <v>47</v>
      </c>
      <c r="E69" s="12">
        <f>SUMIF('On The Board'!G$5:G$219,"&lt;="&amp;$B69,'On The Board'!$M$5:$M$219)-SUM(F69:I69)</f>
        <v>0</v>
      </c>
      <c r="F69" s="12">
        <f>SUMIF('On The Board'!H$5:H$219,"&lt;="&amp;$B69,'On The Board'!$M$5:$M$219)-SUM(G69:I69)</f>
        <v>6</v>
      </c>
      <c r="G69" s="12">
        <f>SUMIF('On The Board'!I$5:I$219,"&lt;="&amp;$B69,'On The Board'!$M$5:$M$219)-SUM(H69,I69)</f>
        <v>2</v>
      </c>
      <c r="H69" s="12">
        <f>SUMIF('On The Board'!J$5:J$219,"&lt;="&amp;$B69,'On The Board'!$M$5:$M$219)-SUM(I69)</f>
        <v>0</v>
      </c>
      <c r="I69" s="12">
        <f>SUMIF('On The Board'!K$5:K$219,"&lt;="&amp;$B69,'On The Board'!$M$5:$M$219)</f>
        <v>60</v>
      </c>
      <c r="J69" s="10">
        <f t="shared" si="12"/>
        <v>68</v>
      </c>
      <c r="K69" s="10">
        <f t="shared" ca="1" si="13"/>
        <v>8</v>
      </c>
      <c r="L69" s="44">
        <f t="shared" ca="1" si="8"/>
        <v>5.8181818181818183</v>
      </c>
      <c r="M69" s="44">
        <f t="shared" ca="1" si="7"/>
        <v>0.90909090909090906</v>
      </c>
      <c r="N69" s="44">
        <f t="shared" ca="1" si="15"/>
        <v>6.4</v>
      </c>
      <c r="O69" s="53">
        <f t="shared" ca="1" si="9"/>
        <v>6.4561753902662993</v>
      </c>
      <c r="P69" s="53">
        <f ca="1">IFERROR(DayByDayTable[[#This Row],[Lead Time]],"")</f>
        <v>6.4</v>
      </c>
      <c r="Q69" s="44">
        <f t="shared" ca="1" si="10"/>
        <v>7.0111111111111111</v>
      </c>
      <c r="R69" s="44">
        <f ca="1">ROUND(PERCENTILE(DayByDayTable[[#Data],[BlankLeadTime]],0.8),0)</f>
        <v>8</v>
      </c>
    </row>
    <row r="70" spans="1:18">
      <c r="A70" s="51">
        <f t="shared" si="11"/>
        <v>42507</v>
      </c>
      <c r="B70" s="11">
        <f t="shared" si="14"/>
        <v>42507</v>
      </c>
      <c r="C70" s="47">
        <f>SUMIFS('On The Board'!$M$5:$M$219,'On The Board'!F$5:F$219,"&lt;="&amp;$B70,'On The Board'!E$5:E$219,"="&amp;FutureWork)</f>
        <v>43</v>
      </c>
      <c r="D70" s="12">
        <f ca="1">IF(TodaysDate&gt;=B70,SUMIF('On The Board'!F$5:F$219,"&lt;="&amp;$B70,'On The Board'!$M$5:$M$219)-SUM(E70:I70),D69)</f>
        <v>47</v>
      </c>
      <c r="E70" s="12">
        <f>SUMIF('On The Board'!G$5:G$219,"&lt;="&amp;$B70,'On The Board'!$M$5:$M$219)-SUM(F70:I70)</f>
        <v>0</v>
      </c>
      <c r="F70" s="12">
        <f>SUMIF('On The Board'!H$5:H$219,"&lt;="&amp;$B70,'On The Board'!$M$5:$M$219)-SUM(G70:I70)</f>
        <v>7</v>
      </c>
      <c r="G70" s="12">
        <f>SUMIF('On The Board'!I$5:I$219,"&lt;="&amp;$B70,'On The Board'!$M$5:$M$219)-SUM(H70,I70)</f>
        <v>1</v>
      </c>
      <c r="H70" s="12">
        <f>SUMIF('On The Board'!J$5:J$219,"&lt;="&amp;$B70,'On The Board'!$M$5:$M$219)-SUM(I70)</f>
        <v>0</v>
      </c>
      <c r="I70" s="12">
        <f>SUMIF('On The Board'!K$5:K$219,"&lt;="&amp;$B70,'On The Board'!$M$5:$M$219)</f>
        <v>61</v>
      </c>
      <c r="J70" s="10">
        <f t="shared" si="12"/>
        <v>69</v>
      </c>
      <c r="K70" s="10">
        <f t="shared" ca="1" si="13"/>
        <v>8</v>
      </c>
      <c r="L70" s="44">
        <f t="shared" ca="1" si="8"/>
        <v>6</v>
      </c>
      <c r="M70" s="44">
        <f t="shared" ca="1" si="7"/>
        <v>1</v>
      </c>
      <c r="N70" s="44">
        <f t="shared" ca="1" si="15"/>
        <v>6</v>
      </c>
      <c r="O70" s="53">
        <f t="shared" ca="1" si="9"/>
        <v>6.4359733700642803</v>
      </c>
      <c r="P70" s="53">
        <f ca="1">IFERROR(DayByDayTable[[#This Row],[Lead Time]],"")</f>
        <v>6</v>
      </c>
      <c r="Q70" s="44">
        <f t="shared" ca="1" si="10"/>
        <v>7.0111111111111111</v>
      </c>
      <c r="R70" s="44">
        <f ca="1">ROUND(PERCENTILE(DayByDayTable[[#Data],[BlankLeadTime]],0.8),0)</f>
        <v>8</v>
      </c>
    </row>
    <row r="71" spans="1:18">
      <c r="A71" s="51">
        <f t="shared" si="11"/>
        <v>42508</v>
      </c>
      <c r="B71" s="11">
        <f t="shared" si="14"/>
        <v>42508</v>
      </c>
      <c r="C71" s="47">
        <f>SUMIFS('On The Board'!$M$5:$M$219,'On The Board'!F$5:F$219,"&lt;="&amp;$B71,'On The Board'!E$5:E$219,"="&amp;FutureWork)</f>
        <v>43</v>
      </c>
      <c r="D71" s="12">
        <f ca="1">IF(TodaysDate&gt;=B71,SUMIF('On The Board'!F$5:F$219,"&lt;="&amp;$B71,'On The Board'!$M$5:$M$219)-SUM(E71:I71),D70)</f>
        <v>47</v>
      </c>
      <c r="E71" s="12">
        <f>SUMIF('On The Board'!G$5:G$219,"&lt;="&amp;$B71,'On The Board'!$M$5:$M$219)-SUM(F71:I71)</f>
        <v>0</v>
      </c>
      <c r="F71" s="12">
        <f>SUMIF('On The Board'!H$5:H$219,"&lt;="&amp;$B71,'On The Board'!$M$5:$M$219)-SUM(G71:I71)</f>
        <v>7</v>
      </c>
      <c r="G71" s="12">
        <f>SUMIF('On The Board'!I$5:I$219,"&lt;="&amp;$B71,'On The Board'!$M$5:$M$219)-SUM(H71,I71)</f>
        <v>1</v>
      </c>
      <c r="H71" s="12">
        <f>SUMIF('On The Board'!J$5:J$219,"&lt;="&amp;$B71,'On The Board'!$M$5:$M$219)-SUM(I71)</f>
        <v>0</v>
      </c>
      <c r="I71" s="12">
        <f>SUMIF('On The Board'!K$5:K$219,"&lt;="&amp;$B71,'On The Board'!$M$5:$M$219)</f>
        <v>61</v>
      </c>
      <c r="J71" s="10">
        <f t="shared" si="12"/>
        <v>69</v>
      </c>
      <c r="K71" s="10">
        <f t="shared" ca="1" si="13"/>
        <v>8</v>
      </c>
      <c r="L71" s="44">
        <f t="shared" ca="1" si="8"/>
        <v>6.1818181818181817</v>
      </c>
      <c r="M71" s="44">
        <f t="shared" ca="1" si="7"/>
        <v>1</v>
      </c>
      <c r="N71" s="44">
        <f t="shared" ca="1" si="15"/>
        <v>6.1818181818181817</v>
      </c>
      <c r="O71" s="53">
        <f t="shared" ca="1" si="9"/>
        <v>6.4221992653810824</v>
      </c>
      <c r="P71" s="53">
        <f ca="1">IFERROR(DayByDayTable[[#This Row],[Lead Time]],"")</f>
        <v>6.1818181818181817</v>
      </c>
      <c r="Q71" s="44">
        <f t="shared" ca="1" si="10"/>
        <v>7.0111111111111111</v>
      </c>
      <c r="R71" s="44">
        <f ca="1">ROUND(PERCENTILE(DayByDayTable[[#Data],[BlankLeadTime]],0.8),0)</f>
        <v>8</v>
      </c>
    </row>
    <row r="72" spans="1:18">
      <c r="A72" s="51">
        <f t="shared" si="11"/>
        <v>42509</v>
      </c>
      <c r="B72" s="11">
        <f t="shared" si="14"/>
        <v>42509</v>
      </c>
      <c r="C72" s="47">
        <f>SUMIFS('On The Board'!$M$5:$M$219,'On The Board'!F$5:F$219,"&lt;="&amp;$B72,'On The Board'!E$5:E$219,"="&amp;FutureWork)</f>
        <v>43</v>
      </c>
      <c r="D72" s="12">
        <f ca="1">IF(TodaysDate&gt;=B72,SUMIF('On The Board'!F$5:F$219,"&lt;="&amp;$B72,'On The Board'!$M$5:$M$219)-SUM(E72:I72),D71)</f>
        <v>47</v>
      </c>
      <c r="E72" s="12">
        <f>SUMIF('On The Board'!G$5:G$219,"&lt;="&amp;$B72,'On The Board'!$M$5:$M$219)-SUM(F72:I72)</f>
        <v>0</v>
      </c>
      <c r="F72" s="12">
        <f>SUMIF('On The Board'!H$5:H$219,"&lt;="&amp;$B72,'On The Board'!$M$5:$M$219)-SUM(G72:I72)</f>
        <v>7</v>
      </c>
      <c r="G72" s="12">
        <f>SUMIF('On The Board'!I$5:I$219,"&lt;="&amp;$B72,'On The Board'!$M$5:$M$219)-SUM(H72,I72)</f>
        <v>0</v>
      </c>
      <c r="H72" s="12">
        <f>SUMIF('On The Board'!J$5:J$219,"&lt;="&amp;$B72,'On The Board'!$M$5:$M$219)-SUM(I72)</f>
        <v>0</v>
      </c>
      <c r="I72" s="12">
        <f>SUMIF('On The Board'!K$5:K$219,"&lt;="&amp;$B72,'On The Board'!$M$5:$M$219)</f>
        <v>62</v>
      </c>
      <c r="J72" s="10">
        <f t="shared" si="12"/>
        <v>69</v>
      </c>
      <c r="K72" s="10">
        <f t="shared" ca="1" si="13"/>
        <v>7</v>
      </c>
      <c r="L72" s="44">
        <f t="shared" ca="1" si="8"/>
        <v>6.1818181818181817</v>
      </c>
      <c r="M72" s="44">
        <f t="shared" ca="1" si="7"/>
        <v>1.0909090909090908</v>
      </c>
      <c r="N72" s="44">
        <f t="shared" ca="1" si="15"/>
        <v>5.666666666666667</v>
      </c>
      <c r="O72" s="53">
        <f t="shared" ca="1" si="9"/>
        <v>6.3413911845730038</v>
      </c>
      <c r="P72" s="53">
        <f ca="1">IFERROR(DayByDayTable[[#This Row],[Lead Time]],"")</f>
        <v>5.666666666666667</v>
      </c>
      <c r="Q72" s="44">
        <f t="shared" ca="1" si="10"/>
        <v>7.0111111111111111</v>
      </c>
      <c r="R72" s="44">
        <f ca="1">ROUND(PERCENTILE(DayByDayTable[[#Data],[BlankLeadTime]],0.8),0)</f>
        <v>8</v>
      </c>
    </row>
    <row r="73" spans="1:18">
      <c r="A73" s="51">
        <f t="shared" si="11"/>
        <v>42510</v>
      </c>
      <c r="B73" s="11">
        <f t="shared" si="14"/>
        <v>42510</v>
      </c>
      <c r="C73" s="47">
        <f>SUMIFS('On The Board'!$M$5:$M$219,'On The Board'!F$5:F$219,"&lt;="&amp;$B73,'On The Board'!E$5:E$219,"="&amp;FutureWork)</f>
        <v>43</v>
      </c>
      <c r="D73" s="12">
        <f ca="1">IF(TodaysDate&gt;=B73,SUMIF('On The Board'!F$5:F$219,"&lt;="&amp;$B73,'On The Board'!$M$5:$M$219)-SUM(E73:I73),D72)</f>
        <v>48</v>
      </c>
      <c r="E73" s="12">
        <f>SUMIF('On The Board'!G$5:G$219,"&lt;="&amp;$B73,'On The Board'!$M$5:$M$219)-SUM(F73:I73)</f>
        <v>0</v>
      </c>
      <c r="F73" s="12">
        <f>SUMIF('On The Board'!H$5:H$219,"&lt;="&amp;$B73,'On The Board'!$M$5:$M$219)-SUM(G73:I73)</f>
        <v>6</v>
      </c>
      <c r="G73" s="12">
        <f>SUMIF('On The Board'!I$5:I$219,"&lt;="&amp;$B73,'On The Board'!$M$5:$M$219)-SUM(H73,I73)</f>
        <v>0</v>
      </c>
      <c r="H73" s="12">
        <f>SUMIF('On The Board'!J$5:J$219,"&lt;="&amp;$B73,'On The Board'!$M$5:$M$219)-SUM(I73)</f>
        <v>0</v>
      </c>
      <c r="I73" s="12">
        <f>SUMIF('On The Board'!K$5:K$219,"&lt;="&amp;$B73,'On The Board'!$M$5:$M$219)</f>
        <v>65</v>
      </c>
      <c r="J73" s="10">
        <f t="shared" si="12"/>
        <v>71</v>
      </c>
      <c r="K73" s="10">
        <f t="shared" ca="1" si="13"/>
        <v>6</v>
      </c>
      <c r="L73" s="44">
        <f t="shared" ca="1" si="8"/>
        <v>6</v>
      </c>
      <c r="M73" s="44">
        <f t="shared" ca="1" si="7"/>
        <v>1</v>
      </c>
      <c r="N73" s="44">
        <f t="shared" ca="1" si="15"/>
        <v>6</v>
      </c>
      <c r="O73" s="53">
        <f t="shared" ca="1" si="9"/>
        <v>6.1823002754820928</v>
      </c>
      <c r="P73" s="53">
        <f ca="1">IFERROR(DayByDayTable[[#This Row],[Lead Time]],"")</f>
        <v>6</v>
      </c>
      <c r="Q73" s="44">
        <f t="shared" ca="1" si="10"/>
        <v>6.98</v>
      </c>
      <c r="R73" s="44">
        <f ca="1">ROUND(PERCENTILE(DayByDayTable[[#Data],[BlankLeadTime]],0.8),0)</f>
        <v>8</v>
      </c>
    </row>
    <row r="74" spans="1:18">
      <c r="A74" s="51">
        <f t="shared" si="11"/>
        <v>42513</v>
      </c>
      <c r="B74" s="11">
        <f t="shared" si="14"/>
        <v>42513</v>
      </c>
      <c r="C74" s="47">
        <f>SUMIFS('On The Board'!$M$5:$M$219,'On The Board'!F$5:F$219,"&lt;="&amp;$B74,'On The Board'!E$5:E$219,"="&amp;FutureWork)</f>
        <v>43</v>
      </c>
      <c r="D74" s="12">
        <f ca="1">IF(TodaysDate&gt;=B74,SUMIF('On The Board'!F$5:F$219,"&lt;="&amp;$B74,'On The Board'!$M$5:$M$219)-SUM(E74:I74),D73)</f>
        <v>48</v>
      </c>
      <c r="E74" s="12">
        <f>SUMIF('On The Board'!G$5:G$219,"&lt;="&amp;$B74,'On The Board'!$M$5:$M$219)-SUM(F74:I74)</f>
        <v>0</v>
      </c>
      <c r="F74" s="12">
        <f>SUMIF('On The Board'!H$5:H$219,"&lt;="&amp;$B74,'On The Board'!$M$5:$M$219)-SUM(G74:I74)</f>
        <v>5</v>
      </c>
      <c r="G74" s="12">
        <f>SUMIF('On The Board'!I$5:I$219,"&lt;="&amp;$B74,'On The Board'!$M$5:$M$219)-SUM(H74,I74)</f>
        <v>0</v>
      </c>
      <c r="H74" s="12">
        <f>SUMIF('On The Board'!J$5:J$219,"&lt;="&amp;$B74,'On The Board'!$M$5:$M$219)-SUM(I74)</f>
        <v>0</v>
      </c>
      <c r="I74" s="12">
        <f>SUMIF('On The Board'!K$5:K$219,"&lt;="&amp;$B74,'On The Board'!$M$5:$M$219)</f>
        <v>66</v>
      </c>
      <c r="J74" s="10">
        <f t="shared" si="12"/>
        <v>71</v>
      </c>
      <c r="K74" s="10">
        <f t="shared" ca="1" si="13"/>
        <v>5</v>
      </c>
      <c r="L74" s="44">
        <f t="shared" ca="1" si="8"/>
        <v>6.0909090909090908</v>
      </c>
      <c r="M74" s="44">
        <f t="shared" ca="1" si="7"/>
        <v>0.90909090909090906</v>
      </c>
      <c r="N74" s="44">
        <f t="shared" ca="1" si="15"/>
        <v>6.7</v>
      </c>
      <c r="O74" s="53">
        <f t="shared" ca="1" si="9"/>
        <v>6.2872589531680436</v>
      </c>
      <c r="P74" s="53">
        <f ca="1">IFERROR(DayByDayTable[[#This Row],[Lead Time]],"")</f>
        <v>6.7</v>
      </c>
      <c r="Q74" s="44">
        <f t="shared" ca="1" si="10"/>
        <v>6.6400000000000006</v>
      </c>
      <c r="R74" s="44">
        <f ca="1">ROUND(PERCENTILE(DayByDayTable[[#Data],[BlankLeadTime]],0.8),0)</f>
        <v>8</v>
      </c>
    </row>
    <row r="75" spans="1:18">
      <c r="A75" s="51">
        <f t="shared" si="11"/>
        <v>42514</v>
      </c>
      <c r="B75" s="11">
        <f t="shared" si="14"/>
        <v>42514</v>
      </c>
      <c r="C75" s="47">
        <f>SUMIFS('On The Board'!$M$5:$M$219,'On The Board'!F$5:F$219,"&lt;="&amp;$B75,'On The Board'!E$5:E$219,"="&amp;FutureWork)</f>
        <v>43</v>
      </c>
      <c r="D75" s="12">
        <f ca="1">IF(TodaysDate&gt;=B75,SUMIF('On The Board'!F$5:F$219,"&lt;="&amp;$B75,'On The Board'!$M$5:$M$219)-SUM(E75:I75),D74)</f>
        <v>47</v>
      </c>
      <c r="E75" s="12">
        <f>SUMIF('On The Board'!G$5:G$219,"&lt;="&amp;$B75,'On The Board'!$M$5:$M$219)-SUM(F75:I75)</f>
        <v>0</v>
      </c>
      <c r="F75" s="12">
        <f>SUMIF('On The Board'!H$5:H$219,"&lt;="&amp;$B75,'On The Board'!$M$5:$M$219)-SUM(G75:I75)</f>
        <v>6</v>
      </c>
      <c r="G75" s="12">
        <f>SUMIF('On The Board'!I$5:I$219,"&lt;="&amp;$B75,'On The Board'!$M$5:$M$219)-SUM(H75,I75)</f>
        <v>0</v>
      </c>
      <c r="H75" s="12">
        <f>SUMIF('On The Board'!J$5:J$219,"&lt;="&amp;$B75,'On The Board'!$M$5:$M$219)-SUM(I75)</f>
        <v>0</v>
      </c>
      <c r="I75" s="12">
        <f>SUMIF('On The Board'!K$5:K$219,"&lt;="&amp;$B75,'On The Board'!$M$5:$M$219)</f>
        <v>66</v>
      </c>
      <c r="J75" s="10">
        <f t="shared" si="12"/>
        <v>72</v>
      </c>
      <c r="K75" s="10">
        <f t="shared" ca="1" si="13"/>
        <v>6</v>
      </c>
      <c r="L75" s="44">
        <f t="shared" ca="1" si="8"/>
        <v>6.4545454545454541</v>
      </c>
      <c r="M75" s="44">
        <f t="shared" ca="1" si="7"/>
        <v>0.90909090909090906</v>
      </c>
      <c r="N75" s="44">
        <f t="shared" ca="1" si="15"/>
        <v>7.1</v>
      </c>
      <c r="O75" s="53">
        <f t="shared" ca="1" si="9"/>
        <v>6.2849862258953157</v>
      </c>
      <c r="P75" s="53">
        <f ca="1">IFERROR(DayByDayTable[[#This Row],[Lead Time]],"")</f>
        <v>7.1</v>
      </c>
      <c r="Q75" s="44">
        <f t="shared" ca="1" si="10"/>
        <v>7.02</v>
      </c>
      <c r="R75" s="44">
        <f ca="1">ROUND(PERCENTILE(DayByDayTable[[#Data],[BlankLeadTime]],0.8),0)</f>
        <v>8</v>
      </c>
    </row>
    <row r="76" spans="1:18">
      <c r="A76" s="51">
        <f t="shared" si="11"/>
        <v>42515</v>
      </c>
      <c r="B76" s="11">
        <f t="shared" si="14"/>
        <v>42515</v>
      </c>
      <c r="C76" s="47">
        <f>SUMIFS('On The Board'!$M$5:$M$219,'On The Board'!F$5:F$219,"&lt;="&amp;$B76,'On The Board'!E$5:E$219,"="&amp;FutureWork)</f>
        <v>43</v>
      </c>
      <c r="D76" s="12">
        <f ca="1">IF(TodaysDate&gt;=B76,SUMIF('On The Board'!F$5:F$219,"&lt;="&amp;$B76,'On The Board'!$M$5:$M$219)-SUM(E76:I76),D75)</f>
        <v>48</v>
      </c>
      <c r="E76" s="12">
        <f>SUMIF('On The Board'!G$5:G$219,"&lt;="&amp;$B76,'On The Board'!$M$5:$M$219)-SUM(F76:I76)</f>
        <v>0</v>
      </c>
      <c r="F76" s="12">
        <f>SUMIF('On The Board'!H$5:H$219,"&lt;="&amp;$B76,'On The Board'!$M$5:$M$219)-SUM(G76:I76)</f>
        <v>6</v>
      </c>
      <c r="G76" s="12">
        <f>SUMIF('On The Board'!I$5:I$219,"&lt;="&amp;$B76,'On The Board'!$M$5:$M$219)-SUM(H76,I76)</f>
        <v>0</v>
      </c>
      <c r="H76" s="12">
        <f>SUMIF('On The Board'!J$5:J$219,"&lt;="&amp;$B76,'On The Board'!$M$5:$M$219)-SUM(I76)</f>
        <v>0</v>
      </c>
      <c r="I76" s="12">
        <f>SUMIF('On The Board'!K$5:K$219,"&lt;="&amp;$B76,'On The Board'!$M$5:$M$219)</f>
        <v>67</v>
      </c>
      <c r="J76" s="10">
        <f t="shared" si="12"/>
        <v>73</v>
      </c>
      <c r="K76" s="10">
        <f t="shared" ca="1" si="13"/>
        <v>6</v>
      </c>
      <c r="L76" s="44">
        <f t="shared" ca="1" si="8"/>
        <v>6.5454545454545459</v>
      </c>
      <c r="M76" s="44">
        <f t="shared" ref="M76:M139" ca="1" si="16">IF(ISNUMBER(L76),(I76-I66)/NETWORKDAYS(B66,B76,BankHolidays),NA())</f>
        <v>0.72727272727272729</v>
      </c>
      <c r="N76" s="44">
        <f t="shared" ca="1" si="15"/>
        <v>9</v>
      </c>
      <c r="O76" s="53">
        <f t="shared" ca="1" si="9"/>
        <v>6.4440771349862249</v>
      </c>
      <c r="P76" s="53">
        <f ca="1">IFERROR(DayByDayTable[[#This Row],[Lead Time]],"")</f>
        <v>9</v>
      </c>
      <c r="Q76" s="44">
        <f t="shared" ca="1" si="10"/>
        <v>7.02</v>
      </c>
      <c r="R76" s="44">
        <f ca="1">ROUND(PERCENTILE(DayByDayTable[[#Data],[BlankLeadTime]],0.8),0)</f>
        <v>8</v>
      </c>
    </row>
    <row r="77" spans="1:18">
      <c r="A77" s="51">
        <f t="shared" si="11"/>
        <v>42516</v>
      </c>
      <c r="B77" s="11">
        <f t="shared" si="14"/>
        <v>42516</v>
      </c>
      <c r="C77" s="47">
        <f>SUMIFS('On The Board'!$M$5:$M$219,'On The Board'!F$5:F$219,"&lt;="&amp;$B77,'On The Board'!E$5:E$219,"="&amp;FutureWork)</f>
        <v>43</v>
      </c>
      <c r="D77" s="12">
        <f ca="1">IF(TodaysDate&gt;=B77,SUMIF('On The Board'!F$5:F$219,"&lt;="&amp;$B77,'On The Board'!$M$5:$M$219)-SUM(E77:I77),D76)</f>
        <v>47</v>
      </c>
      <c r="E77" s="12">
        <f>SUMIF('On The Board'!G$5:G$219,"&lt;="&amp;$B77,'On The Board'!$M$5:$M$219)-SUM(F77:I77)</f>
        <v>0</v>
      </c>
      <c r="F77" s="12">
        <f>SUMIF('On The Board'!H$5:H$219,"&lt;="&amp;$B77,'On The Board'!$M$5:$M$219)-SUM(G77:I77)</f>
        <v>6</v>
      </c>
      <c r="G77" s="12">
        <f>SUMIF('On The Board'!I$5:I$219,"&lt;="&amp;$B77,'On The Board'!$M$5:$M$219)-SUM(H77,I77)</f>
        <v>1</v>
      </c>
      <c r="H77" s="12">
        <f>SUMIF('On The Board'!J$5:J$219,"&lt;="&amp;$B77,'On The Board'!$M$5:$M$219)-SUM(I77)</f>
        <v>0</v>
      </c>
      <c r="I77" s="12">
        <f>SUMIF('On The Board'!K$5:K$219,"&lt;="&amp;$B77,'On The Board'!$M$5:$M$219)</f>
        <v>68</v>
      </c>
      <c r="J77" s="10">
        <f t="shared" si="12"/>
        <v>75</v>
      </c>
      <c r="K77" s="10">
        <f t="shared" ca="1" si="13"/>
        <v>7</v>
      </c>
      <c r="L77" s="44">
        <f t="shared" ref="L77:L140" ca="1" si="17">AVERAGE(K67:K77)</f>
        <v>6.6363636363636367</v>
      </c>
      <c r="M77" s="44">
        <f t="shared" ca="1" si="16"/>
        <v>0.72727272727272729</v>
      </c>
      <c r="N77" s="44">
        <f t="shared" ca="1" si="15"/>
        <v>9.125</v>
      </c>
      <c r="O77" s="53">
        <f t="shared" ref="O77:O140" ca="1" si="18">AVERAGE(N67:N77)</f>
        <v>6.7281680440771341</v>
      </c>
      <c r="P77" s="53">
        <f ca="1">IFERROR(DayByDayTable[[#This Row],[Lead Time]],"")</f>
        <v>9.125</v>
      </c>
      <c r="Q77" s="44">
        <f t="shared" ca="1" si="10"/>
        <v>7.02</v>
      </c>
      <c r="R77" s="44">
        <f ca="1">ROUND(PERCENTILE(DayByDayTable[[#Data],[BlankLeadTime]],0.8),0)</f>
        <v>8</v>
      </c>
    </row>
    <row r="78" spans="1:18">
      <c r="A78" s="51">
        <f t="shared" si="11"/>
        <v>42517</v>
      </c>
      <c r="B78" s="11">
        <f t="shared" si="14"/>
        <v>42517</v>
      </c>
      <c r="C78" s="47">
        <f>SUMIFS('On The Board'!$M$5:$M$219,'On The Board'!F$5:F$219,"&lt;="&amp;$B78,'On The Board'!E$5:E$219,"="&amp;FutureWork)</f>
        <v>43</v>
      </c>
      <c r="D78" s="12">
        <f ca="1">IF(TodaysDate&gt;=B78,SUMIF('On The Board'!F$5:F$219,"&lt;="&amp;$B78,'On The Board'!$M$5:$M$219)-SUM(E78:I78),D77)</f>
        <v>47</v>
      </c>
      <c r="E78" s="12">
        <f>SUMIF('On The Board'!G$5:G$219,"&lt;="&amp;$B78,'On The Board'!$M$5:$M$219)-SUM(F78:I78)</f>
        <v>0</v>
      </c>
      <c r="F78" s="12">
        <f>SUMIF('On The Board'!H$5:H$219,"&lt;="&amp;$B78,'On The Board'!$M$5:$M$219)-SUM(G78:I78)</f>
        <v>6</v>
      </c>
      <c r="G78" s="12">
        <f>SUMIF('On The Board'!I$5:I$219,"&lt;="&amp;$B78,'On The Board'!$M$5:$M$219)-SUM(H78,I78)</f>
        <v>1</v>
      </c>
      <c r="H78" s="12">
        <f>SUMIF('On The Board'!J$5:J$219,"&lt;="&amp;$B78,'On The Board'!$M$5:$M$219)-SUM(I78)</f>
        <v>0</v>
      </c>
      <c r="I78" s="12">
        <f>SUMIF('On The Board'!K$5:K$219,"&lt;="&amp;$B78,'On The Board'!$M$5:$M$219)</f>
        <v>69</v>
      </c>
      <c r="J78" s="10">
        <f t="shared" si="12"/>
        <v>76</v>
      </c>
      <c r="K78" s="10">
        <f t="shared" ca="1" si="13"/>
        <v>7</v>
      </c>
      <c r="L78" s="44">
        <f t="shared" ca="1" si="17"/>
        <v>6.7272727272727275</v>
      </c>
      <c r="M78" s="44">
        <f t="shared" ca="1" si="16"/>
        <v>0.81818181818181823</v>
      </c>
      <c r="N78" s="44">
        <f t="shared" ca="1" si="15"/>
        <v>8.2222222222222214</v>
      </c>
      <c r="O78" s="53">
        <f t="shared" ca="1" si="18"/>
        <v>6.9632460973370067</v>
      </c>
      <c r="P78" s="53">
        <f ca="1">IFERROR(DayByDayTable[[#This Row],[Lead Time]],"")</f>
        <v>8.2222222222222214</v>
      </c>
      <c r="Q78" s="44">
        <f t="shared" ca="1" si="10"/>
        <v>7.9977777777777774</v>
      </c>
      <c r="R78" s="44">
        <f ca="1">ROUND(PERCENTILE(DayByDayTable[[#Data],[BlankLeadTime]],0.8),0)</f>
        <v>8</v>
      </c>
    </row>
    <row r="79" spans="1:18">
      <c r="A79" s="51">
        <f t="shared" si="11"/>
        <v>42521</v>
      </c>
      <c r="B79" s="11">
        <f t="shared" si="14"/>
        <v>42521</v>
      </c>
      <c r="C79" s="47">
        <f>SUMIFS('On The Board'!$M$5:$M$219,'On The Board'!F$5:F$219,"&lt;="&amp;$B79,'On The Board'!E$5:E$219,"="&amp;FutureWork)</f>
        <v>43</v>
      </c>
      <c r="D79" s="12">
        <f ca="1">IF(TodaysDate&gt;=B79,SUMIF('On The Board'!F$5:F$219,"&lt;="&amp;$B79,'On The Board'!$M$5:$M$219)-SUM(E79:I79),D78)</f>
        <v>47</v>
      </c>
      <c r="E79" s="12">
        <f>SUMIF('On The Board'!G$5:G$219,"&lt;="&amp;$B79,'On The Board'!$M$5:$M$219)-SUM(F79:I79)</f>
        <v>0</v>
      </c>
      <c r="F79" s="12">
        <f>SUMIF('On The Board'!H$5:H$219,"&lt;="&amp;$B79,'On The Board'!$M$5:$M$219)-SUM(G79:I79)</f>
        <v>6</v>
      </c>
      <c r="G79" s="12">
        <f>SUMIF('On The Board'!I$5:I$219,"&lt;="&amp;$B79,'On The Board'!$M$5:$M$219)-SUM(H79,I79)</f>
        <v>1</v>
      </c>
      <c r="H79" s="12">
        <f>SUMIF('On The Board'!J$5:J$219,"&lt;="&amp;$B79,'On The Board'!$M$5:$M$219)-SUM(I79)</f>
        <v>0</v>
      </c>
      <c r="I79" s="12">
        <f>SUMIF('On The Board'!K$5:K$219,"&lt;="&amp;$B79,'On The Board'!$M$5:$M$219)</f>
        <v>69</v>
      </c>
      <c r="J79" s="10">
        <f t="shared" si="12"/>
        <v>76</v>
      </c>
      <c r="K79" s="10">
        <f t="shared" ca="1" si="13"/>
        <v>7</v>
      </c>
      <c r="L79" s="44">
        <f t="shared" ca="1" si="17"/>
        <v>6.8181818181818183</v>
      </c>
      <c r="M79" s="44">
        <f t="shared" ca="1" si="16"/>
        <v>0.81818181818181823</v>
      </c>
      <c r="N79" s="44">
        <f t="shared" ca="1" si="15"/>
        <v>8.3333333333333321</v>
      </c>
      <c r="O79" s="53">
        <f t="shared" ca="1" si="18"/>
        <v>7.1571854912764001</v>
      </c>
      <c r="P79" s="53">
        <f ca="1">IFERROR(DayByDayTable[[#This Row],[Lead Time]],"")</f>
        <v>8.3333333333333321</v>
      </c>
      <c r="Q79" s="44">
        <f t="shared" ca="1" si="10"/>
        <v>8.31111111111111</v>
      </c>
      <c r="R79" s="44">
        <f ca="1">ROUND(PERCENTILE(DayByDayTable[[#Data],[BlankLeadTime]],0.8),0)</f>
        <v>8</v>
      </c>
    </row>
    <row r="80" spans="1:18">
      <c r="A80" s="51">
        <f t="shared" si="11"/>
        <v>42522</v>
      </c>
      <c r="B80" s="11">
        <f t="shared" si="14"/>
        <v>42522</v>
      </c>
      <c r="C80" s="47">
        <f>SUMIFS('On The Board'!$M$5:$M$219,'On The Board'!F$5:F$219,"&lt;="&amp;$B80,'On The Board'!E$5:E$219,"="&amp;FutureWork)</f>
        <v>43</v>
      </c>
      <c r="D80" s="12">
        <f ca="1">IF(TodaysDate&gt;=B80,SUMIF('On The Board'!F$5:F$219,"&lt;="&amp;$B80,'On The Board'!$M$5:$M$219)-SUM(E80:I80),D79)</f>
        <v>47</v>
      </c>
      <c r="E80" s="12">
        <f>SUMIF('On The Board'!G$5:G$219,"&lt;="&amp;$B80,'On The Board'!$M$5:$M$219)-SUM(F80:I80)</f>
        <v>0</v>
      </c>
      <c r="F80" s="12">
        <f>SUMIF('On The Board'!H$5:H$219,"&lt;="&amp;$B80,'On The Board'!$M$5:$M$219)-SUM(G80:I80)</f>
        <v>6</v>
      </c>
      <c r="G80" s="12">
        <f>SUMIF('On The Board'!I$5:I$219,"&lt;="&amp;$B80,'On The Board'!$M$5:$M$219)-SUM(H80,I80)</f>
        <v>1</v>
      </c>
      <c r="H80" s="12">
        <f>SUMIF('On The Board'!J$5:J$219,"&lt;="&amp;$B80,'On The Board'!$M$5:$M$219)-SUM(I80)</f>
        <v>0</v>
      </c>
      <c r="I80" s="12">
        <f>SUMIF('On The Board'!K$5:K$219,"&lt;="&amp;$B80,'On The Board'!$M$5:$M$219)</f>
        <v>70</v>
      </c>
      <c r="J80" s="10">
        <f t="shared" si="12"/>
        <v>77</v>
      </c>
      <c r="K80" s="10">
        <f t="shared" ca="1" si="13"/>
        <v>7</v>
      </c>
      <c r="L80" s="44">
        <f t="shared" ca="1" si="17"/>
        <v>6.7272727272727275</v>
      </c>
      <c r="M80" s="44">
        <f t="shared" ca="1" si="16"/>
        <v>0.81818181818181823</v>
      </c>
      <c r="N80" s="44">
        <f t="shared" ca="1" si="15"/>
        <v>8.2222222222222214</v>
      </c>
      <c r="O80" s="53">
        <f t="shared" ca="1" si="18"/>
        <v>7.3228420569329664</v>
      </c>
      <c r="P80" s="53">
        <f ca="1">IFERROR(DayByDayTable[[#This Row],[Lead Time]],"")</f>
        <v>8.2222222222222214</v>
      </c>
      <c r="Q80" s="44">
        <f t="shared" ref="Q80:Q143" ca="1" si="19">PERCENTILE(N69:N80,0.8)</f>
        <v>8.31111111111111</v>
      </c>
      <c r="R80" s="44">
        <f ca="1">ROUND(PERCENTILE(DayByDayTable[[#Data],[BlankLeadTime]],0.8),0)</f>
        <v>8</v>
      </c>
    </row>
    <row r="81" spans="1:18">
      <c r="A81" s="51">
        <f t="shared" si="11"/>
        <v>42523</v>
      </c>
      <c r="B81" s="11">
        <f t="shared" si="14"/>
        <v>42523</v>
      </c>
      <c r="C81" s="47">
        <f>SUMIFS('On The Board'!$M$5:$M$219,'On The Board'!F$5:F$219,"&lt;="&amp;$B81,'On The Board'!E$5:E$219,"="&amp;FutureWork)</f>
        <v>43</v>
      </c>
      <c r="D81" s="12">
        <f ca="1">IF(TodaysDate&gt;=B81,SUMIF('On The Board'!F$5:F$219,"&lt;="&amp;$B81,'On The Board'!$M$5:$M$219)-SUM(E81:I81),D80)</f>
        <v>47</v>
      </c>
      <c r="E81" s="12">
        <f>SUMIF('On The Board'!G$5:G$219,"&lt;="&amp;$B81,'On The Board'!$M$5:$M$219)-SUM(F81:I81)</f>
        <v>0</v>
      </c>
      <c r="F81" s="12">
        <f>SUMIF('On The Board'!H$5:H$219,"&lt;="&amp;$B81,'On The Board'!$M$5:$M$219)-SUM(G81:I81)</f>
        <v>6</v>
      </c>
      <c r="G81" s="12">
        <f>SUMIF('On The Board'!I$5:I$219,"&lt;="&amp;$B81,'On The Board'!$M$5:$M$219)-SUM(H81,I81)</f>
        <v>1</v>
      </c>
      <c r="H81" s="12">
        <f>SUMIF('On The Board'!J$5:J$219,"&lt;="&amp;$B81,'On The Board'!$M$5:$M$219)-SUM(I81)</f>
        <v>0</v>
      </c>
      <c r="I81" s="12">
        <f>SUMIF('On The Board'!K$5:K$219,"&lt;="&amp;$B81,'On The Board'!$M$5:$M$219)</f>
        <v>70</v>
      </c>
      <c r="J81" s="10">
        <f t="shared" si="12"/>
        <v>77</v>
      </c>
      <c r="K81" s="10" t="e">
        <f t="shared" ca="1" si="13"/>
        <v>#N/A</v>
      </c>
      <c r="L81" s="44" t="e">
        <f t="shared" ca="1" si="17"/>
        <v>#N/A</v>
      </c>
      <c r="M81" s="44" t="e">
        <f t="shared" ca="1" si="16"/>
        <v>#N/A</v>
      </c>
      <c r="N81" s="44" t="e">
        <f t="shared" ca="1" si="15"/>
        <v>#N/A</v>
      </c>
      <c r="O81" s="53" t="e">
        <f t="shared" ca="1" si="18"/>
        <v>#N/A</v>
      </c>
      <c r="P81" s="53" t="str">
        <f ca="1">IFERROR(DayByDayTable[[#This Row],[Lead Time]],"")</f>
        <v/>
      </c>
      <c r="Q81" s="44" t="e">
        <f t="shared" ca="1" si="19"/>
        <v>#N/A</v>
      </c>
      <c r="R81" s="44">
        <f ca="1">ROUND(PERCENTILE(DayByDayTable[[#Data],[BlankLeadTime]],0.8),0)</f>
        <v>8</v>
      </c>
    </row>
    <row r="82" spans="1:18">
      <c r="A82" s="51">
        <f t="shared" si="11"/>
        <v>42524</v>
      </c>
      <c r="B82" s="11">
        <f t="shared" si="14"/>
        <v>42524</v>
      </c>
      <c r="C82" s="47">
        <f>SUMIFS('On The Board'!$M$5:$M$219,'On The Board'!F$5:F$219,"&lt;="&amp;$B82,'On The Board'!E$5:E$219,"="&amp;FutureWork)</f>
        <v>43</v>
      </c>
      <c r="D82" s="12">
        <f ca="1">IF(TodaysDate&gt;=B82,SUMIF('On The Board'!F$5:F$219,"&lt;="&amp;$B82,'On The Board'!$M$5:$M$219)-SUM(E82:I82),D81)</f>
        <v>47</v>
      </c>
      <c r="E82" s="12">
        <f>SUMIF('On The Board'!G$5:G$219,"&lt;="&amp;$B82,'On The Board'!$M$5:$M$219)-SUM(F82:I82)</f>
        <v>0</v>
      </c>
      <c r="F82" s="12">
        <f>SUMIF('On The Board'!H$5:H$219,"&lt;="&amp;$B82,'On The Board'!$M$5:$M$219)-SUM(G82:I82)</f>
        <v>5</v>
      </c>
      <c r="G82" s="12">
        <f>SUMIF('On The Board'!I$5:I$219,"&lt;="&amp;$B82,'On The Board'!$M$5:$M$219)-SUM(H82,I82)</f>
        <v>2</v>
      </c>
      <c r="H82" s="12">
        <f>SUMIF('On The Board'!J$5:J$219,"&lt;="&amp;$B82,'On The Board'!$M$5:$M$219)-SUM(I82)</f>
        <v>0</v>
      </c>
      <c r="I82" s="12">
        <f>SUMIF('On The Board'!K$5:K$219,"&lt;="&amp;$B82,'On The Board'!$M$5:$M$219)</f>
        <v>70</v>
      </c>
      <c r="J82" s="10">
        <f t="shared" si="12"/>
        <v>77</v>
      </c>
      <c r="K82" s="10" t="e">
        <f t="shared" ca="1" si="13"/>
        <v>#N/A</v>
      </c>
      <c r="L82" s="44" t="e">
        <f t="shared" ca="1" si="17"/>
        <v>#N/A</v>
      </c>
      <c r="M82" s="44" t="e">
        <f t="shared" ca="1" si="16"/>
        <v>#N/A</v>
      </c>
      <c r="N82" s="44" t="e">
        <f t="shared" ca="1" si="15"/>
        <v>#N/A</v>
      </c>
      <c r="O82" s="53" t="e">
        <f t="shared" ca="1" si="18"/>
        <v>#N/A</v>
      </c>
      <c r="P82" s="53" t="str">
        <f ca="1">IFERROR(DayByDayTable[[#This Row],[Lead Time]],"")</f>
        <v/>
      </c>
      <c r="Q82" s="44" t="e">
        <f t="shared" ca="1" si="19"/>
        <v>#N/A</v>
      </c>
      <c r="R82" s="44">
        <f ca="1">ROUND(PERCENTILE(DayByDayTable[[#Data],[BlankLeadTime]],0.8),0)</f>
        <v>8</v>
      </c>
    </row>
    <row r="83" spans="1:18">
      <c r="A83" s="51">
        <f t="shared" si="11"/>
        <v>42527</v>
      </c>
      <c r="B83" s="11">
        <f t="shared" si="14"/>
        <v>42527</v>
      </c>
      <c r="C83" s="47">
        <f>SUMIFS('On The Board'!$M$5:$M$219,'On The Board'!F$5:F$219,"&lt;="&amp;$B83,'On The Board'!E$5:E$219,"="&amp;FutureWork)</f>
        <v>43</v>
      </c>
      <c r="D83" s="12">
        <f ca="1">IF(TodaysDate&gt;=B83,SUMIF('On The Board'!F$5:F$219,"&lt;="&amp;$B83,'On The Board'!$M$5:$M$219)-SUM(E83:I83),D82)</f>
        <v>47</v>
      </c>
      <c r="E83" s="12">
        <f>SUMIF('On The Board'!G$5:G$219,"&lt;="&amp;$B83,'On The Board'!$M$5:$M$219)-SUM(F83:I83)</f>
        <v>0</v>
      </c>
      <c r="F83" s="12">
        <f>SUMIF('On The Board'!H$5:H$219,"&lt;="&amp;$B83,'On The Board'!$M$5:$M$219)-SUM(G83:I83)</f>
        <v>5</v>
      </c>
      <c r="G83" s="12">
        <f>SUMIF('On The Board'!I$5:I$219,"&lt;="&amp;$B83,'On The Board'!$M$5:$M$219)-SUM(H83,I83)</f>
        <v>2</v>
      </c>
      <c r="H83" s="12">
        <f>SUMIF('On The Board'!J$5:J$219,"&lt;="&amp;$B83,'On The Board'!$M$5:$M$219)-SUM(I83)</f>
        <v>0</v>
      </c>
      <c r="I83" s="12">
        <f>SUMIF('On The Board'!K$5:K$219,"&lt;="&amp;$B83,'On The Board'!$M$5:$M$219)</f>
        <v>70</v>
      </c>
      <c r="J83" s="10">
        <f t="shared" si="12"/>
        <v>77</v>
      </c>
      <c r="K83" s="10" t="e">
        <f t="shared" ca="1" si="13"/>
        <v>#N/A</v>
      </c>
      <c r="L83" s="44" t="e">
        <f t="shared" ca="1" si="17"/>
        <v>#N/A</v>
      </c>
      <c r="M83" s="44" t="e">
        <f t="shared" ca="1" si="16"/>
        <v>#N/A</v>
      </c>
      <c r="N83" s="44" t="e">
        <f t="shared" ca="1" si="15"/>
        <v>#N/A</v>
      </c>
      <c r="O83" s="53" t="e">
        <f t="shared" ca="1" si="18"/>
        <v>#N/A</v>
      </c>
      <c r="P83" s="53" t="str">
        <f ca="1">IFERROR(DayByDayTable[[#This Row],[Lead Time]],"")</f>
        <v/>
      </c>
      <c r="Q83" s="44" t="e">
        <f t="shared" ca="1" si="19"/>
        <v>#N/A</v>
      </c>
      <c r="R83" s="44">
        <f ca="1">ROUND(PERCENTILE(DayByDayTable[[#Data],[BlankLeadTime]],0.8),0)</f>
        <v>8</v>
      </c>
    </row>
    <row r="84" spans="1:18">
      <c r="A84" s="51">
        <f t="shared" si="11"/>
        <v>42528</v>
      </c>
      <c r="B84" s="11">
        <f t="shared" si="14"/>
        <v>42528</v>
      </c>
      <c r="C84" s="47">
        <f>SUMIFS('On The Board'!$M$5:$M$219,'On The Board'!F$5:F$219,"&lt;="&amp;$B84,'On The Board'!E$5:E$219,"="&amp;FutureWork)</f>
        <v>43</v>
      </c>
      <c r="D84" s="12">
        <f ca="1">IF(TodaysDate&gt;=B84,SUMIF('On The Board'!F$5:F$219,"&lt;="&amp;$B84,'On The Board'!$M$5:$M$219)-SUM(E84:I84),D83)</f>
        <v>47</v>
      </c>
      <c r="E84" s="12">
        <f>SUMIF('On The Board'!G$5:G$219,"&lt;="&amp;$B84,'On The Board'!$M$5:$M$219)-SUM(F84:I84)</f>
        <v>0</v>
      </c>
      <c r="F84" s="12">
        <f>SUMIF('On The Board'!H$5:H$219,"&lt;="&amp;$B84,'On The Board'!$M$5:$M$219)-SUM(G84:I84)</f>
        <v>5</v>
      </c>
      <c r="G84" s="12">
        <f>SUMIF('On The Board'!I$5:I$219,"&lt;="&amp;$B84,'On The Board'!$M$5:$M$219)-SUM(H84,I84)</f>
        <v>2</v>
      </c>
      <c r="H84" s="12">
        <f>SUMIF('On The Board'!J$5:J$219,"&lt;="&amp;$B84,'On The Board'!$M$5:$M$219)-SUM(I84)</f>
        <v>0</v>
      </c>
      <c r="I84" s="12">
        <f>SUMIF('On The Board'!K$5:K$219,"&lt;="&amp;$B84,'On The Board'!$M$5:$M$219)</f>
        <v>70</v>
      </c>
      <c r="J84" s="10">
        <f t="shared" si="12"/>
        <v>77</v>
      </c>
      <c r="K84" s="10" t="e">
        <f t="shared" ca="1" si="13"/>
        <v>#N/A</v>
      </c>
      <c r="L84" s="44" t="e">
        <f t="shared" ca="1" si="17"/>
        <v>#N/A</v>
      </c>
      <c r="M84" s="44" t="e">
        <f t="shared" ca="1" si="16"/>
        <v>#N/A</v>
      </c>
      <c r="N84" s="44" t="e">
        <f t="shared" ca="1" si="15"/>
        <v>#N/A</v>
      </c>
      <c r="O84" s="53" t="e">
        <f t="shared" ca="1" si="18"/>
        <v>#N/A</v>
      </c>
      <c r="P84" s="53" t="str">
        <f ca="1">IFERROR(DayByDayTable[[#This Row],[Lead Time]],"")</f>
        <v/>
      </c>
      <c r="Q84" s="44" t="e">
        <f t="shared" ca="1" si="19"/>
        <v>#N/A</v>
      </c>
      <c r="R84" s="44">
        <f ca="1">ROUND(PERCENTILE(DayByDayTable[[#Data],[BlankLeadTime]],0.8),0)</f>
        <v>8</v>
      </c>
    </row>
    <row r="85" spans="1:18">
      <c r="A85" s="51">
        <f t="shared" si="11"/>
        <v>42529</v>
      </c>
      <c r="B85" s="11">
        <f t="shared" si="14"/>
        <v>42529</v>
      </c>
      <c r="C85" s="47">
        <f>SUMIFS('On The Board'!$M$5:$M$219,'On The Board'!F$5:F$219,"&lt;="&amp;$B85,'On The Board'!E$5:E$219,"="&amp;FutureWork)</f>
        <v>43</v>
      </c>
      <c r="D85" s="12">
        <f ca="1">IF(TodaysDate&gt;=B85,SUMIF('On The Board'!F$5:F$219,"&lt;="&amp;$B85,'On The Board'!$M$5:$M$219)-SUM(E85:I85),D84)</f>
        <v>47</v>
      </c>
      <c r="E85" s="12">
        <f>SUMIF('On The Board'!G$5:G$219,"&lt;="&amp;$B85,'On The Board'!$M$5:$M$219)-SUM(F85:I85)</f>
        <v>0</v>
      </c>
      <c r="F85" s="12">
        <f>SUMIF('On The Board'!H$5:H$219,"&lt;="&amp;$B85,'On The Board'!$M$5:$M$219)-SUM(G85:I85)</f>
        <v>5</v>
      </c>
      <c r="G85" s="12">
        <f>SUMIF('On The Board'!I$5:I$219,"&lt;="&amp;$B85,'On The Board'!$M$5:$M$219)-SUM(H85,I85)</f>
        <v>2</v>
      </c>
      <c r="H85" s="12">
        <f>SUMIF('On The Board'!J$5:J$219,"&lt;="&amp;$B85,'On The Board'!$M$5:$M$219)-SUM(I85)</f>
        <v>0</v>
      </c>
      <c r="I85" s="12">
        <f>SUMIF('On The Board'!K$5:K$219,"&lt;="&amp;$B85,'On The Board'!$M$5:$M$219)</f>
        <v>70</v>
      </c>
      <c r="J85" s="10">
        <f t="shared" si="12"/>
        <v>77</v>
      </c>
      <c r="K85" s="10" t="e">
        <f t="shared" ca="1" si="13"/>
        <v>#N/A</v>
      </c>
      <c r="L85" s="44" t="e">
        <f t="shared" ca="1" si="17"/>
        <v>#N/A</v>
      </c>
      <c r="M85" s="44" t="e">
        <f t="shared" ca="1" si="16"/>
        <v>#N/A</v>
      </c>
      <c r="N85" s="44" t="e">
        <f t="shared" ca="1" si="15"/>
        <v>#N/A</v>
      </c>
      <c r="O85" s="53" t="e">
        <f t="shared" ca="1" si="18"/>
        <v>#N/A</v>
      </c>
      <c r="P85" s="53" t="str">
        <f ca="1">IFERROR(DayByDayTable[[#This Row],[Lead Time]],"")</f>
        <v/>
      </c>
      <c r="Q85" s="44" t="e">
        <f t="shared" ca="1" si="19"/>
        <v>#N/A</v>
      </c>
      <c r="R85" s="44">
        <f ca="1">ROUND(PERCENTILE(DayByDayTable[[#Data],[BlankLeadTime]],0.8),0)</f>
        <v>8</v>
      </c>
    </row>
    <row r="86" spans="1:18">
      <c r="A86" s="51">
        <f t="shared" si="11"/>
        <v>42530</v>
      </c>
      <c r="B86" s="11">
        <f t="shared" si="14"/>
        <v>42530</v>
      </c>
      <c r="C86" s="47">
        <f>SUMIFS('On The Board'!$M$5:$M$219,'On The Board'!F$5:F$219,"&lt;="&amp;$B86,'On The Board'!E$5:E$219,"="&amp;FutureWork)</f>
        <v>43</v>
      </c>
      <c r="D86" s="12">
        <f ca="1">IF(TodaysDate&gt;=B86,SUMIF('On The Board'!F$5:F$219,"&lt;="&amp;$B86,'On The Board'!$M$5:$M$219)-SUM(E86:I86),D85)</f>
        <v>47</v>
      </c>
      <c r="E86" s="12">
        <f>SUMIF('On The Board'!G$5:G$219,"&lt;="&amp;$B86,'On The Board'!$M$5:$M$219)-SUM(F86:I86)</f>
        <v>0</v>
      </c>
      <c r="F86" s="12">
        <f>SUMIF('On The Board'!H$5:H$219,"&lt;="&amp;$B86,'On The Board'!$M$5:$M$219)-SUM(G86:I86)</f>
        <v>5</v>
      </c>
      <c r="G86" s="12">
        <f>SUMIF('On The Board'!I$5:I$219,"&lt;="&amp;$B86,'On The Board'!$M$5:$M$219)-SUM(H86,I86)</f>
        <v>2</v>
      </c>
      <c r="H86" s="12">
        <f>SUMIF('On The Board'!J$5:J$219,"&lt;="&amp;$B86,'On The Board'!$M$5:$M$219)-SUM(I86)</f>
        <v>0</v>
      </c>
      <c r="I86" s="12">
        <f>SUMIF('On The Board'!K$5:K$219,"&lt;="&amp;$B86,'On The Board'!$M$5:$M$219)</f>
        <v>70</v>
      </c>
      <c r="J86" s="10">
        <f t="shared" si="12"/>
        <v>77</v>
      </c>
      <c r="K86" s="10" t="e">
        <f t="shared" ca="1" si="13"/>
        <v>#N/A</v>
      </c>
      <c r="L86" s="44" t="e">
        <f t="shared" ca="1" si="17"/>
        <v>#N/A</v>
      </c>
      <c r="M86" s="44" t="e">
        <f t="shared" ca="1" si="16"/>
        <v>#N/A</v>
      </c>
      <c r="N86" s="44" t="e">
        <f t="shared" ca="1" si="15"/>
        <v>#N/A</v>
      </c>
      <c r="O86" s="53" t="e">
        <f t="shared" ca="1" si="18"/>
        <v>#N/A</v>
      </c>
      <c r="P86" s="53" t="str">
        <f ca="1">IFERROR(DayByDayTable[[#This Row],[Lead Time]],"")</f>
        <v/>
      </c>
      <c r="Q86" s="44" t="e">
        <f t="shared" ca="1" si="19"/>
        <v>#N/A</v>
      </c>
      <c r="R86" s="44">
        <f ca="1">ROUND(PERCENTILE(DayByDayTable[[#Data],[BlankLeadTime]],0.8),0)</f>
        <v>8</v>
      </c>
    </row>
    <row r="87" spans="1:18">
      <c r="A87" s="51">
        <f t="shared" si="11"/>
        <v>42531</v>
      </c>
      <c r="B87" s="11">
        <f t="shared" si="14"/>
        <v>42531</v>
      </c>
      <c r="C87" s="47">
        <f>SUMIFS('On The Board'!$M$5:$M$219,'On The Board'!F$5:F$219,"&lt;="&amp;$B87,'On The Board'!E$5:E$219,"="&amp;FutureWork)</f>
        <v>43</v>
      </c>
      <c r="D87" s="12">
        <f ca="1">IF(TodaysDate&gt;=B87,SUMIF('On The Board'!F$5:F$219,"&lt;="&amp;$B87,'On The Board'!$M$5:$M$219)-SUM(E87:I87),D86)</f>
        <v>47</v>
      </c>
      <c r="E87" s="12">
        <f>SUMIF('On The Board'!G$5:G$219,"&lt;="&amp;$B87,'On The Board'!$M$5:$M$219)-SUM(F87:I87)</f>
        <v>0</v>
      </c>
      <c r="F87" s="12">
        <f>SUMIF('On The Board'!H$5:H$219,"&lt;="&amp;$B87,'On The Board'!$M$5:$M$219)-SUM(G87:I87)</f>
        <v>5</v>
      </c>
      <c r="G87" s="12">
        <f>SUMIF('On The Board'!I$5:I$219,"&lt;="&amp;$B87,'On The Board'!$M$5:$M$219)-SUM(H87,I87)</f>
        <v>2</v>
      </c>
      <c r="H87" s="12">
        <f>SUMIF('On The Board'!J$5:J$219,"&lt;="&amp;$B87,'On The Board'!$M$5:$M$219)-SUM(I87)</f>
        <v>0</v>
      </c>
      <c r="I87" s="12">
        <f>SUMIF('On The Board'!K$5:K$219,"&lt;="&amp;$B87,'On The Board'!$M$5:$M$219)</f>
        <v>70</v>
      </c>
      <c r="J87" s="10">
        <f t="shared" si="12"/>
        <v>77</v>
      </c>
      <c r="K87" s="10" t="e">
        <f t="shared" ca="1" si="13"/>
        <v>#N/A</v>
      </c>
      <c r="L87" s="44" t="e">
        <f t="shared" ca="1" si="17"/>
        <v>#N/A</v>
      </c>
      <c r="M87" s="44" t="e">
        <f t="shared" ca="1" si="16"/>
        <v>#N/A</v>
      </c>
      <c r="N87" s="44" t="e">
        <f t="shared" ca="1" si="15"/>
        <v>#N/A</v>
      </c>
      <c r="O87" s="53" t="e">
        <f t="shared" ca="1" si="18"/>
        <v>#N/A</v>
      </c>
      <c r="P87" s="53" t="str">
        <f ca="1">IFERROR(DayByDayTable[[#This Row],[Lead Time]],"")</f>
        <v/>
      </c>
      <c r="Q87" s="44" t="e">
        <f t="shared" ca="1" si="19"/>
        <v>#N/A</v>
      </c>
      <c r="R87" s="44">
        <f ca="1">ROUND(PERCENTILE(DayByDayTable[[#Data],[BlankLeadTime]],0.8),0)</f>
        <v>8</v>
      </c>
    </row>
    <row r="88" spans="1:18">
      <c r="A88" s="51">
        <f t="shared" si="11"/>
        <v>42534</v>
      </c>
      <c r="B88" s="11">
        <f t="shared" si="14"/>
        <v>42534</v>
      </c>
      <c r="C88" s="47">
        <f>SUMIFS('On The Board'!$M$5:$M$219,'On The Board'!F$5:F$219,"&lt;="&amp;$B88,'On The Board'!E$5:E$219,"="&amp;FutureWork)</f>
        <v>43</v>
      </c>
      <c r="D88" s="12">
        <f ca="1">IF(TodaysDate&gt;=B88,SUMIF('On The Board'!F$5:F$219,"&lt;="&amp;$B88,'On The Board'!$M$5:$M$219)-SUM(E88:I88),D87)</f>
        <v>47</v>
      </c>
      <c r="E88" s="12">
        <f>SUMIF('On The Board'!G$5:G$219,"&lt;="&amp;$B88,'On The Board'!$M$5:$M$219)-SUM(F88:I88)</f>
        <v>0</v>
      </c>
      <c r="F88" s="12">
        <f>SUMIF('On The Board'!H$5:H$219,"&lt;="&amp;$B88,'On The Board'!$M$5:$M$219)-SUM(G88:I88)</f>
        <v>5</v>
      </c>
      <c r="G88" s="12">
        <f>SUMIF('On The Board'!I$5:I$219,"&lt;="&amp;$B88,'On The Board'!$M$5:$M$219)-SUM(H88,I88)</f>
        <v>2</v>
      </c>
      <c r="H88" s="12">
        <f>SUMIF('On The Board'!J$5:J$219,"&lt;="&amp;$B88,'On The Board'!$M$5:$M$219)-SUM(I88)</f>
        <v>0</v>
      </c>
      <c r="I88" s="12">
        <f>SUMIF('On The Board'!K$5:K$219,"&lt;="&amp;$B88,'On The Board'!$M$5:$M$219)</f>
        <v>70</v>
      </c>
      <c r="J88" s="10">
        <f t="shared" si="12"/>
        <v>77</v>
      </c>
      <c r="K88" s="10" t="e">
        <f t="shared" ca="1" si="13"/>
        <v>#N/A</v>
      </c>
      <c r="L88" s="44" t="e">
        <f t="shared" ca="1" si="17"/>
        <v>#N/A</v>
      </c>
      <c r="M88" s="44" t="e">
        <f t="shared" ca="1" si="16"/>
        <v>#N/A</v>
      </c>
      <c r="N88" s="44" t="e">
        <f t="shared" ca="1" si="15"/>
        <v>#N/A</v>
      </c>
      <c r="O88" s="53" t="e">
        <f t="shared" ca="1" si="18"/>
        <v>#N/A</v>
      </c>
      <c r="P88" s="53" t="str">
        <f ca="1">IFERROR(DayByDayTable[[#This Row],[Lead Time]],"")</f>
        <v/>
      </c>
      <c r="Q88" s="44" t="e">
        <f t="shared" ca="1" si="19"/>
        <v>#N/A</v>
      </c>
      <c r="R88" s="44">
        <f ca="1">ROUND(PERCENTILE(DayByDayTable[[#Data],[BlankLeadTime]],0.8),0)</f>
        <v>8</v>
      </c>
    </row>
    <row r="89" spans="1:18">
      <c r="A89" s="51">
        <f t="shared" si="11"/>
        <v>42535</v>
      </c>
      <c r="B89" s="11">
        <f t="shared" si="14"/>
        <v>42535</v>
      </c>
      <c r="C89" s="47">
        <f>SUMIFS('On The Board'!$M$5:$M$219,'On The Board'!F$5:F$219,"&lt;="&amp;$B89,'On The Board'!E$5:E$219,"="&amp;FutureWork)</f>
        <v>43</v>
      </c>
      <c r="D89" s="12">
        <f ca="1">IF(TodaysDate&gt;=B89,SUMIF('On The Board'!F$5:F$219,"&lt;="&amp;$B89,'On The Board'!$M$5:$M$219)-SUM(E89:I89),D88)</f>
        <v>47</v>
      </c>
      <c r="E89" s="12">
        <f>SUMIF('On The Board'!G$5:G$219,"&lt;="&amp;$B89,'On The Board'!$M$5:$M$219)-SUM(F89:I89)</f>
        <v>0</v>
      </c>
      <c r="F89" s="12">
        <f>SUMIF('On The Board'!H$5:H$219,"&lt;="&amp;$B89,'On The Board'!$M$5:$M$219)-SUM(G89:I89)</f>
        <v>5</v>
      </c>
      <c r="G89" s="12">
        <f>SUMIF('On The Board'!I$5:I$219,"&lt;="&amp;$B89,'On The Board'!$M$5:$M$219)-SUM(H89,I89)</f>
        <v>2</v>
      </c>
      <c r="H89" s="12">
        <f>SUMIF('On The Board'!J$5:J$219,"&lt;="&amp;$B89,'On The Board'!$M$5:$M$219)-SUM(I89)</f>
        <v>0</v>
      </c>
      <c r="I89" s="12">
        <f>SUMIF('On The Board'!K$5:K$219,"&lt;="&amp;$B89,'On The Board'!$M$5:$M$219)</f>
        <v>70</v>
      </c>
      <c r="J89" s="10">
        <f t="shared" si="12"/>
        <v>77</v>
      </c>
      <c r="K89" s="10" t="e">
        <f t="shared" ca="1" si="13"/>
        <v>#N/A</v>
      </c>
      <c r="L89" s="44" t="e">
        <f t="shared" ca="1" si="17"/>
        <v>#N/A</v>
      </c>
      <c r="M89" s="44" t="e">
        <f t="shared" ca="1" si="16"/>
        <v>#N/A</v>
      </c>
      <c r="N89" s="44" t="e">
        <f t="shared" ca="1" si="15"/>
        <v>#N/A</v>
      </c>
      <c r="O89" s="53" t="e">
        <f t="shared" ca="1" si="18"/>
        <v>#N/A</v>
      </c>
      <c r="P89" s="53" t="str">
        <f ca="1">IFERROR(DayByDayTable[[#This Row],[Lead Time]],"")</f>
        <v/>
      </c>
      <c r="Q89" s="44" t="e">
        <f t="shared" ca="1" si="19"/>
        <v>#N/A</v>
      </c>
      <c r="R89" s="44">
        <f ca="1">ROUND(PERCENTILE(DayByDayTable[[#Data],[BlankLeadTime]],0.8),0)</f>
        <v>8</v>
      </c>
    </row>
    <row r="90" spans="1:18">
      <c r="A90" s="51">
        <f t="shared" si="11"/>
        <v>42536</v>
      </c>
      <c r="B90" s="11">
        <f t="shared" si="14"/>
        <v>42536</v>
      </c>
      <c r="C90" s="47">
        <f>SUMIFS('On The Board'!$M$5:$M$219,'On The Board'!F$5:F$219,"&lt;="&amp;$B90,'On The Board'!E$5:E$219,"="&amp;FutureWork)</f>
        <v>43</v>
      </c>
      <c r="D90" s="12">
        <f ca="1">IF(TodaysDate&gt;=B90,SUMIF('On The Board'!F$5:F$219,"&lt;="&amp;$B90,'On The Board'!$M$5:$M$219)-SUM(E90:I90),D89)</f>
        <v>47</v>
      </c>
      <c r="E90" s="12">
        <f>SUMIF('On The Board'!G$5:G$219,"&lt;="&amp;$B90,'On The Board'!$M$5:$M$219)-SUM(F90:I90)</f>
        <v>0</v>
      </c>
      <c r="F90" s="12">
        <f>SUMIF('On The Board'!H$5:H$219,"&lt;="&amp;$B90,'On The Board'!$M$5:$M$219)-SUM(G90:I90)</f>
        <v>5</v>
      </c>
      <c r="G90" s="12">
        <f>SUMIF('On The Board'!I$5:I$219,"&lt;="&amp;$B90,'On The Board'!$M$5:$M$219)-SUM(H90,I90)</f>
        <v>2</v>
      </c>
      <c r="H90" s="12">
        <f>SUMIF('On The Board'!J$5:J$219,"&lt;="&amp;$B90,'On The Board'!$M$5:$M$219)-SUM(I90)</f>
        <v>0</v>
      </c>
      <c r="I90" s="12">
        <f>SUMIF('On The Board'!K$5:K$219,"&lt;="&amp;$B90,'On The Board'!$M$5:$M$219)</f>
        <v>70</v>
      </c>
      <c r="J90" s="10">
        <f t="shared" si="12"/>
        <v>77</v>
      </c>
      <c r="K90" s="10" t="e">
        <f t="shared" ca="1" si="13"/>
        <v>#N/A</v>
      </c>
      <c r="L90" s="44" t="e">
        <f t="shared" ca="1" si="17"/>
        <v>#N/A</v>
      </c>
      <c r="M90" s="44" t="e">
        <f t="shared" ca="1" si="16"/>
        <v>#N/A</v>
      </c>
      <c r="N90" s="44" t="e">
        <f t="shared" ca="1" si="15"/>
        <v>#N/A</v>
      </c>
      <c r="O90" s="53" t="e">
        <f t="shared" ca="1" si="18"/>
        <v>#N/A</v>
      </c>
      <c r="P90" s="53" t="str">
        <f ca="1">IFERROR(DayByDayTable[[#This Row],[Lead Time]],"")</f>
        <v/>
      </c>
      <c r="Q90" s="44" t="e">
        <f t="shared" ca="1" si="19"/>
        <v>#N/A</v>
      </c>
      <c r="R90" s="44">
        <f ca="1">ROUND(PERCENTILE(DayByDayTable[[#Data],[BlankLeadTime]],0.8),0)</f>
        <v>8</v>
      </c>
    </row>
    <row r="91" spans="1:18">
      <c r="A91" s="51">
        <f t="shared" si="11"/>
        <v>42537</v>
      </c>
      <c r="B91" s="11">
        <f t="shared" si="14"/>
        <v>42537</v>
      </c>
      <c r="C91" s="47">
        <f>SUMIFS('On The Board'!$M$5:$M$219,'On The Board'!F$5:F$219,"&lt;="&amp;$B91,'On The Board'!E$5:E$219,"="&amp;FutureWork)</f>
        <v>43</v>
      </c>
      <c r="D91" s="12">
        <f ca="1">IF(TodaysDate&gt;=B91,SUMIF('On The Board'!F$5:F$219,"&lt;="&amp;$B91,'On The Board'!$M$5:$M$219)-SUM(E91:I91),D90)</f>
        <v>47</v>
      </c>
      <c r="E91" s="12">
        <f>SUMIF('On The Board'!G$5:G$219,"&lt;="&amp;$B91,'On The Board'!$M$5:$M$219)-SUM(F91:I91)</f>
        <v>0</v>
      </c>
      <c r="F91" s="12">
        <f>SUMIF('On The Board'!H$5:H$219,"&lt;="&amp;$B91,'On The Board'!$M$5:$M$219)-SUM(G91:I91)</f>
        <v>5</v>
      </c>
      <c r="G91" s="12">
        <f>SUMIF('On The Board'!I$5:I$219,"&lt;="&amp;$B91,'On The Board'!$M$5:$M$219)-SUM(H91,I91)</f>
        <v>2</v>
      </c>
      <c r="H91" s="12">
        <f>SUMIF('On The Board'!J$5:J$219,"&lt;="&amp;$B91,'On The Board'!$M$5:$M$219)-SUM(I91)</f>
        <v>0</v>
      </c>
      <c r="I91" s="12">
        <f>SUMIF('On The Board'!K$5:K$219,"&lt;="&amp;$B91,'On The Board'!$M$5:$M$219)</f>
        <v>70</v>
      </c>
      <c r="J91" s="10">
        <f t="shared" si="12"/>
        <v>77</v>
      </c>
      <c r="K91" s="10" t="e">
        <f t="shared" ca="1" si="13"/>
        <v>#N/A</v>
      </c>
      <c r="L91" s="44" t="e">
        <f t="shared" ca="1" si="17"/>
        <v>#N/A</v>
      </c>
      <c r="M91" s="44" t="e">
        <f t="shared" ca="1" si="16"/>
        <v>#N/A</v>
      </c>
      <c r="N91" s="44" t="e">
        <f t="shared" ca="1" si="15"/>
        <v>#N/A</v>
      </c>
      <c r="O91" s="53" t="e">
        <f t="shared" ca="1" si="18"/>
        <v>#N/A</v>
      </c>
      <c r="P91" s="53" t="str">
        <f ca="1">IFERROR(DayByDayTable[[#This Row],[Lead Time]],"")</f>
        <v/>
      </c>
      <c r="Q91" s="44" t="e">
        <f t="shared" ca="1" si="19"/>
        <v>#N/A</v>
      </c>
      <c r="R91" s="44">
        <f ca="1">ROUND(PERCENTILE(DayByDayTable[[#Data],[BlankLeadTime]],0.8),0)</f>
        <v>8</v>
      </c>
    </row>
    <row r="92" spans="1:18">
      <c r="A92" s="51">
        <f t="shared" si="11"/>
        <v>42538</v>
      </c>
      <c r="B92" s="11">
        <f t="shared" si="14"/>
        <v>42538</v>
      </c>
      <c r="C92" s="47">
        <f>SUMIFS('On The Board'!$M$5:$M$219,'On The Board'!F$5:F$219,"&lt;="&amp;$B92,'On The Board'!E$5:E$219,"="&amp;FutureWork)</f>
        <v>43</v>
      </c>
      <c r="D92" s="12">
        <f ca="1">IF(TodaysDate&gt;=B92,SUMIF('On The Board'!F$5:F$219,"&lt;="&amp;$B92,'On The Board'!$M$5:$M$219)-SUM(E92:I92),D91)</f>
        <v>47</v>
      </c>
      <c r="E92" s="12">
        <f>SUMIF('On The Board'!G$5:G$219,"&lt;="&amp;$B92,'On The Board'!$M$5:$M$219)-SUM(F92:I92)</f>
        <v>0</v>
      </c>
      <c r="F92" s="12">
        <f>SUMIF('On The Board'!H$5:H$219,"&lt;="&amp;$B92,'On The Board'!$M$5:$M$219)-SUM(G92:I92)</f>
        <v>5</v>
      </c>
      <c r="G92" s="12">
        <f>SUMIF('On The Board'!I$5:I$219,"&lt;="&amp;$B92,'On The Board'!$M$5:$M$219)-SUM(H92,I92)</f>
        <v>2</v>
      </c>
      <c r="H92" s="12">
        <f>SUMIF('On The Board'!J$5:J$219,"&lt;="&amp;$B92,'On The Board'!$M$5:$M$219)-SUM(I92)</f>
        <v>0</v>
      </c>
      <c r="I92" s="12">
        <f>SUMIF('On The Board'!K$5:K$219,"&lt;="&amp;$B92,'On The Board'!$M$5:$M$219)</f>
        <v>70</v>
      </c>
      <c r="J92" s="10">
        <f t="shared" si="12"/>
        <v>77</v>
      </c>
      <c r="K92" s="10" t="e">
        <f t="shared" ca="1" si="13"/>
        <v>#N/A</v>
      </c>
      <c r="L92" s="44" t="e">
        <f t="shared" ca="1" si="17"/>
        <v>#N/A</v>
      </c>
      <c r="M92" s="44" t="e">
        <f t="shared" ca="1" si="16"/>
        <v>#N/A</v>
      </c>
      <c r="N92" s="44" t="e">
        <f t="shared" ca="1" si="15"/>
        <v>#N/A</v>
      </c>
      <c r="O92" s="53" t="e">
        <f t="shared" ca="1" si="18"/>
        <v>#N/A</v>
      </c>
      <c r="P92" s="53" t="str">
        <f ca="1">IFERROR(DayByDayTable[[#This Row],[Lead Time]],"")</f>
        <v/>
      </c>
      <c r="Q92" s="44" t="e">
        <f t="shared" ca="1" si="19"/>
        <v>#N/A</v>
      </c>
      <c r="R92" s="44">
        <f ca="1">ROUND(PERCENTILE(DayByDayTable[[#Data],[BlankLeadTime]],0.8),0)</f>
        <v>8</v>
      </c>
    </row>
    <row r="93" spans="1:18">
      <c r="A93" s="51">
        <f t="shared" si="11"/>
        <v>42541</v>
      </c>
      <c r="B93" s="11">
        <f t="shared" si="14"/>
        <v>42541</v>
      </c>
      <c r="C93" s="47">
        <f>SUMIFS('On The Board'!$M$5:$M$219,'On The Board'!F$5:F$219,"&lt;="&amp;$B93,'On The Board'!E$5:E$219,"="&amp;FutureWork)</f>
        <v>43</v>
      </c>
      <c r="D93" s="12">
        <f ca="1">IF(TodaysDate&gt;=B93,SUMIF('On The Board'!F$5:F$219,"&lt;="&amp;$B93,'On The Board'!$M$5:$M$219)-SUM(E93:I93),D92)</f>
        <v>47</v>
      </c>
      <c r="E93" s="12">
        <f>SUMIF('On The Board'!G$5:G$219,"&lt;="&amp;$B93,'On The Board'!$M$5:$M$219)-SUM(F93:I93)</f>
        <v>0</v>
      </c>
      <c r="F93" s="12">
        <f>SUMIF('On The Board'!H$5:H$219,"&lt;="&amp;$B93,'On The Board'!$M$5:$M$219)-SUM(G93:I93)</f>
        <v>5</v>
      </c>
      <c r="G93" s="12">
        <f>SUMIF('On The Board'!I$5:I$219,"&lt;="&amp;$B93,'On The Board'!$M$5:$M$219)-SUM(H93,I93)</f>
        <v>2</v>
      </c>
      <c r="H93" s="12">
        <f>SUMIF('On The Board'!J$5:J$219,"&lt;="&amp;$B93,'On The Board'!$M$5:$M$219)-SUM(I93)</f>
        <v>0</v>
      </c>
      <c r="I93" s="12">
        <f>SUMIF('On The Board'!K$5:K$219,"&lt;="&amp;$B93,'On The Board'!$M$5:$M$219)</f>
        <v>70</v>
      </c>
      <c r="J93" s="10">
        <f t="shared" si="12"/>
        <v>77</v>
      </c>
      <c r="K93" s="10" t="e">
        <f t="shared" ca="1" si="13"/>
        <v>#N/A</v>
      </c>
      <c r="L93" s="44" t="e">
        <f t="shared" ca="1" si="17"/>
        <v>#N/A</v>
      </c>
      <c r="M93" s="44" t="e">
        <f t="shared" ca="1" si="16"/>
        <v>#N/A</v>
      </c>
      <c r="N93" s="44" t="e">
        <f t="shared" ca="1" si="15"/>
        <v>#N/A</v>
      </c>
      <c r="O93" s="53" t="e">
        <f t="shared" ca="1" si="18"/>
        <v>#N/A</v>
      </c>
      <c r="P93" s="53" t="str">
        <f ca="1">IFERROR(DayByDayTable[[#This Row],[Lead Time]],"")</f>
        <v/>
      </c>
      <c r="Q93" s="44" t="e">
        <f t="shared" ca="1" si="19"/>
        <v>#N/A</v>
      </c>
      <c r="R93" s="44">
        <f ca="1">ROUND(PERCENTILE(DayByDayTable[[#Data],[BlankLeadTime]],0.8),0)</f>
        <v>8</v>
      </c>
    </row>
    <row r="94" spans="1:18">
      <c r="A94" s="51">
        <f t="shared" si="11"/>
        <v>42542</v>
      </c>
      <c r="B94" s="11">
        <f t="shared" si="14"/>
        <v>42542</v>
      </c>
      <c r="C94" s="47">
        <f>SUMIFS('On The Board'!$M$5:$M$219,'On The Board'!F$5:F$219,"&lt;="&amp;$B94,'On The Board'!E$5:E$219,"="&amp;FutureWork)</f>
        <v>43</v>
      </c>
      <c r="D94" s="12">
        <f ca="1">IF(TodaysDate&gt;=B94,SUMIF('On The Board'!F$5:F$219,"&lt;="&amp;$B94,'On The Board'!$M$5:$M$219)-SUM(E94:I94),D93)</f>
        <v>47</v>
      </c>
      <c r="E94" s="12">
        <f>SUMIF('On The Board'!G$5:G$219,"&lt;="&amp;$B94,'On The Board'!$M$5:$M$219)-SUM(F94:I94)</f>
        <v>0</v>
      </c>
      <c r="F94" s="12">
        <f>SUMIF('On The Board'!H$5:H$219,"&lt;="&amp;$B94,'On The Board'!$M$5:$M$219)-SUM(G94:I94)</f>
        <v>5</v>
      </c>
      <c r="G94" s="12">
        <f>SUMIF('On The Board'!I$5:I$219,"&lt;="&amp;$B94,'On The Board'!$M$5:$M$219)-SUM(H94,I94)</f>
        <v>2</v>
      </c>
      <c r="H94" s="12">
        <f>SUMIF('On The Board'!J$5:J$219,"&lt;="&amp;$B94,'On The Board'!$M$5:$M$219)-SUM(I94)</f>
        <v>0</v>
      </c>
      <c r="I94" s="12">
        <f>SUMIF('On The Board'!K$5:K$219,"&lt;="&amp;$B94,'On The Board'!$M$5:$M$219)</f>
        <v>70</v>
      </c>
      <c r="J94" s="10">
        <f t="shared" si="12"/>
        <v>77</v>
      </c>
      <c r="K94" s="10" t="e">
        <f t="shared" ca="1" si="13"/>
        <v>#N/A</v>
      </c>
      <c r="L94" s="44" t="e">
        <f t="shared" ca="1" si="17"/>
        <v>#N/A</v>
      </c>
      <c r="M94" s="44" t="e">
        <f t="shared" ca="1" si="16"/>
        <v>#N/A</v>
      </c>
      <c r="N94" s="44" t="e">
        <f t="shared" ca="1" si="15"/>
        <v>#N/A</v>
      </c>
      <c r="O94" s="53" t="e">
        <f t="shared" ca="1" si="18"/>
        <v>#N/A</v>
      </c>
      <c r="P94" s="53" t="str">
        <f ca="1">IFERROR(DayByDayTable[[#This Row],[Lead Time]],"")</f>
        <v/>
      </c>
      <c r="Q94" s="44" t="e">
        <f t="shared" ca="1" si="19"/>
        <v>#N/A</v>
      </c>
      <c r="R94" s="44">
        <f ca="1">ROUND(PERCENTILE(DayByDayTable[[#Data],[BlankLeadTime]],0.8),0)</f>
        <v>8</v>
      </c>
    </row>
    <row r="95" spans="1:18">
      <c r="A95" s="51">
        <f t="shared" si="11"/>
        <v>42543</v>
      </c>
      <c r="B95" s="11">
        <f t="shared" si="14"/>
        <v>42543</v>
      </c>
      <c r="C95" s="47">
        <f>SUMIFS('On The Board'!$M$5:$M$219,'On The Board'!F$5:F$219,"&lt;="&amp;$B95,'On The Board'!E$5:E$219,"="&amp;FutureWork)</f>
        <v>43</v>
      </c>
      <c r="D95" s="12">
        <f ca="1">IF(TodaysDate&gt;=B95,SUMIF('On The Board'!F$5:F$219,"&lt;="&amp;$B95,'On The Board'!$M$5:$M$219)-SUM(E95:I95),D94)</f>
        <v>47</v>
      </c>
      <c r="E95" s="12">
        <f>SUMIF('On The Board'!G$5:G$219,"&lt;="&amp;$B95,'On The Board'!$M$5:$M$219)-SUM(F95:I95)</f>
        <v>0</v>
      </c>
      <c r="F95" s="12">
        <f>SUMIF('On The Board'!H$5:H$219,"&lt;="&amp;$B95,'On The Board'!$M$5:$M$219)-SUM(G95:I95)</f>
        <v>5</v>
      </c>
      <c r="G95" s="12">
        <f>SUMIF('On The Board'!I$5:I$219,"&lt;="&amp;$B95,'On The Board'!$M$5:$M$219)-SUM(H95,I95)</f>
        <v>2</v>
      </c>
      <c r="H95" s="12">
        <f>SUMIF('On The Board'!J$5:J$219,"&lt;="&amp;$B95,'On The Board'!$M$5:$M$219)-SUM(I95)</f>
        <v>0</v>
      </c>
      <c r="I95" s="12">
        <f>SUMIF('On The Board'!K$5:K$219,"&lt;="&amp;$B95,'On The Board'!$M$5:$M$219)</f>
        <v>70</v>
      </c>
      <c r="J95" s="10">
        <f t="shared" si="12"/>
        <v>77</v>
      </c>
      <c r="K95" s="10" t="e">
        <f t="shared" ca="1" si="13"/>
        <v>#N/A</v>
      </c>
      <c r="L95" s="44" t="e">
        <f t="shared" ca="1" si="17"/>
        <v>#N/A</v>
      </c>
      <c r="M95" s="44" t="e">
        <f t="shared" ca="1" si="16"/>
        <v>#N/A</v>
      </c>
      <c r="N95" s="44" t="e">
        <f t="shared" ca="1" si="15"/>
        <v>#N/A</v>
      </c>
      <c r="O95" s="53" t="e">
        <f t="shared" ca="1" si="18"/>
        <v>#N/A</v>
      </c>
      <c r="P95" s="53" t="str">
        <f ca="1">IFERROR(DayByDayTable[[#This Row],[Lead Time]],"")</f>
        <v/>
      </c>
      <c r="Q95" s="44" t="e">
        <f t="shared" ca="1" si="19"/>
        <v>#N/A</v>
      </c>
      <c r="R95" s="44">
        <f ca="1">ROUND(PERCENTILE(DayByDayTable[[#Data],[BlankLeadTime]],0.8),0)</f>
        <v>8</v>
      </c>
    </row>
    <row r="96" spans="1:18">
      <c r="A96" s="51">
        <f t="shared" si="11"/>
        <v>42544</v>
      </c>
      <c r="B96" s="11">
        <f t="shared" si="14"/>
        <v>42544</v>
      </c>
      <c r="C96" s="47">
        <f>SUMIFS('On The Board'!$M$5:$M$219,'On The Board'!F$5:F$219,"&lt;="&amp;$B96,'On The Board'!E$5:E$219,"="&amp;FutureWork)</f>
        <v>43</v>
      </c>
      <c r="D96" s="12">
        <f ca="1">IF(TodaysDate&gt;=B96,SUMIF('On The Board'!F$5:F$219,"&lt;="&amp;$B96,'On The Board'!$M$5:$M$219)-SUM(E96:I96),D95)</f>
        <v>47</v>
      </c>
      <c r="E96" s="12">
        <f>SUMIF('On The Board'!G$5:G$219,"&lt;="&amp;$B96,'On The Board'!$M$5:$M$219)-SUM(F96:I96)</f>
        <v>0</v>
      </c>
      <c r="F96" s="12">
        <f>SUMIF('On The Board'!H$5:H$219,"&lt;="&amp;$B96,'On The Board'!$M$5:$M$219)-SUM(G96:I96)</f>
        <v>5</v>
      </c>
      <c r="G96" s="12">
        <f>SUMIF('On The Board'!I$5:I$219,"&lt;="&amp;$B96,'On The Board'!$M$5:$M$219)-SUM(H96,I96)</f>
        <v>2</v>
      </c>
      <c r="H96" s="12">
        <f>SUMIF('On The Board'!J$5:J$219,"&lt;="&amp;$B96,'On The Board'!$M$5:$M$219)-SUM(I96)</f>
        <v>0</v>
      </c>
      <c r="I96" s="12">
        <f>SUMIF('On The Board'!K$5:K$219,"&lt;="&amp;$B96,'On The Board'!$M$5:$M$219)</f>
        <v>70</v>
      </c>
      <c r="J96" s="10">
        <f t="shared" si="12"/>
        <v>77</v>
      </c>
      <c r="K96" s="10" t="e">
        <f t="shared" ca="1" si="13"/>
        <v>#N/A</v>
      </c>
      <c r="L96" s="44" t="e">
        <f t="shared" ca="1" si="17"/>
        <v>#N/A</v>
      </c>
      <c r="M96" s="44" t="e">
        <f t="shared" ca="1" si="16"/>
        <v>#N/A</v>
      </c>
      <c r="N96" s="44" t="e">
        <f t="shared" ca="1" si="15"/>
        <v>#N/A</v>
      </c>
      <c r="O96" s="53" t="e">
        <f t="shared" ca="1" si="18"/>
        <v>#N/A</v>
      </c>
      <c r="P96" s="53" t="str">
        <f ca="1">IFERROR(DayByDayTable[[#This Row],[Lead Time]],"")</f>
        <v/>
      </c>
      <c r="Q96" s="44" t="e">
        <f t="shared" ca="1" si="19"/>
        <v>#N/A</v>
      </c>
      <c r="R96" s="44">
        <f ca="1">ROUND(PERCENTILE(DayByDayTable[[#Data],[BlankLeadTime]],0.8),0)</f>
        <v>8</v>
      </c>
    </row>
    <row r="97" spans="1:18">
      <c r="A97" s="51">
        <f t="shared" si="11"/>
        <v>42545</v>
      </c>
      <c r="B97" s="11">
        <f t="shared" si="14"/>
        <v>42545</v>
      </c>
      <c r="C97" s="47">
        <f>SUMIFS('On The Board'!$M$5:$M$219,'On The Board'!F$5:F$219,"&lt;="&amp;$B97,'On The Board'!E$5:E$219,"="&amp;FutureWork)</f>
        <v>43</v>
      </c>
      <c r="D97" s="12">
        <f ca="1">IF(TodaysDate&gt;=B97,SUMIF('On The Board'!F$5:F$219,"&lt;="&amp;$B97,'On The Board'!$M$5:$M$219)-SUM(E97:I97),D96)</f>
        <v>47</v>
      </c>
      <c r="E97" s="12">
        <f>SUMIF('On The Board'!G$5:G$219,"&lt;="&amp;$B97,'On The Board'!$M$5:$M$219)-SUM(F97:I97)</f>
        <v>0</v>
      </c>
      <c r="F97" s="12">
        <f>SUMIF('On The Board'!H$5:H$219,"&lt;="&amp;$B97,'On The Board'!$M$5:$M$219)-SUM(G97:I97)</f>
        <v>5</v>
      </c>
      <c r="G97" s="12">
        <f>SUMIF('On The Board'!I$5:I$219,"&lt;="&amp;$B97,'On The Board'!$M$5:$M$219)-SUM(H97,I97)</f>
        <v>2</v>
      </c>
      <c r="H97" s="12">
        <f>SUMIF('On The Board'!J$5:J$219,"&lt;="&amp;$B97,'On The Board'!$M$5:$M$219)-SUM(I97)</f>
        <v>0</v>
      </c>
      <c r="I97" s="12">
        <f>SUMIF('On The Board'!K$5:K$219,"&lt;="&amp;$B97,'On The Board'!$M$5:$M$219)</f>
        <v>70</v>
      </c>
      <c r="J97" s="10">
        <f t="shared" si="12"/>
        <v>77</v>
      </c>
      <c r="K97" s="10" t="e">
        <f t="shared" ca="1" si="13"/>
        <v>#N/A</v>
      </c>
      <c r="L97" s="44" t="e">
        <f t="shared" ca="1" si="17"/>
        <v>#N/A</v>
      </c>
      <c r="M97" s="44" t="e">
        <f t="shared" ca="1" si="16"/>
        <v>#N/A</v>
      </c>
      <c r="N97" s="44" t="e">
        <f t="shared" ca="1" si="15"/>
        <v>#N/A</v>
      </c>
      <c r="O97" s="53" t="e">
        <f t="shared" ca="1" si="18"/>
        <v>#N/A</v>
      </c>
      <c r="P97" s="53" t="str">
        <f ca="1">IFERROR(DayByDayTable[[#This Row],[Lead Time]],"")</f>
        <v/>
      </c>
      <c r="Q97" s="44" t="e">
        <f t="shared" ca="1" si="19"/>
        <v>#N/A</v>
      </c>
      <c r="R97" s="44">
        <f ca="1">ROUND(PERCENTILE(DayByDayTable[[#Data],[BlankLeadTime]],0.8),0)</f>
        <v>8</v>
      </c>
    </row>
    <row r="98" spans="1:18">
      <c r="A98" s="51">
        <f t="shared" si="11"/>
        <v>42548</v>
      </c>
      <c r="B98" s="11">
        <f t="shared" si="14"/>
        <v>42548</v>
      </c>
      <c r="C98" s="47">
        <f>SUMIFS('On The Board'!$M$5:$M$219,'On The Board'!F$5:F$219,"&lt;="&amp;$B98,'On The Board'!E$5:E$219,"="&amp;FutureWork)</f>
        <v>43</v>
      </c>
      <c r="D98" s="12">
        <f ca="1">IF(TodaysDate&gt;=B98,SUMIF('On The Board'!F$5:F$219,"&lt;="&amp;$B98,'On The Board'!$M$5:$M$219)-SUM(E98:I98),D97)</f>
        <v>47</v>
      </c>
      <c r="E98" s="12">
        <f>SUMIF('On The Board'!G$5:G$219,"&lt;="&amp;$B98,'On The Board'!$M$5:$M$219)-SUM(F98:I98)</f>
        <v>0</v>
      </c>
      <c r="F98" s="12">
        <f>SUMIF('On The Board'!H$5:H$219,"&lt;="&amp;$B98,'On The Board'!$M$5:$M$219)-SUM(G98:I98)</f>
        <v>5</v>
      </c>
      <c r="G98" s="12">
        <f>SUMIF('On The Board'!I$5:I$219,"&lt;="&amp;$B98,'On The Board'!$M$5:$M$219)-SUM(H98,I98)</f>
        <v>2</v>
      </c>
      <c r="H98" s="12">
        <f>SUMIF('On The Board'!J$5:J$219,"&lt;="&amp;$B98,'On The Board'!$M$5:$M$219)-SUM(I98)</f>
        <v>0</v>
      </c>
      <c r="I98" s="12">
        <f>SUMIF('On The Board'!K$5:K$219,"&lt;="&amp;$B98,'On The Board'!$M$5:$M$219)</f>
        <v>70</v>
      </c>
      <c r="J98" s="10">
        <f t="shared" si="12"/>
        <v>77</v>
      </c>
      <c r="K98" s="10" t="e">
        <f t="shared" ca="1" si="13"/>
        <v>#N/A</v>
      </c>
      <c r="L98" s="44" t="e">
        <f t="shared" ca="1" si="17"/>
        <v>#N/A</v>
      </c>
      <c r="M98" s="44" t="e">
        <f t="shared" ca="1" si="16"/>
        <v>#N/A</v>
      </c>
      <c r="N98" s="44" t="e">
        <f t="shared" ca="1" si="15"/>
        <v>#N/A</v>
      </c>
      <c r="O98" s="53" t="e">
        <f t="shared" ca="1" si="18"/>
        <v>#N/A</v>
      </c>
      <c r="P98" s="53" t="str">
        <f ca="1">IFERROR(DayByDayTable[[#This Row],[Lead Time]],"")</f>
        <v/>
      </c>
      <c r="Q98" s="44" t="e">
        <f t="shared" ca="1" si="19"/>
        <v>#N/A</v>
      </c>
      <c r="R98" s="44">
        <f ca="1">ROUND(PERCENTILE(DayByDayTable[[#Data],[BlankLeadTime]],0.8),0)</f>
        <v>8</v>
      </c>
    </row>
    <row r="99" spans="1:18">
      <c r="A99" s="51">
        <f t="shared" si="11"/>
        <v>42549</v>
      </c>
      <c r="B99" s="11">
        <f t="shared" si="14"/>
        <v>42549</v>
      </c>
      <c r="C99" s="47">
        <f>SUMIFS('On The Board'!$M$5:$M$219,'On The Board'!F$5:F$219,"&lt;="&amp;$B99,'On The Board'!E$5:E$219,"="&amp;FutureWork)</f>
        <v>43</v>
      </c>
      <c r="D99" s="12">
        <f ca="1">IF(TodaysDate&gt;=B99,SUMIF('On The Board'!F$5:F$219,"&lt;="&amp;$B99,'On The Board'!$M$5:$M$219)-SUM(E99:I99),D98)</f>
        <v>47</v>
      </c>
      <c r="E99" s="12">
        <f>SUMIF('On The Board'!G$5:G$219,"&lt;="&amp;$B99,'On The Board'!$M$5:$M$219)-SUM(F99:I99)</f>
        <v>0</v>
      </c>
      <c r="F99" s="12">
        <f>SUMIF('On The Board'!H$5:H$219,"&lt;="&amp;$B99,'On The Board'!$M$5:$M$219)-SUM(G99:I99)</f>
        <v>5</v>
      </c>
      <c r="G99" s="12">
        <f>SUMIF('On The Board'!I$5:I$219,"&lt;="&amp;$B99,'On The Board'!$M$5:$M$219)-SUM(H99,I99)</f>
        <v>2</v>
      </c>
      <c r="H99" s="12">
        <f>SUMIF('On The Board'!J$5:J$219,"&lt;="&amp;$B99,'On The Board'!$M$5:$M$219)-SUM(I99)</f>
        <v>0</v>
      </c>
      <c r="I99" s="12">
        <f>SUMIF('On The Board'!K$5:K$219,"&lt;="&amp;$B99,'On The Board'!$M$5:$M$219)</f>
        <v>70</v>
      </c>
      <c r="J99" s="10">
        <f t="shared" si="12"/>
        <v>77</v>
      </c>
      <c r="K99" s="10" t="e">
        <f t="shared" ca="1" si="13"/>
        <v>#N/A</v>
      </c>
      <c r="L99" s="44" t="e">
        <f t="shared" ca="1" si="17"/>
        <v>#N/A</v>
      </c>
      <c r="M99" s="44" t="e">
        <f t="shared" ca="1" si="16"/>
        <v>#N/A</v>
      </c>
      <c r="N99" s="44" t="e">
        <f t="shared" ca="1" si="15"/>
        <v>#N/A</v>
      </c>
      <c r="O99" s="53" t="e">
        <f t="shared" ca="1" si="18"/>
        <v>#N/A</v>
      </c>
      <c r="P99" s="53" t="str">
        <f ca="1">IFERROR(DayByDayTable[[#This Row],[Lead Time]],"")</f>
        <v/>
      </c>
      <c r="Q99" s="44" t="e">
        <f t="shared" ca="1" si="19"/>
        <v>#N/A</v>
      </c>
      <c r="R99" s="44">
        <f ca="1">ROUND(PERCENTILE(DayByDayTable[[#Data],[BlankLeadTime]],0.8),0)</f>
        <v>8</v>
      </c>
    </row>
    <row r="100" spans="1:18">
      <c r="A100" s="51">
        <f t="shared" si="11"/>
        <v>42550</v>
      </c>
      <c r="B100" s="11">
        <f t="shared" si="14"/>
        <v>42550</v>
      </c>
      <c r="C100" s="47">
        <f>SUMIFS('On The Board'!$M$5:$M$219,'On The Board'!F$5:F$219,"&lt;="&amp;$B100,'On The Board'!E$5:E$219,"="&amp;FutureWork)</f>
        <v>43</v>
      </c>
      <c r="D100" s="12">
        <f ca="1">IF(TodaysDate&gt;=B100,SUMIF('On The Board'!F$5:F$219,"&lt;="&amp;$B100,'On The Board'!$M$5:$M$219)-SUM(E100:I100),D99)</f>
        <v>47</v>
      </c>
      <c r="E100" s="12">
        <f>SUMIF('On The Board'!G$5:G$219,"&lt;="&amp;$B100,'On The Board'!$M$5:$M$219)-SUM(F100:I100)</f>
        <v>0</v>
      </c>
      <c r="F100" s="12">
        <f>SUMIF('On The Board'!H$5:H$219,"&lt;="&amp;$B100,'On The Board'!$M$5:$M$219)-SUM(G100:I100)</f>
        <v>5</v>
      </c>
      <c r="G100" s="12">
        <f>SUMIF('On The Board'!I$5:I$219,"&lt;="&amp;$B100,'On The Board'!$M$5:$M$219)-SUM(H100,I100)</f>
        <v>2</v>
      </c>
      <c r="H100" s="12">
        <f>SUMIF('On The Board'!J$5:J$219,"&lt;="&amp;$B100,'On The Board'!$M$5:$M$219)-SUM(I100)</f>
        <v>0</v>
      </c>
      <c r="I100" s="12">
        <f>SUMIF('On The Board'!K$5:K$219,"&lt;="&amp;$B100,'On The Board'!$M$5:$M$219)</f>
        <v>70</v>
      </c>
      <c r="J100" s="10">
        <f t="shared" si="12"/>
        <v>77</v>
      </c>
      <c r="K100" s="10" t="e">
        <f t="shared" ca="1" si="13"/>
        <v>#N/A</v>
      </c>
      <c r="L100" s="44" t="e">
        <f t="shared" ca="1" si="17"/>
        <v>#N/A</v>
      </c>
      <c r="M100" s="44" t="e">
        <f t="shared" ca="1" si="16"/>
        <v>#N/A</v>
      </c>
      <c r="N100" s="44" t="e">
        <f t="shared" ca="1" si="15"/>
        <v>#N/A</v>
      </c>
      <c r="O100" s="53" t="e">
        <f t="shared" ca="1" si="18"/>
        <v>#N/A</v>
      </c>
      <c r="P100" s="53" t="str">
        <f ca="1">IFERROR(DayByDayTable[[#This Row],[Lead Time]],"")</f>
        <v/>
      </c>
      <c r="Q100" s="44" t="e">
        <f t="shared" ca="1" si="19"/>
        <v>#N/A</v>
      </c>
      <c r="R100" s="44">
        <f ca="1">ROUND(PERCENTILE(DayByDayTable[[#Data],[BlankLeadTime]],0.8),0)</f>
        <v>8</v>
      </c>
    </row>
    <row r="101" spans="1:18">
      <c r="A101" s="51">
        <f t="shared" si="11"/>
        <v>42551</v>
      </c>
      <c r="B101" s="11">
        <f t="shared" si="14"/>
        <v>42551</v>
      </c>
      <c r="C101" s="47">
        <f>SUMIFS('On The Board'!$M$5:$M$219,'On The Board'!F$5:F$219,"&lt;="&amp;$B101,'On The Board'!E$5:E$219,"="&amp;FutureWork)</f>
        <v>43</v>
      </c>
      <c r="D101" s="12">
        <f ca="1">IF(TodaysDate&gt;=B101,SUMIF('On The Board'!F$5:F$219,"&lt;="&amp;$B101,'On The Board'!$M$5:$M$219)-SUM(E101:I101),D100)</f>
        <v>47</v>
      </c>
      <c r="E101" s="12">
        <f>SUMIF('On The Board'!G$5:G$219,"&lt;="&amp;$B101,'On The Board'!$M$5:$M$219)-SUM(F101:I101)</f>
        <v>0</v>
      </c>
      <c r="F101" s="12">
        <f>SUMIF('On The Board'!H$5:H$219,"&lt;="&amp;$B101,'On The Board'!$M$5:$M$219)-SUM(G101:I101)</f>
        <v>5</v>
      </c>
      <c r="G101" s="12">
        <f>SUMIF('On The Board'!I$5:I$219,"&lt;="&amp;$B101,'On The Board'!$M$5:$M$219)-SUM(H101,I101)</f>
        <v>2</v>
      </c>
      <c r="H101" s="12">
        <f>SUMIF('On The Board'!J$5:J$219,"&lt;="&amp;$B101,'On The Board'!$M$5:$M$219)-SUM(I101)</f>
        <v>0</v>
      </c>
      <c r="I101" s="12">
        <f>SUMIF('On The Board'!K$5:K$219,"&lt;="&amp;$B101,'On The Board'!$M$5:$M$219)</f>
        <v>70</v>
      </c>
      <c r="J101" s="10">
        <f t="shared" si="12"/>
        <v>77</v>
      </c>
      <c r="K101" s="10" t="e">
        <f t="shared" ca="1" si="13"/>
        <v>#N/A</v>
      </c>
      <c r="L101" s="44" t="e">
        <f t="shared" ca="1" si="17"/>
        <v>#N/A</v>
      </c>
      <c r="M101" s="44" t="e">
        <f t="shared" ca="1" si="16"/>
        <v>#N/A</v>
      </c>
      <c r="N101" s="44" t="e">
        <f t="shared" ca="1" si="15"/>
        <v>#N/A</v>
      </c>
      <c r="O101" s="53" t="e">
        <f t="shared" ca="1" si="18"/>
        <v>#N/A</v>
      </c>
      <c r="P101" s="53" t="str">
        <f ca="1">IFERROR(DayByDayTable[[#This Row],[Lead Time]],"")</f>
        <v/>
      </c>
      <c r="Q101" s="44" t="e">
        <f t="shared" ca="1" si="19"/>
        <v>#N/A</v>
      </c>
      <c r="R101" s="44">
        <f ca="1">ROUND(PERCENTILE(DayByDayTable[[#Data],[BlankLeadTime]],0.8),0)</f>
        <v>8</v>
      </c>
    </row>
    <row r="102" spans="1:18">
      <c r="A102" s="51">
        <f t="shared" si="11"/>
        <v>42552</v>
      </c>
      <c r="B102" s="11">
        <f t="shared" si="14"/>
        <v>42552</v>
      </c>
      <c r="C102" s="47">
        <f>SUMIFS('On The Board'!$M$5:$M$219,'On The Board'!F$5:F$219,"&lt;="&amp;$B102,'On The Board'!E$5:E$219,"="&amp;FutureWork)</f>
        <v>43</v>
      </c>
      <c r="D102" s="12">
        <f ca="1">IF(TodaysDate&gt;=B102,SUMIF('On The Board'!F$5:F$219,"&lt;="&amp;$B102,'On The Board'!$M$5:$M$219)-SUM(E102:I102),D101)</f>
        <v>47</v>
      </c>
      <c r="E102" s="12">
        <f>SUMIF('On The Board'!G$5:G$219,"&lt;="&amp;$B102,'On The Board'!$M$5:$M$219)-SUM(F102:I102)</f>
        <v>0</v>
      </c>
      <c r="F102" s="12">
        <f>SUMIF('On The Board'!H$5:H$219,"&lt;="&amp;$B102,'On The Board'!$M$5:$M$219)-SUM(G102:I102)</f>
        <v>5</v>
      </c>
      <c r="G102" s="12">
        <f>SUMIF('On The Board'!I$5:I$219,"&lt;="&amp;$B102,'On The Board'!$M$5:$M$219)-SUM(H102,I102)</f>
        <v>2</v>
      </c>
      <c r="H102" s="12">
        <f>SUMIF('On The Board'!J$5:J$219,"&lt;="&amp;$B102,'On The Board'!$M$5:$M$219)-SUM(I102)</f>
        <v>0</v>
      </c>
      <c r="I102" s="12">
        <f>SUMIF('On The Board'!K$5:K$219,"&lt;="&amp;$B102,'On The Board'!$M$5:$M$219)</f>
        <v>70</v>
      </c>
      <c r="J102" s="10">
        <f t="shared" si="12"/>
        <v>77</v>
      </c>
      <c r="K102" s="10" t="e">
        <f t="shared" ca="1" si="13"/>
        <v>#N/A</v>
      </c>
      <c r="L102" s="44" t="e">
        <f t="shared" ca="1" si="17"/>
        <v>#N/A</v>
      </c>
      <c r="M102" s="44" t="e">
        <f t="shared" ca="1" si="16"/>
        <v>#N/A</v>
      </c>
      <c r="N102" s="44" t="e">
        <f t="shared" ca="1" si="15"/>
        <v>#N/A</v>
      </c>
      <c r="O102" s="53" t="e">
        <f t="shared" ca="1" si="18"/>
        <v>#N/A</v>
      </c>
      <c r="P102" s="53" t="str">
        <f ca="1">IFERROR(DayByDayTable[[#This Row],[Lead Time]],"")</f>
        <v/>
      </c>
      <c r="Q102" s="44" t="e">
        <f t="shared" ca="1" si="19"/>
        <v>#N/A</v>
      </c>
      <c r="R102" s="44">
        <f ca="1">ROUND(PERCENTILE(DayByDayTable[[#Data],[BlankLeadTime]],0.8),0)</f>
        <v>8</v>
      </c>
    </row>
    <row r="103" spans="1:18">
      <c r="A103" s="51">
        <f t="shared" si="11"/>
        <v>42555</v>
      </c>
      <c r="B103" s="11">
        <f t="shared" si="14"/>
        <v>42555</v>
      </c>
      <c r="C103" s="47">
        <f>SUMIFS('On The Board'!$M$5:$M$219,'On The Board'!F$5:F$219,"&lt;="&amp;$B103,'On The Board'!E$5:E$219,"="&amp;FutureWork)</f>
        <v>43</v>
      </c>
      <c r="D103" s="12">
        <f ca="1">IF(TodaysDate&gt;=B103,SUMIF('On The Board'!F$5:F$219,"&lt;="&amp;$B103,'On The Board'!$M$5:$M$219)-SUM(E103:I103),D102)</f>
        <v>47</v>
      </c>
      <c r="E103" s="12">
        <f>SUMIF('On The Board'!G$5:G$219,"&lt;="&amp;$B103,'On The Board'!$M$5:$M$219)-SUM(F103:I103)</f>
        <v>0</v>
      </c>
      <c r="F103" s="12">
        <f>SUMIF('On The Board'!H$5:H$219,"&lt;="&amp;$B103,'On The Board'!$M$5:$M$219)-SUM(G103:I103)</f>
        <v>5</v>
      </c>
      <c r="G103" s="12">
        <f>SUMIF('On The Board'!I$5:I$219,"&lt;="&amp;$B103,'On The Board'!$M$5:$M$219)-SUM(H103,I103)</f>
        <v>2</v>
      </c>
      <c r="H103" s="12">
        <f>SUMIF('On The Board'!J$5:J$219,"&lt;="&amp;$B103,'On The Board'!$M$5:$M$219)-SUM(I103)</f>
        <v>0</v>
      </c>
      <c r="I103" s="12">
        <f>SUMIF('On The Board'!K$5:K$219,"&lt;="&amp;$B103,'On The Board'!$M$5:$M$219)</f>
        <v>70</v>
      </c>
      <c r="J103" s="10">
        <f t="shared" si="12"/>
        <v>77</v>
      </c>
      <c r="K103" s="10" t="e">
        <f t="shared" ca="1" si="13"/>
        <v>#N/A</v>
      </c>
      <c r="L103" s="44" t="e">
        <f t="shared" ca="1" si="17"/>
        <v>#N/A</v>
      </c>
      <c r="M103" s="44" t="e">
        <f t="shared" ca="1" si="16"/>
        <v>#N/A</v>
      </c>
      <c r="N103" s="44" t="e">
        <f t="shared" ca="1" si="15"/>
        <v>#N/A</v>
      </c>
      <c r="O103" s="53" t="e">
        <f t="shared" ca="1" si="18"/>
        <v>#N/A</v>
      </c>
      <c r="P103" s="53" t="str">
        <f ca="1">IFERROR(DayByDayTable[[#This Row],[Lead Time]],"")</f>
        <v/>
      </c>
      <c r="Q103" s="44" t="e">
        <f t="shared" ca="1" si="19"/>
        <v>#N/A</v>
      </c>
      <c r="R103" s="44">
        <f ca="1">ROUND(PERCENTILE(DayByDayTable[[#Data],[BlankLeadTime]],0.8),0)</f>
        <v>8</v>
      </c>
    </row>
    <row r="104" spans="1:18">
      <c r="A104" s="51">
        <f t="shared" si="11"/>
        <v>42556</v>
      </c>
      <c r="B104" s="11">
        <f t="shared" si="14"/>
        <v>42556</v>
      </c>
      <c r="C104" s="47">
        <f>SUMIFS('On The Board'!$M$5:$M$219,'On The Board'!F$5:F$219,"&lt;="&amp;$B104,'On The Board'!E$5:E$219,"="&amp;FutureWork)</f>
        <v>43</v>
      </c>
      <c r="D104" s="12">
        <f ca="1">IF(TodaysDate&gt;=B104,SUMIF('On The Board'!F$5:F$219,"&lt;="&amp;$B104,'On The Board'!$M$5:$M$219)-SUM(E104:I104),D103)</f>
        <v>47</v>
      </c>
      <c r="E104" s="12">
        <f>SUMIF('On The Board'!G$5:G$219,"&lt;="&amp;$B104,'On The Board'!$M$5:$M$219)-SUM(F104:I104)</f>
        <v>0</v>
      </c>
      <c r="F104" s="12">
        <f>SUMIF('On The Board'!H$5:H$219,"&lt;="&amp;$B104,'On The Board'!$M$5:$M$219)-SUM(G104:I104)</f>
        <v>5</v>
      </c>
      <c r="G104" s="12">
        <f>SUMIF('On The Board'!I$5:I$219,"&lt;="&amp;$B104,'On The Board'!$M$5:$M$219)-SUM(H104,I104)</f>
        <v>2</v>
      </c>
      <c r="H104" s="12">
        <f>SUMIF('On The Board'!J$5:J$219,"&lt;="&amp;$B104,'On The Board'!$M$5:$M$219)-SUM(I104)</f>
        <v>0</v>
      </c>
      <c r="I104" s="12">
        <f>SUMIF('On The Board'!K$5:K$219,"&lt;="&amp;$B104,'On The Board'!$M$5:$M$219)</f>
        <v>70</v>
      </c>
      <c r="J104" s="10">
        <f t="shared" si="12"/>
        <v>77</v>
      </c>
      <c r="K104" s="10" t="e">
        <f t="shared" ca="1" si="13"/>
        <v>#N/A</v>
      </c>
      <c r="L104" s="44" t="e">
        <f t="shared" ca="1" si="17"/>
        <v>#N/A</v>
      </c>
      <c r="M104" s="44" t="e">
        <f t="shared" ca="1" si="16"/>
        <v>#N/A</v>
      </c>
      <c r="N104" s="44" t="e">
        <f t="shared" ca="1" si="15"/>
        <v>#N/A</v>
      </c>
      <c r="O104" s="53" t="e">
        <f t="shared" ca="1" si="18"/>
        <v>#N/A</v>
      </c>
      <c r="P104" s="53" t="str">
        <f ca="1">IFERROR(DayByDayTable[[#This Row],[Lead Time]],"")</f>
        <v/>
      </c>
      <c r="Q104" s="44" t="e">
        <f t="shared" ca="1" si="19"/>
        <v>#N/A</v>
      </c>
      <c r="R104" s="44">
        <f ca="1">ROUND(PERCENTILE(DayByDayTable[[#Data],[BlankLeadTime]],0.8),0)</f>
        <v>8</v>
      </c>
    </row>
    <row r="105" spans="1:18">
      <c r="A105" s="51">
        <f t="shared" si="11"/>
        <v>42557</v>
      </c>
      <c r="B105" s="11">
        <f t="shared" si="14"/>
        <v>42557</v>
      </c>
      <c r="C105" s="47">
        <f>SUMIFS('On The Board'!$M$5:$M$219,'On The Board'!F$5:F$219,"&lt;="&amp;$B105,'On The Board'!E$5:E$219,"="&amp;FutureWork)</f>
        <v>43</v>
      </c>
      <c r="D105" s="12">
        <f ca="1">IF(TodaysDate&gt;=B105,SUMIF('On The Board'!F$5:F$219,"&lt;="&amp;$B105,'On The Board'!$M$5:$M$219)-SUM(E105:I105),D104)</f>
        <v>47</v>
      </c>
      <c r="E105" s="12">
        <f>SUMIF('On The Board'!G$5:G$219,"&lt;="&amp;$B105,'On The Board'!$M$5:$M$219)-SUM(F105:I105)</f>
        <v>0</v>
      </c>
      <c r="F105" s="12">
        <f>SUMIF('On The Board'!H$5:H$219,"&lt;="&amp;$B105,'On The Board'!$M$5:$M$219)-SUM(G105:I105)</f>
        <v>5</v>
      </c>
      <c r="G105" s="12">
        <f>SUMIF('On The Board'!I$5:I$219,"&lt;="&amp;$B105,'On The Board'!$M$5:$M$219)-SUM(H105,I105)</f>
        <v>2</v>
      </c>
      <c r="H105" s="12">
        <f>SUMIF('On The Board'!J$5:J$219,"&lt;="&amp;$B105,'On The Board'!$M$5:$M$219)-SUM(I105)</f>
        <v>0</v>
      </c>
      <c r="I105" s="12">
        <f>SUMIF('On The Board'!K$5:K$219,"&lt;="&amp;$B105,'On The Board'!$M$5:$M$219)</f>
        <v>70</v>
      </c>
      <c r="J105" s="10">
        <f t="shared" si="12"/>
        <v>77</v>
      </c>
      <c r="K105" s="10" t="e">
        <f t="shared" ca="1" si="13"/>
        <v>#N/A</v>
      </c>
      <c r="L105" s="44" t="e">
        <f t="shared" ca="1" si="17"/>
        <v>#N/A</v>
      </c>
      <c r="M105" s="44" t="e">
        <f t="shared" ca="1" si="16"/>
        <v>#N/A</v>
      </c>
      <c r="N105" s="44" t="e">
        <f t="shared" ca="1" si="15"/>
        <v>#N/A</v>
      </c>
      <c r="O105" s="53" t="e">
        <f t="shared" ca="1" si="18"/>
        <v>#N/A</v>
      </c>
      <c r="P105" s="53" t="str">
        <f ca="1">IFERROR(DayByDayTable[[#This Row],[Lead Time]],"")</f>
        <v/>
      </c>
      <c r="Q105" s="44" t="e">
        <f t="shared" ca="1" si="19"/>
        <v>#N/A</v>
      </c>
      <c r="R105" s="44">
        <f ca="1">ROUND(PERCENTILE(DayByDayTable[[#Data],[BlankLeadTime]],0.8),0)</f>
        <v>8</v>
      </c>
    </row>
    <row r="106" spans="1:18">
      <c r="A106" s="51">
        <f t="shared" si="11"/>
        <v>42558</v>
      </c>
      <c r="B106" s="11">
        <f t="shared" si="14"/>
        <v>42558</v>
      </c>
      <c r="C106" s="47">
        <f>SUMIFS('On The Board'!$M$5:$M$219,'On The Board'!F$5:F$219,"&lt;="&amp;$B106,'On The Board'!E$5:E$219,"="&amp;FutureWork)</f>
        <v>43</v>
      </c>
      <c r="D106" s="12">
        <f ca="1">IF(TodaysDate&gt;=B106,SUMIF('On The Board'!F$5:F$219,"&lt;="&amp;$B106,'On The Board'!$M$5:$M$219)-SUM(E106:I106),D105)</f>
        <v>47</v>
      </c>
      <c r="E106" s="12">
        <f>SUMIF('On The Board'!G$5:G$219,"&lt;="&amp;$B106,'On The Board'!$M$5:$M$219)-SUM(F106:I106)</f>
        <v>0</v>
      </c>
      <c r="F106" s="12">
        <f>SUMIF('On The Board'!H$5:H$219,"&lt;="&amp;$B106,'On The Board'!$M$5:$M$219)-SUM(G106:I106)</f>
        <v>5</v>
      </c>
      <c r="G106" s="12">
        <f>SUMIF('On The Board'!I$5:I$219,"&lt;="&amp;$B106,'On The Board'!$M$5:$M$219)-SUM(H106,I106)</f>
        <v>2</v>
      </c>
      <c r="H106" s="12">
        <f>SUMIF('On The Board'!J$5:J$219,"&lt;="&amp;$B106,'On The Board'!$M$5:$M$219)-SUM(I106)</f>
        <v>0</v>
      </c>
      <c r="I106" s="12">
        <f>SUMIF('On The Board'!K$5:K$219,"&lt;="&amp;$B106,'On The Board'!$M$5:$M$219)</f>
        <v>70</v>
      </c>
      <c r="J106" s="10">
        <f t="shared" si="12"/>
        <v>77</v>
      </c>
      <c r="K106" s="10" t="e">
        <f t="shared" ca="1" si="13"/>
        <v>#N/A</v>
      </c>
      <c r="L106" s="44" t="e">
        <f t="shared" ca="1" si="17"/>
        <v>#N/A</v>
      </c>
      <c r="M106" s="44" t="e">
        <f t="shared" ca="1" si="16"/>
        <v>#N/A</v>
      </c>
      <c r="N106" s="44" t="e">
        <f t="shared" ca="1" si="15"/>
        <v>#N/A</v>
      </c>
      <c r="O106" s="53" t="e">
        <f t="shared" ca="1" si="18"/>
        <v>#N/A</v>
      </c>
      <c r="P106" s="53" t="str">
        <f ca="1">IFERROR(DayByDayTable[[#This Row],[Lead Time]],"")</f>
        <v/>
      </c>
      <c r="Q106" s="44" t="e">
        <f t="shared" ca="1" si="19"/>
        <v>#N/A</v>
      </c>
      <c r="R106" s="44">
        <f ca="1">ROUND(PERCENTILE(DayByDayTable[[#Data],[BlankLeadTime]],0.8),0)</f>
        <v>8</v>
      </c>
    </row>
    <row r="107" spans="1:18">
      <c r="A107" s="51">
        <f t="shared" si="11"/>
        <v>42559</v>
      </c>
      <c r="B107" s="11">
        <f t="shared" si="14"/>
        <v>42559</v>
      </c>
      <c r="C107" s="47">
        <f>SUMIFS('On The Board'!$M$5:$M$219,'On The Board'!F$5:F$219,"&lt;="&amp;$B107,'On The Board'!E$5:E$219,"="&amp;FutureWork)</f>
        <v>43</v>
      </c>
      <c r="D107" s="12">
        <f ca="1">IF(TodaysDate&gt;=B107,SUMIF('On The Board'!F$5:F$219,"&lt;="&amp;$B107,'On The Board'!$M$5:$M$219)-SUM(E107:I107),D106)</f>
        <v>47</v>
      </c>
      <c r="E107" s="12">
        <f>SUMIF('On The Board'!G$5:G$219,"&lt;="&amp;$B107,'On The Board'!$M$5:$M$219)-SUM(F107:I107)</f>
        <v>0</v>
      </c>
      <c r="F107" s="12">
        <f>SUMIF('On The Board'!H$5:H$219,"&lt;="&amp;$B107,'On The Board'!$M$5:$M$219)-SUM(G107:I107)</f>
        <v>5</v>
      </c>
      <c r="G107" s="12">
        <f>SUMIF('On The Board'!I$5:I$219,"&lt;="&amp;$B107,'On The Board'!$M$5:$M$219)-SUM(H107,I107)</f>
        <v>2</v>
      </c>
      <c r="H107" s="12">
        <f>SUMIF('On The Board'!J$5:J$219,"&lt;="&amp;$B107,'On The Board'!$M$5:$M$219)-SUM(I107)</f>
        <v>0</v>
      </c>
      <c r="I107" s="12">
        <f>SUMIF('On The Board'!K$5:K$219,"&lt;="&amp;$B107,'On The Board'!$M$5:$M$219)</f>
        <v>70</v>
      </c>
      <c r="J107" s="10">
        <f t="shared" si="12"/>
        <v>77</v>
      </c>
      <c r="K107" s="10" t="e">
        <f t="shared" ca="1" si="13"/>
        <v>#N/A</v>
      </c>
      <c r="L107" s="44" t="e">
        <f t="shared" ca="1" si="17"/>
        <v>#N/A</v>
      </c>
      <c r="M107" s="44" t="e">
        <f t="shared" ca="1" si="16"/>
        <v>#N/A</v>
      </c>
      <c r="N107" s="44" t="e">
        <f t="shared" ca="1" si="15"/>
        <v>#N/A</v>
      </c>
      <c r="O107" s="53" t="e">
        <f t="shared" ca="1" si="18"/>
        <v>#N/A</v>
      </c>
      <c r="P107" s="53" t="str">
        <f ca="1">IFERROR(DayByDayTable[[#This Row],[Lead Time]],"")</f>
        <v/>
      </c>
      <c r="Q107" s="44" t="e">
        <f t="shared" ca="1" si="19"/>
        <v>#N/A</v>
      </c>
      <c r="R107" s="44">
        <f ca="1">ROUND(PERCENTILE(DayByDayTable[[#Data],[BlankLeadTime]],0.8),0)</f>
        <v>8</v>
      </c>
    </row>
    <row r="108" spans="1:18">
      <c r="A108" s="51">
        <f t="shared" si="11"/>
        <v>42562</v>
      </c>
      <c r="B108" s="11">
        <f t="shared" si="14"/>
        <v>42562</v>
      </c>
      <c r="C108" s="47">
        <f>SUMIFS('On The Board'!$M$5:$M$219,'On The Board'!F$5:F$219,"&lt;="&amp;$B108,'On The Board'!E$5:E$219,"="&amp;FutureWork)</f>
        <v>43</v>
      </c>
      <c r="D108" s="12">
        <f ca="1">IF(TodaysDate&gt;=B108,SUMIF('On The Board'!F$5:F$219,"&lt;="&amp;$B108,'On The Board'!$M$5:$M$219)-SUM(E108:I108),D107)</f>
        <v>47</v>
      </c>
      <c r="E108" s="12">
        <f>SUMIF('On The Board'!G$5:G$219,"&lt;="&amp;$B108,'On The Board'!$M$5:$M$219)-SUM(F108:I108)</f>
        <v>0</v>
      </c>
      <c r="F108" s="12">
        <f>SUMIF('On The Board'!H$5:H$219,"&lt;="&amp;$B108,'On The Board'!$M$5:$M$219)-SUM(G108:I108)</f>
        <v>5</v>
      </c>
      <c r="G108" s="12">
        <f>SUMIF('On The Board'!I$5:I$219,"&lt;="&amp;$B108,'On The Board'!$M$5:$M$219)-SUM(H108,I108)</f>
        <v>2</v>
      </c>
      <c r="H108" s="12">
        <f>SUMIF('On The Board'!J$5:J$219,"&lt;="&amp;$B108,'On The Board'!$M$5:$M$219)-SUM(I108)</f>
        <v>0</v>
      </c>
      <c r="I108" s="12">
        <f>SUMIF('On The Board'!K$5:K$219,"&lt;="&amp;$B108,'On The Board'!$M$5:$M$219)</f>
        <v>70</v>
      </c>
      <c r="J108" s="10">
        <f t="shared" si="12"/>
        <v>77</v>
      </c>
      <c r="K108" s="10" t="e">
        <f t="shared" ca="1" si="13"/>
        <v>#N/A</v>
      </c>
      <c r="L108" s="44" t="e">
        <f t="shared" ca="1" si="17"/>
        <v>#N/A</v>
      </c>
      <c r="M108" s="44" t="e">
        <f t="shared" ca="1" si="16"/>
        <v>#N/A</v>
      </c>
      <c r="N108" s="44" t="e">
        <f t="shared" ca="1" si="15"/>
        <v>#N/A</v>
      </c>
      <c r="O108" s="53" t="e">
        <f t="shared" ca="1" si="18"/>
        <v>#N/A</v>
      </c>
      <c r="P108" s="53" t="str">
        <f ca="1">IFERROR(DayByDayTable[[#This Row],[Lead Time]],"")</f>
        <v/>
      </c>
      <c r="Q108" s="44" t="e">
        <f t="shared" ca="1" si="19"/>
        <v>#N/A</v>
      </c>
      <c r="R108" s="44">
        <f ca="1">ROUND(PERCENTILE(DayByDayTable[[#Data],[BlankLeadTime]],0.8),0)</f>
        <v>8</v>
      </c>
    </row>
    <row r="109" spans="1:18">
      <c r="A109" s="51">
        <f t="shared" si="11"/>
        <v>42563</v>
      </c>
      <c r="B109" s="11">
        <f t="shared" si="14"/>
        <v>42563</v>
      </c>
      <c r="C109" s="47">
        <f>SUMIFS('On The Board'!$M$5:$M$219,'On The Board'!F$5:F$219,"&lt;="&amp;$B109,'On The Board'!E$5:E$219,"="&amp;FutureWork)</f>
        <v>43</v>
      </c>
      <c r="D109" s="12">
        <f ca="1">IF(TodaysDate&gt;=B109,SUMIF('On The Board'!F$5:F$219,"&lt;="&amp;$B109,'On The Board'!$M$5:$M$219)-SUM(E109:I109),D108)</f>
        <v>47</v>
      </c>
      <c r="E109" s="12">
        <f>SUMIF('On The Board'!G$5:G$219,"&lt;="&amp;$B109,'On The Board'!$M$5:$M$219)-SUM(F109:I109)</f>
        <v>0</v>
      </c>
      <c r="F109" s="12">
        <f>SUMIF('On The Board'!H$5:H$219,"&lt;="&amp;$B109,'On The Board'!$M$5:$M$219)-SUM(G109:I109)</f>
        <v>5</v>
      </c>
      <c r="G109" s="12">
        <f>SUMIF('On The Board'!I$5:I$219,"&lt;="&amp;$B109,'On The Board'!$M$5:$M$219)-SUM(H109,I109)</f>
        <v>2</v>
      </c>
      <c r="H109" s="12">
        <f>SUMIF('On The Board'!J$5:J$219,"&lt;="&amp;$B109,'On The Board'!$M$5:$M$219)-SUM(I109)</f>
        <v>0</v>
      </c>
      <c r="I109" s="12">
        <f>SUMIF('On The Board'!K$5:K$219,"&lt;="&amp;$B109,'On The Board'!$M$5:$M$219)</f>
        <v>70</v>
      </c>
      <c r="J109" s="10">
        <f t="shared" si="12"/>
        <v>77</v>
      </c>
      <c r="K109" s="10" t="e">
        <f t="shared" ca="1" si="13"/>
        <v>#N/A</v>
      </c>
      <c r="L109" s="44" t="e">
        <f t="shared" ca="1" si="17"/>
        <v>#N/A</v>
      </c>
      <c r="M109" s="44" t="e">
        <f t="shared" ca="1" si="16"/>
        <v>#N/A</v>
      </c>
      <c r="N109" s="44" t="e">
        <f t="shared" ca="1" si="15"/>
        <v>#N/A</v>
      </c>
      <c r="O109" s="53" t="e">
        <f t="shared" ca="1" si="18"/>
        <v>#N/A</v>
      </c>
      <c r="P109" s="53" t="str">
        <f ca="1">IFERROR(DayByDayTable[[#This Row],[Lead Time]],"")</f>
        <v/>
      </c>
      <c r="Q109" s="44" t="e">
        <f t="shared" ca="1" si="19"/>
        <v>#N/A</v>
      </c>
      <c r="R109" s="44">
        <f ca="1">ROUND(PERCENTILE(DayByDayTable[[#Data],[BlankLeadTime]],0.8),0)</f>
        <v>8</v>
      </c>
    </row>
    <row r="110" spans="1:18">
      <c r="A110" s="51">
        <f t="shared" si="11"/>
        <v>42564</v>
      </c>
      <c r="B110" s="11">
        <f t="shared" si="14"/>
        <v>42564</v>
      </c>
      <c r="C110" s="47">
        <f>SUMIFS('On The Board'!$M$5:$M$219,'On The Board'!F$5:F$219,"&lt;="&amp;$B110,'On The Board'!E$5:E$219,"="&amp;FutureWork)</f>
        <v>43</v>
      </c>
      <c r="D110" s="12">
        <f ca="1">IF(TodaysDate&gt;=B110,SUMIF('On The Board'!F$5:F$219,"&lt;="&amp;$B110,'On The Board'!$M$5:$M$219)-SUM(E110:I110),D109)</f>
        <v>47</v>
      </c>
      <c r="E110" s="12">
        <f>SUMIF('On The Board'!G$5:G$219,"&lt;="&amp;$B110,'On The Board'!$M$5:$M$219)-SUM(F110:I110)</f>
        <v>0</v>
      </c>
      <c r="F110" s="12">
        <f>SUMIF('On The Board'!H$5:H$219,"&lt;="&amp;$B110,'On The Board'!$M$5:$M$219)-SUM(G110:I110)</f>
        <v>5</v>
      </c>
      <c r="G110" s="12">
        <f>SUMIF('On The Board'!I$5:I$219,"&lt;="&amp;$B110,'On The Board'!$M$5:$M$219)-SUM(H110,I110)</f>
        <v>2</v>
      </c>
      <c r="H110" s="12">
        <f>SUMIF('On The Board'!J$5:J$219,"&lt;="&amp;$B110,'On The Board'!$M$5:$M$219)-SUM(I110)</f>
        <v>0</v>
      </c>
      <c r="I110" s="12">
        <f>SUMIF('On The Board'!K$5:K$219,"&lt;="&amp;$B110,'On The Board'!$M$5:$M$219)</f>
        <v>70</v>
      </c>
      <c r="J110" s="10">
        <f t="shared" si="12"/>
        <v>77</v>
      </c>
      <c r="K110" s="10" t="e">
        <f t="shared" ca="1" si="13"/>
        <v>#N/A</v>
      </c>
      <c r="L110" s="44" t="e">
        <f t="shared" ca="1" si="17"/>
        <v>#N/A</v>
      </c>
      <c r="M110" s="44" t="e">
        <f t="shared" ca="1" si="16"/>
        <v>#N/A</v>
      </c>
      <c r="N110" s="44" t="e">
        <f t="shared" ca="1" si="15"/>
        <v>#N/A</v>
      </c>
      <c r="O110" s="53" t="e">
        <f t="shared" ca="1" si="18"/>
        <v>#N/A</v>
      </c>
      <c r="P110" s="53" t="str">
        <f ca="1">IFERROR(DayByDayTable[[#This Row],[Lead Time]],"")</f>
        <v/>
      </c>
      <c r="Q110" s="44" t="e">
        <f t="shared" ca="1" si="19"/>
        <v>#N/A</v>
      </c>
      <c r="R110" s="44">
        <f ca="1">ROUND(PERCENTILE(DayByDayTable[[#Data],[BlankLeadTime]],0.8),0)</f>
        <v>8</v>
      </c>
    </row>
    <row r="111" spans="1:18">
      <c r="A111" s="51">
        <f t="shared" si="11"/>
        <v>42565</v>
      </c>
      <c r="B111" s="11">
        <f t="shared" si="14"/>
        <v>42565</v>
      </c>
      <c r="C111" s="47">
        <f>SUMIFS('On The Board'!$M$5:$M$219,'On The Board'!F$5:F$219,"&lt;="&amp;$B111,'On The Board'!E$5:E$219,"="&amp;FutureWork)</f>
        <v>43</v>
      </c>
      <c r="D111" s="12">
        <f ca="1">IF(TodaysDate&gt;=B111,SUMIF('On The Board'!F$5:F$219,"&lt;="&amp;$B111,'On The Board'!$M$5:$M$219)-SUM(E111:I111),D110)</f>
        <v>47</v>
      </c>
      <c r="E111" s="12">
        <f>SUMIF('On The Board'!G$5:G$219,"&lt;="&amp;$B111,'On The Board'!$M$5:$M$219)-SUM(F111:I111)</f>
        <v>0</v>
      </c>
      <c r="F111" s="12">
        <f>SUMIF('On The Board'!H$5:H$219,"&lt;="&amp;$B111,'On The Board'!$M$5:$M$219)-SUM(G111:I111)</f>
        <v>5</v>
      </c>
      <c r="G111" s="12">
        <f>SUMIF('On The Board'!I$5:I$219,"&lt;="&amp;$B111,'On The Board'!$M$5:$M$219)-SUM(H111,I111)</f>
        <v>2</v>
      </c>
      <c r="H111" s="12">
        <f>SUMIF('On The Board'!J$5:J$219,"&lt;="&amp;$B111,'On The Board'!$M$5:$M$219)-SUM(I111)</f>
        <v>0</v>
      </c>
      <c r="I111" s="12">
        <f>SUMIF('On The Board'!K$5:K$219,"&lt;="&amp;$B111,'On The Board'!$M$5:$M$219)</f>
        <v>70</v>
      </c>
      <c r="J111" s="10">
        <f t="shared" si="12"/>
        <v>77</v>
      </c>
      <c r="K111" s="10" t="e">
        <f t="shared" ca="1" si="13"/>
        <v>#N/A</v>
      </c>
      <c r="L111" s="44" t="e">
        <f t="shared" ca="1" si="17"/>
        <v>#N/A</v>
      </c>
      <c r="M111" s="44" t="e">
        <f t="shared" ca="1" si="16"/>
        <v>#N/A</v>
      </c>
      <c r="N111" s="44" t="e">
        <f t="shared" ca="1" si="15"/>
        <v>#N/A</v>
      </c>
      <c r="O111" s="53" t="e">
        <f t="shared" ca="1" si="18"/>
        <v>#N/A</v>
      </c>
      <c r="P111" s="53" t="str">
        <f ca="1">IFERROR(DayByDayTable[[#This Row],[Lead Time]],"")</f>
        <v/>
      </c>
      <c r="Q111" s="44" t="e">
        <f t="shared" ca="1" si="19"/>
        <v>#N/A</v>
      </c>
      <c r="R111" s="44">
        <f ca="1">ROUND(PERCENTILE(DayByDayTable[[#Data],[BlankLeadTime]],0.8),0)</f>
        <v>8</v>
      </c>
    </row>
    <row r="112" spans="1:18">
      <c r="A112" s="51">
        <f t="shared" si="11"/>
        <v>42566</v>
      </c>
      <c r="B112" s="11">
        <f t="shared" si="14"/>
        <v>42566</v>
      </c>
      <c r="C112" s="47">
        <f>SUMIFS('On The Board'!$M$5:$M$219,'On The Board'!F$5:F$219,"&lt;="&amp;$B112,'On The Board'!E$5:E$219,"="&amp;FutureWork)</f>
        <v>43</v>
      </c>
      <c r="D112" s="12">
        <f ca="1">IF(TodaysDate&gt;=B112,SUMIF('On The Board'!F$5:F$219,"&lt;="&amp;$B112,'On The Board'!$M$5:$M$219)-SUM(E112:I112),D111)</f>
        <v>47</v>
      </c>
      <c r="E112" s="12">
        <f>SUMIF('On The Board'!G$5:G$219,"&lt;="&amp;$B112,'On The Board'!$M$5:$M$219)-SUM(F112:I112)</f>
        <v>0</v>
      </c>
      <c r="F112" s="12">
        <f>SUMIF('On The Board'!H$5:H$219,"&lt;="&amp;$B112,'On The Board'!$M$5:$M$219)-SUM(G112:I112)</f>
        <v>5</v>
      </c>
      <c r="G112" s="12">
        <f>SUMIF('On The Board'!I$5:I$219,"&lt;="&amp;$B112,'On The Board'!$M$5:$M$219)-SUM(H112,I112)</f>
        <v>2</v>
      </c>
      <c r="H112" s="12">
        <f>SUMIF('On The Board'!J$5:J$219,"&lt;="&amp;$B112,'On The Board'!$M$5:$M$219)-SUM(I112)</f>
        <v>0</v>
      </c>
      <c r="I112" s="12">
        <f>SUMIF('On The Board'!K$5:K$219,"&lt;="&amp;$B112,'On The Board'!$M$5:$M$219)</f>
        <v>70</v>
      </c>
      <c r="J112" s="10">
        <f t="shared" si="12"/>
        <v>77</v>
      </c>
      <c r="K112" s="10" t="e">
        <f t="shared" ca="1" si="13"/>
        <v>#N/A</v>
      </c>
      <c r="L112" s="44" t="e">
        <f t="shared" ca="1" si="17"/>
        <v>#N/A</v>
      </c>
      <c r="M112" s="44" t="e">
        <f t="shared" ca="1" si="16"/>
        <v>#N/A</v>
      </c>
      <c r="N112" s="44" t="e">
        <f t="shared" ca="1" si="15"/>
        <v>#N/A</v>
      </c>
      <c r="O112" s="53" t="e">
        <f t="shared" ca="1" si="18"/>
        <v>#N/A</v>
      </c>
      <c r="P112" s="53" t="str">
        <f ca="1">IFERROR(DayByDayTable[[#This Row],[Lead Time]],"")</f>
        <v/>
      </c>
      <c r="Q112" s="44" t="e">
        <f t="shared" ca="1" si="19"/>
        <v>#N/A</v>
      </c>
      <c r="R112" s="44">
        <f ca="1">ROUND(PERCENTILE(DayByDayTable[[#Data],[BlankLeadTime]],0.8),0)</f>
        <v>8</v>
      </c>
    </row>
    <row r="113" spans="1:18">
      <c r="A113" s="51">
        <f t="shared" si="11"/>
        <v>42569</v>
      </c>
      <c r="B113" s="11">
        <f t="shared" si="14"/>
        <v>42569</v>
      </c>
      <c r="C113" s="47">
        <f>SUMIFS('On The Board'!$M$5:$M$219,'On The Board'!F$5:F$219,"&lt;="&amp;$B113,'On The Board'!E$5:E$219,"="&amp;FutureWork)</f>
        <v>43</v>
      </c>
      <c r="D113" s="12">
        <f ca="1">IF(TodaysDate&gt;=B113,SUMIF('On The Board'!F$5:F$219,"&lt;="&amp;$B113,'On The Board'!$M$5:$M$219)-SUM(E113:I113),D112)</f>
        <v>47</v>
      </c>
      <c r="E113" s="12">
        <f>SUMIF('On The Board'!G$5:G$219,"&lt;="&amp;$B113,'On The Board'!$M$5:$M$219)-SUM(F113:I113)</f>
        <v>0</v>
      </c>
      <c r="F113" s="12">
        <f>SUMIF('On The Board'!H$5:H$219,"&lt;="&amp;$B113,'On The Board'!$M$5:$M$219)-SUM(G113:I113)</f>
        <v>5</v>
      </c>
      <c r="G113" s="12">
        <f>SUMIF('On The Board'!I$5:I$219,"&lt;="&amp;$B113,'On The Board'!$M$5:$M$219)-SUM(H113,I113)</f>
        <v>2</v>
      </c>
      <c r="H113" s="12">
        <f>SUMIF('On The Board'!J$5:J$219,"&lt;="&amp;$B113,'On The Board'!$M$5:$M$219)-SUM(I113)</f>
        <v>0</v>
      </c>
      <c r="I113" s="12">
        <f>SUMIF('On The Board'!K$5:K$219,"&lt;="&amp;$B113,'On The Board'!$M$5:$M$219)</f>
        <v>70</v>
      </c>
      <c r="J113" s="10">
        <f t="shared" si="12"/>
        <v>77</v>
      </c>
      <c r="K113" s="10" t="e">
        <f t="shared" ca="1" si="13"/>
        <v>#N/A</v>
      </c>
      <c r="L113" s="44" t="e">
        <f t="shared" ca="1" si="17"/>
        <v>#N/A</v>
      </c>
      <c r="M113" s="44" t="e">
        <f t="shared" ca="1" si="16"/>
        <v>#N/A</v>
      </c>
      <c r="N113" s="44" t="e">
        <f t="shared" ca="1" si="15"/>
        <v>#N/A</v>
      </c>
      <c r="O113" s="53" t="e">
        <f t="shared" ca="1" si="18"/>
        <v>#N/A</v>
      </c>
      <c r="P113" s="53" t="str">
        <f ca="1">IFERROR(DayByDayTable[[#This Row],[Lead Time]],"")</f>
        <v/>
      </c>
      <c r="Q113" s="44" t="e">
        <f t="shared" ca="1" si="19"/>
        <v>#N/A</v>
      </c>
      <c r="R113" s="44">
        <f ca="1">ROUND(PERCENTILE(DayByDayTable[[#Data],[BlankLeadTime]],0.8),0)</f>
        <v>8</v>
      </c>
    </row>
    <row r="114" spans="1:18">
      <c r="A114" s="51">
        <f t="shared" si="11"/>
        <v>42570</v>
      </c>
      <c r="B114" s="11">
        <f t="shared" si="14"/>
        <v>42570</v>
      </c>
      <c r="C114" s="47">
        <f>SUMIFS('On The Board'!$M$5:$M$219,'On The Board'!F$5:F$219,"&lt;="&amp;$B114,'On The Board'!E$5:E$219,"="&amp;FutureWork)</f>
        <v>43</v>
      </c>
      <c r="D114" s="12">
        <f ca="1">IF(TodaysDate&gt;=B114,SUMIF('On The Board'!F$5:F$219,"&lt;="&amp;$B114,'On The Board'!$M$5:$M$219)-SUM(E114:I114),D113)</f>
        <v>47</v>
      </c>
      <c r="E114" s="12">
        <f>SUMIF('On The Board'!G$5:G$219,"&lt;="&amp;$B114,'On The Board'!$M$5:$M$219)-SUM(F114:I114)</f>
        <v>0</v>
      </c>
      <c r="F114" s="12">
        <f>SUMIF('On The Board'!H$5:H$219,"&lt;="&amp;$B114,'On The Board'!$M$5:$M$219)-SUM(G114:I114)</f>
        <v>5</v>
      </c>
      <c r="G114" s="12">
        <f>SUMIF('On The Board'!I$5:I$219,"&lt;="&amp;$B114,'On The Board'!$M$5:$M$219)-SUM(H114,I114)</f>
        <v>2</v>
      </c>
      <c r="H114" s="12">
        <f>SUMIF('On The Board'!J$5:J$219,"&lt;="&amp;$B114,'On The Board'!$M$5:$M$219)-SUM(I114)</f>
        <v>0</v>
      </c>
      <c r="I114" s="12">
        <f>SUMIF('On The Board'!K$5:K$219,"&lt;="&amp;$B114,'On The Board'!$M$5:$M$219)</f>
        <v>70</v>
      </c>
      <c r="J114" s="10">
        <f t="shared" si="12"/>
        <v>77</v>
      </c>
      <c r="K114" s="10" t="e">
        <f t="shared" ca="1" si="13"/>
        <v>#N/A</v>
      </c>
      <c r="L114" s="44" t="e">
        <f t="shared" ca="1" si="17"/>
        <v>#N/A</v>
      </c>
      <c r="M114" s="44" t="e">
        <f t="shared" ca="1" si="16"/>
        <v>#N/A</v>
      </c>
      <c r="N114" s="44" t="e">
        <f t="shared" ca="1" si="15"/>
        <v>#N/A</v>
      </c>
      <c r="O114" s="53" t="e">
        <f t="shared" ca="1" si="18"/>
        <v>#N/A</v>
      </c>
      <c r="P114" s="53" t="str">
        <f ca="1">IFERROR(DayByDayTable[[#This Row],[Lead Time]],"")</f>
        <v/>
      </c>
      <c r="Q114" s="44" t="e">
        <f t="shared" ca="1" si="19"/>
        <v>#N/A</v>
      </c>
      <c r="R114" s="44">
        <f ca="1">ROUND(PERCENTILE(DayByDayTable[[#Data],[BlankLeadTime]],0.8),0)</f>
        <v>8</v>
      </c>
    </row>
    <row r="115" spans="1:18">
      <c r="A115" s="51">
        <f t="shared" si="11"/>
        <v>42571</v>
      </c>
      <c r="B115" s="11">
        <f t="shared" si="14"/>
        <v>42571</v>
      </c>
      <c r="C115" s="47">
        <f>SUMIFS('On The Board'!$M$5:$M$219,'On The Board'!F$5:F$219,"&lt;="&amp;$B115,'On The Board'!E$5:E$219,"="&amp;FutureWork)</f>
        <v>43</v>
      </c>
      <c r="D115" s="12">
        <f ca="1">IF(TodaysDate&gt;=B115,SUMIF('On The Board'!F$5:F$219,"&lt;="&amp;$B115,'On The Board'!$M$5:$M$219)-SUM(E115:I115),D114)</f>
        <v>47</v>
      </c>
      <c r="E115" s="12">
        <f>SUMIF('On The Board'!G$5:G$219,"&lt;="&amp;$B115,'On The Board'!$M$5:$M$219)-SUM(F115:I115)</f>
        <v>0</v>
      </c>
      <c r="F115" s="12">
        <f>SUMIF('On The Board'!H$5:H$219,"&lt;="&amp;$B115,'On The Board'!$M$5:$M$219)-SUM(G115:I115)</f>
        <v>5</v>
      </c>
      <c r="G115" s="12">
        <f>SUMIF('On The Board'!I$5:I$219,"&lt;="&amp;$B115,'On The Board'!$M$5:$M$219)-SUM(H115,I115)</f>
        <v>2</v>
      </c>
      <c r="H115" s="12">
        <f>SUMIF('On The Board'!J$5:J$219,"&lt;="&amp;$B115,'On The Board'!$M$5:$M$219)-SUM(I115)</f>
        <v>0</v>
      </c>
      <c r="I115" s="12">
        <f>SUMIF('On The Board'!K$5:K$219,"&lt;="&amp;$B115,'On The Board'!$M$5:$M$219)</f>
        <v>70</v>
      </c>
      <c r="J115" s="10">
        <f t="shared" si="12"/>
        <v>77</v>
      </c>
      <c r="K115" s="10" t="e">
        <f t="shared" ca="1" si="13"/>
        <v>#N/A</v>
      </c>
      <c r="L115" s="44" t="e">
        <f t="shared" ca="1" si="17"/>
        <v>#N/A</v>
      </c>
      <c r="M115" s="44" t="e">
        <f t="shared" ca="1" si="16"/>
        <v>#N/A</v>
      </c>
      <c r="N115" s="44" t="e">
        <f t="shared" ca="1" si="15"/>
        <v>#N/A</v>
      </c>
      <c r="O115" s="53" t="e">
        <f t="shared" ca="1" si="18"/>
        <v>#N/A</v>
      </c>
      <c r="P115" s="53" t="str">
        <f ca="1">IFERROR(DayByDayTable[[#This Row],[Lead Time]],"")</f>
        <v/>
      </c>
      <c r="Q115" s="44" t="e">
        <f t="shared" ca="1" si="19"/>
        <v>#N/A</v>
      </c>
      <c r="R115" s="44">
        <f ca="1">ROUND(PERCENTILE(DayByDayTable[[#Data],[BlankLeadTime]],0.8),0)</f>
        <v>8</v>
      </c>
    </row>
    <row r="116" spans="1:18">
      <c r="A116" s="51">
        <f t="shared" si="11"/>
        <v>42572</v>
      </c>
      <c r="B116" s="11">
        <f t="shared" si="14"/>
        <v>42572</v>
      </c>
      <c r="C116" s="47">
        <f>SUMIFS('On The Board'!$M$5:$M$219,'On The Board'!F$5:F$219,"&lt;="&amp;$B116,'On The Board'!E$5:E$219,"="&amp;FutureWork)</f>
        <v>43</v>
      </c>
      <c r="D116" s="12">
        <f ca="1">IF(TodaysDate&gt;=B116,SUMIF('On The Board'!F$5:F$219,"&lt;="&amp;$B116,'On The Board'!$M$5:$M$219)-SUM(E116:I116),D115)</f>
        <v>47</v>
      </c>
      <c r="E116" s="12">
        <f>SUMIF('On The Board'!G$5:G$219,"&lt;="&amp;$B116,'On The Board'!$M$5:$M$219)-SUM(F116:I116)</f>
        <v>0</v>
      </c>
      <c r="F116" s="12">
        <f>SUMIF('On The Board'!H$5:H$219,"&lt;="&amp;$B116,'On The Board'!$M$5:$M$219)-SUM(G116:I116)</f>
        <v>5</v>
      </c>
      <c r="G116" s="12">
        <f>SUMIF('On The Board'!I$5:I$219,"&lt;="&amp;$B116,'On The Board'!$M$5:$M$219)-SUM(H116,I116)</f>
        <v>2</v>
      </c>
      <c r="H116" s="12">
        <f>SUMIF('On The Board'!J$5:J$219,"&lt;="&amp;$B116,'On The Board'!$M$5:$M$219)-SUM(I116)</f>
        <v>0</v>
      </c>
      <c r="I116" s="12">
        <f>SUMIF('On The Board'!K$5:K$219,"&lt;="&amp;$B116,'On The Board'!$M$5:$M$219)</f>
        <v>70</v>
      </c>
      <c r="J116" s="10">
        <f t="shared" si="12"/>
        <v>77</v>
      </c>
      <c r="K116" s="10" t="e">
        <f t="shared" ca="1" si="13"/>
        <v>#N/A</v>
      </c>
      <c r="L116" s="44" t="e">
        <f t="shared" ca="1" si="17"/>
        <v>#N/A</v>
      </c>
      <c r="M116" s="44" t="e">
        <f t="shared" ca="1" si="16"/>
        <v>#N/A</v>
      </c>
      <c r="N116" s="44" t="e">
        <f t="shared" ca="1" si="15"/>
        <v>#N/A</v>
      </c>
      <c r="O116" s="53" t="e">
        <f t="shared" ca="1" si="18"/>
        <v>#N/A</v>
      </c>
      <c r="P116" s="53" t="str">
        <f ca="1">IFERROR(DayByDayTable[[#This Row],[Lead Time]],"")</f>
        <v/>
      </c>
      <c r="Q116" s="44" t="e">
        <f t="shared" ca="1" si="19"/>
        <v>#N/A</v>
      </c>
      <c r="R116" s="44">
        <f ca="1">ROUND(PERCENTILE(DayByDayTable[[#Data],[BlankLeadTime]],0.8),0)</f>
        <v>8</v>
      </c>
    </row>
    <row r="117" spans="1:18">
      <c r="A117" s="51">
        <f t="shared" si="11"/>
        <v>42573</v>
      </c>
      <c r="B117" s="11">
        <f t="shared" si="14"/>
        <v>42573</v>
      </c>
      <c r="C117" s="47">
        <f>SUMIFS('On The Board'!$M$5:$M$219,'On The Board'!F$5:F$219,"&lt;="&amp;$B117,'On The Board'!E$5:E$219,"="&amp;FutureWork)</f>
        <v>43</v>
      </c>
      <c r="D117" s="12">
        <f ca="1">IF(TodaysDate&gt;=B117,SUMIF('On The Board'!F$5:F$219,"&lt;="&amp;$B117,'On The Board'!$M$5:$M$219)-SUM(E117:I117),D116)</f>
        <v>47</v>
      </c>
      <c r="E117" s="12">
        <f>SUMIF('On The Board'!G$5:G$219,"&lt;="&amp;$B117,'On The Board'!$M$5:$M$219)-SUM(F117:I117)</f>
        <v>0</v>
      </c>
      <c r="F117" s="12">
        <f>SUMIF('On The Board'!H$5:H$219,"&lt;="&amp;$B117,'On The Board'!$M$5:$M$219)-SUM(G117:I117)</f>
        <v>5</v>
      </c>
      <c r="G117" s="12">
        <f>SUMIF('On The Board'!I$5:I$219,"&lt;="&amp;$B117,'On The Board'!$M$5:$M$219)-SUM(H117,I117)</f>
        <v>2</v>
      </c>
      <c r="H117" s="12">
        <f>SUMIF('On The Board'!J$5:J$219,"&lt;="&amp;$B117,'On The Board'!$M$5:$M$219)-SUM(I117)</f>
        <v>0</v>
      </c>
      <c r="I117" s="12">
        <f>SUMIF('On The Board'!K$5:K$219,"&lt;="&amp;$B117,'On The Board'!$M$5:$M$219)</f>
        <v>70</v>
      </c>
      <c r="J117" s="10">
        <f t="shared" si="12"/>
        <v>77</v>
      </c>
      <c r="K117" s="10" t="e">
        <f t="shared" ca="1" si="13"/>
        <v>#N/A</v>
      </c>
      <c r="L117" s="44" t="e">
        <f t="shared" ca="1" si="17"/>
        <v>#N/A</v>
      </c>
      <c r="M117" s="44" t="e">
        <f t="shared" ca="1" si="16"/>
        <v>#N/A</v>
      </c>
      <c r="N117" s="44" t="e">
        <f t="shared" ca="1" si="15"/>
        <v>#N/A</v>
      </c>
      <c r="O117" s="53" t="e">
        <f t="shared" ca="1" si="18"/>
        <v>#N/A</v>
      </c>
      <c r="P117" s="53" t="str">
        <f ca="1">IFERROR(DayByDayTable[[#This Row],[Lead Time]],"")</f>
        <v/>
      </c>
      <c r="Q117" s="44" t="e">
        <f t="shared" ca="1" si="19"/>
        <v>#N/A</v>
      </c>
      <c r="R117" s="44">
        <f ca="1">ROUND(PERCENTILE(DayByDayTable[[#Data],[BlankLeadTime]],0.8),0)</f>
        <v>8</v>
      </c>
    </row>
    <row r="118" spans="1:18">
      <c r="A118" s="51">
        <f t="shared" si="11"/>
        <v>42576</v>
      </c>
      <c r="B118" s="11">
        <f t="shared" si="14"/>
        <v>42576</v>
      </c>
      <c r="C118" s="47">
        <f>SUMIFS('On The Board'!$M$5:$M$219,'On The Board'!F$5:F$219,"&lt;="&amp;$B118,'On The Board'!E$5:E$219,"="&amp;FutureWork)</f>
        <v>43</v>
      </c>
      <c r="D118" s="12">
        <f ca="1">IF(TodaysDate&gt;=B118,SUMIF('On The Board'!F$5:F$219,"&lt;="&amp;$B118,'On The Board'!$M$5:$M$219)-SUM(E118:I118),D117)</f>
        <v>47</v>
      </c>
      <c r="E118" s="12">
        <f>SUMIF('On The Board'!G$5:G$219,"&lt;="&amp;$B118,'On The Board'!$M$5:$M$219)-SUM(F118:I118)</f>
        <v>0</v>
      </c>
      <c r="F118" s="12">
        <f>SUMIF('On The Board'!H$5:H$219,"&lt;="&amp;$B118,'On The Board'!$M$5:$M$219)-SUM(G118:I118)</f>
        <v>5</v>
      </c>
      <c r="G118" s="12">
        <f>SUMIF('On The Board'!I$5:I$219,"&lt;="&amp;$B118,'On The Board'!$M$5:$M$219)-SUM(H118,I118)</f>
        <v>2</v>
      </c>
      <c r="H118" s="12">
        <f>SUMIF('On The Board'!J$5:J$219,"&lt;="&amp;$B118,'On The Board'!$M$5:$M$219)-SUM(I118)</f>
        <v>0</v>
      </c>
      <c r="I118" s="12">
        <f>SUMIF('On The Board'!K$5:K$219,"&lt;="&amp;$B118,'On The Board'!$M$5:$M$219)</f>
        <v>70</v>
      </c>
      <c r="J118" s="10">
        <f t="shared" si="12"/>
        <v>77</v>
      </c>
      <c r="K118" s="10" t="e">
        <f t="shared" ca="1" si="13"/>
        <v>#N/A</v>
      </c>
      <c r="L118" s="44" t="e">
        <f t="shared" ca="1" si="17"/>
        <v>#N/A</v>
      </c>
      <c r="M118" s="44" t="e">
        <f t="shared" ca="1" si="16"/>
        <v>#N/A</v>
      </c>
      <c r="N118" s="44" t="e">
        <f t="shared" ca="1" si="15"/>
        <v>#N/A</v>
      </c>
      <c r="O118" s="53" t="e">
        <f t="shared" ca="1" si="18"/>
        <v>#N/A</v>
      </c>
      <c r="P118" s="53" t="str">
        <f ca="1">IFERROR(DayByDayTable[[#This Row],[Lead Time]],"")</f>
        <v/>
      </c>
      <c r="Q118" s="44" t="e">
        <f t="shared" ca="1" si="19"/>
        <v>#N/A</v>
      </c>
      <c r="R118" s="44">
        <f ca="1">ROUND(PERCENTILE(DayByDayTable[[#Data],[BlankLeadTime]],0.8),0)</f>
        <v>8</v>
      </c>
    </row>
    <row r="119" spans="1:18">
      <c r="A119" s="51">
        <f t="shared" si="11"/>
        <v>42577</v>
      </c>
      <c r="B119" s="11">
        <f t="shared" si="14"/>
        <v>42577</v>
      </c>
      <c r="C119" s="47">
        <f>SUMIFS('On The Board'!$M$5:$M$219,'On The Board'!F$5:F$219,"&lt;="&amp;$B119,'On The Board'!E$5:E$219,"="&amp;FutureWork)</f>
        <v>43</v>
      </c>
      <c r="D119" s="12">
        <f ca="1">IF(TodaysDate&gt;=B119,SUMIF('On The Board'!F$5:F$219,"&lt;="&amp;$B119,'On The Board'!$M$5:$M$219)-SUM(E119:I119),D118)</f>
        <v>47</v>
      </c>
      <c r="E119" s="12">
        <f>SUMIF('On The Board'!G$5:G$219,"&lt;="&amp;$B119,'On The Board'!$M$5:$M$219)-SUM(F119:I119)</f>
        <v>0</v>
      </c>
      <c r="F119" s="12">
        <f>SUMIF('On The Board'!H$5:H$219,"&lt;="&amp;$B119,'On The Board'!$M$5:$M$219)-SUM(G119:I119)</f>
        <v>5</v>
      </c>
      <c r="G119" s="12">
        <f>SUMIF('On The Board'!I$5:I$219,"&lt;="&amp;$B119,'On The Board'!$M$5:$M$219)-SUM(H119,I119)</f>
        <v>2</v>
      </c>
      <c r="H119" s="12">
        <f>SUMIF('On The Board'!J$5:J$219,"&lt;="&amp;$B119,'On The Board'!$M$5:$M$219)-SUM(I119)</f>
        <v>0</v>
      </c>
      <c r="I119" s="12">
        <f>SUMIF('On The Board'!K$5:K$219,"&lt;="&amp;$B119,'On The Board'!$M$5:$M$219)</f>
        <v>70</v>
      </c>
      <c r="J119" s="10">
        <f t="shared" si="12"/>
        <v>77</v>
      </c>
      <c r="K119" s="10" t="e">
        <f t="shared" ca="1" si="13"/>
        <v>#N/A</v>
      </c>
      <c r="L119" s="44" t="e">
        <f t="shared" ca="1" si="17"/>
        <v>#N/A</v>
      </c>
      <c r="M119" s="44" t="e">
        <f t="shared" ca="1" si="16"/>
        <v>#N/A</v>
      </c>
      <c r="N119" s="44" t="e">
        <f t="shared" ca="1" si="15"/>
        <v>#N/A</v>
      </c>
      <c r="O119" s="53" t="e">
        <f t="shared" ca="1" si="18"/>
        <v>#N/A</v>
      </c>
      <c r="P119" s="53" t="str">
        <f ca="1">IFERROR(DayByDayTable[[#This Row],[Lead Time]],"")</f>
        <v/>
      </c>
      <c r="Q119" s="44" t="e">
        <f t="shared" ca="1" si="19"/>
        <v>#N/A</v>
      </c>
      <c r="R119" s="44">
        <f ca="1">ROUND(PERCENTILE(DayByDayTable[[#Data],[BlankLeadTime]],0.8),0)</f>
        <v>8</v>
      </c>
    </row>
    <row r="120" spans="1:18">
      <c r="A120" s="51">
        <f t="shared" si="11"/>
        <v>42578</v>
      </c>
      <c r="B120" s="11">
        <f t="shared" si="14"/>
        <v>42578</v>
      </c>
      <c r="C120" s="47">
        <f>SUMIFS('On The Board'!$M$5:$M$219,'On The Board'!F$5:F$219,"&lt;="&amp;$B120,'On The Board'!E$5:E$219,"="&amp;FutureWork)</f>
        <v>43</v>
      </c>
      <c r="D120" s="12">
        <f ca="1">IF(TodaysDate&gt;=B120,SUMIF('On The Board'!F$5:F$219,"&lt;="&amp;$B120,'On The Board'!$M$5:$M$219)-SUM(E120:I120),D119)</f>
        <v>47</v>
      </c>
      <c r="E120" s="12">
        <f>SUMIF('On The Board'!G$5:G$219,"&lt;="&amp;$B120,'On The Board'!$M$5:$M$219)-SUM(F120:I120)</f>
        <v>0</v>
      </c>
      <c r="F120" s="12">
        <f>SUMIF('On The Board'!H$5:H$219,"&lt;="&amp;$B120,'On The Board'!$M$5:$M$219)-SUM(G120:I120)</f>
        <v>5</v>
      </c>
      <c r="G120" s="12">
        <f>SUMIF('On The Board'!I$5:I$219,"&lt;="&amp;$B120,'On The Board'!$M$5:$M$219)-SUM(H120,I120)</f>
        <v>2</v>
      </c>
      <c r="H120" s="12">
        <f>SUMIF('On The Board'!J$5:J$219,"&lt;="&amp;$B120,'On The Board'!$M$5:$M$219)-SUM(I120)</f>
        <v>0</v>
      </c>
      <c r="I120" s="12">
        <f>SUMIF('On The Board'!K$5:K$219,"&lt;="&amp;$B120,'On The Board'!$M$5:$M$219)</f>
        <v>70</v>
      </c>
      <c r="J120" s="10">
        <f t="shared" si="12"/>
        <v>77</v>
      </c>
      <c r="K120" s="10" t="e">
        <f t="shared" ca="1" si="13"/>
        <v>#N/A</v>
      </c>
      <c r="L120" s="44" t="e">
        <f t="shared" ca="1" si="17"/>
        <v>#N/A</v>
      </c>
      <c r="M120" s="44" t="e">
        <f t="shared" ca="1" si="16"/>
        <v>#N/A</v>
      </c>
      <c r="N120" s="44" t="e">
        <f t="shared" ca="1" si="15"/>
        <v>#N/A</v>
      </c>
      <c r="O120" s="53" t="e">
        <f t="shared" ca="1" si="18"/>
        <v>#N/A</v>
      </c>
      <c r="P120" s="53" t="str">
        <f ca="1">IFERROR(DayByDayTable[[#This Row],[Lead Time]],"")</f>
        <v/>
      </c>
      <c r="Q120" s="44" t="e">
        <f t="shared" ca="1" si="19"/>
        <v>#N/A</v>
      </c>
      <c r="R120" s="44">
        <f ca="1">ROUND(PERCENTILE(DayByDayTable[[#Data],[BlankLeadTime]],0.8),0)</f>
        <v>8</v>
      </c>
    </row>
    <row r="121" spans="1:18">
      <c r="A121" s="51">
        <f t="shared" si="11"/>
        <v>42579</v>
      </c>
      <c r="B121" s="11">
        <f t="shared" si="14"/>
        <v>42579</v>
      </c>
      <c r="C121" s="47">
        <f>SUMIFS('On The Board'!$M$5:$M$219,'On The Board'!F$5:F$219,"&lt;="&amp;$B121,'On The Board'!E$5:E$219,"="&amp;FutureWork)</f>
        <v>43</v>
      </c>
      <c r="D121" s="12">
        <f ca="1">IF(TodaysDate&gt;=B121,SUMIF('On The Board'!F$5:F$219,"&lt;="&amp;$B121,'On The Board'!$M$5:$M$219)-SUM(E121:I121),D120)</f>
        <v>47</v>
      </c>
      <c r="E121" s="12">
        <f>SUMIF('On The Board'!G$5:G$219,"&lt;="&amp;$B121,'On The Board'!$M$5:$M$219)-SUM(F121:I121)</f>
        <v>0</v>
      </c>
      <c r="F121" s="12">
        <f>SUMIF('On The Board'!H$5:H$219,"&lt;="&amp;$B121,'On The Board'!$M$5:$M$219)-SUM(G121:I121)</f>
        <v>5</v>
      </c>
      <c r="G121" s="12">
        <f>SUMIF('On The Board'!I$5:I$219,"&lt;="&amp;$B121,'On The Board'!$M$5:$M$219)-SUM(H121,I121)</f>
        <v>2</v>
      </c>
      <c r="H121" s="12">
        <f>SUMIF('On The Board'!J$5:J$219,"&lt;="&amp;$B121,'On The Board'!$M$5:$M$219)-SUM(I121)</f>
        <v>0</v>
      </c>
      <c r="I121" s="12">
        <f>SUMIF('On The Board'!K$5:K$219,"&lt;="&amp;$B121,'On The Board'!$M$5:$M$219)</f>
        <v>70</v>
      </c>
      <c r="J121" s="10">
        <f t="shared" si="12"/>
        <v>77</v>
      </c>
      <c r="K121" s="10" t="e">
        <f t="shared" ca="1" si="13"/>
        <v>#N/A</v>
      </c>
      <c r="L121" s="44" t="e">
        <f t="shared" ca="1" si="17"/>
        <v>#N/A</v>
      </c>
      <c r="M121" s="44" t="e">
        <f t="shared" ca="1" si="16"/>
        <v>#N/A</v>
      </c>
      <c r="N121" s="44" t="e">
        <f t="shared" ca="1" si="15"/>
        <v>#N/A</v>
      </c>
      <c r="O121" s="53" t="e">
        <f t="shared" ca="1" si="18"/>
        <v>#N/A</v>
      </c>
      <c r="P121" s="53" t="str">
        <f ca="1">IFERROR(DayByDayTable[[#This Row],[Lead Time]],"")</f>
        <v/>
      </c>
      <c r="Q121" s="44" t="e">
        <f t="shared" ca="1" si="19"/>
        <v>#N/A</v>
      </c>
      <c r="R121" s="44">
        <f ca="1">ROUND(PERCENTILE(DayByDayTable[[#Data],[BlankLeadTime]],0.8),0)</f>
        <v>8</v>
      </c>
    </row>
    <row r="122" spans="1:18">
      <c r="A122" s="51">
        <f t="shared" si="11"/>
        <v>42580</v>
      </c>
      <c r="B122" s="11">
        <f t="shared" si="14"/>
        <v>42580</v>
      </c>
      <c r="C122" s="47">
        <f>SUMIFS('On The Board'!$M$5:$M$219,'On The Board'!F$5:F$219,"&lt;="&amp;$B122,'On The Board'!E$5:E$219,"="&amp;FutureWork)</f>
        <v>43</v>
      </c>
      <c r="D122" s="12">
        <f ca="1">IF(TodaysDate&gt;=B122,SUMIF('On The Board'!F$5:F$219,"&lt;="&amp;$B122,'On The Board'!$M$5:$M$219)-SUM(E122:I122),D121)</f>
        <v>47</v>
      </c>
      <c r="E122" s="12">
        <f>SUMIF('On The Board'!G$5:G$219,"&lt;="&amp;$B122,'On The Board'!$M$5:$M$219)-SUM(F122:I122)</f>
        <v>0</v>
      </c>
      <c r="F122" s="12">
        <f>SUMIF('On The Board'!H$5:H$219,"&lt;="&amp;$B122,'On The Board'!$M$5:$M$219)-SUM(G122:I122)</f>
        <v>5</v>
      </c>
      <c r="G122" s="12">
        <f>SUMIF('On The Board'!I$5:I$219,"&lt;="&amp;$B122,'On The Board'!$M$5:$M$219)-SUM(H122,I122)</f>
        <v>2</v>
      </c>
      <c r="H122" s="12">
        <f>SUMIF('On The Board'!J$5:J$219,"&lt;="&amp;$B122,'On The Board'!$M$5:$M$219)-SUM(I122)</f>
        <v>0</v>
      </c>
      <c r="I122" s="12">
        <f>SUMIF('On The Board'!K$5:K$219,"&lt;="&amp;$B122,'On The Board'!$M$5:$M$219)</f>
        <v>70</v>
      </c>
      <c r="J122" s="10">
        <f t="shared" si="12"/>
        <v>77</v>
      </c>
      <c r="K122" s="10" t="e">
        <f t="shared" ca="1" si="13"/>
        <v>#N/A</v>
      </c>
      <c r="L122" s="44" t="e">
        <f t="shared" ca="1" si="17"/>
        <v>#N/A</v>
      </c>
      <c r="M122" s="44" t="e">
        <f t="shared" ca="1" si="16"/>
        <v>#N/A</v>
      </c>
      <c r="N122" s="44" t="e">
        <f t="shared" ca="1" si="15"/>
        <v>#N/A</v>
      </c>
      <c r="O122" s="53" t="e">
        <f t="shared" ca="1" si="18"/>
        <v>#N/A</v>
      </c>
      <c r="P122" s="53" t="str">
        <f ca="1">IFERROR(DayByDayTable[[#This Row],[Lead Time]],"")</f>
        <v/>
      </c>
      <c r="Q122" s="44" t="e">
        <f t="shared" ca="1" si="19"/>
        <v>#N/A</v>
      </c>
      <c r="R122" s="44">
        <f ca="1">ROUND(PERCENTILE(DayByDayTable[[#Data],[BlankLeadTime]],0.8),0)</f>
        <v>8</v>
      </c>
    </row>
    <row r="123" spans="1:18">
      <c r="A123" s="51">
        <f t="shared" si="11"/>
        <v>42583</v>
      </c>
      <c r="B123" s="11">
        <f t="shared" si="14"/>
        <v>42583</v>
      </c>
      <c r="C123" s="47">
        <f>SUMIFS('On The Board'!$M$5:$M$219,'On The Board'!F$5:F$219,"&lt;="&amp;$B123,'On The Board'!E$5:E$219,"="&amp;FutureWork)</f>
        <v>43</v>
      </c>
      <c r="D123" s="12">
        <f ca="1">IF(TodaysDate&gt;=B123,SUMIF('On The Board'!F$5:F$219,"&lt;="&amp;$B123,'On The Board'!$M$5:$M$219)-SUM(E123:I123),D122)</f>
        <v>47</v>
      </c>
      <c r="E123" s="12">
        <f>SUMIF('On The Board'!G$5:G$219,"&lt;="&amp;$B123,'On The Board'!$M$5:$M$219)-SUM(F123:I123)</f>
        <v>0</v>
      </c>
      <c r="F123" s="12">
        <f>SUMIF('On The Board'!H$5:H$219,"&lt;="&amp;$B123,'On The Board'!$M$5:$M$219)-SUM(G123:I123)</f>
        <v>5</v>
      </c>
      <c r="G123" s="12">
        <f>SUMIF('On The Board'!I$5:I$219,"&lt;="&amp;$B123,'On The Board'!$M$5:$M$219)-SUM(H123,I123)</f>
        <v>2</v>
      </c>
      <c r="H123" s="12">
        <f>SUMIF('On The Board'!J$5:J$219,"&lt;="&amp;$B123,'On The Board'!$M$5:$M$219)-SUM(I123)</f>
        <v>0</v>
      </c>
      <c r="I123" s="12">
        <f>SUMIF('On The Board'!K$5:K$219,"&lt;="&amp;$B123,'On The Board'!$M$5:$M$219)</f>
        <v>70</v>
      </c>
      <c r="J123" s="10">
        <f t="shared" si="12"/>
        <v>77</v>
      </c>
      <c r="K123" s="10" t="e">
        <f t="shared" ca="1" si="13"/>
        <v>#N/A</v>
      </c>
      <c r="L123" s="44" t="e">
        <f t="shared" ca="1" si="17"/>
        <v>#N/A</v>
      </c>
      <c r="M123" s="44" t="e">
        <f t="shared" ca="1" si="16"/>
        <v>#N/A</v>
      </c>
      <c r="N123" s="44" t="e">
        <f t="shared" ca="1" si="15"/>
        <v>#N/A</v>
      </c>
      <c r="O123" s="53" t="e">
        <f t="shared" ca="1" si="18"/>
        <v>#N/A</v>
      </c>
      <c r="P123" s="53" t="str">
        <f ca="1">IFERROR(DayByDayTable[[#This Row],[Lead Time]],"")</f>
        <v/>
      </c>
      <c r="Q123" s="44" t="e">
        <f t="shared" ca="1" si="19"/>
        <v>#N/A</v>
      </c>
      <c r="R123" s="44">
        <f ca="1">ROUND(PERCENTILE(DayByDayTable[[#Data],[BlankLeadTime]],0.8),0)</f>
        <v>8</v>
      </c>
    </row>
    <row r="124" spans="1:18">
      <c r="A124" s="51">
        <f t="shared" si="11"/>
        <v>42584</v>
      </c>
      <c r="B124" s="11">
        <f t="shared" si="14"/>
        <v>42584</v>
      </c>
      <c r="C124" s="47">
        <f>SUMIFS('On The Board'!$M$5:$M$219,'On The Board'!F$5:F$219,"&lt;="&amp;$B124,'On The Board'!E$5:E$219,"="&amp;FutureWork)</f>
        <v>43</v>
      </c>
      <c r="D124" s="12">
        <f ca="1">IF(TodaysDate&gt;=B124,SUMIF('On The Board'!F$5:F$219,"&lt;="&amp;$B124,'On The Board'!$M$5:$M$219)-SUM(E124:I124),D123)</f>
        <v>47</v>
      </c>
      <c r="E124" s="12">
        <f>SUMIF('On The Board'!G$5:G$219,"&lt;="&amp;$B124,'On The Board'!$M$5:$M$219)-SUM(F124:I124)</f>
        <v>0</v>
      </c>
      <c r="F124" s="12">
        <f>SUMIF('On The Board'!H$5:H$219,"&lt;="&amp;$B124,'On The Board'!$M$5:$M$219)-SUM(G124:I124)</f>
        <v>5</v>
      </c>
      <c r="G124" s="12">
        <f>SUMIF('On The Board'!I$5:I$219,"&lt;="&amp;$B124,'On The Board'!$M$5:$M$219)-SUM(H124,I124)</f>
        <v>2</v>
      </c>
      <c r="H124" s="12">
        <f>SUMIF('On The Board'!J$5:J$219,"&lt;="&amp;$B124,'On The Board'!$M$5:$M$219)-SUM(I124)</f>
        <v>0</v>
      </c>
      <c r="I124" s="12">
        <f>SUMIF('On The Board'!K$5:K$219,"&lt;="&amp;$B124,'On The Board'!$M$5:$M$219)</f>
        <v>70</v>
      </c>
      <c r="J124" s="10">
        <f t="shared" si="12"/>
        <v>77</v>
      </c>
      <c r="K124" s="10" t="e">
        <f t="shared" ca="1" si="13"/>
        <v>#N/A</v>
      </c>
      <c r="L124" s="44" t="e">
        <f t="shared" ca="1" si="17"/>
        <v>#N/A</v>
      </c>
      <c r="M124" s="44" t="e">
        <f t="shared" ca="1" si="16"/>
        <v>#N/A</v>
      </c>
      <c r="N124" s="44" t="e">
        <f t="shared" ca="1" si="15"/>
        <v>#N/A</v>
      </c>
      <c r="O124" s="53" t="e">
        <f t="shared" ca="1" si="18"/>
        <v>#N/A</v>
      </c>
      <c r="P124" s="53" t="str">
        <f ca="1">IFERROR(DayByDayTable[[#This Row],[Lead Time]],"")</f>
        <v/>
      </c>
      <c r="Q124" s="44" t="e">
        <f t="shared" ca="1" si="19"/>
        <v>#N/A</v>
      </c>
      <c r="R124" s="44">
        <f ca="1">ROUND(PERCENTILE(DayByDayTable[[#Data],[BlankLeadTime]],0.8),0)</f>
        <v>8</v>
      </c>
    </row>
    <row r="125" spans="1:18">
      <c r="A125" s="51">
        <f t="shared" si="11"/>
        <v>42585</v>
      </c>
      <c r="B125" s="11">
        <f t="shared" si="14"/>
        <v>42585</v>
      </c>
      <c r="C125" s="47">
        <f>SUMIFS('On The Board'!$M$5:$M$219,'On The Board'!F$5:F$219,"&lt;="&amp;$B125,'On The Board'!E$5:E$219,"="&amp;FutureWork)</f>
        <v>43</v>
      </c>
      <c r="D125" s="12">
        <f ca="1">IF(TodaysDate&gt;=B125,SUMIF('On The Board'!F$5:F$219,"&lt;="&amp;$B125,'On The Board'!$M$5:$M$219)-SUM(E125:I125),D124)</f>
        <v>47</v>
      </c>
      <c r="E125" s="12">
        <f>SUMIF('On The Board'!G$5:G$219,"&lt;="&amp;$B125,'On The Board'!$M$5:$M$219)-SUM(F125:I125)</f>
        <v>0</v>
      </c>
      <c r="F125" s="12">
        <f>SUMIF('On The Board'!H$5:H$219,"&lt;="&amp;$B125,'On The Board'!$M$5:$M$219)-SUM(G125:I125)</f>
        <v>5</v>
      </c>
      <c r="G125" s="12">
        <f>SUMIF('On The Board'!I$5:I$219,"&lt;="&amp;$B125,'On The Board'!$M$5:$M$219)-SUM(H125,I125)</f>
        <v>2</v>
      </c>
      <c r="H125" s="12">
        <f>SUMIF('On The Board'!J$5:J$219,"&lt;="&amp;$B125,'On The Board'!$M$5:$M$219)-SUM(I125)</f>
        <v>0</v>
      </c>
      <c r="I125" s="12">
        <f>SUMIF('On The Board'!K$5:K$219,"&lt;="&amp;$B125,'On The Board'!$M$5:$M$219)</f>
        <v>70</v>
      </c>
      <c r="J125" s="10">
        <f t="shared" si="12"/>
        <v>77</v>
      </c>
      <c r="K125" s="10" t="e">
        <f t="shared" ca="1" si="13"/>
        <v>#N/A</v>
      </c>
      <c r="L125" s="44" t="e">
        <f t="shared" ca="1" si="17"/>
        <v>#N/A</v>
      </c>
      <c r="M125" s="44" t="e">
        <f t="shared" ca="1" si="16"/>
        <v>#N/A</v>
      </c>
      <c r="N125" s="44" t="e">
        <f t="shared" ca="1" si="15"/>
        <v>#N/A</v>
      </c>
      <c r="O125" s="53" t="e">
        <f t="shared" ca="1" si="18"/>
        <v>#N/A</v>
      </c>
      <c r="P125" s="53" t="str">
        <f ca="1">IFERROR(DayByDayTable[[#This Row],[Lead Time]],"")</f>
        <v/>
      </c>
      <c r="Q125" s="44" t="e">
        <f t="shared" ca="1" si="19"/>
        <v>#N/A</v>
      </c>
      <c r="R125" s="44">
        <f ca="1">ROUND(PERCENTILE(DayByDayTable[[#Data],[BlankLeadTime]],0.8),0)</f>
        <v>8</v>
      </c>
    </row>
    <row r="126" spans="1:18">
      <c r="A126" s="51">
        <f t="shared" si="11"/>
        <v>42586</v>
      </c>
      <c r="B126" s="11">
        <f t="shared" si="14"/>
        <v>42586</v>
      </c>
      <c r="C126" s="47">
        <f>SUMIFS('On The Board'!$M$5:$M$219,'On The Board'!F$5:F$219,"&lt;="&amp;$B126,'On The Board'!E$5:E$219,"="&amp;FutureWork)</f>
        <v>43</v>
      </c>
      <c r="D126" s="12">
        <f ca="1">IF(TodaysDate&gt;=B126,SUMIF('On The Board'!F$5:F$219,"&lt;="&amp;$B126,'On The Board'!$M$5:$M$219)-SUM(E126:I126),D125)</f>
        <v>47</v>
      </c>
      <c r="E126" s="12">
        <f>SUMIF('On The Board'!G$5:G$219,"&lt;="&amp;$B126,'On The Board'!$M$5:$M$219)-SUM(F126:I126)</f>
        <v>0</v>
      </c>
      <c r="F126" s="12">
        <f>SUMIF('On The Board'!H$5:H$219,"&lt;="&amp;$B126,'On The Board'!$M$5:$M$219)-SUM(G126:I126)</f>
        <v>5</v>
      </c>
      <c r="G126" s="12">
        <f>SUMIF('On The Board'!I$5:I$219,"&lt;="&amp;$B126,'On The Board'!$M$5:$M$219)-SUM(H126,I126)</f>
        <v>2</v>
      </c>
      <c r="H126" s="12">
        <f>SUMIF('On The Board'!J$5:J$219,"&lt;="&amp;$B126,'On The Board'!$M$5:$M$219)-SUM(I126)</f>
        <v>0</v>
      </c>
      <c r="I126" s="12">
        <f>SUMIF('On The Board'!K$5:K$219,"&lt;="&amp;$B126,'On The Board'!$M$5:$M$219)</f>
        <v>70</v>
      </c>
      <c r="J126" s="10">
        <f t="shared" si="12"/>
        <v>77</v>
      </c>
      <c r="K126" s="10" t="e">
        <f t="shared" ca="1" si="13"/>
        <v>#N/A</v>
      </c>
      <c r="L126" s="44" t="e">
        <f t="shared" ca="1" si="17"/>
        <v>#N/A</v>
      </c>
      <c r="M126" s="44" t="e">
        <f t="shared" ca="1" si="16"/>
        <v>#N/A</v>
      </c>
      <c r="N126" s="44" t="e">
        <f t="shared" ca="1" si="15"/>
        <v>#N/A</v>
      </c>
      <c r="O126" s="53" t="e">
        <f t="shared" ca="1" si="18"/>
        <v>#N/A</v>
      </c>
      <c r="P126" s="53" t="str">
        <f ca="1">IFERROR(DayByDayTable[[#This Row],[Lead Time]],"")</f>
        <v/>
      </c>
      <c r="Q126" s="44" t="e">
        <f t="shared" ca="1" si="19"/>
        <v>#N/A</v>
      </c>
      <c r="R126" s="44">
        <f ca="1">ROUND(PERCENTILE(DayByDayTable[[#Data],[BlankLeadTime]],0.8),0)</f>
        <v>8</v>
      </c>
    </row>
    <row r="127" spans="1:18">
      <c r="A127" s="51">
        <f t="shared" si="11"/>
        <v>42587</v>
      </c>
      <c r="B127" s="11">
        <f t="shared" si="14"/>
        <v>42587</v>
      </c>
      <c r="C127" s="47">
        <f>SUMIFS('On The Board'!$M$5:$M$219,'On The Board'!F$5:F$219,"&lt;="&amp;$B127,'On The Board'!E$5:E$219,"="&amp;FutureWork)</f>
        <v>43</v>
      </c>
      <c r="D127" s="12">
        <f ca="1">IF(TodaysDate&gt;=B127,SUMIF('On The Board'!F$5:F$219,"&lt;="&amp;$B127,'On The Board'!$M$5:$M$219)-SUM(E127:I127),D126)</f>
        <v>47</v>
      </c>
      <c r="E127" s="12">
        <f>SUMIF('On The Board'!G$5:G$219,"&lt;="&amp;$B127,'On The Board'!$M$5:$M$219)-SUM(F127:I127)</f>
        <v>0</v>
      </c>
      <c r="F127" s="12">
        <f>SUMIF('On The Board'!H$5:H$219,"&lt;="&amp;$B127,'On The Board'!$M$5:$M$219)-SUM(G127:I127)</f>
        <v>5</v>
      </c>
      <c r="G127" s="12">
        <f>SUMIF('On The Board'!I$5:I$219,"&lt;="&amp;$B127,'On The Board'!$M$5:$M$219)-SUM(H127,I127)</f>
        <v>2</v>
      </c>
      <c r="H127" s="12">
        <f>SUMIF('On The Board'!J$5:J$219,"&lt;="&amp;$B127,'On The Board'!$M$5:$M$219)-SUM(I127)</f>
        <v>0</v>
      </c>
      <c r="I127" s="12">
        <f>SUMIF('On The Board'!K$5:K$219,"&lt;="&amp;$B127,'On The Board'!$M$5:$M$219)</f>
        <v>70</v>
      </c>
      <c r="J127" s="10">
        <f t="shared" si="12"/>
        <v>77</v>
      </c>
      <c r="K127" s="10" t="e">
        <f t="shared" ca="1" si="13"/>
        <v>#N/A</v>
      </c>
      <c r="L127" s="44" t="e">
        <f t="shared" ca="1" si="17"/>
        <v>#N/A</v>
      </c>
      <c r="M127" s="44" t="e">
        <f t="shared" ca="1" si="16"/>
        <v>#N/A</v>
      </c>
      <c r="N127" s="44" t="e">
        <f t="shared" ca="1" si="15"/>
        <v>#N/A</v>
      </c>
      <c r="O127" s="53" t="e">
        <f t="shared" ca="1" si="18"/>
        <v>#N/A</v>
      </c>
      <c r="P127" s="53" t="str">
        <f ca="1">IFERROR(DayByDayTable[[#This Row],[Lead Time]],"")</f>
        <v/>
      </c>
      <c r="Q127" s="44" t="e">
        <f t="shared" ca="1" si="19"/>
        <v>#N/A</v>
      </c>
      <c r="R127" s="44">
        <f ca="1">ROUND(PERCENTILE(DayByDayTable[[#Data],[BlankLeadTime]],0.8),0)</f>
        <v>8</v>
      </c>
    </row>
    <row r="128" spans="1:18">
      <c r="A128" s="51">
        <f t="shared" si="11"/>
        <v>42590</v>
      </c>
      <c r="B128" s="11">
        <f t="shared" si="14"/>
        <v>42590</v>
      </c>
      <c r="C128" s="47">
        <f>SUMIFS('On The Board'!$M$5:$M$219,'On The Board'!F$5:F$219,"&lt;="&amp;$B128,'On The Board'!E$5:E$219,"="&amp;FutureWork)</f>
        <v>43</v>
      </c>
      <c r="D128" s="12">
        <f ca="1">IF(TodaysDate&gt;=B128,SUMIF('On The Board'!F$5:F$219,"&lt;="&amp;$B128,'On The Board'!$M$5:$M$219)-SUM(E128:I128),D127)</f>
        <v>47</v>
      </c>
      <c r="E128" s="12">
        <f>SUMIF('On The Board'!G$5:G$219,"&lt;="&amp;$B128,'On The Board'!$M$5:$M$219)-SUM(F128:I128)</f>
        <v>0</v>
      </c>
      <c r="F128" s="12">
        <f>SUMIF('On The Board'!H$5:H$219,"&lt;="&amp;$B128,'On The Board'!$M$5:$M$219)-SUM(G128:I128)</f>
        <v>5</v>
      </c>
      <c r="G128" s="12">
        <f>SUMIF('On The Board'!I$5:I$219,"&lt;="&amp;$B128,'On The Board'!$M$5:$M$219)-SUM(H128,I128)</f>
        <v>2</v>
      </c>
      <c r="H128" s="12">
        <f>SUMIF('On The Board'!J$5:J$219,"&lt;="&amp;$B128,'On The Board'!$M$5:$M$219)-SUM(I128)</f>
        <v>0</v>
      </c>
      <c r="I128" s="12">
        <f>SUMIF('On The Board'!K$5:K$219,"&lt;="&amp;$B128,'On The Board'!$M$5:$M$219)</f>
        <v>70</v>
      </c>
      <c r="J128" s="10">
        <f t="shared" si="12"/>
        <v>77</v>
      </c>
      <c r="K128" s="10" t="e">
        <f t="shared" ca="1" si="13"/>
        <v>#N/A</v>
      </c>
      <c r="L128" s="44" t="e">
        <f t="shared" ca="1" si="17"/>
        <v>#N/A</v>
      </c>
      <c r="M128" s="44" t="e">
        <f t="shared" ca="1" si="16"/>
        <v>#N/A</v>
      </c>
      <c r="N128" s="44" t="e">
        <f t="shared" ca="1" si="15"/>
        <v>#N/A</v>
      </c>
      <c r="O128" s="53" t="e">
        <f t="shared" ca="1" si="18"/>
        <v>#N/A</v>
      </c>
      <c r="P128" s="53" t="str">
        <f ca="1">IFERROR(DayByDayTable[[#This Row],[Lead Time]],"")</f>
        <v/>
      </c>
      <c r="Q128" s="44" t="e">
        <f t="shared" ca="1" si="19"/>
        <v>#N/A</v>
      </c>
      <c r="R128" s="44">
        <f ca="1">ROUND(PERCENTILE(DayByDayTable[[#Data],[BlankLeadTime]],0.8),0)</f>
        <v>8</v>
      </c>
    </row>
    <row r="129" spans="1:18">
      <c r="A129" s="51">
        <f t="shared" si="11"/>
        <v>42591</v>
      </c>
      <c r="B129" s="11">
        <f t="shared" si="14"/>
        <v>42591</v>
      </c>
      <c r="C129" s="47">
        <f>SUMIFS('On The Board'!$M$5:$M$219,'On The Board'!F$5:F$219,"&lt;="&amp;$B129,'On The Board'!E$5:E$219,"="&amp;FutureWork)</f>
        <v>43</v>
      </c>
      <c r="D129" s="12">
        <f ca="1">IF(TodaysDate&gt;=B129,SUMIF('On The Board'!F$5:F$219,"&lt;="&amp;$B129,'On The Board'!$M$5:$M$219)-SUM(E129:I129),D128)</f>
        <v>47</v>
      </c>
      <c r="E129" s="12">
        <f>SUMIF('On The Board'!G$5:G$219,"&lt;="&amp;$B129,'On The Board'!$M$5:$M$219)-SUM(F129:I129)</f>
        <v>0</v>
      </c>
      <c r="F129" s="12">
        <f>SUMIF('On The Board'!H$5:H$219,"&lt;="&amp;$B129,'On The Board'!$M$5:$M$219)-SUM(G129:I129)</f>
        <v>5</v>
      </c>
      <c r="G129" s="12">
        <f>SUMIF('On The Board'!I$5:I$219,"&lt;="&amp;$B129,'On The Board'!$M$5:$M$219)-SUM(H129,I129)</f>
        <v>2</v>
      </c>
      <c r="H129" s="12">
        <f>SUMIF('On The Board'!J$5:J$219,"&lt;="&amp;$B129,'On The Board'!$M$5:$M$219)-SUM(I129)</f>
        <v>0</v>
      </c>
      <c r="I129" s="12">
        <f>SUMIF('On The Board'!K$5:K$219,"&lt;="&amp;$B129,'On The Board'!$M$5:$M$219)</f>
        <v>70</v>
      </c>
      <c r="J129" s="10">
        <f t="shared" si="12"/>
        <v>77</v>
      </c>
      <c r="K129" s="10" t="e">
        <f t="shared" ca="1" si="13"/>
        <v>#N/A</v>
      </c>
      <c r="L129" s="44" t="e">
        <f t="shared" ca="1" si="17"/>
        <v>#N/A</v>
      </c>
      <c r="M129" s="44" t="e">
        <f t="shared" ca="1" si="16"/>
        <v>#N/A</v>
      </c>
      <c r="N129" s="44" t="e">
        <f t="shared" ca="1" si="15"/>
        <v>#N/A</v>
      </c>
      <c r="O129" s="53" t="e">
        <f t="shared" ca="1" si="18"/>
        <v>#N/A</v>
      </c>
      <c r="P129" s="53" t="str">
        <f ca="1">IFERROR(DayByDayTable[[#This Row],[Lead Time]],"")</f>
        <v/>
      </c>
      <c r="Q129" s="44" t="e">
        <f t="shared" ca="1" si="19"/>
        <v>#N/A</v>
      </c>
      <c r="R129" s="44">
        <f ca="1">ROUND(PERCENTILE(DayByDayTable[[#Data],[BlankLeadTime]],0.8),0)</f>
        <v>8</v>
      </c>
    </row>
    <row r="130" spans="1:18">
      <c r="A130" s="51">
        <f t="shared" ref="A130" si="20">B130</f>
        <v>42592</v>
      </c>
      <c r="B130" s="11">
        <f t="shared" si="14"/>
        <v>42592</v>
      </c>
      <c r="C130" s="47">
        <f>SUMIFS('On The Board'!$M$5:$M$219,'On The Board'!F$5:F$219,"&lt;="&amp;$B130,'On The Board'!E$5:E$219,"="&amp;FutureWork)</f>
        <v>43</v>
      </c>
      <c r="D130" s="12">
        <f ca="1">IF(TodaysDate&gt;=B130,SUMIF('On The Board'!F$5:F$219,"&lt;="&amp;$B130,'On The Board'!$M$5:$M$219)-SUM(E130:I130),D129)</f>
        <v>47</v>
      </c>
      <c r="E130" s="12">
        <f>SUMIF('On The Board'!G$5:G$219,"&lt;="&amp;$B130,'On The Board'!$M$5:$M$219)-SUM(F130:I130)</f>
        <v>0</v>
      </c>
      <c r="F130" s="12">
        <f>SUMIF('On The Board'!H$5:H$219,"&lt;="&amp;$B130,'On The Board'!$M$5:$M$219)-SUM(G130:I130)</f>
        <v>5</v>
      </c>
      <c r="G130" s="12">
        <f>SUMIF('On The Board'!I$5:I$219,"&lt;="&amp;$B130,'On The Board'!$M$5:$M$219)-SUM(H130,I130)</f>
        <v>2</v>
      </c>
      <c r="H130" s="12">
        <f>SUMIF('On The Board'!J$5:J$219,"&lt;="&amp;$B130,'On The Board'!$M$5:$M$219)-SUM(I130)</f>
        <v>0</v>
      </c>
      <c r="I130" s="12">
        <f>SUMIF('On The Board'!K$5:K$219,"&lt;="&amp;$B130,'On The Board'!$M$5:$M$219)</f>
        <v>70</v>
      </c>
      <c r="J130" s="10">
        <f t="shared" ref="J130" si="21">SUM(E130:I130)</f>
        <v>77</v>
      </c>
      <c r="K130" s="10" t="e">
        <f t="shared" ref="K130:K193" ca="1" si="22">IF(TodaysDate&gt;=B130,SUM(E130:H130),NA())</f>
        <v>#N/A</v>
      </c>
      <c r="L130" s="44" t="e">
        <f t="shared" ca="1" si="17"/>
        <v>#N/A</v>
      </c>
      <c r="M130" s="44" t="e">
        <f t="shared" ca="1" si="16"/>
        <v>#N/A</v>
      </c>
      <c r="N130" s="44" t="e">
        <f t="shared" ca="1" si="15"/>
        <v>#N/A</v>
      </c>
      <c r="O130" s="53" t="e">
        <f t="shared" ca="1" si="18"/>
        <v>#N/A</v>
      </c>
      <c r="P130" s="53" t="str">
        <f ca="1">IFERROR(DayByDayTable[[#This Row],[Lead Time]],"")</f>
        <v/>
      </c>
      <c r="Q130" s="44" t="e">
        <f t="shared" ca="1" si="19"/>
        <v>#N/A</v>
      </c>
      <c r="R130" s="44">
        <f ca="1">ROUND(PERCENTILE(DayByDayTable[[#Data],[BlankLeadTime]],0.8),0)</f>
        <v>8</v>
      </c>
    </row>
    <row r="131" spans="1:18">
      <c r="A131" s="51">
        <f t="shared" ref="A131:A190" si="23">B131</f>
        <v>42593</v>
      </c>
      <c r="B131" s="11">
        <f t="shared" ref="B131:B194" si="24">IF(NETWORKDAYS(B130,B130+1,BankHolidays)=2,B130+1,IF(NETWORKDAYS(B130,B130+2,BankHolidays)=2,B130+2,IF(NETWORKDAYS(B130,B130+3,BankHolidays)=2,B130+3,IF(NETWORKDAYS(B130,B130+4,BankHolidays)=2,B130+4,IF(NETWORKDAYS(B130,B130+5,BankHolidays)=2,B130+5,NA())))))</f>
        <v>42593</v>
      </c>
      <c r="C131" s="47">
        <f>SUMIFS('On The Board'!$M$5:$M$219,'On The Board'!F$5:F$219,"&lt;="&amp;$B131,'On The Board'!E$5:E$219,"="&amp;FutureWork)</f>
        <v>43</v>
      </c>
      <c r="D131" s="12">
        <f ca="1">IF(TodaysDate&gt;=B131,SUMIF('On The Board'!F$5:F$219,"&lt;="&amp;$B131,'On The Board'!$M$5:$M$219)-SUM(E131:I131),D130)</f>
        <v>47</v>
      </c>
      <c r="E131" s="12">
        <f>SUMIF('On The Board'!G$5:G$219,"&lt;="&amp;$B131,'On The Board'!$M$5:$M$219)-SUM(F131:I131)</f>
        <v>0</v>
      </c>
      <c r="F131" s="12">
        <f>SUMIF('On The Board'!H$5:H$219,"&lt;="&amp;$B131,'On The Board'!$M$5:$M$219)-SUM(G131:I131)</f>
        <v>5</v>
      </c>
      <c r="G131" s="12">
        <f>SUMIF('On The Board'!I$5:I$219,"&lt;="&amp;$B131,'On The Board'!$M$5:$M$219)-SUM(H131,I131)</f>
        <v>2</v>
      </c>
      <c r="H131" s="12">
        <f>SUMIF('On The Board'!J$5:J$219,"&lt;="&amp;$B131,'On The Board'!$M$5:$M$219)-SUM(I131)</f>
        <v>0</v>
      </c>
      <c r="I131" s="12">
        <f>SUMIF('On The Board'!K$5:K$219,"&lt;="&amp;$B131,'On The Board'!$M$5:$M$219)</f>
        <v>70</v>
      </c>
      <c r="J131" s="10">
        <f t="shared" ref="J131:J190" si="25">SUM(E131:I131)</f>
        <v>77</v>
      </c>
      <c r="K131" s="10" t="e">
        <f t="shared" ca="1" si="22"/>
        <v>#N/A</v>
      </c>
      <c r="L131" s="44" t="e">
        <f t="shared" ca="1" si="17"/>
        <v>#N/A</v>
      </c>
      <c r="M131" s="44" t="e">
        <f t="shared" ca="1" si="16"/>
        <v>#N/A</v>
      </c>
      <c r="N131" s="44" t="e">
        <f t="shared" ref="N131:N194" ca="1" si="26">IF(M131&gt;0,L131/M131,NA())</f>
        <v>#N/A</v>
      </c>
      <c r="O131" s="53" t="e">
        <f t="shared" ca="1" si="18"/>
        <v>#N/A</v>
      </c>
      <c r="P131" s="53" t="str">
        <f ca="1">IFERROR(DayByDayTable[[#This Row],[Lead Time]],"")</f>
        <v/>
      </c>
      <c r="Q131" s="44" t="e">
        <f t="shared" ca="1" si="19"/>
        <v>#N/A</v>
      </c>
      <c r="R131" s="44">
        <f ca="1">ROUND(PERCENTILE(DayByDayTable[[#Data],[BlankLeadTime]],0.8),0)</f>
        <v>8</v>
      </c>
    </row>
    <row r="132" spans="1:18">
      <c r="A132" s="51">
        <f t="shared" si="23"/>
        <v>42594</v>
      </c>
      <c r="B132" s="11">
        <f t="shared" si="24"/>
        <v>42594</v>
      </c>
      <c r="C132" s="47">
        <f>SUMIFS('On The Board'!$M$5:$M$219,'On The Board'!F$5:F$219,"&lt;="&amp;$B132,'On The Board'!E$5:E$219,"="&amp;FutureWork)</f>
        <v>43</v>
      </c>
      <c r="D132" s="12">
        <f ca="1">IF(TodaysDate&gt;=B132,SUMIF('On The Board'!F$5:F$219,"&lt;="&amp;$B132,'On The Board'!$M$5:$M$219)-SUM(E132:I132),D131)</f>
        <v>47</v>
      </c>
      <c r="E132" s="12">
        <f>SUMIF('On The Board'!G$5:G$219,"&lt;="&amp;$B132,'On The Board'!$M$5:$M$219)-SUM(F132:I132)</f>
        <v>0</v>
      </c>
      <c r="F132" s="12">
        <f>SUMIF('On The Board'!H$5:H$219,"&lt;="&amp;$B132,'On The Board'!$M$5:$M$219)-SUM(G132:I132)</f>
        <v>5</v>
      </c>
      <c r="G132" s="12">
        <f>SUMIF('On The Board'!I$5:I$219,"&lt;="&amp;$B132,'On The Board'!$M$5:$M$219)-SUM(H132,I132)</f>
        <v>2</v>
      </c>
      <c r="H132" s="12">
        <f>SUMIF('On The Board'!J$5:J$219,"&lt;="&amp;$B132,'On The Board'!$M$5:$M$219)-SUM(I132)</f>
        <v>0</v>
      </c>
      <c r="I132" s="12">
        <f>SUMIF('On The Board'!K$5:K$219,"&lt;="&amp;$B132,'On The Board'!$M$5:$M$219)</f>
        <v>70</v>
      </c>
      <c r="J132" s="10">
        <f t="shared" si="25"/>
        <v>77</v>
      </c>
      <c r="K132" s="10" t="e">
        <f t="shared" ca="1" si="22"/>
        <v>#N/A</v>
      </c>
      <c r="L132" s="44" t="e">
        <f t="shared" ca="1" si="17"/>
        <v>#N/A</v>
      </c>
      <c r="M132" s="44" t="e">
        <f t="shared" ca="1" si="16"/>
        <v>#N/A</v>
      </c>
      <c r="N132" s="44" t="e">
        <f t="shared" ca="1" si="26"/>
        <v>#N/A</v>
      </c>
      <c r="O132" s="53" t="e">
        <f t="shared" ca="1" si="18"/>
        <v>#N/A</v>
      </c>
      <c r="P132" s="53" t="str">
        <f ca="1">IFERROR(DayByDayTable[[#This Row],[Lead Time]],"")</f>
        <v/>
      </c>
      <c r="Q132" s="44" t="e">
        <f t="shared" ca="1" si="19"/>
        <v>#N/A</v>
      </c>
      <c r="R132" s="44">
        <f ca="1">ROUND(PERCENTILE(DayByDayTable[[#Data],[BlankLeadTime]],0.8),0)</f>
        <v>8</v>
      </c>
    </row>
    <row r="133" spans="1:18">
      <c r="A133" s="51">
        <f t="shared" si="23"/>
        <v>42597</v>
      </c>
      <c r="B133" s="11">
        <f t="shared" si="24"/>
        <v>42597</v>
      </c>
      <c r="C133" s="47">
        <f>SUMIFS('On The Board'!$M$5:$M$219,'On The Board'!F$5:F$219,"&lt;="&amp;$B133,'On The Board'!E$5:E$219,"="&amp;FutureWork)</f>
        <v>43</v>
      </c>
      <c r="D133" s="12">
        <f ca="1">IF(TodaysDate&gt;=B133,SUMIF('On The Board'!F$5:F$219,"&lt;="&amp;$B133,'On The Board'!$M$5:$M$219)-SUM(E133:I133),D132)</f>
        <v>47</v>
      </c>
      <c r="E133" s="12">
        <f>SUMIF('On The Board'!G$5:G$219,"&lt;="&amp;$B133,'On The Board'!$M$5:$M$219)-SUM(F133:I133)</f>
        <v>0</v>
      </c>
      <c r="F133" s="12">
        <f>SUMIF('On The Board'!H$5:H$219,"&lt;="&amp;$B133,'On The Board'!$M$5:$M$219)-SUM(G133:I133)</f>
        <v>5</v>
      </c>
      <c r="G133" s="12">
        <f>SUMIF('On The Board'!I$5:I$219,"&lt;="&amp;$B133,'On The Board'!$M$5:$M$219)-SUM(H133,I133)</f>
        <v>2</v>
      </c>
      <c r="H133" s="12">
        <f>SUMIF('On The Board'!J$5:J$219,"&lt;="&amp;$B133,'On The Board'!$M$5:$M$219)-SUM(I133)</f>
        <v>0</v>
      </c>
      <c r="I133" s="12">
        <f>SUMIF('On The Board'!K$5:K$219,"&lt;="&amp;$B133,'On The Board'!$M$5:$M$219)</f>
        <v>70</v>
      </c>
      <c r="J133" s="10">
        <f t="shared" si="25"/>
        <v>77</v>
      </c>
      <c r="K133" s="10" t="e">
        <f t="shared" ca="1" si="22"/>
        <v>#N/A</v>
      </c>
      <c r="L133" s="44" t="e">
        <f t="shared" ca="1" si="17"/>
        <v>#N/A</v>
      </c>
      <c r="M133" s="44" t="e">
        <f t="shared" ca="1" si="16"/>
        <v>#N/A</v>
      </c>
      <c r="N133" s="44" t="e">
        <f t="shared" ca="1" si="26"/>
        <v>#N/A</v>
      </c>
      <c r="O133" s="53" t="e">
        <f t="shared" ca="1" si="18"/>
        <v>#N/A</v>
      </c>
      <c r="P133" s="53" t="str">
        <f ca="1">IFERROR(DayByDayTable[[#This Row],[Lead Time]],"")</f>
        <v/>
      </c>
      <c r="Q133" s="44" t="e">
        <f t="shared" ca="1" si="19"/>
        <v>#N/A</v>
      </c>
      <c r="R133" s="44">
        <f ca="1">ROUND(PERCENTILE(DayByDayTable[[#Data],[BlankLeadTime]],0.8),0)</f>
        <v>8</v>
      </c>
    </row>
    <row r="134" spans="1:18">
      <c r="A134" s="51">
        <f t="shared" si="23"/>
        <v>42598</v>
      </c>
      <c r="B134" s="11">
        <f t="shared" si="24"/>
        <v>42598</v>
      </c>
      <c r="C134" s="47">
        <f>SUMIFS('On The Board'!$M$5:$M$219,'On The Board'!F$5:F$219,"&lt;="&amp;$B134,'On The Board'!E$5:E$219,"="&amp;FutureWork)</f>
        <v>43</v>
      </c>
      <c r="D134" s="12">
        <f ca="1">IF(TodaysDate&gt;=B134,SUMIF('On The Board'!F$5:F$219,"&lt;="&amp;$B134,'On The Board'!$M$5:$M$219)-SUM(E134:I134),D133)</f>
        <v>47</v>
      </c>
      <c r="E134" s="12">
        <f>SUMIF('On The Board'!G$5:G$219,"&lt;="&amp;$B134,'On The Board'!$M$5:$M$219)-SUM(F134:I134)</f>
        <v>0</v>
      </c>
      <c r="F134" s="12">
        <f>SUMIF('On The Board'!H$5:H$219,"&lt;="&amp;$B134,'On The Board'!$M$5:$M$219)-SUM(G134:I134)</f>
        <v>5</v>
      </c>
      <c r="G134" s="12">
        <f>SUMIF('On The Board'!I$5:I$219,"&lt;="&amp;$B134,'On The Board'!$M$5:$M$219)-SUM(H134,I134)</f>
        <v>2</v>
      </c>
      <c r="H134" s="12">
        <f>SUMIF('On The Board'!J$5:J$219,"&lt;="&amp;$B134,'On The Board'!$M$5:$M$219)-SUM(I134)</f>
        <v>0</v>
      </c>
      <c r="I134" s="12">
        <f>SUMIF('On The Board'!K$5:K$219,"&lt;="&amp;$B134,'On The Board'!$M$5:$M$219)</f>
        <v>70</v>
      </c>
      <c r="J134" s="10">
        <f t="shared" si="25"/>
        <v>77</v>
      </c>
      <c r="K134" s="10" t="e">
        <f t="shared" ca="1" si="22"/>
        <v>#N/A</v>
      </c>
      <c r="L134" s="44" t="e">
        <f t="shared" ca="1" si="17"/>
        <v>#N/A</v>
      </c>
      <c r="M134" s="44" t="e">
        <f t="shared" ca="1" si="16"/>
        <v>#N/A</v>
      </c>
      <c r="N134" s="44" t="e">
        <f t="shared" ca="1" si="26"/>
        <v>#N/A</v>
      </c>
      <c r="O134" s="53" t="e">
        <f t="shared" ca="1" si="18"/>
        <v>#N/A</v>
      </c>
      <c r="P134" s="53" t="str">
        <f ca="1">IFERROR(DayByDayTable[[#This Row],[Lead Time]],"")</f>
        <v/>
      </c>
      <c r="Q134" s="44" t="e">
        <f t="shared" ca="1" si="19"/>
        <v>#N/A</v>
      </c>
      <c r="R134" s="44">
        <f ca="1">ROUND(PERCENTILE(DayByDayTable[[#Data],[BlankLeadTime]],0.8),0)</f>
        <v>8</v>
      </c>
    </row>
    <row r="135" spans="1:18">
      <c r="A135" s="51">
        <f t="shared" si="23"/>
        <v>42599</v>
      </c>
      <c r="B135" s="11">
        <f t="shared" si="24"/>
        <v>42599</v>
      </c>
      <c r="C135" s="47">
        <f>SUMIFS('On The Board'!$M$5:$M$219,'On The Board'!F$5:F$219,"&lt;="&amp;$B135,'On The Board'!E$5:E$219,"="&amp;FutureWork)</f>
        <v>43</v>
      </c>
      <c r="D135" s="12">
        <f ca="1">IF(TodaysDate&gt;=B135,SUMIF('On The Board'!F$5:F$219,"&lt;="&amp;$B135,'On The Board'!$M$5:$M$219)-SUM(E135:I135),D134)</f>
        <v>47</v>
      </c>
      <c r="E135" s="12">
        <f>SUMIF('On The Board'!G$5:G$219,"&lt;="&amp;$B135,'On The Board'!$M$5:$M$219)-SUM(F135:I135)</f>
        <v>0</v>
      </c>
      <c r="F135" s="12">
        <f>SUMIF('On The Board'!H$5:H$219,"&lt;="&amp;$B135,'On The Board'!$M$5:$M$219)-SUM(G135:I135)</f>
        <v>5</v>
      </c>
      <c r="G135" s="12">
        <f>SUMIF('On The Board'!I$5:I$219,"&lt;="&amp;$B135,'On The Board'!$M$5:$M$219)-SUM(H135,I135)</f>
        <v>2</v>
      </c>
      <c r="H135" s="12">
        <f>SUMIF('On The Board'!J$5:J$219,"&lt;="&amp;$B135,'On The Board'!$M$5:$M$219)-SUM(I135)</f>
        <v>0</v>
      </c>
      <c r="I135" s="12">
        <f>SUMIF('On The Board'!K$5:K$219,"&lt;="&amp;$B135,'On The Board'!$M$5:$M$219)</f>
        <v>70</v>
      </c>
      <c r="J135" s="10">
        <f t="shared" si="25"/>
        <v>77</v>
      </c>
      <c r="K135" s="10" t="e">
        <f t="shared" ca="1" si="22"/>
        <v>#N/A</v>
      </c>
      <c r="L135" s="44" t="e">
        <f t="shared" ca="1" si="17"/>
        <v>#N/A</v>
      </c>
      <c r="M135" s="44" t="e">
        <f t="shared" ca="1" si="16"/>
        <v>#N/A</v>
      </c>
      <c r="N135" s="44" t="e">
        <f t="shared" ca="1" si="26"/>
        <v>#N/A</v>
      </c>
      <c r="O135" s="53" t="e">
        <f t="shared" ca="1" si="18"/>
        <v>#N/A</v>
      </c>
      <c r="P135" s="53" t="str">
        <f ca="1">IFERROR(DayByDayTable[[#This Row],[Lead Time]],"")</f>
        <v/>
      </c>
      <c r="Q135" s="44" t="e">
        <f t="shared" ca="1" si="19"/>
        <v>#N/A</v>
      </c>
      <c r="R135" s="44">
        <f ca="1">ROUND(PERCENTILE(DayByDayTable[[#Data],[BlankLeadTime]],0.8),0)</f>
        <v>8</v>
      </c>
    </row>
    <row r="136" spans="1:18">
      <c r="A136" s="51">
        <f t="shared" si="23"/>
        <v>42600</v>
      </c>
      <c r="B136" s="11">
        <f t="shared" si="24"/>
        <v>42600</v>
      </c>
      <c r="C136" s="47">
        <f>SUMIFS('On The Board'!$M$5:$M$219,'On The Board'!F$5:F$219,"&lt;="&amp;$B136,'On The Board'!E$5:E$219,"="&amp;FutureWork)</f>
        <v>43</v>
      </c>
      <c r="D136" s="12">
        <f ca="1">IF(TodaysDate&gt;=B136,SUMIF('On The Board'!F$5:F$219,"&lt;="&amp;$B136,'On The Board'!$M$5:$M$219)-SUM(E136:I136),D135)</f>
        <v>47</v>
      </c>
      <c r="E136" s="12">
        <f>SUMIF('On The Board'!G$5:G$219,"&lt;="&amp;$B136,'On The Board'!$M$5:$M$219)-SUM(F136:I136)</f>
        <v>0</v>
      </c>
      <c r="F136" s="12">
        <f>SUMIF('On The Board'!H$5:H$219,"&lt;="&amp;$B136,'On The Board'!$M$5:$M$219)-SUM(G136:I136)</f>
        <v>5</v>
      </c>
      <c r="G136" s="12">
        <f>SUMIF('On The Board'!I$5:I$219,"&lt;="&amp;$B136,'On The Board'!$M$5:$M$219)-SUM(H136,I136)</f>
        <v>2</v>
      </c>
      <c r="H136" s="12">
        <f>SUMIF('On The Board'!J$5:J$219,"&lt;="&amp;$B136,'On The Board'!$M$5:$M$219)-SUM(I136)</f>
        <v>0</v>
      </c>
      <c r="I136" s="12">
        <f>SUMIF('On The Board'!K$5:K$219,"&lt;="&amp;$B136,'On The Board'!$M$5:$M$219)</f>
        <v>70</v>
      </c>
      <c r="J136" s="10">
        <f t="shared" si="25"/>
        <v>77</v>
      </c>
      <c r="K136" s="10" t="e">
        <f t="shared" ca="1" si="22"/>
        <v>#N/A</v>
      </c>
      <c r="L136" s="44" t="e">
        <f t="shared" ca="1" si="17"/>
        <v>#N/A</v>
      </c>
      <c r="M136" s="44" t="e">
        <f t="shared" ca="1" si="16"/>
        <v>#N/A</v>
      </c>
      <c r="N136" s="44" t="e">
        <f t="shared" ca="1" si="26"/>
        <v>#N/A</v>
      </c>
      <c r="O136" s="53" t="e">
        <f t="shared" ca="1" si="18"/>
        <v>#N/A</v>
      </c>
      <c r="P136" s="53" t="str">
        <f ca="1">IFERROR(DayByDayTable[[#This Row],[Lead Time]],"")</f>
        <v/>
      </c>
      <c r="Q136" s="44" t="e">
        <f t="shared" ca="1" si="19"/>
        <v>#N/A</v>
      </c>
      <c r="R136" s="44">
        <f ca="1">ROUND(PERCENTILE(DayByDayTable[[#Data],[BlankLeadTime]],0.8),0)</f>
        <v>8</v>
      </c>
    </row>
    <row r="137" spans="1:18">
      <c r="A137" s="51">
        <f t="shared" si="23"/>
        <v>42601</v>
      </c>
      <c r="B137" s="11">
        <f t="shared" si="24"/>
        <v>42601</v>
      </c>
      <c r="C137" s="47">
        <f>SUMIFS('On The Board'!$M$5:$M$219,'On The Board'!F$5:F$219,"&lt;="&amp;$B137,'On The Board'!E$5:E$219,"="&amp;FutureWork)</f>
        <v>43</v>
      </c>
      <c r="D137" s="12">
        <f ca="1">IF(TodaysDate&gt;=B137,SUMIF('On The Board'!F$5:F$219,"&lt;="&amp;$B137,'On The Board'!$M$5:$M$219)-SUM(E137:I137),D136)</f>
        <v>47</v>
      </c>
      <c r="E137" s="12">
        <f>SUMIF('On The Board'!G$5:G$219,"&lt;="&amp;$B137,'On The Board'!$M$5:$M$219)-SUM(F137:I137)</f>
        <v>0</v>
      </c>
      <c r="F137" s="12">
        <f>SUMIF('On The Board'!H$5:H$219,"&lt;="&amp;$B137,'On The Board'!$M$5:$M$219)-SUM(G137:I137)</f>
        <v>5</v>
      </c>
      <c r="G137" s="12">
        <f>SUMIF('On The Board'!I$5:I$219,"&lt;="&amp;$B137,'On The Board'!$M$5:$M$219)-SUM(H137,I137)</f>
        <v>2</v>
      </c>
      <c r="H137" s="12">
        <f>SUMIF('On The Board'!J$5:J$219,"&lt;="&amp;$B137,'On The Board'!$M$5:$M$219)-SUM(I137)</f>
        <v>0</v>
      </c>
      <c r="I137" s="12">
        <f>SUMIF('On The Board'!K$5:K$219,"&lt;="&amp;$B137,'On The Board'!$M$5:$M$219)</f>
        <v>70</v>
      </c>
      <c r="J137" s="10">
        <f t="shared" si="25"/>
        <v>77</v>
      </c>
      <c r="K137" s="10" t="e">
        <f t="shared" ca="1" si="22"/>
        <v>#N/A</v>
      </c>
      <c r="L137" s="44" t="e">
        <f t="shared" ca="1" si="17"/>
        <v>#N/A</v>
      </c>
      <c r="M137" s="44" t="e">
        <f t="shared" ca="1" si="16"/>
        <v>#N/A</v>
      </c>
      <c r="N137" s="44" t="e">
        <f t="shared" ca="1" si="26"/>
        <v>#N/A</v>
      </c>
      <c r="O137" s="53" t="e">
        <f t="shared" ca="1" si="18"/>
        <v>#N/A</v>
      </c>
      <c r="P137" s="53" t="str">
        <f ca="1">IFERROR(DayByDayTable[[#This Row],[Lead Time]],"")</f>
        <v/>
      </c>
      <c r="Q137" s="44" t="e">
        <f t="shared" ca="1" si="19"/>
        <v>#N/A</v>
      </c>
      <c r="R137" s="44">
        <f ca="1">ROUND(PERCENTILE(DayByDayTable[[#Data],[BlankLeadTime]],0.8),0)</f>
        <v>8</v>
      </c>
    </row>
    <row r="138" spans="1:18">
      <c r="A138" s="51">
        <f t="shared" si="23"/>
        <v>42604</v>
      </c>
      <c r="B138" s="11">
        <f t="shared" si="24"/>
        <v>42604</v>
      </c>
      <c r="C138" s="47">
        <f>SUMIFS('On The Board'!$M$5:$M$219,'On The Board'!F$5:F$219,"&lt;="&amp;$B138,'On The Board'!E$5:E$219,"="&amp;FutureWork)</f>
        <v>43</v>
      </c>
      <c r="D138" s="12">
        <f ca="1">IF(TodaysDate&gt;=B138,SUMIF('On The Board'!F$5:F$219,"&lt;="&amp;$B138,'On The Board'!$M$5:$M$219)-SUM(E138:I138),D137)</f>
        <v>47</v>
      </c>
      <c r="E138" s="12">
        <f>SUMIF('On The Board'!G$5:G$219,"&lt;="&amp;$B138,'On The Board'!$M$5:$M$219)-SUM(F138:I138)</f>
        <v>0</v>
      </c>
      <c r="F138" s="12">
        <f>SUMIF('On The Board'!H$5:H$219,"&lt;="&amp;$B138,'On The Board'!$M$5:$M$219)-SUM(G138:I138)</f>
        <v>5</v>
      </c>
      <c r="G138" s="12">
        <f>SUMIF('On The Board'!I$5:I$219,"&lt;="&amp;$B138,'On The Board'!$M$5:$M$219)-SUM(H138,I138)</f>
        <v>2</v>
      </c>
      <c r="H138" s="12">
        <f>SUMIF('On The Board'!J$5:J$219,"&lt;="&amp;$B138,'On The Board'!$M$5:$M$219)-SUM(I138)</f>
        <v>0</v>
      </c>
      <c r="I138" s="12">
        <f>SUMIF('On The Board'!K$5:K$219,"&lt;="&amp;$B138,'On The Board'!$M$5:$M$219)</f>
        <v>70</v>
      </c>
      <c r="J138" s="10">
        <f t="shared" si="25"/>
        <v>77</v>
      </c>
      <c r="K138" s="10" t="e">
        <f t="shared" ca="1" si="22"/>
        <v>#N/A</v>
      </c>
      <c r="L138" s="44" t="e">
        <f t="shared" ca="1" si="17"/>
        <v>#N/A</v>
      </c>
      <c r="M138" s="44" t="e">
        <f t="shared" ca="1" si="16"/>
        <v>#N/A</v>
      </c>
      <c r="N138" s="44" t="e">
        <f t="shared" ca="1" si="26"/>
        <v>#N/A</v>
      </c>
      <c r="O138" s="53" t="e">
        <f t="shared" ca="1" si="18"/>
        <v>#N/A</v>
      </c>
      <c r="P138" s="53" t="str">
        <f ca="1">IFERROR(DayByDayTable[[#This Row],[Lead Time]],"")</f>
        <v/>
      </c>
      <c r="Q138" s="44" t="e">
        <f t="shared" ca="1" si="19"/>
        <v>#N/A</v>
      </c>
      <c r="R138" s="44">
        <f ca="1">ROUND(PERCENTILE(DayByDayTable[[#Data],[BlankLeadTime]],0.8),0)</f>
        <v>8</v>
      </c>
    </row>
    <row r="139" spans="1:18">
      <c r="A139" s="51">
        <f t="shared" si="23"/>
        <v>42605</v>
      </c>
      <c r="B139" s="11">
        <f t="shared" si="24"/>
        <v>42605</v>
      </c>
      <c r="C139" s="47">
        <f>SUMIFS('On The Board'!$M$5:$M$219,'On The Board'!F$5:F$219,"&lt;="&amp;$B139,'On The Board'!E$5:E$219,"="&amp;FutureWork)</f>
        <v>43</v>
      </c>
      <c r="D139" s="12">
        <f ca="1">IF(TodaysDate&gt;=B139,SUMIF('On The Board'!F$5:F$219,"&lt;="&amp;$B139,'On The Board'!$M$5:$M$219)-SUM(E139:I139),D138)</f>
        <v>47</v>
      </c>
      <c r="E139" s="12">
        <f>SUMIF('On The Board'!G$5:G$219,"&lt;="&amp;$B139,'On The Board'!$M$5:$M$219)-SUM(F139:I139)</f>
        <v>0</v>
      </c>
      <c r="F139" s="12">
        <f>SUMIF('On The Board'!H$5:H$219,"&lt;="&amp;$B139,'On The Board'!$M$5:$M$219)-SUM(G139:I139)</f>
        <v>5</v>
      </c>
      <c r="G139" s="12">
        <f>SUMIF('On The Board'!I$5:I$219,"&lt;="&amp;$B139,'On The Board'!$M$5:$M$219)-SUM(H139,I139)</f>
        <v>2</v>
      </c>
      <c r="H139" s="12">
        <f>SUMIF('On The Board'!J$5:J$219,"&lt;="&amp;$B139,'On The Board'!$M$5:$M$219)-SUM(I139)</f>
        <v>0</v>
      </c>
      <c r="I139" s="12">
        <f>SUMIF('On The Board'!K$5:K$219,"&lt;="&amp;$B139,'On The Board'!$M$5:$M$219)</f>
        <v>70</v>
      </c>
      <c r="J139" s="10">
        <f t="shared" si="25"/>
        <v>77</v>
      </c>
      <c r="K139" s="10" t="e">
        <f t="shared" ca="1" si="22"/>
        <v>#N/A</v>
      </c>
      <c r="L139" s="44" t="e">
        <f t="shared" ca="1" si="17"/>
        <v>#N/A</v>
      </c>
      <c r="M139" s="44" t="e">
        <f t="shared" ca="1" si="16"/>
        <v>#N/A</v>
      </c>
      <c r="N139" s="44" t="e">
        <f t="shared" ca="1" si="26"/>
        <v>#N/A</v>
      </c>
      <c r="O139" s="53" t="e">
        <f t="shared" ca="1" si="18"/>
        <v>#N/A</v>
      </c>
      <c r="P139" s="53" t="str">
        <f ca="1">IFERROR(DayByDayTable[[#This Row],[Lead Time]],"")</f>
        <v/>
      </c>
      <c r="Q139" s="44" t="e">
        <f t="shared" ca="1" si="19"/>
        <v>#N/A</v>
      </c>
      <c r="R139" s="44">
        <f ca="1">ROUND(PERCENTILE(DayByDayTable[[#Data],[BlankLeadTime]],0.8),0)</f>
        <v>8</v>
      </c>
    </row>
    <row r="140" spans="1:18">
      <c r="A140" s="51">
        <f t="shared" si="23"/>
        <v>42606</v>
      </c>
      <c r="B140" s="11">
        <f t="shared" si="24"/>
        <v>42606</v>
      </c>
      <c r="C140" s="47">
        <f>SUMIFS('On The Board'!$M$5:$M$219,'On The Board'!F$5:F$219,"&lt;="&amp;$B140,'On The Board'!E$5:E$219,"="&amp;FutureWork)</f>
        <v>43</v>
      </c>
      <c r="D140" s="12">
        <f ca="1">IF(TodaysDate&gt;=B140,SUMIF('On The Board'!F$5:F$219,"&lt;="&amp;$B140,'On The Board'!$M$5:$M$219)-SUM(E140:I140),D139)</f>
        <v>47</v>
      </c>
      <c r="E140" s="12">
        <f>SUMIF('On The Board'!G$5:G$219,"&lt;="&amp;$B140,'On The Board'!$M$5:$M$219)-SUM(F140:I140)</f>
        <v>0</v>
      </c>
      <c r="F140" s="12">
        <f>SUMIF('On The Board'!H$5:H$219,"&lt;="&amp;$B140,'On The Board'!$M$5:$M$219)-SUM(G140:I140)</f>
        <v>5</v>
      </c>
      <c r="G140" s="12">
        <f>SUMIF('On The Board'!I$5:I$219,"&lt;="&amp;$B140,'On The Board'!$M$5:$M$219)-SUM(H140,I140)</f>
        <v>2</v>
      </c>
      <c r="H140" s="12">
        <f>SUMIF('On The Board'!J$5:J$219,"&lt;="&amp;$B140,'On The Board'!$M$5:$M$219)-SUM(I140)</f>
        <v>0</v>
      </c>
      <c r="I140" s="12">
        <f>SUMIF('On The Board'!K$5:K$219,"&lt;="&amp;$B140,'On The Board'!$M$5:$M$219)</f>
        <v>70</v>
      </c>
      <c r="J140" s="10">
        <f t="shared" si="25"/>
        <v>77</v>
      </c>
      <c r="K140" s="10" t="e">
        <f t="shared" ca="1" si="22"/>
        <v>#N/A</v>
      </c>
      <c r="L140" s="44" t="e">
        <f t="shared" ca="1" si="17"/>
        <v>#N/A</v>
      </c>
      <c r="M140" s="44" t="e">
        <f t="shared" ref="M140:M203" ca="1" si="27">IF(ISNUMBER(L140),(I140-I130)/NETWORKDAYS(B130,B140,BankHolidays),NA())</f>
        <v>#N/A</v>
      </c>
      <c r="N140" s="44" t="e">
        <f t="shared" ca="1" si="26"/>
        <v>#N/A</v>
      </c>
      <c r="O140" s="53" t="e">
        <f t="shared" ca="1" si="18"/>
        <v>#N/A</v>
      </c>
      <c r="P140" s="53" t="str">
        <f ca="1">IFERROR(DayByDayTable[[#This Row],[Lead Time]],"")</f>
        <v/>
      </c>
      <c r="Q140" s="44" t="e">
        <f t="shared" ca="1" si="19"/>
        <v>#N/A</v>
      </c>
      <c r="R140" s="44">
        <f ca="1">ROUND(PERCENTILE(DayByDayTable[[#Data],[BlankLeadTime]],0.8),0)</f>
        <v>8</v>
      </c>
    </row>
    <row r="141" spans="1:18">
      <c r="A141" s="51">
        <f t="shared" si="23"/>
        <v>42607</v>
      </c>
      <c r="B141" s="11">
        <f t="shared" si="24"/>
        <v>42607</v>
      </c>
      <c r="C141" s="47">
        <f>SUMIFS('On The Board'!$M$5:$M$219,'On The Board'!F$5:F$219,"&lt;="&amp;$B141,'On The Board'!E$5:E$219,"="&amp;FutureWork)</f>
        <v>43</v>
      </c>
      <c r="D141" s="12">
        <f ca="1">IF(TodaysDate&gt;=B141,SUMIF('On The Board'!F$5:F$219,"&lt;="&amp;$B141,'On The Board'!$M$5:$M$219)-SUM(E141:I141),D140)</f>
        <v>47</v>
      </c>
      <c r="E141" s="12">
        <f>SUMIF('On The Board'!G$5:G$219,"&lt;="&amp;$B141,'On The Board'!$M$5:$M$219)-SUM(F141:I141)</f>
        <v>0</v>
      </c>
      <c r="F141" s="12">
        <f>SUMIF('On The Board'!H$5:H$219,"&lt;="&amp;$B141,'On The Board'!$M$5:$M$219)-SUM(G141:I141)</f>
        <v>5</v>
      </c>
      <c r="G141" s="12">
        <f>SUMIF('On The Board'!I$5:I$219,"&lt;="&amp;$B141,'On The Board'!$M$5:$M$219)-SUM(H141,I141)</f>
        <v>2</v>
      </c>
      <c r="H141" s="12">
        <f>SUMIF('On The Board'!J$5:J$219,"&lt;="&amp;$B141,'On The Board'!$M$5:$M$219)-SUM(I141)</f>
        <v>0</v>
      </c>
      <c r="I141" s="12">
        <f>SUMIF('On The Board'!K$5:K$219,"&lt;="&amp;$B141,'On The Board'!$M$5:$M$219)</f>
        <v>70</v>
      </c>
      <c r="J141" s="10">
        <f t="shared" si="25"/>
        <v>77</v>
      </c>
      <c r="K141" s="10" t="e">
        <f t="shared" ca="1" si="22"/>
        <v>#N/A</v>
      </c>
      <c r="L141" s="44" t="e">
        <f t="shared" ref="L141:L204" ca="1" si="28">AVERAGE(K131:K141)</f>
        <v>#N/A</v>
      </c>
      <c r="M141" s="44" t="e">
        <f t="shared" ca="1" si="27"/>
        <v>#N/A</v>
      </c>
      <c r="N141" s="44" t="e">
        <f t="shared" ca="1" si="26"/>
        <v>#N/A</v>
      </c>
      <c r="O141" s="53" t="e">
        <f t="shared" ref="O141:O204" ca="1" si="29">AVERAGE(N131:N141)</f>
        <v>#N/A</v>
      </c>
      <c r="P141" s="53" t="str">
        <f ca="1">IFERROR(DayByDayTable[[#This Row],[Lead Time]],"")</f>
        <v/>
      </c>
      <c r="Q141" s="44" t="e">
        <f t="shared" ca="1" si="19"/>
        <v>#N/A</v>
      </c>
      <c r="R141" s="44">
        <f ca="1">ROUND(PERCENTILE(DayByDayTable[[#Data],[BlankLeadTime]],0.8),0)</f>
        <v>8</v>
      </c>
    </row>
    <row r="142" spans="1:18">
      <c r="A142" s="51">
        <f t="shared" si="23"/>
        <v>42608</v>
      </c>
      <c r="B142" s="11">
        <f t="shared" si="24"/>
        <v>42608</v>
      </c>
      <c r="C142" s="47">
        <f>SUMIFS('On The Board'!$M$5:$M$219,'On The Board'!F$5:F$219,"&lt;="&amp;$B142,'On The Board'!E$5:E$219,"="&amp;FutureWork)</f>
        <v>43</v>
      </c>
      <c r="D142" s="12">
        <f ca="1">IF(TodaysDate&gt;=B142,SUMIF('On The Board'!F$5:F$219,"&lt;="&amp;$B142,'On The Board'!$M$5:$M$219)-SUM(E142:I142),D141)</f>
        <v>47</v>
      </c>
      <c r="E142" s="12">
        <f>SUMIF('On The Board'!G$5:G$219,"&lt;="&amp;$B142,'On The Board'!$M$5:$M$219)-SUM(F142:I142)</f>
        <v>0</v>
      </c>
      <c r="F142" s="12">
        <f>SUMIF('On The Board'!H$5:H$219,"&lt;="&amp;$B142,'On The Board'!$M$5:$M$219)-SUM(G142:I142)</f>
        <v>5</v>
      </c>
      <c r="G142" s="12">
        <f>SUMIF('On The Board'!I$5:I$219,"&lt;="&amp;$B142,'On The Board'!$M$5:$M$219)-SUM(H142,I142)</f>
        <v>2</v>
      </c>
      <c r="H142" s="12">
        <f>SUMIF('On The Board'!J$5:J$219,"&lt;="&amp;$B142,'On The Board'!$M$5:$M$219)-SUM(I142)</f>
        <v>0</v>
      </c>
      <c r="I142" s="12">
        <f>SUMIF('On The Board'!K$5:K$219,"&lt;="&amp;$B142,'On The Board'!$M$5:$M$219)</f>
        <v>70</v>
      </c>
      <c r="J142" s="10">
        <f t="shared" si="25"/>
        <v>77</v>
      </c>
      <c r="K142" s="10" t="e">
        <f t="shared" ca="1" si="22"/>
        <v>#N/A</v>
      </c>
      <c r="L142" s="44" t="e">
        <f t="shared" ca="1" si="28"/>
        <v>#N/A</v>
      </c>
      <c r="M142" s="44" t="e">
        <f t="shared" ca="1" si="27"/>
        <v>#N/A</v>
      </c>
      <c r="N142" s="44" t="e">
        <f t="shared" ca="1" si="26"/>
        <v>#N/A</v>
      </c>
      <c r="O142" s="53" t="e">
        <f t="shared" ca="1" si="29"/>
        <v>#N/A</v>
      </c>
      <c r="P142" s="53" t="str">
        <f ca="1">IFERROR(DayByDayTable[[#This Row],[Lead Time]],"")</f>
        <v/>
      </c>
      <c r="Q142" s="44" t="e">
        <f t="shared" ca="1" si="19"/>
        <v>#N/A</v>
      </c>
      <c r="R142" s="44">
        <f ca="1">ROUND(PERCENTILE(DayByDayTable[[#Data],[BlankLeadTime]],0.8),0)</f>
        <v>8</v>
      </c>
    </row>
    <row r="143" spans="1:18">
      <c r="A143" s="51">
        <f t="shared" si="23"/>
        <v>42612</v>
      </c>
      <c r="B143" s="11">
        <f t="shared" si="24"/>
        <v>42612</v>
      </c>
      <c r="C143" s="47">
        <f>SUMIFS('On The Board'!$M$5:$M$219,'On The Board'!F$5:F$219,"&lt;="&amp;$B143,'On The Board'!E$5:E$219,"="&amp;FutureWork)</f>
        <v>43</v>
      </c>
      <c r="D143" s="12">
        <f ca="1">IF(TodaysDate&gt;=B143,SUMIF('On The Board'!F$5:F$219,"&lt;="&amp;$B143,'On The Board'!$M$5:$M$219)-SUM(E143:I143),D142)</f>
        <v>47</v>
      </c>
      <c r="E143" s="12">
        <f>SUMIF('On The Board'!G$5:G$219,"&lt;="&amp;$B143,'On The Board'!$M$5:$M$219)-SUM(F143:I143)</f>
        <v>0</v>
      </c>
      <c r="F143" s="12">
        <f>SUMIF('On The Board'!H$5:H$219,"&lt;="&amp;$B143,'On The Board'!$M$5:$M$219)-SUM(G143:I143)</f>
        <v>5</v>
      </c>
      <c r="G143" s="12">
        <f>SUMIF('On The Board'!I$5:I$219,"&lt;="&amp;$B143,'On The Board'!$M$5:$M$219)-SUM(H143,I143)</f>
        <v>2</v>
      </c>
      <c r="H143" s="12">
        <f>SUMIF('On The Board'!J$5:J$219,"&lt;="&amp;$B143,'On The Board'!$M$5:$M$219)-SUM(I143)</f>
        <v>0</v>
      </c>
      <c r="I143" s="12">
        <f>SUMIF('On The Board'!K$5:K$219,"&lt;="&amp;$B143,'On The Board'!$M$5:$M$219)</f>
        <v>70</v>
      </c>
      <c r="J143" s="10">
        <f t="shared" si="25"/>
        <v>77</v>
      </c>
      <c r="K143" s="10" t="e">
        <f t="shared" ca="1" si="22"/>
        <v>#N/A</v>
      </c>
      <c r="L143" s="44" t="e">
        <f t="shared" ca="1" si="28"/>
        <v>#N/A</v>
      </c>
      <c r="M143" s="44" t="e">
        <f t="shared" ca="1" si="27"/>
        <v>#N/A</v>
      </c>
      <c r="N143" s="44" t="e">
        <f t="shared" ca="1" si="26"/>
        <v>#N/A</v>
      </c>
      <c r="O143" s="53" t="e">
        <f t="shared" ca="1" si="29"/>
        <v>#N/A</v>
      </c>
      <c r="P143" s="53" t="str">
        <f ca="1">IFERROR(DayByDayTable[[#This Row],[Lead Time]],"")</f>
        <v/>
      </c>
      <c r="Q143" s="44" t="e">
        <f t="shared" ca="1" si="19"/>
        <v>#N/A</v>
      </c>
      <c r="R143" s="44">
        <f ca="1">ROUND(PERCENTILE(DayByDayTable[[#Data],[BlankLeadTime]],0.8),0)</f>
        <v>8</v>
      </c>
    </row>
    <row r="144" spans="1:18">
      <c r="A144" s="51">
        <f t="shared" si="23"/>
        <v>42613</v>
      </c>
      <c r="B144" s="11">
        <f t="shared" si="24"/>
        <v>42613</v>
      </c>
      <c r="C144" s="47">
        <f>SUMIFS('On The Board'!$M$5:$M$219,'On The Board'!F$5:F$219,"&lt;="&amp;$B144,'On The Board'!E$5:E$219,"="&amp;FutureWork)</f>
        <v>43</v>
      </c>
      <c r="D144" s="12">
        <f ca="1">IF(TodaysDate&gt;=B144,SUMIF('On The Board'!F$5:F$219,"&lt;="&amp;$B144,'On The Board'!$M$5:$M$219)-SUM(E144:I144),D143)</f>
        <v>47</v>
      </c>
      <c r="E144" s="12">
        <f>SUMIF('On The Board'!G$5:G$219,"&lt;="&amp;$B144,'On The Board'!$M$5:$M$219)-SUM(F144:I144)</f>
        <v>0</v>
      </c>
      <c r="F144" s="12">
        <f>SUMIF('On The Board'!H$5:H$219,"&lt;="&amp;$B144,'On The Board'!$M$5:$M$219)-SUM(G144:I144)</f>
        <v>5</v>
      </c>
      <c r="G144" s="12">
        <f>SUMIF('On The Board'!I$5:I$219,"&lt;="&amp;$B144,'On The Board'!$M$5:$M$219)-SUM(H144,I144)</f>
        <v>2</v>
      </c>
      <c r="H144" s="12">
        <f>SUMIF('On The Board'!J$5:J$219,"&lt;="&amp;$B144,'On The Board'!$M$5:$M$219)-SUM(I144)</f>
        <v>0</v>
      </c>
      <c r="I144" s="12">
        <f>SUMIF('On The Board'!K$5:K$219,"&lt;="&amp;$B144,'On The Board'!$M$5:$M$219)</f>
        <v>70</v>
      </c>
      <c r="J144" s="10">
        <f t="shared" si="25"/>
        <v>77</v>
      </c>
      <c r="K144" s="10" t="e">
        <f t="shared" ca="1" si="22"/>
        <v>#N/A</v>
      </c>
      <c r="L144" s="44" t="e">
        <f t="shared" ca="1" si="28"/>
        <v>#N/A</v>
      </c>
      <c r="M144" s="44" t="e">
        <f t="shared" ca="1" si="27"/>
        <v>#N/A</v>
      </c>
      <c r="N144" s="44" t="e">
        <f t="shared" ca="1" si="26"/>
        <v>#N/A</v>
      </c>
      <c r="O144" s="53" t="e">
        <f t="shared" ca="1" si="29"/>
        <v>#N/A</v>
      </c>
      <c r="P144" s="53" t="str">
        <f ca="1">IFERROR(DayByDayTable[[#This Row],[Lead Time]],"")</f>
        <v/>
      </c>
      <c r="Q144" s="44" t="e">
        <f t="shared" ref="Q144:Q207" ca="1" si="30">PERCENTILE(N133:N144,0.8)</f>
        <v>#N/A</v>
      </c>
      <c r="R144" s="44">
        <f ca="1">ROUND(PERCENTILE(DayByDayTable[[#Data],[BlankLeadTime]],0.8),0)</f>
        <v>8</v>
      </c>
    </row>
    <row r="145" spans="1:18">
      <c r="A145" s="51">
        <f t="shared" si="23"/>
        <v>42614</v>
      </c>
      <c r="B145" s="11">
        <f t="shared" si="24"/>
        <v>42614</v>
      </c>
      <c r="C145" s="47">
        <f>SUMIFS('On The Board'!$M$5:$M$219,'On The Board'!F$5:F$219,"&lt;="&amp;$B145,'On The Board'!E$5:E$219,"="&amp;FutureWork)</f>
        <v>43</v>
      </c>
      <c r="D145" s="12">
        <f ca="1">IF(TodaysDate&gt;=B145,SUMIF('On The Board'!F$5:F$219,"&lt;="&amp;$B145,'On The Board'!$M$5:$M$219)-SUM(E145:I145),D144)</f>
        <v>47</v>
      </c>
      <c r="E145" s="12">
        <f>SUMIF('On The Board'!G$5:G$219,"&lt;="&amp;$B145,'On The Board'!$M$5:$M$219)-SUM(F145:I145)</f>
        <v>0</v>
      </c>
      <c r="F145" s="12">
        <f>SUMIF('On The Board'!H$5:H$219,"&lt;="&amp;$B145,'On The Board'!$M$5:$M$219)-SUM(G145:I145)</f>
        <v>5</v>
      </c>
      <c r="G145" s="12">
        <f>SUMIF('On The Board'!I$5:I$219,"&lt;="&amp;$B145,'On The Board'!$M$5:$M$219)-SUM(H145,I145)</f>
        <v>2</v>
      </c>
      <c r="H145" s="12">
        <f>SUMIF('On The Board'!J$5:J$219,"&lt;="&amp;$B145,'On The Board'!$M$5:$M$219)-SUM(I145)</f>
        <v>0</v>
      </c>
      <c r="I145" s="12">
        <f>SUMIF('On The Board'!K$5:K$219,"&lt;="&amp;$B145,'On The Board'!$M$5:$M$219)</f>
        <v>70</v>
      </c>
      <c r="J145" s="10">
        <f t="shared" si="25"/>
        <v>77</v>
      </c>
      <c r="K145" s="10" t="e">
        <f t="shared" ca="1" si="22"/>
        <v>#N/A</v>
      </c>
      <c r="L145" s="44" t="e">
        <f t="shared" ca="1" si="28"/>
        <v>#N/A</v>
      </c>
      <c r="M145" s="44" t="e">
        <f t="shared" ca="1" si="27"/>
        <v>#N/A</v>
      </c>
      <c r="N145" s="44" t="e">
        <f t="shared" ca="1" si="26"/>
        <v>#N/A</v>
      </c>
      <c r="O145" s="53" t="e">
        <f t="shared" ca="1" si="29"/>
        <v>#N/A</v>
      </c>
      <c r="P145" s="53" t="str">
        <f ca="1">IFERROR(DayByDayTable[[#This Row],[Lead Time]],"")</f>
        <v/>
      </c>
      <c r="Q145" s="44" t="e">
        <f t="shared" ca="1" si="30"/>
        <v>#N/A</v>
      </c>
      <c r="R145" s="44">
        <f ca="1">ROUND(PERCENTILE(DayByDayTable[[#Data],[BlankLeadTime]],0.8),0)</f>
        <v>8</v>
      </c>
    </row>
    <row r="146" spans="1:18">
      <c r="A146" s="51">
        <f t="shared" si="23"/>
        <v>42615</v>
      </c>
      <c r="B146" s="11">
        <f t="shared" si="24"/>
        <v>42615</v>
      </c>
      <c r="C146" s="47">
        <f>SUMIFS('On The Board'!$M$5:$M$219,'On The Board'!F$5:F$219,"&lt;="&amp;$B146,'On The Board'!E$5:E$219,"="&amp;FutureWork)</f>
        <v>43</v>
      </c>
      <c r="D146" s="12">
        <f ca="1">IF(TodaysDate&gt;=B146,SUMIF('On The Board'!F$5:F$219,"&lt;="&amp;$B146,'On The Board'!$M$5:$M$219)-SUM(E146:I146),D145)</f>
        <v>47</v>
      </c>
      <c r="E146" s="12">
        <f>SUMIF('On The Board'!G$5:G$219,"&lt;="&amp;$B146,'On The Board'!$M$5:$M$219)-SUM(F146:I146)</f>
        <v>0</v>
      </c>
      <c r="F146" s="12">
        <f>SUMIF('On The Board'!H$5:H$219,"&lt;="&amp;$B146,'On The Board'!$M$5:$M$219)-SUM(G146:I146)</f>
        <v>5</v>
      </c>
      <c r="G146" s="12">
        <f>SUMIF('On The Board'!I$5:I$219,"&lt;="&amp;$B146,'On The Board'!$M$5:$M$219)-SUM(H146,I146)</f>
        <v>2</v>
      </c>
      <c r="H146" s="12">
        <f>SUMIF('On The Board'!J$5:J$219,"&lt;="&amp;$B146,'On The Board'!$M$5:$M$219)-SUM(I146)</f>
        <v>0</v>
      </c>
      <c r="I146" s="12">
        <f>SUMIF('On The Board'!K$5:K$219,"&lt;="&amp;$B146,'On The Board'!$M$5:$M$219)</f>
        <v>70</v>
      </c>
      <c r="J146" s="10">
        <f t="shared" si="25"/>
        <v>77</v>
      </c>
      <c r="K146" s="10" t="e">
        <f t="shared" ca="1" si="22"/>
        <v>#N/A</v>
      </c>
      <c r="L146" s="44" t="e">
        <f t="shared" ca="1" si="28"/>
        <v>#N/A</v>
      </c>
      <c r="M146" s="44" t="e">
        <f t="shared" ca="1" si="27"/>
        <v>#N/A</v>
      </c>
      <c r="N146" s="44" t="e">
        <f t="shared" ca="1" si="26"/>
        <v>#N/A</v>
      </c>
      <c r="O146" s="53" t="e">
        <f t="shared" ca="1" si="29"/>
        <v>#N/A</v>
      </c>
      <c r="P146" s="53" t="str">
        <f ca="1">IFERROR(DayByDayTable[[#This Row],[Lead Time]],"")</f>
        <v/>
      </c>
      <c r="Q146" s="44" t="e">
        <f t="shared" ca="1" si="30"/>
        <v>#N/A</v>
      </c>
      <c r="R146" s="44">
        <f ca="1">ROUND(PERCENTILE(DayByDayTable[[#Data],[BlankLeadTime]],0.8),0)</f>
        <v>8</v>
      </c>
    </row>
    <row r="147" spans="1:18">
      <c r="A147" s="51">
        <f t="shared" si="23"/>
        <v>42618</v>
      </c>
      <c r="B147" s="11">
        <f t="shared" si="24"/>
        <v>42618</v>
      </c>
      <c r="C147" s="47">
        <f>SUMIFS('On The Board'!$M$5:$M$219,'On The Board'!F$5:F$219,"&lt;="&amp;$B147,'On The Board'!E$5:E$219,"="&amp;FutureWork)</f>
        <v>43</v>
      </c>
      <c r="D147" s="12">
        <f ca="1">IF(TodaysDate&gt;=B147,SUMIF('On The Board'!F$5:F$219,"&lt;="&amp;$B147,'On The Board'!$M$5:$M$219)-SUM(E147:I147),D146)</f>
        <v>47</v>
      </c>
      <c r="E147" s="12">
        <f>SUMIF('On The Board'!G$5:G$219,"&lt;="&amp;$B147,'On The Board'!$M$5:$M$219)-SUM(F147:I147)</f>
        <v>0</v>
      </c>
      <c r="F147" s="12">
        <f>SUMIF('On The Board'!H$5:H$219,"&lt;="&amp;$B147,'On The Board'!$M$5:$M$219)-SUM(G147:I147)</f>
        <v>5</v>
      </c>
      <c r="G147" s="12">
        <f>SUMIF('On The Board'!I$5:I$219,"&lt;="&amp;$B147,'On The Board'!$M$5:$M$219)-SUM(H147,I147)</f>
        <v>2</v>
      </c>
      <c r="H147" s="12">
        <f>SUMIF('On The Board'!J$5:J$219,"&lt;="&amp;$B147,'On The Board'!$M$5:$M$219)-SUM(I147)</f>
        <v>0</v>
      </c>
      <c r="I147" s="12">
        <f>SUMIF('On The Board'!K$5:K$219,"&lt;="&amp;$B147,'On The Board'!$M$5:$M$219)</f>
        <v>70</v>
      </c>
      <c r="J147" s="10">
        <f t="shared" si="25"/>
        <v>77</v>
      </c>
      <c r="K147" s="10" t="e">
        <f t="shared" ca="1" si="22"/>
        <v>#N/A</v>
      </c>
      <c r="L147" s="44" t="e">
        <f t="shared" ca="1" si="28"/>
        <v>#N/A</v>
      </c>
      <c r="M147" s="44" t="e">
        <f t="shared" ca="1" si="27"/>
        <v>#N/A</v>
      </c>
      <c r="N147" s="44" t="e">
        <f t="shared" ca="1" si="26"/>
        <v>#N/A</v>
      </c>
      <c r="O147" s="53" t="e">
        <f t="shared" ca="1" si="29"/>
        <v>#N/A</v>
      </c>
      <c r="P147" s="53" t="str">
        <f ca="1">IFERROR(DayByDayTable[[#This Row],[Lead Time]],"")</f>
        <v/>
      </c>
      <c r="Q147" s="44" t="e">
        <f t="shared" ca="1" si="30"/>
        <v>#N/A</v>
      </c>
      <c r="R147" s="44">
        <f ca="1">ROUND(PERCENTILE(DayByDayTable[[#Data],[BlankLeadTime]],0.8),0)</f>
        <v>8</v>
      </c>
    </row>
    <row r="148" spans="1:18">
      <c r="A148" s="51">
        <f t="shared" si="23"/>
        <v>42619</v>
      </c>
      <c r="B148" s="11">
        <f t="shared" si="24"/>
        <v>42619</v>
      </c>
      <c r="C148" s="47">
        <f>SUMIFS('On The Board'!$M$5:$M$219,'On The Board'!F$5:F$219,"&lt;="&amp;$B148,'On The Board'!E$5:E$219,"="&amp;FutureWork)</f>
        <v>43</v>
      </c>
      <c r="D148" s="12">
        <f ca="1">IF(TodaysDate&gt;=B148,SUMIF('On The Board'!F$5:F$219,"&lt;="&amp;$B148,'On The Board'!$M$5:$M$219)-SUM(E148:I148),D147)</f>
        <v>47</v>
      </c>
      <c r="E148" s="12">
        <f>SUMIF('On The Board'!G$5:G$219,"&lt;="&amp;$B148,'On The Board'!$M$5:$M$219)-SUM(F148:I148)</f>
        <v>0</v>
      </c>
      <c r="F148" s="12">
        <f>SUMIF('On The Board'!H$5:H$219,"&lt;="&amp;$B148,'On The Board'!$M$5:$M$219)-SUM(G148:I148)</f>
        <v>5</v>
      </c>
      <c r="G148" s="12">
        <f>SUMIF('On The Board'!I$5:I$219,"&lt;="&amp;$B148,'On The Board'!$M$5:$M$219)-SUM(H148,I148)</f>
        <v>2</v>
      </c>
      <c r="H148" s="12">
        <f>SUMIF('On The Board'!J$5:J$219,"&lt;="&amp;$B148,'On The Board'!$M$5:$M$219)-SUM(I148)</f>
        <v>0</v>
      </c>
      <c r="I148" s="12">
        <f>SUMIF('On The Board'!K$5:K$219,"&lt;="&amp;$B148,'On The Board'!$M$5:$M$219)</f>
        <v>70</v>
      </c>
      <c r="J148" s="10">
        <f t="shared" si="25"/>
        <v>77</v>
      </c>
      <c r="K148" s="10" t="e">
        <f t="shared" ca="1" si="22"/>
        <v>#N/A</v>
      </c>
      <c r="L148" s="44" t="e">
        <f t="shared" ca="1" si="28"/>
        <v>#N/A</v>
      </c>
      <c r="M148" s="44" t="e">
        <f t="shared" ca="1" si="27"/>
        <v>#N/A</v>
      </c>
      <c r="N148" s="44" t="e">
        <f t="shared" ca="1" si="26"/>
        <v>#N/A</v>
      </c>
      <c r="O148" s="53" t="e">
        <f t="shared" ca="1" si="29"/>
        <v>#N/A</v>
      </c>
      <c r="P148" s="53" t="str">
        <f ca="1">IFERROR(DayByDayTable[[#This Row],[Lead Time]],"")</f>
        <v/>
      </c>
      <c r="Q148" s="44" t="e">
        <f t="shared" ca="1" si="30"/>
        <v>#N/A</v>
      </c>
      <c r="R148" s="44">
        <f ca="1">ROUND(PERCENTILE(DayByDayTable[[#Data],[BlankLeadTime]],0.8),0)</f>
        <v>8</v>
      </c>
    </row>
    <row r="149" spans="1:18">
      <c r="A149" s="51">
        <f t="shared" si="23"/>
        <v>42620</v>
      </c>
      <c r="B149" s="11">
        <f t="shared" si="24"/>
        <v>42620</v>
      </c>
      <c r="C149" s="47">
        <f>SUMIFS('On The Board'!$M$5:$M$219,'On The Board'!F$5:F$219,"&lt;="&amp;$B149,'On The Board'!E$5:E$219,"="&amp;FutureWork)</f>
        <v>43</v>
      </c>
      <c r="D149" s="12">
        <f ca="1">IF(TodaysDate&gt;=B149,SUMIF('On The Board'!F$5:F$219,"&lt;="&amp;$B149,'On The Board'!$M$5:$M$219)-SUM(E149:I149),D148)</f>
        <v>47</v>
      </c>
      <c r="E149" s="12">
        <f>SUMIF('On The Board'!G$5:G$219,"&lt;="&amp;$B149,'On The Board'!$M$5:$M$219)-SUM(F149:I149)</f>
        <v>0</v>
      </c>
      <c r="F149" s="12">
        <f>SUMIF('On The Board'!H$5:H$219,"&lt;="&amp;$B149,'On The Board'!$M$5:$M$219)-SUM(G149:I149)</f>
        <v>5</v>
      </c>
      <c r="G149" s="12">
        <f>SUMIF('On The Board'!I$5:I$219,"&lt;="&amp;$B149,'On The Board'!$M$5:$M$219)-SUM(H149,I149)</f>
        <v>2</v>
      </c>
      <c r="H149" s="12">
        <f>SUMIF('On The Board'!J$5:J$219,"&lt;="&amp;$B149,'On The Board'!$M$5:$M$219)-SUM(I149)</f>
        <v>0</v>
      </c>
      <c r="I149" s="12">
        <f>SUMIF('On The Board'!K$5:K$219,"&lt;="&amp;$B149,'On The Board'!$M$5:$M$219)</f>
        <v>70</v>
      </c>
      <c r="J149" s="10">
        <f t="shared" si="25"/>
        <v>77</v>
      </c>
      <c r="K149" s="10" t="e">
        <f t="shared" ca="1" si="22"/>
        <v>#N/A</v>
      </c>
      <c r="L149" s="44" t="e">
        <f t="shared" ca="1" si="28"/>
        <v>#N/A</v>
      </c>
      <c r="M149" s="44" t="e">
        <f t="shared" ca="1" si="27"/>
        <v>#N/A</v>
      </c>
      <c r="N149" s="44" t="e">
        <f t="shared" ca="1" si="26"/>
        <v>#N/A</v>
      </c>
      <c r="O149" s="53" t="e">
        <f t="shared" ca="1" si="29"/>
        <v>#N/A</v>
      </c>
      <c r="P149" s="53" t="str">
        <f ca="1">IFERROR(DayByDayTable[[#This Row],[Lead Time]],"")</f>
        <v/>
      </c>
      <c r="Q149" s="44" t="e">
        <f t="shared" ca="1" si="30"/>
        <v>#N/A</v>
      </c>
      <c r="R149" s="44">
        <f ca="1">ROUND(PERCENTILE(DayByDayTable[[#Data],[BlankLeadTime]],0.8),0)</f>
        <v>8</v>
      </c>
    </row>
    <row r="150" spans="1:18">
      <c r="A150" s="51">
        <f t="shared" si="23"/>
        <v>42621</v>
      </c>
      <c r="B150" s="11">
        <f t="shared" si="24"/>
        <v>42621</v>
      </c>
      <c r="C150" s="47">
        <f>SUMIFS('On The Board'!$M$5:$M$219,'On The Board'!F$5:F$219,"&lt;="&amp;$B150,'On The Board'!E$5:E$219,"="&amp;FutureWork)</f>
        <v>43</v>
      </c>
      <c r="D150" s="12">
        <f ca="1">IF(TodaysDate&gt;=B150,SUMIF('On The Board'!F$5:F$219,"&lt;="&amp;$B150,'On The Board'!$M$5:$M$219)-SUM(E150:I150),D149)</f>
        <v>47</v>
      </c>
      <c r="E150" s="12">
        <f>SUMIF('On The Board'!G$5:G$219,"&lt;="&amp;$B150,'On The Board'!$M$5:$M$219)-SUM(F150:I150)</f>
        <v>0</v>
      </c>
      <c r="F150" s="12">
        <f>SUMIF('On The Board'!H$5:H$219,"&lt;="&amp;$B150,'On The Board'!$M$5:$M$219)-SUM(G150:I150)</f>
        <v>5</v>
      </c>
      <c r="G150" s="12">
        <f>SUMIF('On The Board'!I$5:I$219,"&lt;="&amp;$B150,'On The Board'!$M$5:$M$219)-SUM(H150,I150)</f>
        <v>2</v>
      </c>
      <c r="H150" s="12">
        <f>SUMIF('On The Board'!J$5:J$219,"&lt;="&amp;$B150,'On The Board'!$M$5:$M$219)-SUM(I150)</f>
        <v>0</v>
      </c>
      <c r="I150" s="12">
        <f>SUMIF('On The Board'!K$5:K$219,"&lt;="&amp;$B150,'On The Board'!$M$5:$M$219)</f>
        <v>70</v>
      </c>
      <c r="J150" s="10">
        <f t="shared" si="25"/>
        <v>77</v>
      </c>
      <c r="K150" s="10" t="e">
        <f t="shared" ca="1" si="22"/>
        <v>#N/A</v>
      </c>
      <c r="L150" s="44" t="e">
        <f t="shared" ca="1" si="28"/>
        <v>#N/A</v>
      </c>
      <c r="M150" s="44" t="e">
        <f t="shared" ca="1" si="27"/>
        <v>#N/A</v>
      </c>
      <c r="N150" s="44" t="e">
        <f t="shared" ca="1" si="26"/>
        <v>#N/A</v>
      </c>
      <c r="O150" s="53" t="e">
        <f t="shared" ca="1" si="29"/>
        <v>#N/A</v>
      </c>
      <c r="P150" s="53" t="str">
        <f ca="1">IFERROR(DayByDayTable[[#This Row],[Lead Time]],"")</f>
        <v/>
      </c>
      <c r="Q150" s="44" t="e">
        <f t="shared" ca="1" si="30"/>
        <v>#N/A</v>
      </c>
      <c r="R150" s="44">
        <f ca="1">ROUND(PERCENTILE(DayByDayTable[[#Data],[BlankLeadTime]],0.8),0)</f>
        <v>8</v>
      </c>
    </row>
    <row r="151" spans="1:18">
      <c r="A151" s="51">
        <f t="shared" si="23"/>
        <v>42622</v>
      </c>
      <c r="B151" s="11">
        <f t="shared" si="24"/>
        <v>42622</v>
      </c>
      <c r="C151" s="47">
        <f>SUMIFS('On The Board'!$M$5:$M$219,'On The Board'!F$5:F$219,"&lt;="&amp;$B151,'On The Board'!E$5:E$219,"="&amp;FutureWork)</f>
        <v>43</v>
      </c>
      <c r="D151" s="12">
        <f ca="1">IF(TodaysDate&gt;=B151,SUMIF('On The Board'!F$5:F$219,"&lt;="&amp;$B151,'On The Board'!$M$5:$M$219)-SUM(E151:I151),D150)</f>
        <v>47</v>
      </c>
      <c r="E151" s="12">
        <f>SUMIF('On The Board'!G$5:G$219,"&lt;="&amp;$B151,'On The Board'!$M$5:$M$219)-SUM(F151:I151)</f>
        <v>0</v>
      </c>
      <c r="F151" s="12">
        <f>SUMIF('On The Board'!H$5:H$219,"&lt;="&amp;$B151,'On The Board'!$M$5:$M$219)-SUM(G151:I151)</f>
        <v>5</v>
      </c>
      <c r="G151" s="12">
        <f>SUMIF('On The Board'!I$5:I$219,"&lt;="&amp;$B151,'On The Board'!$M$5:$M$219)-SUM(H151,I151)</f>
        <v>2</v>
      </c>
      <c r="H151" s="12">
        <f>SUMIF('On The Board'!J$5:J$219,"&lt;="&amp;$B151,'On The Board'!$M$5:$M$219)-SUM(I151)</f>
        <v>0</v>
      </c>
      <c r="I151" s="12">
        <f>SUMIF('On The Board'!K$5:K$219,"&lt;="&amp;$B151,'On The Board'!$M$5:$M$219)</f>
        <v>70</v>
      </c>
      <c r="J151" s="10">
        <f t="shared" si="25"/>
        <v>77</v>
      </c>
      <c r="K151" s="10" t="e">
        <f t="shared" ca="1" si="22"/>
        <v>#N/A</v>
      </c>
      <c r="L151" s="44" t="e">
        <f t="shared" ca="1" si="28"/>
        <v>#N/A</v>
      </c>
      <c r="M151" s="44" t="e">
        <f t="shared" ca="1" si="27"/>
        <v>#N/A</v>
      </c>
      <c r="N151" s="44" t="e">
        <f t="shared" ca="1" si="26"/>
        <v>#N/A</v>
      </c>
      <c r="O151" s="53" t="e">
        <f t="shared" ca="1" si="29"/>
        <v>#N/A</v>
      </c>
      <c r="P151" s="53" t="str">
        <f ca="1">IFERROR(DayByDayTable[[#This Row],[Lead Time]],"")</f>
        <v/>
      </c>
      <c r="Q151" s="44" t="e">
        <f t="shared" ca="1" si="30"/>
        <v>#N/A</v>
      </c>
      <c r="R151" s="44">
        <f ca="1">ROUND(PERCENTILE(DayByDayTable[[#Data],[BlankLeadTime]],0.8),0)</f>
        <v>8</v>
      </c>
    </row>
    <row r="152" spans="1:18">
      <c r="A152" s="51">
        <f t="shared" si="23"/>
        <v>42625</v>
      </c>
      <c r="B152" s="11">
        <f t="shared" si="24"/>
        <v>42625</v>
      </c>
      <c r="C152" s="47">
        <f>SUMIFS('On The Board'!$M$5:$M$219,'On The Board'!F$5:F$219,"&lt;="&amp;$B152,'On The Board'!E$5:E$219,"="&amp;FutureWork)</f>
        <v>43</v>
      </c>
      <c r="D152" s="12">
        <f ca="1">IF(TodaysDate&gt;=B152,SUMIF('On The Board'!F$5:F$219,"&lt;="&amp;$B152,'On The Board'!$M$5:$M$219)-SUM(E152:I152),D151)</f>
        <v>47</v>
      </c>
      <c r="E152" s="12">
        <f>SUMIF('On The Board'!G$5:G$219,"&lt;="&amp;$B152,'On The Board'!$M$5:$M$219)-SUM(F152:I152)</f>
        <v>0</v>
      </c>
      <c r="F152" s="12">
        <f>SUMIF('On The Board'!H$5:H$219,"&lt;="&amp;$B152,'On The Board'!$M$5:$M$219)-SUM(G152:I152)</f>
        <v>5</v>
      </c>
      <c r="G152" s="12">
        <f>SUMIF('On The Board'!I$5:I$219,"&lt;="&amp;$B152,'On The Board'!$M$5:$M$219)-SUM(H152,I152)</f>
        <v>2</v>
      </c>
      <c r="H152" s="12">
        <f>SUMIF('On The Board'!J$5:J$219,"&lt;="&amp;$B152,'On The Board'!$M$5:$M$219)-SUM(I152)</f>
        <v>0</v>
      </c>
      <c r="I152" s="12">
        <f>SUMIF('On The Board'!K$5:K$219,"&lt;="&amp;$B152,'On The Board'!$M$5:$M$219)</f>
        <v>70</v>
      </c>
      <c r="J152" s="10">
        <f t="shared" si="25"/>
        <v>77</v>
      </c>
      <c r="K152" s="10" t="e">
        <f t="shared" ca="1" si="22"/>
        <v>#N/A</v>
      </c>
      <c r="L152" s="44" t="e">
        <f t="shared" ca="1" si="28"/>
        <v>#N/A</v>
      </c>
      <c r="M152" s="44" t="e">
        <f t="shared" ca="1" si="27"/>
        <v>#N/A</v>
      </c>
      <c r="N152" s="44" t="e">
        <f t="shared" ca="1" si="26"/>
        <v>#N/A</v>
      </c>
      <c r="O152" s="53" t="e">
        <f t="shared" ca="1" si="29"/>
        <v>#N/A</v>
      </c>
      <c r="P152" s="53" t="str">
        <f ca="1">IFERROR(DayByDayTable[[#This Row],[Lead Time]],"")</f>
        <v/>
      </c>
      <c r="Q152" s="44" t="e">
        <f t="shared" ca="1" si="30"/>
        <v>#N/A</v>
      </c>
      <c r="R152" s="44">
        <f ca="1">ROUND(PERCENTILE(DayByDayTable[[#Data],[BlankLeadTime]],0.8),0)</f>
        <v>8</v>
      </c>
    </row>
    <row r="153" spans="1:18">
      <c r="A153" s="51">
        <f t="shared" si="23"/>
        <v>42626</v>
      </c>
      <c r="B153" s="11">
        <f t="shared" si="24"/>
        <v>42626</v>
      </c>
      <c r="C153" s="47">
        <f>SUMIFS('On The Board'!$M$5:$M$219,'On The Board'!F$5:F$219,"&lt;="&amp;$B153,'On The Board'!E$5:E$219,"="&amp;FutureWork)</f>
        <v>43</v>
      </c>
      <c r="D153" s="12">
        <f ca="1">IF(TodaysDate&gt;=B153,SUMIF('On The Board'!F$5:F$219,"&lt;="&amp;$B153,'On The Board'!$M$5:$M$219)-SUM(E153:I153),D152)</f>
        <v>47</v>
      </c>
      <c r="E153" s="12">
        <f>SUMIF('On The Board'!G$5:G$219,"&lt;="&amp;$B153,'On The Board'!$M$5:$M$219)-SUM(F153:I153)</f>
        <v>0</v>
      </c>
      <c r="F153" s="12">
        <f>SUMIF('On The Board'!H$5:H$219,"&lt;="&amp;$B153,'On The Board'!$M$5:$M$219)-SUM(G153:I153)</f>
        <v>5</v>
      </c>
      <c r="G153" s="12">
        <f>SUMIF('On The Board'!I$5:I$219,"&lt;="&amp;$B153,'On The Board'!$M$5:$M$219)-SUM(H153,I153)</f>
        <v>2</v>
      </c>
      <c r="H153" s="12">
        <f>SUMIF('On The Board'!J$5:J$219,"&lt;="&amp;$B153,'On The Board'!$M$5:$M$219)-SUM(I153)</f>
        <v>0</v>
      </c>
      <c r="I153" s="12">
        <f>SUMIF('On The Board'!K$5:K$219,"&lt;="&amp;$B153,'On The Board'!$M$5:$M$219)</f>
        <v>70</v>
      </c>
      <c r="J153" s="10">
        <f t="shared" si="25"/>
        <v>77</v>
      </c>
      <c r="K153" s="10" t="e">
        <f t="shared" ca="1" si="22"/>
        <v>#N/A</v>
      </c>
      <c r="L153" s="44" t="e">
        <f t="shared" ca="1" si="28"/>
        <v>#N/A</v>
      </c>
      <c r="M153" s="44" t="e">
        <f t="shared" ca="1" si="27"/>
        <v>#N/A</v>
      </c>
      <c r="N153" s="44" t="e">
        <f t="shared" ca="1" si="26"/>
        <v>#N/A</v>
      </c>
      <c r="O153" s="53" t="e">
        <f t="shared" ca="1" si="29"/>
        <v>#N/A</v>
      </c>
      <c r="P153" s="53" t="str">
        <f ca="1">IFERROR(DayByDayTable[[#This Row],[Lead Time]],"")</f>
        <v/>
      </c>
      <c r="Q153" s="44" t="e">
        <f t="shared" ca="1" si="30"/>
        <v>#N/A</v>
      </c>
      <c r="R153" s="44">
        <f ca="1">ROUND(PERCENTILE(DayByDayTable[[#Data],[BlankLeadTime]],0.8),0)</f>
        <v>8</v>
      </c>
    </row>
    <row r="154" spans="1:18">
      <c r="A154" s="51">
        <f t="shared" si="23"/>
        <v>42627</v>
      </c>
      <c r="B154" s="11">
        <f t="shared" si="24"/>
        <v>42627</v>
      </c>
      <c r="C154" s="47">
        <f>SUMIFS('On The Board'!$M$5:$M$219,'On The Board'!F$5:F$219,"&lt;="&amp;$B154,'On The Board'!E$5:E$219,"="&amp;FutureWork)</f>
        <v>43</v>
      </c>
      <c r="D154" s="12">
        <f ca="1">IF(TodaysDate&gt;=B154,SUMIF('On The Board'!F$5:F$219,"&lt;="&amp;$B154,'On The Board'!$M$5:$M$219)-SUM(E154:I154),D153)</f>
        <v>47</v>
      </c>
      <c r="E154" s="12">
        <f>SUMIF('On The Board'!G$5:G$219,"&lt;="&amp;$B154,'On The Board'!$M$5:$M$219)-SUM(F154:I154)</f>
        <v>0</v>
      </c>
      <c r="F154" s="12">
        <f>SUMIF('On The Board'!H$5:H$219,"&lt;="&amp;$B154,'On The Board'!$M$5:$M$219)-SUM(G154:I154)</f>
        <v>5</v>
      </c>
      <c r="G154" s="12">
        <f>SUMIF('On The Board'!I$5:I$219,"&lt;="&amp;$B154,'On The Board'!$M$5:$M$219)-SUM(H154,I154)</f>
        <v>2</v>
      </c>
      <c r="H154" s="12">
        <f>SUMIF('On The Board'!J$5:J$219,"&lt;="&amp;$B154,'On The Board'!$M$5:$M$219)-SUM(I154)</f>
        <v>0</v>
      </c>
      <c r="I154" s="12">
        <f>SUMIF('On The Board'!K$5:K$219,"&lt;="&amp;$B154,'On The Board'!$M$5:$M$219)</f>
        <v>70</v>
      </c>
      <c r="J154" s="10">
        <f t="shared" si="25"/>
        <v>77</v>
      </c>
      <c r="K154" s="10" t="e">
        <f t="shared" ca="1" si="22"/>
        <v>#N/A</v>
      </c>
      <c r="L154" s="44" t="e">
        <f t="shared" ca="1" si="28"/>
        <v>#N/A</v>
      </c>
      <c r="M154" s="44" t="e">
        <f t="shared" ca="1" si="27"/>
        <v>#N/A</v>
      </c>
      <c r="N154" s="44" t="e">
        <f t="shared" ca="1" si="26"/>
        <v>#N/A</v>
      </c>
      <c r="O154" s="53" t="e">
        <f t="shared" ca="1" si="29"/>
        <v>#N/A</v>
      </c>
      <c r="P154" s="53" t="str">
        <f ca="1">IFERROR(DayByDayTable[[#This Row],[Lead Time]],"")</f>
        <v/>
      </c>
      <c r="Q154" s="44" t="e">
        <f t="shared" ca="1" si="30"/>
        <v>#N/A</v>
      </c>
      <c r="R154" s="44">
        <f ca="1">ROUND(PERCENTILE(DayByDayTable[[#Data],[BlankLeadTime]],0.8),0)</f>
        <v>8</v>
      </c>
    </row>
    <row r="155" spans="1:18">
      <c r="A155" s="51">
        <f t="shared" si="23"/>
        <v>42628</v>
      </c>
      <c r="B155" s="11">
        <f t="shared" si="24"/>
        <v>42628</v>
      </c>
      <c r="C155" s="47">
        <f>SUMIFS('On The Board'!$M$5:$M$219,'On The Board'!F$5:F$219,"&lt;="&amp;$B155,'On The Board'!E$5:E$219,"="&amp;FutureWork)</f>
        <v>43</v>
      </c>
      <c r="D155" s="12">
        <f ca="1">IF(TodaysDate&gt;=B155,SUMIF('On The Board'!F$5:F$219,"&lt;="&amp;$B155,'On The Board'!$M$5:$M$219)-SUM(E155:I155),D154)</f>
        <v>47</v>
      </c>
      <c r="E155" s="12">
        <f>SUMIF('On The Board'!G$5:G$219,"&lt;="&amp;$B155,'On The Board'!$M$5:$M$219)-SUM(F155:I155)</f>
        <v>0</v>
      </c>
      <c r="F155" s="12">
        <f>SUMIF('On The Board'!H$5:H$219,"&lt;="&amp;$B155,'On The Board'!$M$5:$M$219)-SUM(G155:I155)</f>
        <v>5</v>
      </c>
      <c r="G155" s="12">
        <f>SUMIF('On The Board'!I$5:I$219,"&lt;="&amp;$B155,'On The Board'!$M$5:$M$219)-SUM(H155,I155)</f>
        <v>2</v>
      </c>
      <c r="H155" s="12">
        <f>SUMIF('On The Board'!J$5:J$219,"&lt;="&amp;$B155,'On The Board'!$M$5:$M$219)-SUM(I155)</f>
        <v>0</v>
      </c>
      <c r="I155" s="12">
        <f>SUMIF('On The Board'!K$5:K$219,"&lt;="&amp;$B155,'On The Board'!$M$5:$M$219)</f>
        <v>70</v>
      </c>
      <c r="J155" s="10">
        <f t="shared" si="25"/>
        <v>77</v>
      </c>
      <c r="K155" s="10" t="e">
        <f t="shared" ca="1" si="22"/>
        <v>#N/A</v>
      </c>
      <c r="L155" s="44" t="e">
        <f t="shared" ca="1" si="28"/>
        <v>#N/A</v>
      </c>
      <c r="M155" s="44" t="e">
        <f t="shared" ca="1" si="27"/>
        <v>#N/A</v>
      </c>
      <c r="N155" s="44" t="e">
        <f t="shared" ca="1" si="26"/>
        <v>#N/A</v>
      </c>
      <c r="O155" s="53" t="e">
        <f t="shared" ca="1" si="29"/>
        <v>#N/A</v>
      </c>
      <c r="P155" s="53" t="str">
        <f ca="1">IFERROR(DayByDayTable[[#This Row],[Lead Time]],"")</f>
        <v/>
      </c>
      <c r="Q155" s="44" t="e">
        <f t="shared" ca="1" si="30"/>
        <v>#N/A</v>
      </c>
      <c r="R155" s="44">
        <f ca="1">ROUND(PERCENTILE(DayByDayTable[[#Data],[BlankLeadTime]],0.8),0)</f>
        <v>8</v>
      </c>
    </row>
    <row r="156" spans="1:18">
      <c r="A156" s="51">
        <f t="shared" si="23"/>
        <v>42629</v>
      </c>
      <c r="B156" s="11">
        <f t="shared" si="24"/>
        <v>42629</v>
      </c>
      <c r="C156" s="47">
        <f>SUMIFS('On The Board'!$M$5:$M$219,'On The Board'!F$5:F$219,"&lt;="&amp;$B156,'On The Board'!E$5:E$219,"="&amp;FutureWork)</f>
        <v>43</v>
      </c>
      <c r="D156" s="12">
        <f ca="1">IF(TodaysDate&gt;=B156,SUMIF('On The Board'!F$5:F$219,"&lt;="&amp;$B156,'On The Board'!$M$5:$M$219)-SUM(E156:I156),D155)</f>
        <v>47</v>
      </c>
      <c r="E156" s="12">
        <f>SUMIF('On The Board'!G$5:G$219,"&lt;="&amp;$B156,'On The Board'!$M$5:$M$219)-SUM(F156:I156)</f>
        <v>0</v>
      </c>
      <c r="F156" s="12">
        <f>SUMIF('On The Board'!H$5:H$219,"&lt;="&amp;$B156,'On The Board'!$M$5:$M$219)-SUM(G156:I156)</f>
        <v>5</v>
      </c>
      <c r="G156" s="12">
        <f>SUMIF('On The Board'!I$5:I$219,"&lt;="&amp;$B156,'On The Board'!$M$5:$M$219)-SUM(H156,I156)</f>
        <v>2</v>
      </c>
      <c r="H156" s="12">
        <f>SUMIF('On The Board'!J$5:J$219,"&lt;="&amp;$B156,'On The Board'!$M$5:$M$219)-SUM(I156)</f>
        <v>0</v>
      </c>
      <c r="I156" s="12">
        <f>SUMIF('On The Board'!K$5:K$219,"&lt;="&amp;$B156,'On The Board'!$M$5:$M$219)</f>
        <v>70</v>
      </c>
      <c r="J156" s="10">
        <f t="shared" si="25"/>
        <v>77</v>
      </c>
      <c r="K156" s="10" t="e">
        <f t="shared" ca="1" si="22"/>
        <v>#N/A</v>
      </c>
      <c r="L156" s="44" t="e">
        <f t="shared" ca="1" si="28"/>
        <v>#N/A</v>
      </c>
      <c r="M156" s="44" t="e">
        <f t="shared" ca="1" si="27"/>
        <v>#N/A</v>
      </c>
      <c r="N156" s="44" t="e">
        <f t="shared" ca="1" si="26"/>
        <v>#N/A</v>
      </c>
      <c r="O156" s="53" t="e">
        <f t="shared" ca="1" si="29"/>
        <v>#N/A</v>
      </c>
      <c r="P156" s="53" t="str">
        <f ca="1">IFERROR(DayByDayTable[[#This Row],[Lead Time]],"")</f>
        <v/>
      </c>
      <c r="Q156" s="44" t="e">
        <f t="shared" ca="1" si="30"/>
        <v>#N/A</v>
      </c>
      <c r="R156" s="44">
        <f ca="1">ROUND(PERCENTILE(DayByDayTable[[#Data],[BlankLeadTime]],0.8),0)</f>
        <v>8</v>
      </c>
    </row>
    <row r="157" spans="1:18">
      <c r="A157" s="51">
        <f t="shared" si="23"/>
        <v>42632</v>
      </c>
      <c r="B157" s="11">
        <f t="shared" si="24"/>
        <v>42632</v>
      </c>
      <c r="C157" s="47">
        <f>SUMIFS('On The Board'!$M$5:$M$219,'On The Board'!F$5:F$219,"&lt;="&amp;$B157,'On The Board'!E$5:E$219,"="&amp;FutureWork)</f>
        <v>43</v>
      </c>
      <c r="D157" s="12">
        <f ca="1">IF(TodaysDate&gt;=B157,SUMIF('On The Board'!F$5:F$219,"&lt;="&amp;$B157,'On The Board'!$M$5:$M$219)-SUM(E157:I157),D156)</f>
        <v>47</v>
      </c>
      <c r="E157" s="12">
        <f>SUMIF('On The Board'!G$5:G$219,"&lt;="&amp;$B157,'On The Board'!$M$5:$M$219)-SUM(F157:I157)</f>
        <v>0</v>
      </c>
      <c r="F157" s="12">
        <f>SUMIF('On The Board'!H$5:H$219,"&lt;="&amp;$B157,'On The Board'!$M$5:$M$219)-SUM(G157:I157)</f>
        <v>5</v>
      </c>
      <c r="G157" s="12">
        <f>SUMIF('On The Board'!I$5:I$219,"&lt;="&amp;$B157,'On The Board'!$M$5:$M$219)-SUM(H157,I157)</f>
        <v>2</v>
      </c>
      <c r="H157" s="12">
        <f>SUMIF('On The Board'!J$5:J$219,"&lt;="&amp;$B157,'On The Board'!$M$5:$M$219)-SUM(I157)</f>
        <v>0</v>
      </c>
      <c r="I157" s="12">
        <f>SUMIF('On The Board'!K$5:K$219,"&lt;="&amp;$B157,'On The Board'!$M$5:$M$219)</f>
        <v>70</v>
      </c>
      <c r="J157" s="10">
        <f t="shared" si="25"/>
        <v>77</v>
      </c>
      <c r="K157" s="10" t="e">
        <f t="shared" ca="1" si="22"/>
        <v>#N/A</v>
      </c>
      <c r="L157" s="44" t="e">
        <f t="shared" ca="1" si="28"/>
        <v>#N/A</v>
      </c>
      <c r="M157" s="44" t="e">
        <f t="shared" ca="1" si="27"/>
        <v>#N/A</v>
      </c>
      <c r="N157" s="44" t="e">
        <f t="shared" ca="1" si="26"/>
        <v>#N/A</v>
      </c>
      <c r="O157" s="53" t="e">
        <f t="shared" ca="1" si="29"/>
        <v>#N/A</v>
      </c>
      <c r="P157" s="53" t="str">
        <f ca="1">IFERROR(DayByDayTable[[#This Row],[Lead Time]],"")</f>
        <v/>
      </c>
      <c r="Q157" s="44" t="e">
        <f t="shared" ca="1" si="30"/>
        <v>#N/A</v>
      </c>
      <c r="R157" s="44">
        <f ca="1">ROUND(PERCENTILE(DayByDayTable[[#Data],[BlankLeadTime]],0.8),0)</f>
        <v>8</v>
      </c>
    </row>
    <row r="158" spans="1:18">
      <c r="A158" s="51">
        <f t="shared" si="23"/>
        <v>42633</v>
      </c>
      <c r="B158" s="11">
        <f t="shared" si="24"/>
        <v>42633</v>
      </c>
      <c r="C158" s="47">
        <f>SUMIFS('On The Board'!$M$5:$M$219,'On The Board'!F$5:F$219,"&lt;="&amp;$B158,'On The Board'!E$5:E$219,"="&amp;FutureWork)</f>
        <v>43</v>
      </c>
      <c r="D158" s="12">
        <f ca="1">IF(TodaysDate&gt;=B158,SUMIF('On The Board'!F$5:F$219,"&lt;="&amp;$B158,'On The Board'!$M$5:$M$219)-SUM(E158:I158),D157)</f>
        <v>47</v>
      </c>
      <c r="E158" s="12">
        <f>SUMIF('On The Board'!G$5:G$219,"&lt;="&amp;$B158,'On The Board'!$M$5:$M$219)-SUM(F158:I158)</f>
        <v>0</v>
      </c>
      <c r="F158" s="12">
        <f>SUMIF('On The Board'!H$5:H$219,"&lt;="&amp;$B158,'On The Board'!$M$5:$M$219)-SUM(G158:I158)</f>
        <v>5</v>
      </c>
      <c r="G158" s="12">
        <f>SUMIF('On The Board'!I$5:I$219,"&lt;="&amp;$B158,'On The Board'!$M$5:$M$219)-SUM(H158,I158)</f>
        <v>2</v>
      </c>
      <c r="H158" s="12">
        <f>SUMIF('On The Board'!J$5:J$219,"&lt;="&amp;$B158,'On The Board'!$M$5:$M$219)-SUM(I158)</f>
        <v>0</v>
      </c>
      <c r="I158" s="12">
        <f>SUMIF('On The Board'!K$5:K$219,"&lt;="&amp;$B158,'On The Board'!$M$5:$M$219)</f>
        <v>70</v>
      </c>
      <c r="J158" s="10">
        <f t="shared" si="25"/>
        <v>77</v>
      </c>
      <c r="K158" s="10" t="e">
        <f t="shared" ca="1" si="22"/>
        <v>#N/A</v>
      </c>
      <c r="L158" s="44" t="e">
        <f t="shared" ca="1" si="28"/>
        <v>#N/A</v>
      </c>
      <c r="M158" s="44" t="e">
        <f t="shared" ca="1" si="27"/>
        <v>#N/A</v>
      </c>
      <c r="N158" s="44" t="e">
        <f t="shared" ca="1" si="26"/>
        <v>#N/A</v>
      </c>
      <c r="O158" s="53" t="e">
        <f t="shared" ca="1" si="29"/>
        <v>#N/A</v>
      </c>
      <c r="P158" s="53" t="str">
        <f ca="1">IFERROR(DayByDayTable[[#This Row],[Lead Time]],"")</f>
        <v/>
      </c>
      <c r="Q158" s="44" t="e">
        <f t="shared" ca="1" si="30"/>
        <v>#N/A</v>
      </c>
      <c r="R158" s="44">
        <f ca="1">ROUND(PERCENTILE(DayByDayTable[[#Data],[BlankLeadTime]],0.8),0)</f>
        <v>8</v>
      </c>
    </row>
    <row r="159" spans="1:18">
      <c r="A159" s="51">
        <f t="shared" si="23"/>
        <v>42634</v>
      </c>
      <c r="B159" s="11">
        <f t="shared" si="24"/>
        <v>42634</v>
      </c>
      <c r="C159" s="47">
        <f>SUMIFS('On The Board'!$M$5:$M$219,'On The Board'!F$5:F$219,"&lt;="&amp;$B159,'On The Board'!E$5:E$219,"="&amp;FutureWork)</f>
        <v>43</v>
      </c>
      <c r="D159" s="12">
        <f ca="1">IF(TodaysDate&gt;=B159,SUMIF('On The Board'!F$5:F$219,"&lt;="&amp;$B159,'On The Board'!$M$5:$M$219)-SUM(E159:I159),D158)</f>
        <v>47</v>
      </c>
      <c r="E159" s="12">
        <f>SUMIF('On The Board'!G$5:G$219,"&lt;="&amp;$B159,'On The Board'!$M$5:$M$219)-SUM(F159:I159)</f>
        <v>0</v>
      </c>
      <c r="F159" s="12">
        <f>SUMIF('On The Board'!H$5:H$219,"&lt;="&amp;$B159,'On The Board'!$M$5:$M$219)-SUM(G159:I159)</f>
        <v>5</v>
      </c>
      <c r="G159" s="12">
        <f>SUMIF('On The Board'!I$5:I$219,"&lt;="&amp;$B159,'On The Board'!$M$5:$M$219)-SUM(H159,I159)</f>
        <v>2</v>
      </c>
      <c r="H159" s="12">
        <f>SUMIF('On The Board'!J$5:J$219,"&lt;="&amp;$B159,'On The Board'!$M$5:$M$219)-SUM(I159)</f>
        <v>0</v>
      </c>
      <c r="I159" s="12">
        <f>SUMIF('On The Board'!K$5:K$219,"&lt;="&amp;$B159,'On The Board'!$M$5:$M$219)</f>
        <v>70</v>
      </c>
      <c r="J159" s="10">
        <f t="shared" si="25"/>
        <v>77</v>
      </c>
      <c r="K159" s="10" t="e">
        <f t="shared" ca="1" si="22"/>
        <v>#N/A</v>
      </c>
      <c r="L159" s="44" t="e">
        <f t="shared" ca="1" si="28"/>
        <v>#N/A</v>
      </c>
      <c r="M159" s="44" t="e">
        <f t="shared" ca="1" si="27"/>
        <v>#N/A</v>
      </c>
      <c r="N159" s="44" t="e">
        <f t="shared" ca="1" si="26"/>
        <v>#N/A</v>
      </c>
      <c r="O159" s="53" t="e">
        <f t="shared" ca="1" si="29"/>
        <v>#N/A</v>
      </c>
      <c r="P159" s="53" t="str">
        <f ca="1">IFERROR(DayByDayTable[[#This Row],[Lead Time]],"")</f>
        <v/>
      </c>
      <c r="Q159" s="44" t="e">
        <f t="shared" ca="1" si="30"/>
        <v>#N/A</v>
      </c>
      <c r="R159" s="44">
        <f ca="1">ROUND(PERCENTILE(DayByDayTable[[#Data],[BlankLeadTime]],0.8),0)</f>
        <v>8</v>
      </c>
    </row>
    <row r="160" spans="1:18">
      <c r="A160" s="51">
        <f t="shared" si="23"/>
        <v>42635</v>
      </c>
      <c r="B160" s="11">
        <f t="shared" si="24"/>
        <v>42635</v>
      </c>
      <c r="C160" s="47">
        <f>SUMIFS('On The Board'!$M$5:$M$219,'On The Board'!F$5:F$219,"&lt;="&amp;$B160,'On The Board'!E$5:E$219,"="&amp;FutureWork)</f>
        <v>43</v>
      </c>
      <c r="D160" s="12">
        <f ca="1">IF(TodaysDate&gt;=B160,SUMIF('On The Board'!F$5:F$219,"&lt;="&amp;$B160,'On The Board'!$M$5:$M$219)-SUM(E160:I160),D159)</f>
        <v>47</v>
      </c>
      <c r="E160" s="12">
        <f>SUMIF('On The Board'!G$5:G$219,"&lt;="&amp;$B160,'On The Board'!$M$5:$M$219)-SUM(F160:I160)</f>
        <v>0</v>
      </c>
      <c r="F160" s="12">
        <f>SUMIF('On The Board'!H$5:H$219,"&lt;="&amp;$B160,'On The Board'!$M$5:$M$219)-SUM(G160:I160)</f>
        <v>5</v>
      </c>
      <c r="G160" s="12">
        <f>SUMIF('On The Board'!I$5:I$219,"&lt;="&amp;$B160,'On The Board'!$M$5:$M$219)-SUM(H160,I160)</f>
        <v>2</v>
      </c>
      <c r="H160" s="12">
        <f>SUMIF('On The Board'!J$5:J$219,"&lt;="&amp;$B160,'On The Board'!$M$5:$M$219)-SUM(I160)</f>
        <v>0</v>
      </c>
      <c r="I160" s="12">
        <f>SUMIF('On The Board'!K$5:K$219,"&lt;="&amp;$B160,'On The Board'!$M$5:$M$219)</f>
        <v>70</v>
      </c>
      <c r="J160" s="10">
        <f t="shared" si="25"/>
        <v>77</v>
      </c>
      <c r="K160" s="10" t="e">
        <f t="shared" ca="1" si="22"/>
        <v>#N/A</v>
      </c>
      <c r="L160" s="44" t="e">
        <f t="shared" ca="1" si="28"/>
        <v>#N/A</v>
      </c>
      <c r="M160" s="44" t="e">
        <f t="shared" ca="1" si="27"/>
        <v>#N/A</v>
      </c>
      <c r="N160" s="44" t="e">
        <f t="shared" ca="1" si="26"/>
        <v>#N/A</v>
      </c>
      <c r="O160" s="53" t="e">
        <f t="shared" ca="1" si="29"/>
        <v>#N/A</v>
      </c>
      <c r="P160" s="53" t="str">
        <f ca="1">IFERROR(DayByDayTable[[#This Row],[Lead Time]],"")</f>
        <v/>
      </c>
      <c r="Q160" s="44" t="e">
        <f t="shared" ca="1" si="30"/>
        <v>#N/A</v>
      </c>
      <c r="R160" s="44">
        <f ca="1">ROUND(PERCENTILE(DayByDayTable[[#Data],[BlankLeadTime]],0.8),0)</f>
        <v>8</v>
      </c>
    </row>
    <row r="161" spans="1:18">
      <c r="A161" s="51">
        <f t="shared" si="23"/>
        <v>42636</v>
      </c>
      <c r="B161" s="11">
        <f t="shared" si="24"/>
        <v>42636</v>
      </c>
      <c r="C161" s="47">
        <f>SUMIFS('On The Board'!$M$5:$M$219,'On The Board'!F$5:F$219,"&lt;="&amp;$B161,'On The Board'!E$5:E$219,"="&amp;FutureWork)</f>
        <v>43</v>
      </c>
      <c r="D161" s="12">
        <f ca="1">IF(TodaysDate&gt;=B161,SUMIF('On The Board'!F$5:F$219,"&lt;="&amp;$B161,'On The Board'!$M$5:$M$219)-SUM(E161:I161),D160)</f>
        <v>47</v>
      </c>
      <c r="E161" s="12">
        <f>SUMIF('On The Board'!G$5:G$219,"&lt;="&amp;$B161,'On The Board'!$M$5:$M$219)-SUM(F161:I161)</f>
        <v>0</v>
      </c>
      <c r="F161" s="12">
        <f>SUMIF('On The Board'!H$5:H$219,"&lt;="&amp;$B161,'On The Board'!$M$5:$M$219)-SUM(G161:I161)</f>
        <v>5</v>
      </c>
      <c r="G161" s="12">
        <f>SUMIF('On The Board'!I$5:I$219,"&lt;="&amp;$B161,'On The Board'!$M$5:$M$219)-SUM(H161,I161)</f>
        <v>2</v>
      </c>
      <c r="H161" s="12">
        <f>SUMIF('On The Board'!J$5:J$219,"&lt;="&amp;$B161,'On The Board'!$M$5:$M$219)-SUM(I161)</f>
        <v>0</v>
      </c>
      <c r="I161" s="12">
        <f>SUMIF('On The Board'!K$5:K$219,"&lt;="&amp;$B161,'On The Board'!$M$5:$M$219)</f>
        <v>70</v>
      </c>
      <c r="J161" s="10">
        <f t="shared" si="25"/>
        <v>77</v>
      </c>
      <c r="K161" s="10" t="e">
        <f t="shared" ca="1" si="22"/>
        <v>#N/A</v>
      </c>
      <c r="L161" s="44" t="e">
        <f t="shared" ca="1" si="28"/>
        <v>#N/A</v>
      </c>
      <c r="M161" s="44" t="e">
        <f t="shared" ca="1" si="27"/>
        <v>#N/A</v>
      </c>
      <c r="N161" s="44" t="e">
        <f t="shared" ca="1" si="26"/>
        <v>#N/A</v>
      </c>
      <c r="O161" s="53" t="e">
        <f t="shared" ca="1" si="29"/>
        <v>#N/A</v>
      </c>
      <c r="P161" s="53" t="str">
        <f ca="1">IFERROR(DayByDayTable[[#This Row],[Lead Time]],"")</f>
        <v/>
      </c>
      <c r="Q161" s="44" t="e">
        <f t="shared" ca="1" si="30"/>
        <v>#N/A</v>
      </c>
      <c r="R161" s="44">
        <f ca="1">ROUND(PERCENTILE(DayByDayTable[[#Data],[BlankLeadTime]],0.8),0)</f>
        <v>8</v>
      </c>
    </row>
    <row r="162" spans="1:18">
      <c r="A162" s="51">
        <f t="shared" si="23"/>
        <v>42639</v>
      </c>
      <c r="B162" s="11">
        <f t="shared" si="24"/>
        <v>42639</v>
      </c>
      <c r="C162" s="47">
        <f>SUMIFS('On The Board'!$M$5:$M$219,'On The Board'!F$5:F$219,"&lt;="&amp;$B162,'On The Board'!E$5:E$219,"="&amp;FutureWork)</f>
        <v>43</v>
      </c>
      <c r="D162" s="12">
        <f ca="1">IF(TodaysDate&gt;=B162,SUMIF('On The Board'!F$5:F$219,"&lt;="&amp;$B162,'On The Board'!$M$5:$M$219)-SUM(E162:I162),D161)</f>
        <v>47</v>
      </c>
      <c r="E162" s="12">
        <f>SUMIF('On The Board'!G$5:G$219,"&lt;="&amp;$B162,'On The Board'!$M$5:$M$219)-SUM(F162:I162)</f>
        <v>0</v>
      </c>
      <c r="F162" s="12">
        <f>SUMIF('On The Board'!H$5:H$219,"&lt;="&amp;$B162,'On The Board'!$M$5:$M$219)-SUM(G162:I162)</f>
        <v>5</v>
      </c>
      <c r="G162" s="12">
        <f>SUMIF('On The Board'!I$5:I$219,"&lt;="&amp;$B162,'On The Board'!$M$5:$M$219)-SUM(H162,I162)</f>
        <v>2</v>
      </c>
      <c r="H162" s="12">
        <f>SUMIF('On The Board'!J$5:J$219,"&lt;="&amp;$B162,'On The Board'!$M$5:$M$219)-SUM(I162)</f>
        <v>0</v>
      </c>
      <c r="I162" s="12">
        <f>SUMIF('On The Board'!K$5:K$219,"&lt;="&amp;$B162,'On The Board'!$M$5:$M$219)</f>
        <v>70</v>
      </c>
      <c r="J162" s="10">
        <f t="shared" si="25"/>
        <v>77</v>
      </c>
      <c r="K162" s="10" t="e">
        <f t="shared" ca="1" si="22"/>
        <v>#N/A</v>
      </c>
      <c r="L162" s="44" t="e">
        <f t="shared" ca="1" si="28"/>
        <v>#N/A</v>
      </c>
      <c r="M162" s="44" t="e">
        <f t="shared" ca="1" si="27"/>
        <v>#N/A</v>
      </c>
      <c r="N162" s="44" t="e">
        <f t="shared" ca="1" si="26"/>
        <v>#N/A</v>
      </c>
      <c r="O162" s="53" t="e">
        <f t="shared" ca="1" si="29"/>
        <v>#N/A</v>
      </c>
      <c r="P162" s="53" t="str">
        <f ca="1">IFERROR(DayByDayTable[[#This Row],[Lead Time]],"")</f>
        <v/>
      </c>
      <c r="Q162" s="44" t="e">
        <f t="shared" ca="1" si="30"/>
        <v>#N/A</v>
      </c>
      <c r="R162" s="44">
        <f ca="1">ROUND(PERCENTILE(DayByDayTable[[#Data],[BlankLeadTime]],0.8),0)</f>
        <v>8</v>
      </c>
    </row>
    <row r="163" spans="1:18">
      <c r="A163" s="51">
        <f t="shared" si="23"/>
        <v>42640</v>
      </c>
      <c r="B163" s="11">
        <f t="shared" si="24"/>
        <v>42640</v>
      </c>
      <c r="C163" s="47">
        <f>SUMIFS('On The Board'!$M$5:$M$219,'On The Board'!F$5:F$219,"&lt;="&amp;$B163,'On The Board'!E$5:E$219,"="&amp;FutureWork)</f>
        <v>43</v>
      </c>
      <c r="D163" s="12">
        <f ca="1">IF(TodaysDate&gt;=B163,SUMIF('On The Board'!F$5:F$219,"&lt;="&amp;$B163,'On The Board'!$M$5:$M$219)-SUM(E163:I163),D162)</f>
        <v>47</v>
      </c>
      <c r="E163" s="12">
        <f>SUMIF('On The Board'!G$5:G$219,"&lt;="&amp;$B163,'On The Board'!$M$5:$M$219)-SUM(F163:I163)</f>
        <v>0</v>
      </c>
      <c r="F163" s="12">
        <f>SUMIF('On The Board'!H$5:H$219,"&lt;="&amp;$B163,'On The Board'!$M$5:$M$219)-SUM(G163:I163)</f>
        <v>5</v>
      </c>
      <c r="G163" s="12">
        <f>SUMIF('On The Board'!I$5:I$219,"&lt;="&amp;$B163,'On The Board'!$M$5:$M$219)-SUM(H163,I163)</f>
        <v>2</v>
      </c>
      <c r="H163" s="12">
        <f>SUMIF('On The Board'!J$5:J$219,"&lt;="&amp;$B163,'On The Board'!$M$5:$M$219)-SUM(I163)</f>
        <v>0</v>
      </c>
      <c r="I163" s="12">
        <f>SUMIF('On The Board'!K$5:K$219,"&lt;="&amp;$B163,'On The Board'!$M$5:$M$219)</f>
        <v>70</v>
      </c>
      <c r="J163" s="10">
        <f t="shared" si="25"/>
        <v>77</v>
      </c>
      <c r="K163" s="10" t="e">
        <f t="shared" ca="1" si="22"/>
        <v>#N/A</v>
      </c>
      <c r="L163" s="44" t="e">
        <f t="shared" ca="1" si="28"/>
        <v>#N/A</v>
      </c>
      <c r="M163" s="44" t="e">
        <f t="shared" ca="1" si="27"/>
        <v>#N/A</v>
      </c>
      <c r="N163" s="44" t="e">
        <f t="shared" ca="1" si="26"/>
        <v>#N/A</v>
      </c>
      <c r="O163" s="53" t="e">
        <f t="shared" ca="1" si="29"/>
        <v>#N/A</v>
      </c>
      <c r="P163" s="53" t="str">
        <f ca="1">IFERROR(DayByDayTable[[#This Row],[Lead Time]],"")</f>
        <v/>
      </c>
      <c r="Q163" s="44" t="e">
        <f t="shared" ca="1" si="30"/>
        <v>#N/A</v>
      </c>
      <c r="R163" s="44">
        <f ca="1">ROUND(PERCENTILE(DayByDayTable[[#Data],[BlankLeadTime]],0.8),0)</f>
        <v>8</v>
      </c>
    </row>
    <row r="164" spans="1:18">
      <c r="A164" s="51">
        <f t="shared" si="23"/>
        <v>42641</v>
      </c>
      <c r="B164" s="11">
        <f t="shared" si="24"/>
        <v>42641</v>
      </c>
      <c r="C164" s="47">
        <f>SUMIFS('On The Board'!$M$5:$M$219,'On The Board'!F$5:F$219,"&lt;="&amp;$B164,'On The Board'!E$5:E$219,"="&amp;FutureWork)</f>
        <v>43</v>
      </c>
      <c r="D164" s="12">
        <f ca="1">IF(TodaysDate&gt;=B164,SUMIF('On The Board'!F$5:F$219,"&lt;="&amp;$B164,'On The Board'!$M$5:$M$219)-SUM(E164:I164),D163)</f>
        <v>47</v>
      </c>
      <c r="E164" s="12">
        <f>SUMIF('On The Board'!G$5:G$219,"&lt;="&amp;$B164,'On The Board'!$M$5:$M$219)-SUM(F164:I164)</f>
        <v>0</v>
      </c>
      <c r="F164" s="12">
        <f>SUMIF('On The Board'!H$5:H$219,"&lt;="&amp;$B164,'On The Board'!$M$5:$M$219)-SUM(G164:I164)</f>
        <v>5</v>
      </c>
      <c r="G164" s="12">
        <f>SUMIF('On The Board'!I$5:I$219,"&lt;="&amp;$B164,'On The Board'!$M$5:$M$219)-SUM(H164,I164)</f>
        <v>2</v>
      </c>
      <c r="H164" s="12">
        <f>SUMIF('On The Board'!J$5:J$219,"&lt;="&amp;$B164,'On The Board'!$M$5:$M$219)-SUM(I164)</f>
        <v>0</v>
      </c>
      <c r="I164" s="12">
        <f>SUMIF('On The Board'!K$5:K$219,"&lt;="&amp;$B164,'On The Board'!$M$5:$M$219)</f>
        <v>70</v>
      </c>
      <c r="J164" s="10">
        <f t="shared" si="25"/>
        <v>77</v>
      </c>
      <c r="K164" s="10" t="e">
        <f t="shared" ca="1" si="22"/>
        <v>#N/A</v>
      </c>
      <c r="L164" s="44" t="e">
        <f t="shared" ca="1" si="28"/>
        <v>#N/A</v>
      </c>
      <c r="M164" s="44" t="e">
        <f t="shared" ca="1" si="27"/>
        <v>#N/A</v>
      </c>
      <c r="N164" s="44" t="e">
        <f t="shared" ca="1" si="26"/>
        <v>#N/A</v>
      </c>
      <c r="O164" s="53" t="e">
        <f t="shared" ca="1" si="29"/>
        <v>#N/A</v>
      </c>
      <c r="P164" s="53" t="str">
        <f ca="1">IFERROR(DayByDayTable[[#This Row],[Lead Time]],"")</f>
        <v/>
      </c>
      <c r="Q164" s="44" t="e">
        <f t="shared" ca="1" si="30"/>
        <v>#N/A</v>
      </c>
      <c r="R164" s="44">
        <f ca="1">ROUND(PERCENTILE(DayByDayTable[[#Data],[BlankLeadTime]],0.8),0)</f>
        <v>8</v>
      </c>
    </row>
    <row r="165" spans="1:18">
      <c r="A165" s="51">
        <f t="shared" si="23"/>
        <v>42642</v>
      </c>
      <c r="B165" s="11">
        <f t="shared" si="24"/>
        <v>42642</v>
      </c>
      <c r="C165" s="47">
        <f>SUMIFS('On The Board'!$M$5:$M$219,'On The Board'!F$5:F$219,"&lt;="&amp;$B165,'On The Board'!E$5:E$219,"="&amp;FutureWork)</f>
        <v>43</v>
      </c>
      <c r="D165" s="12">
        <f ca="1">IF(TodaysDate&gt;=B165,SUMIF('On The Board'!F$5:F$219,"&lt;="&amp;$B165,'On The Board'!$M$5:$M$219)-SUM(E165:I165),D164)</f>
        <v>47</v>
      </c>
      <c r="E165" s="12">
        <f>SUMIF('On The Board'!G$5:G$219,"&lt;="&amp;$B165,'On The Board'!$M$5:$M$219)-SUM(F165:I165)</f>
        <v>0</v>
      </c>
      <c r="F165" s="12">
        <f>SUMIF('On The Board'!H$5:H$219,"&lt;="&amp;$B165,'On The Board'!$M$5:$M$219)-SUM(G165:I165)</f>
        <v>5</v>
      </c>
      <c r="G165" s="12">
        <f>SUMIF('On The Board'!I$5:I$219,"&lt;="&amp;$B165,'On The Board'!$M$5:$M$219)-SUM(H165,I165)</f>
        <v>2</v>
      </c>
      <c r="H165" s="12">
        <f>SUMIF('On The Board'!J$5:J$219,"&lt;="&amp;$B165,'On The Board'!$M$5:$M$219)-SUM(I165)</f>
        <v>0</v>
      </c>
      <c r="I165" s="12">
        <f>SUMIF('On The Board'!K$5:K$219,"&lt;="&amp;$B165,'On The Board'!$M$5:$M$219)</f>
        <v>70</v>
      </c>
      <c r="J165" s="10">
        <f t="shared" si="25"/>
        <v>77</v>
      </c>
      <c r="K165" s="10" t="e">
        <f t="shared" ca="1" si="22"/>
        <v>#N/A</v>
      </c>
      <c r="L165" s="44" t="e">
        <f t="shared" ca="1" si="28"/>
        <v>#N/A</v>
      </c>
      <c r="M165" s="44" t="e">
        <f t="shared" ca="1" si="27"/>
        <v>#N/A</v>
      </c>
      <c r="N165" s="44" t="e">
        <f t="shared" ca="1" si="26"/>
        <v>#N/A</v>
      </c>
      <c r="O165" s="53" t="e">
        <f t="shared" ca="1" si="29"/>
        <v>#N/A</v>
      </c>
      <c r="P165" s="53" t="str">
        <f ca="1">IFERROR(DayByDayTable[[#This Row],[Lead Time]],"")</f>
        <v/>
      </c>
      <c r="Q165" s="44" t="e">
        <f t="shared" ca="1" si="30"/>
        <v>#N/A</v>
      </c>
      <c r="R165" s="44">
        <f ca="1">ROUND(PERCENTILE(DayByDayTable[[#Data],[BlankLeadTime]],0.8),0)</f>
        <v>8</v>
      </c>
    </row>
    <row r="166" spans="1:18">
      <c r="A166" s="51">
        <f t="shared" si="23"/>
        <v>42643</v>
      </c>
      <c r="B166" s="11">
        <f t="shared" si="24"/>
        <v>42643</v>
      </c>
      <c r="C166" s="47">
        <f>SUMIFS('On The Board'!$M$5:$M$219,'On The Board'!F$5:F$219,"&lt;="&amp;$B166,'On The Board'!E$5:E$219,"="&amp;FutureWork)</f>
        <v>43</v>
      </c>
      <c r="D166" s="12">
        <f ca="1">IF(TodaysDate&gt;=B166,SUMIF('On The Board'!F$5:F$219,"&lt;="&amp;$B166,'On The Board'!$M$5:$M$219)-SUM(E166:I166),D165)</f>
        <v>47</v>
      </c>
      <c r="E166" s="12">
        <f>SUMIF('On The Board'!G$5:G$219,"&lt;="&amp;$B166,'On The Board'!$M$5:$M$219)-SUM(F166:I166)</f>
        <v>0</v>
      </c>
      <c r="F166" s="12">
        <f>SUMIF('On The Board'!H$5:H$219,"&lt;="&amp;$B166,'On The Board'!$M$5:$M$219)-SUM(G166:I166)</f>
        <v>5</v>
      </c>
      <c r="G166" s="12">
        <f>SUMIF('On The Board'!I$5:I$219,"&lt;="&amp;$B166,'On The Board'!$M$5:$M$219)-SUM(H166,I166)</f>
        <v>2</v>
      </c>
      <c r="H166" s="12">
        <f>SUMIF('On The Board'!J$5:J$219,"&lt;="&amp;$B166,'On The Board'!$M$5:$M$219)-SUM(I166)</f>
        <v>0</v>
      </c>
      <c r="I166" s="12">
        <f>SUMIF('On The Board'!K$5:K$219,"&lt;="&amp;$B166,'On The Board'!$M$5:$M$219)</f>
        <v>70</v>
      </c>
      <c r="J166" s="10">
        <f t="shared" si="25"/>
        <v>77</v>
      </c>
      <c r="K166" s="10" t="e">
        <f t="shared" ca="1" si="22"/>
        <v>#N/A</v>
      </c>
      <c r="L166" s="44" t="e">
        <f t="shared" ca="1" si="28"/>
        <v>#N/A</v>
      </c>
      <c r="M166" s="44" t="e">
        <f t="shared" ca="1" si="27"/>
        <v>#N/A</v>
      </c>
      <c r="N166" s="44" t="e">
        <f t="shared" ca="1" si="26"/>
        <v>#N/A</v>
      </c>
      <c r="O166" s="53" t="e">
        <f t="shared" ca="1" si="29"/>
        <v>#N/A</v>
      </c>
      <c r="P166" s="53" t="str">
        <f ca="1">IFERROR(DayByDayTable[[#This Row],[Lead Time]],"")</f>
        <v/>
      </c>
      <c r="Q166" s="44" t="e">
        <f t="shared" ca="1" si="30"/>
        <v>#N/A</v>
      </c>
      <c r="R166" s="44">
        <f ca="1">ROUND(PERCENTILE(DayByDayTable[[#Data],[BlankLeadTime]],0.8),0)</f>
        <v>8</v>
      </c>
    </row>
    <row r="167" spans="1:18">
      <c r="A167" s="51">
        <f t="shared" si="23"/>
        <v>42646</v>
      </c>
      <c r="B167" s="11">
        <f t="shared" si="24"/>
        <v>42646</v>
      </c>
      <c r="C167" s="47">
        <f>SUMIFS('On The Board'!$M$5:$M$219,'On The Board'!F$5:F$219,"&lt;="&amp;$B167,'On The Board'!E$5:E$219,"="&amp;FutureWork)</f>
        <v>43</v>
      </c>
      <c r="D167" s="12">
        <f ca="1">IF(TodaysDate&gt;=B167,SUMIF('On The Board'!F$5:F$219,"&lt;="&amp;$B167,'On The Board'!$M$5:$M$219)-SUM(E167:I167),D166)</f>
        <v>47</v>
      </c>
      <c r="E167" s="12">
        <f>SUMIF('On The Board'!G$5:G$219,"&lt;="&amp;$B167,'On The Board'!$M$5:$M$219)-SUM(F167:I167)</f>
        <v>0</v>
      </c>
      <c r="F167" s="12">
        <f>SUMIF('On The Board'!H$5:H$219,"&lt;="&amp;$B167,'On The Board'!$M$5:$M$219)-SUM(G167:I167)</f>
        <v>5</v>
      </c>
      <c r="G167" s="12">
        <f>SUMIF('On The Board'!I$5:I$219,"&lt;="&amp;$B167,'On The Board'!$M$5:$M$219)-SUM(H167,I167)</f>
        <v>2</v>
      </c>
      <c r="H167" s="12">
        <f>SUMIF('On The Board'!J$5:J$219,"&lt;="&amp;$B167,'On The Board'!$M$5:$M$219)-SUM(I167)</f>
        <v>0</v>
      </c>
      <c r="I167" s="12">
        <f>SUMIF('On The Board'!K$5:K$219,"&lt;="&amp;$B167,'On The Board'!$M$5:$M$219)</f>
        <v>70</v>
      </c>
      <c r="J167" s="10">
        <f t="shared" si="25"/>
        <v>77</v>
      </c>
      <c r="K167" s="10" t="e">
        <f t="shared" ca="1" si="22"/>
        <v>#N/A</v>
      </c>
      <c r="L167" s="44" t="e">
        <f t="shared" ca="1" si="28"/>
        <v>#N/A</v>
      </c>
      <c r="M167" s="44" t="e">
        <f t="shared" ca="1" si="27"/>
        <v>#N/A</v>
      </c>
      <c r="N167" s="44" t="e">
        <f t="shared" ca="1" si="26"/>
        <v>#N/A</v>
      </c>
      <c r="O167" s="53" t="e">
        <f t="shared" ca="1" si="29"/>
        <v>#N/A</v>
      </c>
      <c r="P167" s="53" t="str">
        <f ca="1">IFERROR(DayByDayTable[[#This Row],[Lead Time]],"")</f>
        <v/>
      </c>
      <c r="Q167" s="44" t="e">
        <f t="shared" ca="1" si="30"/>
        <v>#N/A</v>
      </c>
      <c r="R167" s="44">
        <f ca="1">ROUND(PERCENTILE(DayByDayTable[[#Data],[BlankLeadTime]],0.8),0)</f>
        <v>8</v>
      </c>
    </row>
    <row r="168" spans="1:18">
      <c r="A168" s="51">
        <f t="shared" si="23"/>
        <v>42647</v>
      </c>
      <c r="B168" s="11">
        <f t="shared" si="24"/>
        <v>42647</v>
      </c>
      <c r="C168" s="47">
        <f>SUMIFS('On The Board'!$M$5:$M$219,'On The Board'!F$5:F$219,"&lt;="&amp;$B168,'On The Board'!E$5:E$219,"="&amp;FutureWork)</f>
        <v>43</v>
      </c>
      <c r="D168" s="12">
        <f ca="1">IF(TodaysDate&gt;=B168,SUMIF('On The Board'!F$5:F$219,"&lt;="&amp;$B168,'On The Board'!$M$5:$M$219)-SUM(E168:I168),D167)</f>
        <v>47</v>
      </c>
      <c r="E168" s="12">
        <f>SUMIF('On The Board'!G$5:G$219,"&lt;="&amp;$B168,'On The Board'!$M$5:$M$219)-SUM(F168:I168)</f>
        <v>0</v>
      </c>
      <c r="F168" s="12">
        <f>SUMIF('On The Board'!H$5:H$219,"&lt;="&amp;$B168,'On The Board'!$M$5:$M$219)-SUM(G168:I168)</f>
        <v>5</v>
      </c>
      <c r="G168" s="12">
        <f>SUMIF('On The Board'!I$5:I$219,"&lt;="&amp;$B168,'On The Board'!$M$5:$M$219)-SUM(H168,I168)</f>
        <v>2</v>
      </c>
      <c r="H168" s="12">
        <f>SUMIF('On The Board'!J$5:J$219,"&lt;="&amp;$B168,'On The Board'!$M$5:$M$219)-SUM(I168)</f>
        <v>0</v>
      </c>
      <c r="I168" s="12">
        <f>SUMIF('On The Board'!K$5:K$219,"&lt;="&amp;$B168,'On The Board'!$M$5:$M$219)</f>
        <v>70</v>
      </c>
      <c r="J168" s="10">
        <f t="shared" si="25"/>
        <v>77</v>
      </c>
      <c r="K168" s="10" t="e">
        <f t="shared" ca="1" si="22"/>
        <v>#N/A</v>
      </c>
      <c r="L168" s="44" t="e">
        <f t="shared" ca="1" si="28"/>
        <v>#N/A</v>
      </c>
      <c r="M168" s="44" t="e">
        <f t="shared" ca="1" si="27"/>
        <v>#N/A</v>
      </c>
      <c r="N168" s="44" t="e">
        <f t="shared" ca="1" si="26"/>
        <v>#N/A</v>
      </c>
      <c r="O168" s="53" t="e">
        <f t="shared" ca="1" si="29"/>
        <v>#N/A</v>
      </c>
      <c r="P168" s="53" t="str">
        <f ca="1">IFERROR(DayByDayTable[[#This Row],[Lead Time]],"")</f>
        <v/>
      </c>
      <c r="Q168" s="44" t="e">
        <f t="shared" ca="1" si="30"/>
        <v>#N/A</v>
      </c>
      <c r="R168" s="44">
        <f ca="1">ROUND(PERCENTILE(DayByDayTable[[#Data],[BlankLeadTime]],0.8),0)</f>
        <v>8</v>
      </c>
    </row>
    <row r="169" spans="1:18">
      <c r="A169" s="51">
        <f t="shared" si="23"/>
        <v>42648</v>
      </c>
      <c r="B169" s="11">
        <f t="shared" si="24"/>
        <v>42648</v>
      </c>
      <c r="C169" s="47">
        <f>SUMIFS('On The Board'!$M$5:$M$219,'On The Board'!F$5:F$219,"&lt;="&amp;$B169,'On The Board'!E$5:E$219,"="&amp;FutureWork)</f>
        <v>43</v>
      </c>
      <c r="D169" s="12">
        <f ca="1">IF(TodaysDate&gt;=B169,SUMIF('On The Board'!F$5:F$219,"&lt;="&amp;$B169,'On The Board'!$M$5:$M$219)-SUM(E169:I169),D168)</f>
        <v>47</v>
      </c>
      <c r="E169" s="12">
        <f>SUMIF('On The Board'!G$5:G$219,"&lt;="&amp;$B169,'On The Board'!$M$5:$M$219)-SUM(F169:I169)</f>
        <v>0</v>
      </c>
      <c r="F169" s="12">
        <f>SUMIF('On The Board'!H$5:H$219,"&lt;="&amp;$B169,'On The Board'!$M$5:$M$219)-SUM(G169:I169)</f>
        <v>5</v>
      </c>
      <c r="G169" s="12">
        <f>SUMIF('On The Board'!I$5:I$219,"&lt;="&amp;$B169,'On The Board'!$M$5:$M$219)-SUM(H169,I169)</f>
        <v>2</v>
      </c>
      <c r="H169" s="12">
        <f>SUMIF('On The Board'!J$5:J$219,"&lt;="&amp;$B169,'On The Board'!$M$5:$M$219)-SUM(I169)</f>
        <v>0</v>
      </c>
      <c r="I169" s="12">
        <f>SUMIF('On The Board'!K$5:K$219,"&lt;="&amp;$B169,'On The Board'!$M$5:$M$219)</f>
        <v>70</v>
      </c>
      <c r="J169" s="10">
        <f t="shared" si="25"/>
        <v>77</v>
      </c>
      <c r="K169" s="10" t="e">
        <f t="shared" ca="1" si="22"/>
        <v>#N/A</v>
      </c>
      <c r="L169" s="44" t="e">
        <f t="shared" ca="1" si="28"/>
        <v>#N/A</v>
      </c>
      <c r="M169" s="44" t="e">
        <f t="shared" ca="1" si="27"/>
        <v>#N/A</v>
      </c>
      <c r="N169" s="44" t="e">
        <f t="shared" ca="1" si="26"/>
        <v>#N/A</v>
      </c>
      <c r="O169" s="53" t="e">
        <f t="shared" ca="1" si="29"/>
        <v>#N/A</v>
      </c>
      <c r="P169" s="53" t="str">
        <f ca="1">IFERROR(DayByDayTable[[#This Row],[Lead Time]],"")</f>
        <v/>
      </c>
      <c r="Q169" s="44" t="e">
        <f t="shared" ca="1" si="30"/>
        <v>#N/A</v>
      </c>
      <c r="R169" s="44">
        <f ca="1">ROUND(PERCENTILE(DayByDayTable[[#Data],[BlankLeadTime]],0.8),0)</f>
        <v>8</v>
      </c>
    </row>
    <row r="170" spans="1:18">
      <c r="A170" s="51">
        <f t="shared" si="23"/>
        <v>42649</v>
      </c>
      <c r="B170" s="11">
        <f t="shared" si="24"/>
        <v>42649</v>
      </c>
      <c r="C170" s="47">
        <f>SUMIFS('On The Board'!$M$5:$M$219,'On The Board'!F$5:F$219,"&lt;="&amp;$B170,'On The Board'!E$5:E$219,"="&amp;FutureWork)</f>
        <v>43</v>
      </c>
      <c r="D170" s="12">
        <f ca="1">IF(TodaysDate&gt;=B170,SUMIF('On The Board'!F$5:F$219,"&lt;="&amp;$B170,'On The Board'!$M$5:$M$219)-SUM(E170:I170),D169)</f>
        <v>47</v>
      </c>
      <c r="E170" s="12">
        <f>SUMIF('On The Board'!G$5:G$219,"&lt;="&amp;$B170,'On The Board'!$M$5:$M$219)-SUM(F170:I170)</f>
        <v>0</v>
      </c>
      <c r="F170" s="12">
        <f>SUMIF('On The Board'!H$5:H$219,"&lt;="&amp;$B170,'On The Board'!$M$5:$M$219)-SUM(G170:I170)</f>
        <v>5</v>
      </c>
      <c r="G170" s="12">
        <f>SUMIF('On The Board'!I$5:I$219,"&lt;="&amp;$B170,'On The Board'!$M$5:$M$219)-SUM(H170,I170)</f>
        <v>2</v>
      </c>
      <c r="H170" s="12">
        <f>SUMIF('On The Board'!J$5:J$219,"&lt;="&amp;$B170,'On The Board'!$M$5:$M$219)-SUM(I170)</f>
        <v>0</v>
      </c>
      <c r="I170" s="12">
        <f>SUMIF('On The Board'!K$5:K$219,"&lt;="&amp;$B170,'On The Board'!$M$5:$M$219)</f>
        <v>70</v>
      </c>
      <c r="J170" s="10">
        <f t="shared" si="25"/>
        <v>77</v>
      </c>
      <c r="K170" s="10" t="e">
        <f t="shared" ca="1" si="22"/>
        <v>#N/A</v>
      </c>
      <c r="L170" s="44" t="e">
        <f t="shared" ca="1" si="28"/>
        <v>#N/A</v>
      </c>
      <c r="M170" s="44" t="e">
        <f t="shared" ca="1" si="27"/>
        <v>#N/A</v>
      </c>
      <c r="N170" s="44" t="e">
        <f t="shared" ca="1" si="26"/>
        <v>#N/A</v>
      </c>
      <c r="O170" s="53" t="e">
        <f t="shared" ca="1" si="29"/>
        <v>#N/A</v>
      </c>
      <c r="P170" s="53" t="str">
        <f ca="1">IFERROR(DayByDayTable[[#This Row],[Lead Time]],"")</f>
        <v/>
      </c>
      <c r="Q170" s="44" t="e">
        <f t="shared" ca="1" si="30"/>
        <v>#N/A</v>
      </c>
      <c r="R170" s="44">
        <f ca="1">ROUND(PERCENTILE(DayByDayTable[[#Data],[BlankLeadTime]],0.8),0)</f>
        <v>8</v>
      </c>
    </row>
    <row r="171" spans="1:18">
      <c r="A171" s="51">
        <f t="shared" si="23"/>
        <v>42650</v>
      </c>
      <c r="B171" s="11">
        <f t="shared" si="24"/>
        <v>42650</v>
      </c>
      <c r="C171" s="47">
        <f>SUMIFS('On The Board'!$M$5:$M$219,'On The Board'!F$5:F$219,"&lt;="&amp;$B171,'On The Board'!E$5:E$219,"="&amp;FutureWork)</f>
        <v>43</v>
      </c>
      <c r="D171" s="12">
        <f ca="1">IF(TodaysDate&gt;=B171,SUMIF('On The Board'!F$5:F$219,"&lt;="&amp;$B171,'On The Board'!$M$5:$M$219)-SUM(E171:I171),D170)</f>
        <v>47</v>
      </c>
      <c r="E171" s="12">
        <f>SUMIF('On The Board'!G$5:G$219,"&lt;="&amp;$B171,'On The Board'!$M$5:$M$219)-SUM(F171:I171)</f>
        <v>0</v>
      </c>
      <c r="F171" s="12">
        <f>SUMIF('On The Board'!H$5:H$219,"&lt;="&amp;$B171,'On The Board'!$M$5:$M$219)-SUM(G171:I171)</f>
        <v>5</v>
      </c>
      <c r="G171" s="12">
        <f>SUMIF('On The Board'!I$5:I$219,"&lt;="&amp;$B171,'On The Board'!$M$5:$M$219)-SUM(H171,I171)</f>
        <v>2</v>
      </c>
      <c r="H171" s="12">
        <f>SUMIF('On The Board'!J$5:J$219,"&lt;="&amp;$B171,'On The Board'!$M$5:$M$219)-SUM(I171)</f>
        <v>0</v>
      </c>
      <c r="I171" s="12">
        <f>SUMIF('On The Board'!K$5:K$219,"&lt;="&amp;$B171,'On The Board'!$M$5:$M$219)</f>
        <v>70</v>
      </c>
      <c r="J171" s="10">
        <f t="shared" si="25"/>
        <v>77</v>
      </c>
      <c r="K171" s="10" t="e">
        <f t="shared" ca="1" si="22"/>
        <v>#N/A</v>
      </c>
      <c r="L171" s="44" t="e">
        <f t="shared" ca="1" si="28"/>
        <v>#N/A</v>
      </c>
      <c r="M171" s="44" t="e">
        <f t="shared" ca="1" si="27"/>
        <v>#N/A</v>
      </c>
      <c r="N171" s="44" t="e">
        <f t="shared" ca="1" si="26"/>
        <v>#N/A</v>
      </c>
      <c r="O171" s="53" t="e">
        <f t="shared" ca="1" si="29"/>
        <v>#N/A</v>
      </c>
      <c r="P171" s="53" t="str">
        <f ca="1">IFERROR(DayByDayTable[[#This Row],[Lead Time]],"")</f>
        <v/>
      </c>
      <c r="Q171" s="44" t="e">
        <f t="shared" ca="1" si="30"/>
        <v>#N/A</v>
      </c>
      <c r="R171" s="44">
        <f ca="1">ROUND(PERCENTILE(DayByDayTable[[#Data],[BlankLeadTime]],0.8),0)</f>
        <v>8</v>
      </c>
    </row>
    <row r="172" spans="1:18">
      <c r="A172" s="51">
        <f t="shared" si="23"/>
        <v>42653</v>
      </c>
      <c r="B172" s="11">
        <f t="shared" si="24"/>
        <v>42653</v>
      </c>
      <c r="C172" s="47">
        <f>SUMIFS('On The Board'!$M$5:$M$219,'On The Board'!F$5:F$219,"&lt;="&amp;$B172,'On The Board'!E$5:E$219,"="&amp;FutureWork)</f>
        <v>43</v>
      </c>
      <c r="D172" s="12">
        <f ca="1">IF(TodaysDate&gt;=B172,SUMIF('On The Board'!F$5:F$219,"&lt;="&amp;$B172,'On The Board'!$M$5:$M$219)-SUM(E172:I172),D171)</f>
        <v>47</v>
      </c>
      <c r="E172" s="12">
        <f>SUMIF('On The Board'!G$5:G$219,"&lt;="&amp;$B172,'On The Board'!$M$5:$M$219)-SUM(F172:I172)</f>
        <v>0</v>
      </c>
      <c r="F172" s="12">
        <f>SUMIF('On The Board'!H$5:H$219,"&lt;="&amp;$B172,'On The Board'!$M$5:$M$219)-SUM(G172:I172)</f>
        <v>5</v>
      </c>
      <c r="G172" s="12">
        <f>SUMIF('On The Board'!I$5:I$219,"&lt;="&amp;$B172,'On The Board'!$M$5:$M$219)-SUM(H172,I172)</f>
        <v>2</v>
      </c>
      <c r="H172" s="12">
        <f>SUMIF('On The Board'!J$5:J$219,"&lt;="&amp;$B172,'On The Board'!$M$5:$M$219)-SUM(I172)</f>
        <v>0</v>
      </c>
      <c r="I172" s="12">
        <f>SUMIF('On The Board'!K$5:K$219,"&lt;="&amp;$B172,'On The Board'!$M$5:$M$219)</f>
        <v>70</v>
      </c>
      <c r="J172" s="10">
        <f t="shared" si="25"/>
        <v>77</v>
      </c>
      <c r="K172" s="10" t="e">
        <f t="shared" ca="1" si="22"/>
        <v>#N/A</v>
      </c>
      <c r="L172" s="44" t="e">
        <f t="shared" ca="1" si="28"/>
        <v>#N/A</v>
      </c>
      <c r="M172" s="44" t="e">
        <f t="shared" ca="1" si="27"/>
        <v>#N/A</v>
      </c>
      <c r="N172" s="44" t="e">
        <f t="shared" ca="1" si="26"/>
        <v>#N/A</v>
      </c>
      <c r="O172" s="53" t="e">
        <f t="shared" ca="1" si="29"/>
        <v>#N/A</v>
      </c>
      <c r="P172" s="53" t="str">
        <f ca="1">IFERROR(DayByDayTable[[#This Row],[Lead Time]],"")</f>
        <v/>
      </c>
      <c r="Q172" s="44" t="e">
        <f t="shared" ca="1" si="30"/>
        <v>#N/A</v>
      </c>
      <c r="R172" s="44">
        <f ca="1">ROUND(PERCENTILE(DayByDayTable[[#Data],[BlankLeadTime]],0.8),0)</f>
        <v>8</v>
      </c>
    </row>
    <row r="173" spans="1:18">
      <c r="A173" s="51">
        <f t="shared" si="23"/>
        <v>42654</v>
      </c>
      <c r="B173" s="11">
        <f t="shared" si="24"/>
        <v>42654</v>
      </c>
      <c r="C173" s="47">
        <f>SUMIFS('On The Board'!$M$5:$M$219,'On The Board'!F$5:F$219,"&lt;="&amp;$B173,'On The Board'!E$5:E$219,"="&amp;FutureWork)</f>
        <v>43</v>
      </c>
      <c r="D173" s="12">
        <f ca="1">IF(TodaysDate&gt;=B173,SUMIF('On The Board'!F$5:F$219,"&lt;="&amp;$B173,'On The Board'!$M$5:$M$219)-SUM(E173:I173),D172)</f>
        <v>47</v>
      </c>
      <c r="E173" s="12">
        <f>SUMIF('On The Board'!G$5:G$219,"&lt;="&amp;$B173,'On The Board'!$M$5:$M$219)-SUM(F173:I173)</f>
        <v>0</v>
      </c>
      <c r="F173" s="12">
        <f>SUMIF('On The Board'!H$5:H$219,"&lt;="&amp;$B173,'On The Board'!$M$5:$M$219)-SUM(G173:I173)</f>
        <v>5</v>
      </c>
      <c r="G173" s="12">
        <f>SUMIF('On The Board'!I$5:I$219,"&lt;="&amp;$B173,'On The Board'!$M$5:$M$219)-SUM(H173,I173)</f>
        <v>2</v>
      </c>
      <c r="H173" s="12">
        <f>SUMIF('On The Board'!J$5:J$219,"&lt;="&amp;$B173,'On The Board'!$M$5:$M$219)-SUM(I173)</f>
        <v>0</v>
      </c>
      <c r="I173" s="12">
        <f>SUMIF('On The Board'!K$5:K$219,"&lt;="&amp;$B173,'On The Board'!$M$5:$M$219)</f>
        <v>70</v>
      </c>
      <c r="J173" s="10">
        <f t="shared" si="25"/>
        <v>77</v>
      </c>
      <c r="K173" s="10" t="e">
        <f t="shared" ca="1" si="22"/>
        <v>#N/A</v>
      </c>
      <c r="L173" s="44" t="e">
        <f t="shared" ca="1" si="28"/>
        <v>#N/A</v>
      </c>
      <c r="M173" s="44" t="e">
        <f t="shared" ca="1" si="27"/>
        <v>#N/A</v>
      </c>
      <c r="N173" s="44" t="e">
        <f t="shared" ca="1" si="26"/>
        <v>#N/A</v>
      </c>
      <c r="O173" s="53" t="e">
        <f t="shared" ca="1" si="29"/>
        <v>#N/A</v>
      </c>
      <c r="P173" s="53" t="str">
        <f ca="1">IFERROR(DayByDayTable[[#This Row],[Lead Time]],"")</f>
        <v/>
      </c>
      <c r="Q173" s="44" t="e">
        <f t="shared" ca="1" si="30"/>
        <v>#N/A</v>
      </c>
      <c r="R173" s="44">
        <f ca="1">ROUND(PERCENTILE(DayByDayTable[[#Data],[BlankLeadTime]],0.8),0)</f>
        <v>8</v>
      </c>
    </row>
    <row r="174" spans="1:18">
      <c r="A174" s="51">
        <f t="shared" si="23"/>
        <v>42655</v>
      </c>
      <c r="B174" s="11">
        <f t="shared" si="24"/>
        <v>42655</v>
      </c>
      <c r="C174" s="47">
        <f>SUMIFS('On The Board'!$M$5:$M$219,'On The Board'!F$5:F$219,"&lt;="&amp;$B174,'On The Board'!E$5:E$219,"="&amp;FutureWork)</f>
        <v>43</v>
      </c>
      <c r="D174" s="12">
        <f ca="1">IF(TodaysDate&gt;=B174,SUMIF('On The Board'!F$5:F$219,"&lt;="&amp;$B174,'On The Board'!$M$5:$M$219)-SUM(E174:I174),D173)</f>
        <v>47</v>
      </c>
      <c r="E174" s="12">
        <f>SUMIF('On The Board'!G$5:G$219,"&lt;="&amp;$B174,'On The Board'!$M$5:$M$219)-SUM(F174:I174)</f>
        <v>0</v>
      </c>
      <c r="F174" s="12">
        <f>SUMIF('On The Board'!H$5:H$219,"&lt;="&amp;$B174,'On The Board'!$M$5:$M$219)-SUM(G174:I174)</f>
        <v>5</v>
      </c>
      <c r="G174" s="12">
        <f>SUMIF('On The Board'!I$5:I$219,"&lt;="&amp;$B174,'On The Board'!$M$5:$M$219)-SUM(H174,I174)</f>
        <v>2</v>
      </c>
      <c r="H174" s="12">
        <f>SUMIF('On The Board'!J$5:J$219,"&lt;="&amp;$B174,'On The Board'!$M$5:$M$219)-SUM(I174)</f>
        <v>0</v>
      </c>
      <c r="I174" s="12">
        <f>SUMIF('On The Board'!K$5:K$219,"&lt;="&amp;$B174,'On The Board'!$M$5:$M$219)</f>
        <v>70</v>
      </c>
      <c r="J174" s="10">
        <f t="shared" si="25"/>
        <v>77</v>
      </c>
      <c r="K174" s="10" t="e">
        <f t="shared" ca="1" si="22"/>
        <v>#N/A</v>
      </c>
      <c r="L174" s="44" t="e">
        <f t="shared" ca="1" si="28"/>
        <v>#N/A</v>
      </c>
      <c r="M174" s="44" t="e">
        <f t="shared" ca="1" si="27"/>
        <v>#N/A</v>
      </c>
      <c r="N174" s="44" t="e">
        <f t="shared" ca="1" si="26"/>
        <v>#N/A</v>
      </c>
      <c r="O174" s="53" t="e">
        <f t="shared" ca="1" si="29"/>
        <v>#N/A</v>
      </c>
      <c r="P174" s="53" t="str">
        <f ca="1">IFERROR(DayByDayTable[[#This Row],[Lead Time]],"")</f>
        <v/>
      </c>
      <c r="Q174" s="44" t="e">
        <f t="shared" ca="1" si="30"/>
        <v>#N/A</v>
      </c>
      <c r="R174" s="44">
        <f ca="1">ROUND(PERCENTILE(DayByDayTable[[#Data],[BlankLeadTime]],0.8),0)</f>
        <v>8</v>
      </c>
    </row>
    <row r="175" spans="1:18">
      <c r="A175" s="51">
        <f t="shared" si="23"/>
        <v>42656</v>
      </c>
      <c r="B175" s="11">
        <f t="shared" si="24"/>
        <v>42656</v>
      </c>
      <c r="C175" s="47">
        <f>SUMIFS('On The Board'!$M$5:$M$219,'On The Board'!F$5:F$219,"&lt;="&amp;$B175,'On The Board'!E$5:E$219,"="&amp;FutureWork)</f>
        <v>43</v>
      </c>
      <c r="D175" s="12">
        <f ca="1">IF(TodaysDate&gt;=B175,SUMIF('On The Board'!F$5:F$219,"&lt;="&amp;$B175,'On The Board'!$M$5:$M$219)-SUM(E175:I175),D174)</f>
        <v>47</v>
      </c>
      <c r="E175" s="12">
        <f>SUMIF('On The Board'!G$5:G$219,"&lt;="&amp;$B175,'On The Board'!$M$5:$M$219)-SUM(F175:I175)</f>
        <v>0</v>
      </c>
      <c r="F175" s="12">
        <f>SUMIF('On The Board'!H$5:H$219,"&lt;="&amp;$B175,'On The Board'!$M$5:$M$219)-SUM(G175:I175)</f>
        <v>5</v>
      </c>
      <c r="G175" s="12">
        <f>SUMIF('On The Board'!I$5:I$219,"&lt;="&amp;$B175,'On The Board'!$M$5:$M$219)-SUM(H175,I175)</f>
        <v>2</v>
      </c>
      <c r="H175" s="12">
        <f>SUMIF('On The Board'!J$5:J$219,"&lt;="&amp;$B175,'On The Board'!$M$5:$M$219)-SUM(I175)</f>
        <v>0</v>
      </c>
      <c r="I175" s="12">
        <f>SUMIF('On The Board'!K$5:K$219,"&lt;="&amp;$B175,'On The Board'!$M$5:$M$219)</f>
        <v>70</v>
      </c>
      <c r="J175" s="10">
        <f t="shared" si="25"/>
        <v>77</v>
      </c>
      <c r="K175" s="10" t="e">
        <f t="shared" ca="1" si="22"/>
        <v>#N/A</v>
      </c>
      <c r="L175" s="44" t="e">
        <f t="shared" ca="1" si="28"/>
        <v>#N/A</v>
      </c>
      <c r="M175" s="44" t="e">
        <f t="shared" ca="1" si="27"/>
        <v>#N/A</v>
      </c>
      <c r="N175" s="44" t="e">
        <f t="shared" ca="1" si="26"/>
        <v>#N/A</v>
      </c>
      <c r="O175" s="53" t="e">
        <f t="shared" ca="1" si="29"/>
        <v>#N/A</v>
      </c>
      <c r="P175" s="53" t="str">
        <f ca="1">IFERROR(DayByDayTable[[#This Row],[Lead Time]],"")</f>
        <v/>
      </c>
      <c r="Q175" s="44" t="e">
        <f t="shared" ca="1" si="30"/>
        <v>#N/A</v>
      </c>
      <c r="R175" s="44">
        <f ca="1">ROUND(PERCENTILE(DayByDayTable[[#Data],[BlankLeadTime]],0.8),0)</f>
        <v>8</v>
      </c>
    </row>
    <row r="176" spans="1:18">
      <c r="A176" s="51">
        <f t="shared" si="23"/>
        <v>42657</v>
      </c>
      <c r="B176" s="11">
        <f t="shared" si="24"/>
        <v>42657</v>
      </c>
      <c r="C176" s="47">
        <f>SUMIFS('On The Board'!$M$5:$M$219,'On The Board'!F$5:F$219,"&lt;="&amp;$B176,'On The Board'!E$5:E$219,"="&amp;FutureWork)</f>
        <v>43</v>
      </c>
      <c r="D176" s="12">
        <f ca="1">IF(TodaysDate&gt;=B176,SUMIF('On The Board'!F$5:F$219,"&lt;="&amp;$B176,'On The Board'!$M$5:$M$219)-SUM(E176:I176),D175)</f>
        <v>47</v>
      </c>
      <c r="E176" s="12">
        <f>SUMIF('On The Board'!G$5:G$219,"&lt;="&amp;$B176,'On The Board'!$M$5:$M$219)-SUM(F176:I176)</f>
        <v>0</v>
      </c>
      <c r="F176" s="12">
        <f>SUMIF('On The Board'!H$5:H$219,"&lt;="&amp;$B176,'On The Board'!$M$5:$M$219)-SUM(G176:I176)</f>
        <v>5</v>
      </c>
      <c r="G176" s="12">
        <f>SUMIF('On The Board'!I$5:I$219,"&lt;="&amp;$B176,'On The Board'!$M$5:$M$219)-SUM(H176,I176)</f>
        <v>2</v>
      </c>
      <c r="H176" s="12">
        <f>SUMIF('On The Board'!J$5:J$219,"&lt;="&amp;$B176,'On The Board'!$M$5:$M$219)-SUM(I176)</f>
        <v>0</v>
      </c>
      <c r="I176" s="12">
        <f>SUMIF('On The Board'!K$5:K$219,"&lt;="&amp;$B176,'On The Board'!$M$5:$M$219)</f>
        <v>70</v>
      </c>
      <c r="J176" s="10">
        <f t="shared" si="25"/>
        <v>77</v>
      </c>
      <c r="K176" s="10" t="e">
        <f t="shared" ca="1" si="22"/>
        <v>#N/A</v>
      </c>
      <c r="L176" s="44" t="e">
        <f t="shared" ca="1" si="28"/>
        <v>#N/A</v>
      </c>
      <c r="M176" s="44" t="e">
        <f t="shared" ca="1" si="27"/>
        <v>#N/A</v>
      </c>
      <c r="N176" s="44" t="e">
        <f t="shared" ca="1" si="26"/>
        <v>#N/A</v>
      </c>
      <c r="O176" s="53" t="e">
        <f t="shared" ca="1" si="29"/>
        <v>#N/A</v>
      </c>
      <c r="P176" s="53" t="str">
        <f ca="1">IFERROR(DayByDayTable[[#This Row],[Lead Time]],"")</f>
        <v/>
      </c>
      <c r="Q176" s="44" t="e">
        <f t="shared" ca="1" si="30"/>
        <v>#N/A</v>
      </c>
      <c r="R176" s="44">
        <f ca="1">ROUND(PERCENTILE(DayByDayTable[[#Data],[BlankLeadTime]],0.8),0)</f>
        <v>8</v>
      </c>
    </row>
    <row r="177" spans="1:18">
      <c r="A177" s="51">
        <f t="shared" si="23"/>
        <v>42660</v>
      </c>
      <c r="B177" s="11">
        <f t="shared" si="24"/>
        <v>42660</v>
      </c>
      <c r="C177" s="47">
        <f>SUMIFS('On The Board'!$M$5:$M$219,'On The Board'!F$5:F$219,"&lt;="&amp;$B177,'On The Board'!E$5:E$219,"="&amp;FutureWork)</f>
        <v>43</v>
      </c>
      <c r="D177" s="12">
        <f ca="1">IF(TodaysDate&gt;=B177,SUMIF('On The Board'!F$5:F$219,"&lt;="&amp;$B177,'On The Board'!$M$5:$M$219)-SUM(E177:I177),D176)</f>
        <v>47</v>
      </c>
      <c r="E177" s="12">
        <f>SUMIF('On The Board'!G$5:G$219,"&lt;="&amp;$B177,'On The Board'!$M$5:$M$219)-SUM(F177:I177)</f>
        <v>0</v>
      </c>
      <c r="F177" s="12">
        <f>SUMIF('On The Board'!H$5:H$219,"&lt;="&amp;$B177,'On The Board'!$M$5:$M$219)-SUM(G177:I177)</f>
        <v>5</v>
      </c>
      <c r="G177" s="12">
        <f>SUMIF('On The Board'!I$5:I$219,"&lt;="&amp;$B177,'On The Board'!$M$5:$M$219)-SUM(H177,I177)</f>
        <v>2</v>
      </c>
      <c r="H177" s="12">
        <f>SUMIF('On The Board'!J$5:J$219,"&lt;="&amp;$B177,'On The Board'!$M$5:$M$219)-SUM(I177)</f>
        <v>0</v>
      </c>
      <c r="I177" s="12">
        <f>SUMIF('On The Board'!K$5:K$219,"&lt;="&amp;$B177,'On The Board'!$M$5:$M$219)</f>
        <v>70</v>
      </c>
      <c r="J177" s="10">
        <f t="shared" si="25"/>
        <v>77</v>
      </c>
      <c r="K177" s="10" t="e">
        <f t="shared" ca="1" si="22"/>
        <v>#N/A</v>
      </c>
      <c r="L177" s="44" t="e">
        <f t="shared" ca="1" si="28"/>
        <v>#N/A</v>
      </c>
      <c r="M177" s="44" t="e">
        <f t="shared" ca="1" si="27"/>
        <v>#N/A</v>
      </c>
      <c r="N177" s="44" t="e">
        <f t="shared" ca="1" si="26"/>
        <v>#N/A</v>
      </c>
      <c r="O177" s="53" t="e">
        <f t="shared" ca="1" si="29"/>
        <v>#N/A</v>
      </c>
      <c r="P177" s="53" t="str">
        <f ca="1">IFERROR(DayByDayTable[[#This Row],[Lead Time]],"")</f>
        <v/>
      </c>
      <c r="Q177" s="44" t="e">
        <f t="shared" ca="1" si="30"/>
        <v>#N/A</v>
      </c>
      <c r="R177" s="44">
        <f ca="1">ROUND(PERCENTILE(DayByDayTable[[#Data],[BlankLeadTime]],0.8),0)</f>
        <v>8</v>
      </c>
    </row>
    <row r="178" spans="1:18">
      <c r="A178" s="51">
        <f t="shared" si="23"/>
        <v>42661</v>
      </c>
      <c r="B178" s="11">
        <f t="shared" si="24"/>
        <v>42661</v>
      </c>
      <c r="C178" s="47">
        <f>SUMIFS('On The Board'!$M$5:$M$219,'On The Board'!F$5:F$219,"&lt;="&amp;$B178,'On The Board'!E$5:E$219,"="&amp;FutureWork)</f>
        <v>43</v>
      </c>
      <c r="D178" s="12">
        <f ca="1">IF(TodaysDate&gt;=B178,SUMIF('On The Board'!F$5:F$219,"&lt;="&amp;$B178,'On The Board'!$M$5:$M$219)-SUM(E178:I178),D177)</f>
        <v>47</v>
      </c>
      <c r="E178" s="12">
        <f>SUMIF('On The Board'!G$5:G$219,"&lt;="&amp;$B178,'On The Board'!$M$5:$M$219)-SUM(F178:I178)</f>
        <v>0</v>
      </c>
      <c r="F178" s="12">
        <f>SUMIF('On The Board'!H$5:H$219,"&lt;="&amp;$B178,'On The Board'!$M$5:$M$219)-SUM(G178:I178)</f>
        <v>5</v>
      </c>
      <c r="G178" s="12">
        <f>SUMIF('On The Board'!I$5:I$219,"&lt;="&amp;$B178,'On The Board'!$M$5:$M$219)-SUM(H178,I178)</f>
        <v>2</v>
      </c>
      <c r="H178" s="12">
        <f>SUMIF('On The Board'!J$5:J$219,"&lt;="&amp;$B178,'On The Board'!$M$5:$M$219)-SUM(I178)</f>
        <v>0</v>
      </c>
      <c r="I178" s="12">
        <f>SUMIF('On The Board'!K$5:K$219,"&lt;="&amp;$B178,'On The Board'!$M$5:$M$219)</f>
        <v>70</v>
      </c>
      <c r="J178" s="10">
        <f t="shared" si="25"/>
        <v>77</v>
      </c>
      <c r="K178" s="10" t="e">
        <f t="shared" ca="1" si="22"/>
        <v>#N/A</v>
      </c>
      <c r="L178" s="44" t="e">
        <f t="shared" ca="1" si="28"/>
        <v>#N/A</v>
      </c>
      <c r="M178" s="44" t="e">
        <f t="shared" ca="1" si="27"/>
        <v>#N/A</v>
      </c>
      <c r="N178" s="44" t="e">
        <f t="shared" ca="1" si="26"/>
        <v>#N/A</v>
      </c>
      <c r="O178" s="53" t="e">
        <f t="shared" ca="1" si="29"/>
        <v>#N/A</v>
      </c>
      <c r="P178" s="53" t="str">
        <f ca="1">IFERROR(DayByDayTable[[#This Row],[Lead Time]],"")</f>
        <v/>
      </c>
      <c r="Q178" s="44" t="e">
        <f t="shared" ca="1" si="30"/>
        <v>#N/A</v>
      </c>
      <c r="R178" s="44">
        <f ca="1">ROUND(PERCENTILE(DayByDayTable[[#Data],[BlankLeadTime]],0.8),0)</f>
        <v>8</v>
      </c>
    </row>
    <row r="179" spans="1:18">
      <c r="A179" s="51">
        <f t="shared" si="23"/>
        <v>42662</v>
      </c>
      <c r="B179" s="11">
        <f t="shared" si="24"/>
        <v>42662</v>
      </c>
      <c r="C179" s="47">
        <f>SUMIFS('On The Board'!$M$5:$M$219,'On The Board'!F$5:F$219,"&lt;="&amp;$B179,'On The Board'!E$5:E$219,"="&amp;FutureWork)</f>
        <v>43</v>
      </c>
      <c r="D179" s="12">
        <f ca="1">IF(TodaysDate&gt;=B179,SUMIF('On The Board'!F$5:F$219,"&lt;="&amp;$B179,'On The Board'!$M$5:$M$219)-SUM(E179:I179),D178)</f>
        <v>47</v>
      </c>
      <c r="E179" s="12">
        <f>SUMIF('On The Board'!G$5:G$219,"&lt;="&amp;$B179,'On The Board'!$M$5:$M$219)-SUM(F179:I179)</f>
        <v>0</v>
      </c>
      <c r="F179" s="12">
        <f>SUMIF('On The Board'!H$5:H$219,"&lt;="&amp;$B179,'On The Board'!$M$5:$M$219)-SUM(G179:I179)</f>
        <v>5</v>
      </c>
      <c r="G179" s="12">
        <f>SUMIF('On The Board'!I$5:I$219,"&lt;="&amp;$B179,'On The Board'!$M$5:$M$219)-SUM(H179,I179)</f>
        <v>2</v>
      </c>
      <c r="H179" s="12">
        <f>SUMIF('On The Board'!J$5:J$219,"&lt;="&amp;$B179,'On The Board'!$M$5:$M$219)-SUM(I179)</f>
        <v>0</v>
      </c>
      <c r="I179" s="12">
        <f>SUMIF('On The Board'!K$5:K$219,"&lt;="&amp;$B179,'On The Board'!$M$5:$M$219)</f>
        <v>70</v>
      </c>
      <c r="J179" s="10">
        <f t="shared" si="25"/>
        <v>77</v>
      </c>
      <c r="K179" s="10" t="e">
        <f t="shared" ca="1" si="22"/>
        <v>#N/A</v>
      </c>
      <c r="L179" s="44" t="e">
        <f t="shared" ca="1" si="28"/>
        <v>#N/A</v>
      </c>
      <c r="M179" s="44" t="e">
        <f t="shared" ca="1" si="27"/>
        <v>#N/A</v>
      </c>
      <c r="N179" s="44" t="e">
        <f t="shared" ca="1" si="26"/>
        <v>#N/A</v>
      </c>
      <c r="O179" s="53" t="e">
        <f t="shared" ca="1" si="29"/>
        <v>#N/A</v>
      </c>
      <c r="P179" s="53" t="str">
        <f ca="1">IFERROR(DayByDayTable[[#This Row],[Lead Time]],"")</f>
        <v/>
      </c>
      <c r="Q179" s="44" t="e">
        <f t="shared" ca="1" si="30"/>
        <v>#N/A</v>
      </c>
      <c r="R179" s="44">
        <f ca="1">ROUND(PERCENTILE(DayByDayTable[[#Data],[BlankLeadTime]],0.8),0)</f>
        <v>8</v>
      </c>
    </row>
    <row r="180" spans="1:18">
      <c r="A180" s="51">
        <f t="shared" si="23"/>
        <v>42663</v>
      </c>
      <c r="B180" s="11">
        <f t="shared" si="24"/>
        <v>42663</v>
      </c>
      <c r="C180" s="47">
        <f>SUMIFS('On The Board'!$M$5:$M$219,'On The Board'!F$5:F$219,"&lt;="&amp;$B180,'On The Board'!E$5:E$219,"="&amp;FutureWork)</f>
        <v>43</v>
      </c>
      <c r="D180" s="12">
        <f ca="1">IF(TodaysDate&gt;=B180,SUMIF('On The Board'!F$5:F$219,"&lt;="&amp;$B180,'On The Board'!$M$5:$M$219)-SUM(E180:I180),D179)</f>
        <v>47</v>
      </c>
      <c r="E180" s="12">
        <f>SUMIF('On The Board'!G$5:G$219,"&lt;="&amp;$B180,'On The Board'!$M$5:$M$219)-SUM(F180:I180)</f>
        <v>0</v>
      </c>
      <c r="F180" s="12">
        <f>SUMIF('On The Board'!H$5:H$219,"&lt;="&amp;$B180,'On The Board'!$M$5:$M$219)-SUM(G180:I180)</f>
        <v>5</v>
      </c>
      <c r="G180" s="12">
        <f>SUMIF('On The Board'!I$5:I$219,"&lt;="&amp;$B180,'On The Board'!$M$5:$M$219)-SUM(H180,I180)</f>
        <v>2</v>
      </c>
      <c r="H180" s="12">
        <f>SUMIF('On The Board'!J$5:J$219,"&lt;="&amp;$B180,'On The Board'!$M$5:$M$219)-SUM(I180)</f>
        <v>0</v>
      </c>
      <c r="I180" s="12">
        <f>SUMIF('On The Board'!K$5:K$219,"&lt;="&amp;$B180,'On The Board'!$M$5:$M$219)</f>
        <v>70</v>
      </c>
      <c r="J180" s="10">
        <f t="shared" si="25"/>
        <v>77</v>
      </c>
      <c r="K180" s="10" t="e">
        <f t="shared" ca="1" si="22"/>
        <v>#N/A</v>
      </c>
      <c r="L180" s="44" t="e">
        <f t="shared" ca="1" si="28"/>
        <v>#N/A</v>
      </c>
      <c r="M180" s="44" t="e">
        <f t="shared" ca="1" si="27"/>
        <v>#N/A</v>
      </c>
      <c r="N180" s="44" t="e">
        <f t="shared" ca="1" si="26"/>
        <v>#N/A</v>
      </c>
      <c r="O180" s="53" t="e">
        <f t="shared" ca="1" si="29"/>
        <v>#N/A</v>
      </c>
      <c r="P180" s="53" t="str">
        <f ca="1">IFERROR(DayByDayTable[[#This Row],[Lead Time]],"")</f>
        <v/>
      </c>
      <c r="Q180" s="44" t="e">
        <f t="shared" ca="1" si="30"/>
        <v>#N/A</v>
      </c>
      <c r="R180" s="44">
        <f ca="1">ROUND(PERCENTILE(DayByDayTable[[#Data],[BlankLeadTime]],0.8),0)</f>
        <v>8</v>
      </c>
    </row>
    <row r="181" spans="1:18">
      <c r="A181" s="51">
        <f t="shared" si="23"/>
        <v>42664</v>
      </c>
      <c r="B181" s="11">
        <f t="shared" si="24"/>
        <v>42664</v>
      </c>
      <c r="C181" s="47">
        <f>SUMIFS('On The Board'!$M$5:$M$219,'On The Board'!F$5:F$219,"&lt;="&amp;$B181,'On The Board'!E$5:E$219,"="&amp;FutureWork)</f>
        <v>43</v>
      </c>
      <c r="D181" s="12">
        <f ca="1">IF(TodaysDate&gt;=B181,SUMIF('On The Board'!F$5:F$219,"&lt;="&amp;$B181,'On The Board'!$M$5:$M$219)-SUM(E181:I181),D180)</f>
        <v>47</v>
      </c>
      <c r="E181" s="12">
        <f>SUMIF('On The Board'!G$5:G$219,"&lt;="&amp;$B181,'On The Board'!$M$5:$M$219)-SUM(F181:I181)</f>
        <v>0</v>
      </c>
      <c r="F181" s="12">
        <f>SUMIF('On The Board'!H$5:H$219,"&lt;="&amp;$B181,'On The Board'!$M$5:$M$219)-SUM(G181:I181)</f>
        <v>5</v>
      </c>
      <c r="G181" s="12">
        <f>SUMIF('On The Board'!I$5:I$219,"&lt;="&amp;$B181,'On The Board'!$M$5:$M$219)-SUM(H181,I181)</f>
        <v>2</v>
      </c>
      <c r="H181" s="12">
        <f>SUMIF('On The Board'!J$5:J$219,"&lt;="&amp;$B181,'On The Board'!$M$5:$M$219)-SUM(I181)</f>
        <v>0</v>
      </c>
      <c r="I181" s="12">
        <f>SUMIF('On The Board'!K$5:K$219,"&lt;="&amp;$B181,'On The Board'!$M$5:$M$219)</f>
        <v>70</v>
      </c>
      <c r="J181" s="10">
        <f t="shared" si="25"/>
        <v>77</v>
      </c>
      <c r="K181" s="10" t="e">
        <f t="shared" ca="1" si="22"/>
        <v>#N/A</v>
      </c>
      <c r="L181" s="44" t="e">
        <f t="shared" ca="1" si="28"/>
        <v>#N/A</v>
      </c>
      <c r="M181" s="44" t="e">
        <f t="shared" ca="1" si="27"/>
        <v>#N/A</v>
      </c>
      <c r="N181" s="44" t="e">
        <f t="shared" ca="1" si="26"/>
        <v>#N/A</v>
      </c>
      <c r="O181" s="53" t="e">
        <f t="shared" ca="1" si="29"/>
        <v>#N/A</v>
      </c>
      <c r="P181" s="53" t="str">
        <f ca="1">IFERROR(DayByDayTable[[#This Row],[Lead Time]],"")</f>
        <v/>
      </c>
      <c r="Q181" s="44" t="e">
        <f t="shared" ca="1" si="30"/>
        <v>#N/A</v>
      </c>
      <c r="R181" s="44">
        <f ca="1">ROUND(PERCENTILE(DayByDayTable[[#Data],[BlankLeadTime]],0.8),0)</f>
        <v>8</v>
      </c>
    </row>
    <row r="182" spans="1:18">
      <c r="A182" s="51">
        <f t="shared" si="23"/>
        <v>42667</v>
      </c>
      <c r="B182" s="11">
        <f t="shared" si="24"/>
        <v>42667</v>
      </c>
      <c r="C182" s="47">
        <f>SUMIFS('On The Board'!$M$5:$M$219,'On The Board'!F$5:F$219,"&lt;="&amp;$B182,'On The Board'!E$5:E$219,"="&amp;FutureWork)</f>
        <v>43</v>
      </c>
      <c r="D182" s="12">
        <f ca="1">IF(TodaysDate&gt;=B182,SUMIF('On The Board'!F$5:F$219,"&lt;="&amp;$B182,'On The Board'!$M$5:$M$219)-SUM(E182:I182),D181)</f>
        <v>47</v>
      </c>
      <c r="E182" s="12">
        <f>SUMIF('On The Board'!G$5:G$219,"&lt;="&amp;$B182,'On The Board'!$M$5:$M$219)-SUM(F182:I182)</f>
        <v>0</v>
      </c>
      <c r="F182" s="12">
        <f>SUMIF('On The Board'!H$5:H$219,"&lt;="&amp;$B182,'On The Board'!$M$5:$M$219)-SUM(G182:I182)</f>
        <v>5</v>
      </c>
      <c r="G182" s="12">
        <f>SUMIF('On The Board'!I$5:I$219,"&lt;="&amp;$B182,'On The Board'!$M$5:$M$219)-SUM(H182,I182)</f>
        <v>2</v>
      </c>
      <c r="H182" s="12">
        <f>SUMIF('On The Board'!J$5:J$219,"&lt;="&amp;$B182,'On The Board'!$M$5:$M$219)-SUM(I182)</f>
        <v>0</v>
      </c>
      <c r="I182" s="12">
        <f>SUMIF('On The Board'!K$5:K$219,"&lt;="&amp;$B182,'On The Board'!$M$5:$M$219)</f>
        <v>70</v>
      </c>
      <c r="J182" s="10">
        <f t="shared" si="25"/>
        <v>77</v>
      </c>
      <c r="K182" s="10" t="e">
        <f t="shared" ca="1" si="22"/>
        <v>#N/A</v>
      </c>
      <c r="L182" s="44" t="e">
        <f t="shared" ca="1" si="28"/>
        <v>#N/A</v>
      </c>
      <c r="M182" s="44" t="e">
        <f t="shared" ca="1" si="27"/>
        <v>#N/A</v>
      </c>
      <c r="N182" s="44" t="e">
        <f t="shared" ca="1" si="26"/>
        <v>#N/A</v>
      </c>
      <c r="O182" s="53" t="e">
        <f t="shared" ca="1" si="29"/>
        <v>#N/A</v>
      </c>
      <c r="P182" s="53" t="str">
        <f ca="1">IFERROR(DayByDayTable[[#This Row],[Lead Time]],"")</f>
        <v/>
      </c>
      <c r="Q182" s="44" t="e">
        <f t="shared" ca="1" si="30"/>
        <v>#N/A</v>
      </c>
      <c r="R182" s="44">
        <f ca="1">ROUND(PERCENTILE(DayByDayTable[[#Data],[BlankLeadTime]],0.8),0)</f>
        <v>8</v>
      </c>
    </row>
    <row r="183" spans="1:18">
      <c r="A183" s="51">
        <f t="shared" si="23"/>
        <v>42668</v>
      </c>
      <c r="B183" s="11">
        <f t="shared" si="24"/>
        <v>42668</v>
      </c>
      <c r="C183" s="47">
        <f>SUMIFS('On The Board'!$M$5:$M$219,'On The Board'!F$5:F$219,"&lt;="&amp;$B183,'On The Board'!E$5:E$219,"="&amp;FutureWork)</f>
        <v>43</v>
      </c>
      <c r="D183" s="12">
        <f ca="1">IF(TodaysDate&gt;=B183,SUMIF('On The Board'!F$5:F$219,"&lt;="&amp;$B183,'On The Board'!$M$5:$M$219)-SUM(E183:I183),D182)</f>
        <v>47</v>
      </c>
      <c r="E183" s="12">
        <f>SUMIF('On The Board'!G$5:G$219,"&lt;="&amp;$B183,'On The Board'!$M$5:$M$219)-SUM(F183:I183)</f>
        <v>0</v>
      </c>
      <c r="F183" s="12">
        <f>SUMIF('On The Board'!H$5:H$219,"&lt;="&amp;$B183,'On The Board'!$M$5:$M$219)-SUM(G183:I183)</f>
        <v>5</v>
      </c>
      <c r="G183" s="12">
        <f>SUMIF('On The Board'!I$5:I$219,"&lt;="&amp;$B183,'On The Board'!$M$5:$M$219)-SUM(H183,I183)</f>
        <v>2</v>
      </c>
      <c r="H183" s="12">
        <f>SUMIF('On The Board'!J$5:J$219,"&lt;="&amp;$B183,'On The Board'!$M$5:$M$219)-SUM(I183)</f>
        <v>0</v>
      </c>
      <c r="I183" s="12">
        <f>SUMIF('On The Board'!K$5:K$219,"&lt;="&amp;$B183,'On The Board'!$M$5:$M$219)</f>
        <v>70</v>
      </c>
      <c r="J183" s="10">
        <f t="shared" si="25"/>
        <v>77</v>
      </c>
      <c r="K183" s="10" t="e">
        <f t="shared" ca="1" si="22"/>
        <v>#N/A</v>
      </c>
      <c r="L183" s="44" t="e">
        <f t="shared" ca="1" si="28"/>
        <v>#N/A</v>
      </c>
      <c r="M183" s="44" t="e">
        <f t="shared" ca="1" si="27"/>
        <v>#N/A</v>
      </c>
      <c r="N183" s="44" t="e">
        <f t="shared" ca="1" si="26"/>
        <v>#N/A</v>
      </c>
      <c r="O183" s="53" t="e">
        <f t="shared" ca="1" si="29"/>
        <v>#N/A</v>
      </c>
      <c r="P183" s="53" t="str">
        <f ca="1">IFERROR(DayByDayTable[[#This Row],[Lead Time]],"")</f>
        <v/>
      </c>
      <c r="Q183" s="44" t="e">
        <f t="shared" ca="1" si="30"/>
        <v>#N/A</v>
      </c>
      <c r="R183" s="44">
        <f ca="1">ROUND(PERCENTILE(DayByDayTable[[#Data],[BlankLeadTime]],0.8),0)</f>
        <v>8</v>
      </c>
    </row>
    <row r="184" spans="1:18">
      <c r="A184" s="51">
        <f t="shared" si="23"/>
        <v>42669</v>
      </c>
      <c r="B184" s="11">
        <f t="shared" si="24"/>
        <v>42669</v>
      </c>
      <c r="C184" s="47">
        <f>SUMIFS('On The Board'!$M$5:$M$219,'On The Board'!F$5:F$219,"&lt;="&amp;$B184,'On The Board'!E$5:E$219,"="&amp;FutureWork)</f>
        <v>43</v>
      </c>
      <c r="D184" s="12">
        <f ca="1">IF(TodaysDate&gt;=B184,SUMIF('On The Board'!F$5:F$219,"&lt;="&amp;$B184,'On The Board'!$M$5:$M$219)-SUM(E184:I184),D183)</f>
        <v>47</v>
      </c>
      <c r="E184" s="12">
        <f>SUMIF('On The Board'!G$5:G$219,"&lt;="&amp;$B184,'On The Board'!$M$5:$M$219)-SUM(F184:I184)</f>
        <v>0</v>
      </c>
      <c r="F184" s="12">
        <f>SUMIF('On The Board'!H$5:H$219,"&lt;="&amp;$B184,'On The Board'!$M$5:$M$219)-SUM(G184:I184)</f>
        <v>5</v>
      </c>
      <c r="G184" s="12">
        <f>SUMIF('On The Board'!I$5:I$219,"&lt;="&amp;$B184,'On The Board'!$M$5:$M$219)-SUM(H184,I184)</f>
        <v>2</v>
      </c>
      <c r="H184" s="12">
        <f>SUMIF('On The Board'!J$5:J$219,"&lt;="&amp;$B184,'On The Board'!$M$5:$M$219)-SUM(I184)</f>
        <v>0</v>
      </c>
      <c r="I184" s="12">
        <f>SUMIF('On The Board'!K$5:K$219,"&lt;="&amp;$B184,'On The Board'!$M$5:$M$219)</f>
        <v>70</v>
      </c>
      <c r="J184" s="10">
        <f t="shared" si="25"/>
        <v>77</v>
      </c>
      <c r="K184" s="10" t="e">
        <f t="shared" ca="1" si="22"/>
        <v>#N/A</v>
      </c>
      <c r="L184" s="44" t="e">
        <f t="shared" ca="1" si="28"/>
        <v>#N/A</v>
      </c>
      <c r="M184" s="44" t="e">
        <f t="shared" ca="1" si="27"/>
        <v>#N/A</v>
      </c>
      <c r="N184" s="44" t="e">
        <f t="shared" ca="1" si="26"/>
        <v>#N/A</v>
      </c>
      <c r="O184" s="53" t="e">
        <f t="shared" ca="1" si="29"/>
        <v>#N/A</v>
      </c>
      <c r="P184" s="53" t="str">
        <f ca="1">IFERROR(DayByDayTable[[#This Row],[Lead Time]],"")</f>
        <v/>
      </c>
      <c r="Q184" s="44" t="e">
        <f t="shared" ca="1" si="30"/>
        <v>#N/A</v>
      </c>
      <c r="R184" s="44">
        <f ca="1">ROUND(PERCENTILE(DayByDayTable[[#Data],[BlankLeadTime]],0.8),0)</f>
        <v>8</v>
      </c>
    </row>
    <row r="185" spans="1:18">
      <c r="A185" s="51">
        <f t="shared" si="23"/>
        <v>42670</v>
      </c>
      <c r="B185" s="11">
        <f t="shared" si="24"/>
        <v>42670</v>
      </c>
      <c r="C185" s="47">
        <f>SUMIFS('On The Board'!$M$5:$M$219,'On The Board'!F$5:F$219,"&lt;="&amp;$B185,'On The Board'!E$5:E$219,"="&amp;FutureWork)</f>
        <v>43</v>
      </c>
      <c r="D185" s="12">
        <f ca="1">IF(TodaysDate&gt;=B185,SUMIF('On The Board'!F$5:F$219,"&lt;="&amp;$B185,'On The Board'!$M$5:$M$219)-SUM(E185:I185),D184)</f>
        <v>47</v>
      </c>
      <c r="E185" s="12">
        <f>SUMIF('On The Board'!G$5:G$219,"&lt;="&amp;$B185,'On The Board'!$M$5:$M$219)-SUM(F185:I185)</f>
        <v>0</v>
      </c>
      <c r="F185" s="12">
        <f>SUMIF('On The Board'!H$5:H$219,"&lt;="&amp;$B185,'On The Board'!$M$5:$M$219)-SUM(G185:I185)</f>
        <v>5</v>
      </c>
      <c r="G185" s="12">
        <f>SUMIF('On The Board'!I$5:I$219,"&lt;="&amp;$B185,'On The Board'!$M$5:$M$219)-SUM(H185,I185)</f>
        <v>2</v>
      </c>
      <c r="H185" s="12">
        <f>SUMIF('On The Board'!J$5:J$219,"&lt;="&amp;$B185,'On The Board'!$M$5:$M$219)-SUM(I185)</f>
        <v>0</v>
      </c>
      <c r="I185" s="12">
        <f>SUMIF('On The Board'!K$5:K$219,"&lt;="&amp;$B185,'On The Board'!$M$5:$M$219)</f>
        <v>70</v>
      </c>
      <c r="J185" s="10">
        <f t="shared" si="25"/>
        <v>77</v>
      </c>
      <c r="K185" s="10" t="e">
        <f t="shared" ca="1" si="22"/>
        <v>#N/A</v>
      </c>
      <c r="L185" s="44" t="e">
        <f t="shared" ca="1" si="28"/>
        <v>#N/A</v>
      </c>
      <c r="M185" s="44" t="e">
        <f t="shared" ca="1" si="27"/>
        <v>#N/A</v>
      </c>
      <c r="N185" s="44" t="e">
        <f t="shared" ca="1" si="26"/>
        <v>#N/A</v>
      </c>
      <c r="O185" s="53" t="e">
        <f t="shared" ca="1" si="29"/>
        <v>#N/A</v>
      </c>
      <c r="P185" s="53" t="str">
        <f ca="1">IFERROR(DayByDayTable[[#This Row],[Lead Time]],"")</f>
        <v/>
      </c>
      <c r="Q185" s="44" t="e">
        <f t="shared" ca="1" si="30"/>
        <v>#N/A</v>
      </c>
      <c r="R185" s="44">
        <f ca="1">ROUND(PERCENTILE(DayByDayTable[[#Data],[BlankLeadTime]],0.8),0)</f>
        <v>8</v>
      </c>
    </row>
    <row r="186" spans="1:18">
      <c r="A186" s="51">
        <f t="shared" si="23"/>
        <v>42671</v>
      </c>
      <c r="B186" s="11">
        <f t="shared" si="24"/>
        <v>42671</v>
      </c>
      <c r="C186" s="47">
        <f>SUMIFS('On The Board'!$M$5:$M$219,'On The Board'!F$5:F$219,"&lt;="&amp;$B186,'On The Board'!E$5:E$219,"="&amp;FutureWork)</f>
        <v>43</v>
      </c>
      <c r="D186" s="12">
        <f ca="1">IF(TodaysDate&gt;=B186,SUMIF('On The Board'!F$5:F$219,"&lt;="&amp;$B186,'On The Board'!$M$5:$M$219)-SUM(E186:I186),D185)</f>
        <v>47</v>
      </c>
      <c r="E186" s="12">
        <f>SUMIF('On The Board'!G$5:G$219,"&lt;="&amp;$B186,'On The Board'!$M$5:$M$219)-SUM(F186:I186)</f>
        <v>0</v>
      </c>
      <c r="F186" s="12">
        <f>SUMIF('On The Board'!H$5:H$219,"&lt;="&amp;$B186,'On The Board'!$M$5:$M$219)-SUM(G186:I186)</f>
        <v>5</v>
      </c>
      <c r="G186" s="12">
        <f>SUMIF('On The Board'!I$5:I$219,"&lt;="&amp;$B186,'On The Board'!$M$5:$M$219)-SUM(H186,I186)</f>
        <v>2</v>
      </c>
      <c r="H186" s="12">
        <f>SUMIF('On The Board'!J$5:J$219,"&lt;="&amp;$B186,'On The Board'!$M$5:$M$219)-SUM(I186)</f>
        <v>0</v>
      </c>
      <c r="I186" s="12">
        <f>SUMIF('On The Board'!K$5:K$219,"&lt;="&amp;$B186,'On The Board'!$M$5:$M$219)</f>
        <v>70</v>
      </c>
      <c r="J186" s="10">
        <f t="shared" si="25"/>
        <v>77</v>
      </c>
      <c r="K186" s="10" t="e">
        <f t="shared" ca="1" si="22"/>
        <v>#N/A</v>
      </c>
      <c r="L186" s="44" t="e">
        <f t="shared" ca="1" si="28"/>
        <v>#N/A</v>
      </c>
      <c r="M186" s="44" t="e">
        <f t="shared" ca="1" si="27"/>
        <v>#N/A</v>
      </c>
      <c r="N186" s="44" t="e">
        <f t="shared" ca="1" si="26"/>
        <v>#N/A</v>
      </c>
      <c r="O186" s="53" t="e">
        <f t="shared" ca="1" si="29"/>
        <v>#N/A</v>
      </c>
      <c r="P186" s="53" t="str">
        <f ca="1">IFERROR(DayByDayTable[[#This Row],[Lead Time]],"")</f>
        <v/>
      </c>
      <c r="Q186" s="44" t="e">
        <f t="shared" ca="1" si="30"/>
        <v>#N/A</v>
      </c>
      <c r="R186" s="44">
        <f ca="1">ROUND(PERCENTILE(DayByDayTable[[#Data],[BlankLeadTime]],0.8),0)</f>
        <v>8</v>
      </c>
    </row>
    <row r="187" spans="1:18">
      <c r="A187" s="51">
        <f t="shared" si="23"/>
        <v>42674</v>
      </c>
      <c r="B187" s="11">
        <f t="shared" si="24"/>
        <v>42674</v>
      </c>
      <c r="C187" s="47">
        <f>SUMIFS('On The Board'!$M$5:$M$219,'On The Board'!F$5:F$219,"&lt;="&amp;$B187,'On The Board'!E$5:E$219,"="&amp;FutureWork)</f>
        <v>43</v>
      </c>
      <c r="D187" s="12">
        <f ca="1">IF(TodaysDate&gt;=B187,SUMIF('On The Board'!F$5:F$219,"&lt;="&amp;$B187,'On The Board'!$M$5:$M$219)-SUM(E187:I187),D186)</f>
        <v>47</v>
      </c>
      <c r="E187" s="12">
        <f>SUMIF('On The Board'!G$5:G$219,"&lt;="&amp;$B187,'On The Board'!$M$5:$M$219)-SUM(F187:I187)</f>
        <v>0</v>
      </c>
      <c r="F187" s="12">
        <f>SUMIF('On The Board'!H$5:H$219,"&lt;="&amp;$B187,'On The Board'!$M$5:$M$219)-SUM(G187:I187)</f>
        <v>5</v>
      </c>
      <c r="G187" s="12">
        <f>SUMIF('On The Board'!I$5:I$219,"&lt;="&amp;$B187,'On The Board'!$M$5:$M$219)-SUM(H187,I187)</f>
        <v>2</v>
      </c>
      <c r="H187" s="12">
        <f>SUMIF('On The Board'!J$5:J$219,"&lt;="&amp;$B187,'On The Board'!$M$5:$M$219)-SUM(I187)</f>
        <v>0</v>
      </c>
      <c r="I187" s="12">
        <f>SUMIF('On The Board'!K$5:K$219,"&lt;="&amp;$B187,'On The Board'!$M$5:$M$219)</f>
        <v>70</v>
      </c>
      <c r="J187" s="10">
        <f t="shared" si="25"/>
        <v>77</v>
      </c>
      <c r="K187" s="10" t="e">
        <f t="shared" ca="1" si="22"/>
        <v>#N/A</v>
      </c>
      <c r="L187" s="44" t="e">
        <f t="shared" ca="1" si="28"/>
        <v>#N/A</v>
      </c>
      <c r="M187" s="44" t="e">
        <f t="shared" ca="1" si="27"/>
        <v>#N/A</v>
      </c>
      <c r="N187" s="44" t="e">
        <f t="shared" ca="1" si="26"/>
        <v>#N/A</v>
      </c>
      <c r="O187" s="53" t="e">
        <f t="shared" ca="1" si="29"/>
        <v>#N/A</v>
      </c>
      <c r="P187" s="53" t="str">
        <f ca="1">IFERROR(DayByDayTable[[#This Row],[Lead Time]],"")</f>
        <v/>
      </c>
      <c r="Q187" s="44" t="e">
        <f t="shared" ca="1" si="30"/>
        <v>#N/A</v>
      </c>
      <c r="R187" s="44">
        <f ca="1">ROUND(PERCENTILE(DayByDayTable[[#Data],[BlankLeadTime]],0.8),0)</f>
        <v>8</v>
      </c>
    </row>
    <row r="188" spans="1:18">
      <c r="A188" s="51">
        <f t="shared" si="23"/>
        <v>42675</v>
      </c>
      <c r="B188" s="11">
        <f t="shared" si="24"/>
        <v>42675</v>
      </c>
      <c r="C188" s="47">
        <f>SUMIFS('On The Board'!$M$5:$M$219,'On The Board'!F$5:F$219,"&lt;="&amp;$B188,'On The Board'!E$5:E$219,"="&amp;FutureWork)</f>
        <v>43</v>
      </c>
      <c r="D188" s="12">
        <f ca="1">IF(TodaysDate&gt;=B188,SUMIF('On The Board'!F$5:F$219,"&lt;="&amp;$B188,'On The Board'!$M$5:$M$219)-SUM(E188:I188),D187)</f>
        <v>47</v>
      </c>
      <c r="E188" s="12">
        <f>SUMIF('On The Board'!G$5:G$219,"&lt;="&amp;$B188,'On The Board'!$M$5:$M$219)-SUM(F188:I188)</f>
        <v>0</v>
      </c>
      <c r="F188" s="12">
        <f>SUMIF('On The Board'!H$5:H$219,"&lt;="&amp;$B188,'On The Board'!$M$5:$M$219)-SUM(G188:I188)</f>
        <v>5</v>
      </c>
      <c r="G188" s="12">
        <f>SUMIF('On The Board'!I$5:I$219,"&lt;="&amp;$B188,'On The Board'!$M$5:$M$219)-SUM(H188,I188)</f>
        <v>2</v>
      </c>
      <c r="H188" s="12">
        <f>SUMIF('On The Board'!J$5:J$219,"&lt;="&amp;$B188,'On The Board'!$M$5:$M$219)-SUM(I188)</f>
        <v>0</v>
      </c>
      <c r="I188" s="12">
        <f>SUMIF('On The Board'!K$5:K$219,"&lt;="&amp;$B188,'On The Board'!$M$5:$M$219)</f>
        <v>70</v>
      </c>
      <c r="J188" s="10">
        <f t="shared" si="25"/>
        <v>77</v>
      </c>
      <c r="K188" s="10" t="e">
        <f t="shared" ca="1" si="22"/>
        <v>#N/A</v>
      </c>
      <c r="L188" s="44" t="e">
        <f t="shared" ca="1" si="28"/>
        <v>#N/A</v>
      </c>
      <c r="M188" s="44" t="e">
        <f t="shared" ca="1" si="27"/>
        <v>#N/A</v>
      </c>
      <c r="N188" s="44" t="e">
        <f t="shared" ca="1" si="26"/>
        <v>#N/A</v>
      </c>
      <c r="O188" s="53" t="e">
        <f t="shared" ca="1" si="29"/>
        <v>#N/A</v>
      </c>
      <c r="P188" s="53" t="str">
        <f ca="1">IFERROR(DayByDayTable[[#This Row],[Lead Time]],"")</f>
        <v/>
      </c>
      <c r="Q188" s="44" t="e">
        <f t="shared" ca="1" si="30"/>
        <v>#N/A</v>
      </c>
      <c r="R188" s="44">
        <f ca="1">ROUND(PERCENTILE(DayByDayTable[[#Data],[BlankLeadTime]],0.8),0)</f>
        <v>8</v>
      </c>
    </row>
    <row r="189" spans="1:18">
      <c r="A189" s="51">
        <f t="shared" si="23"/>
        <v>42676</v>
      </c>
      <c r="B189" s="11">
        <f t="shared" si="24"/>
        <v>42676</v>
      </c>
      <c r="C189" s="47">
        <f>SUMIFS('On The Board'!$M$5:$M$219,'On The Board'!F$5:F$219,"&lt;="&amp;$B189,'On The Board'!E$5:E$219,"="&amp;FutureWork)</f>
        <v>43</v>
      </c>
      <c r="D189" s="12">
        <f ca="1">IF(TodaysDate&gt;=B189,SUMIF('On The Board'!F$5:F$219,"&lt;="&amp;$B189,'On The Board'!$M$5:$M$219)-SUM(E189:I189),D188)</f>
        <v>47</v>
      </c>
      <c r="E189" s="12">
        <f>SUMIF('On The Board'!G$5:G$219,"&lt;="&amp;$B189,'On The Board'!$M$5:$M$219)-SUM(F189:I189)</f>
        <v>0</v>
      </c>
      <c r="F189" s="12">
        <f>SUMIF('On The Board'!H$5:H$219,"&lt;="&amp;$B189,'On The Board'!$M$5:$M$219)-SUM(G189:I189)</f>
        <v>5</v>
      </c>
      <c r="G189" s="12">
        <f>SUMIF('On The Board'!I$5:I$219,"&lt;="&amp;$B189,'On The Board'!$M$5:$M$219)-SUM(H189,I189)</f>
        <v>2</v>
      </c>
      <c r="H189" s="12">
        <f>SUMIF('On The Board'!J$5:J$219,"&lt;="&amp;$B189,'On The Board'!$M$5:$M$219)-SUM(I189)</f>
        <v>0</v>
      </c>
      <c r="I189" s="12">
        <f>SUMIF('On The Board'!K$5:K$219,"&lt;="&amp;$B189,'On The Board'!$M$5:$M$219)</f>
        <v>70</v>
      </c>
      <c r="J189" s="10">
        <f t="shared" si="25"/>
        <v>77</v>
      </c>
      <c r="K189" s="10" t="e">
        <f t="shared" ca="1" si="22"/>
        <v>#N/A</v>
      </c>
      <c r="L189" s="44" t="e">
        <f t="shared" ca="1" si="28"/>
        <v>#N/A</v>
      </c>
      <c r="M189" s="44" t="e">
        <f t="shared" ca="1" si="27"/>
        <v>#N/A</v>
      </c>
      <c r="N189" s="44" t="e">
        <f t="shared" ca="1" si="26"/>
        <v>#N/A</v>
      </c>
      <c r="O189" s="53" t="e">
        <f t="shared" ca="1" si="29"/>
        <v>#N/A</v>
      </c>
      <c r="P189" s="53" t="str">
        <f ca="1">IFERROR(DayByDayTable[[#This Row],[Lead Time]],"")</f>
        <v/>
      </c>
      <c r="Q189" s="44" t="e">
        <f t="shared" ca="1" si="30"/>
        <v>#N/A</v>
      </c>
      <c r="R189" s="44">
        <f ca="1">ROUND(PERCENTILE(DayByDayTable[[#Data],[BlankLeadTime]],0.8),0)</f>
        <v>8</v>
      </c>
    </row>
    <row r="190" spans="1:18">
      <c r="A190" s="51">
        <f t="shared" si="23"/>
        <v>42677</v>
      </c>
      <c r="B190" s="11">
        <f t="shared" si="24"/>
        <v>42677</v>
      </c>
      <c r="C190" s="47">
        <f>SUMIFS('On The Board'!$M$5:$M$219,'On The Board'!F$5:F$219,"&lt;="&amp;$B190,'On The Board'!E$5:E$219,"="&amp;FutureWork)</f>
        <v>43</v>
      </c>
      <c r="D190" s="12">
        <f ca="1">IF(TodaysDate&gt;=B190,SUMIF('On The Board'!F$5:F$219,"&lt;="&amp;$B190,'On The Board'!$M$5:$M$219)-SUM(E190:I190),D189)</f>
        <v>47</v>
      </c>
      <c r="E190" s="12">
        <f>SUMIF('On The Board'!G$5:G$219,"&lt;="&amp;$B190,'On The Board'!$M$5:$M$219)-SUM(F190:I190)</f>
        <v>0</v>
      </c>
      <c r="F190" s="12">
        <f>SUMIF('On The Board'!H$5:H$219,"&lt;="&amp;$B190,'On The Board'!$M$5:$M$219)-SUM(G190:I190)</f>
        <v>5</v>
      </c>
      <c r="G190" s="12">
        <f>SUMIF('On The Board'!I$5:I$219,"&lt;="&amp;$B190,'On The Board'!$M$5:$M$219)-SUM(H190,I190)</f>
        <v>2</v>
      </c>
      <c r="H190" s="12">
        <f>SUMIF('On The Board'!J$5:J$219,"&lt;="&amp;$B190,'On The Board'!$M$5:$M$219)-SUM(I190)</f>
        <v>0</v>
      </c>
      <c r="I190" s="12">
        <f>SUMIF('On The Board'!K$5:K$219,"&lt;="&amp;$B190,'On The Board'!$M$5:$M$219)</f>
        <v>70</v>
      </c>
      <c r="J190" s="10">
        <f t="shared" si="25"/>
        <v>77</v>
      </c>
      <c r="K190" s="10" t="e">
        <f t="shared" ca="1" si="22"/>
        <v>#N/A</v>
      </c>
      <c r="L190" s="44" t="e">
        <f t="shared" ca="1" si="28"/>
        <v>#N/A</v>
      </c>
      <c r="M190" s="44" t="e">
        <f t="shared" ca="1" si="27"/>
        <v>#N/A</v>
      </c>
      <c r="N190" s="44" t="e">
        <f t="shared" ca="1" si="26"/>
        <v>#N/A</v>
      </c>
      <c r="O190" s="53" t="e">
        <f t="shared" ca="1" si="29"/>
        <v>#N/A</v>
      </c>
      <c r="P190" s="53" t="str">
        <f ca="1">IFERROR(DayByDayTable[[#This Row],[Lead Time]],"")</f>
        <v/>
      </c>
      <c r="Q190" s="44" t="e">
        <f t="shared" ca="1" si="30"/>
        <v>#N/A</v>
      </c>
      <c r="R190" s="44">
        <f ca="1">ROUND(PERCENTILE(DayByDayTable[[#Data],[BlankLeadTime]],0.8),0)</f>
        <v>8</v>
      </c>
    </row>
    <row r="191" spans="1:18">
      <c r="A191" s="51">
        <f t="shared" ref="A191:A254" si="31">B191</f>
        <v>42678</v>
      </c>
      <c r="B191" s="11">
        <f t="shared" si="24"/>
        <v>42678</v>
      </c>
      <c r="C191" s="47">
        <f>SUMIFS('On The Board'!$M$5:$M$219,'On The Board'!F$5:F$219,"&lt;="&amp;$B191,'On The Board'!E$5:E$219,"="&amp;FutureWork)</f>
        <v>43</v>
      </c>
      <c r="D191" s="12">
        <f ca="1">IF(TodaysDate&gt;=B191,SUMIF('On The Board'!F$5:F$219,"&lt;="&amp;$B191,'On The Board'!$M$5:$M$219)-SUM(E191:I191),D190)</f>
        <v>47</v>
      </c>
      <c r="E191" s="12">
        <f>SUMIF('On The Board'!G$5:G$219,"&lt;="&amp;$B191,'On The Board'!$M$5:$M$219)-SUM(F191:I191)</f>
        <v>0</v>
      </c>
      <c r="F191" s="12">
        <f>SUMIF('On The Board'!H$5:H$219,"&lt;="&amp;$B191,'On The Board'!$M$5:$M$219)-SUM(G191:I191)</f>
        <v>5</v>
      </c>
      <c r="G191" s="12">
        <f>SUMIF('On The Board'!I$5:I$219,"&lt;="&amp;$B191,'On The Board'!$M$5:$M$219)-SUM(H191,I191)</f>
        <v>2</v>
      </c>
      <c r="H191" s="12">
        <f>SUMIF('On The Board'!J$5:J$219,"&lt;="&amp;$B191,'On The Board'!$M$5:$M$219)-SUM(I191)</f>
        <v>0</v>
      </c>
      <c r="I191" s="12">
        <f>SUMIF('On The Board'!K$5:K$219,"&lt;="&amp;$B191,'On The Board'!$M$5:$M$219)</f>
        <v>70</v>
      </c>
      <c r="J191" s="10">
        <f t="shared" ref="J191:J254" si="32">SUM(E191:I191)</f>
        <v>77</v>
      </c>
      <c r="K191" s="10" t="e">
        <f t="shared" ca="1" si="22"/>
        <v>#N/A</v>
      </c>
      <c r="L191" s="44" t="e">
        <f t="shared" ca="1" si="28"/>
        <v>#N/A</v>
      </c>
      <c r="M191" s="44" t="e">
        <f t="shared" ca="1" si="27"/>
        <v>#N/A</v>
      </c>
      <c r="N191" s="44" t="e">
        <f t="shared" ca="1" si="26"/>
        <v>#N/A</v>
      </c>
      <c r="O191" s="53" t="e">
        <f t="shared" ca="1" si="29"/>
        <v>#N/A</v>
      </c>
      <c r="P191" s="53" t="str">
        <f ca="1">IFERROR(DayByDayTable[[#This Row],[Lead Time]],"")</f>
        <v/>
      </c>
      <c r="Q191" s="44" t="e">
        <f t="shared" ca="1" si="30"/>
        <v>#N/A</v>
      </c>
      <c r="R191" s="44">
        <f ca="1">ROUND(PERCENTILE(DayByDayTable[[#Data],[BlankLeadTime]],0.8),0)</f>
        <v>8</v>
      </c>
    </row>
    <row r="192" spans="1:18">
      <c r="A192" s="51">
        <f t="shared" si="31"/>
        <v>42681</v>
      </c>
      <c r="B192" s="11">
        <f t="shared" si="24"/>
        <v>42681</v>
      </c>
      <c r="C192" s="47">
        <f>SUMIFS('On The Board'!$M$5:$M$219,'On The Board'!F$5:F$219,"&lt;="&amp;$B192,'On The Board'!E$5:E$219,"="&amp;FutureWork)</f>
        <v>43</v>
      </c>
      <c r="D192" s="12">
        <f ca="1">IF(TodaysDate&gt;=B192,SUMIF('On The Board'!F$5:F$219,"&lt;="&amp;$B192,'On The Board'!$M$5:$M$219)-SUM(E192:I192),D191)</f>
        <v>47</v>
      </c>
      <c r="E192" s="12">
        <f>SUMIF('On The Board'!G$5:G$219,"&lt;="&amp;$B192,'On The Board'!$M$5:$M$219)-SUM(F192:I192)</f>
        <v>0</v>
      </c>
      <c r="F192" s="12">
        <f>SUMIF('On The Board'!H$5:H$219,"&lt;="&amp;$B192,'On The Board'!$M$5:$M$219)-SUM(G192:I192)</f>
        <v>5</v>
      </c>
      <c r="G192" s="12">
        <f>SUMIF('On The Board'!I$5:I$219,"&lt;="&amp;$B192,'On The Board'!$M$5:$M$219)-SUM(H192,I192)</f>
        <v>2</v>
      </c>
      <c r="H192" s="12">
        <f>SUMIF('On The Board'!J$5:J$219,"&lt;="&amp;$B192,'On The Board'!$M$5:$M$219)-SUM(I192)</f>
        <v>0</v>
      </c>
      <c r="I192" s="12">
        <f>SUMIF('On The Board'!K$5:K$219,"&lt;="&amp;$B192,'On The Board'!$M$5:$M$219)</f>
        <v>70</v>
      </c>
      <c r="J192" s="10">
        <f t="shared" si="32"/>
        <v>77</v>
      </c>
      <c r="K192" s="10" t="e">
        <f t="shared" ca="1" si="22"/>
        <v>#N/A</v>
      </c>
      <c r="L192" s="44" t="e">
        <f t="shared" ca="1" si="28"/>
        <v>#N/A</v>
      </c>
      <c r="M192" s="44" t="e">
        <f t="shared" ca="1" si="27"/>
        <v>#N/A</v>
      </c>
      <c r="N192" s="44" t="e">
        <f t="shared" ca="1" si="26"/>
        <v>#N/A</v>
      </c>
      <c r="O192" s="53" t="e">
        <f t="shared" ca="1" si="29"/>
        <v>#N/A</v>
      </c>
      <c r="P192" s="53" t="str">
        <f ca="1">IFERROR(DayByDayTable[[#This Row],[Lead Time]],"")</f>
        <v/>
      </c>
      <c r="Q192" s="44" t="e">
        <f t="shared" ca="1" si="30"/>
        <v>#N/A</v>
      </c>
      <c r="R192" s="44">
        <f ca="1">ROUND(PERCENTILE(DayByDayTable[[#Data],[BlankLeadTime]],0.8),0)</f>
        <v>8</v>
      </c>
    </row>
    <row r="193" spans="1:18">
      <c r="A193" s="51">
        <f t="shared" si="31"/>
        <v>42682</v>
      </c>
      <c r="B193" s="11">
        <f t="shared" si="24"/>
        <v>42682</v>
      </c>
      <c r="C193" s="47">
        <f>SUMIFS('On The Board'!$M$5:$M$219,'On The Board'!F$5:F$219,"&lt;="&amp;$B193,'On The Board'!E$5:E$219,"="&amp;FutureWork)</f>
        <v>43</v>
      </c>
      <c r="D193" s="12">
        <f ca="1">IF(TodaysDate&gt;=B193,SUMIF('On The Board'!F$5:F$219,"&lt;="&amp;$B193,'On The Board'!$M$5:$M$219)-SUM(E193:I193),D192)</f>
        <v>47</v>
      </c>
      <c r="E193" s="12">
        <f>SUMIF('On The Board'!G$5:G$219,"&lt;="&amp;$B193,'On The Board'!$M$5:$M$219)-SUM(F193:I193)</f>
        <v>0</v>
      </c>
      <c r="F193" s="12">
        <f>SUMIF('On The Board'!H$5:H$219,"&lt;="&amp;$B193,'On The Board'!$M$5:$M$219)-SUM(G193:I193)</f>
        <v>5</v>
      </c>
      <c r="G193" s="12">
        <f>SUMIF('On The Board'!I$5:I$219,"&lt;="&amp;$B193,'On The Board'!$M$5:$M$219)-SUM(H193,I193)</f>
        <v>2</v>
      </c>
      <c r="H193" s="12">
        <f>SUMIF('On The Board'!J$5:J$219,"&lt;="&amp;$B193,'On The Board'!$M$5:$M$219)-SUM(I193)</f>
        <v>0</v>
      </c>
      <c r="I193" s="12">
        <f>SUMIF('On The Board'!K$5:K$219,"&lt;="&amp;$B193,'On The Board'!$M$5:$M$219)</f>
        <v>70</v>
      </c>
      <c r="J193" s="10">
        <f t="shared" si="32"/>
        <v>77</v>
      </c>
      <c r="K193" s="10" t="e">
        <f t="shared" ca="1" si="22"/>
        <v>#N/A</v>
      </c>
      <c r="L193" s="44" t="e">
        <f t="shared" ca="1" si="28"/>
        <v>#N/A</v>
      </c>
      <c r="M193" s="44" t="e">
        <f t="shared" ca="1" si="27"/>
        <v>#N/A</v>
      </c>
      <c r="N193" s="44" t="e">
        <f t="shared" ca="1" si="26"/>
        <v>#N/A</v>
      </c>
      <c r="O193" s="53" t="e">
        <f t="shared" ca="1" si="29"/>
        <v>#N/A</v>
      </c>
      <c r="P193" s="53" t="str">
        <f ca="1">IFERROR(DayByDayTable[[#This Row],[Lead Time]],"")</f>
        <v/>
      </c>
      <c r="Q193" s="44" t="e">
        <f t="shared" ca="1" si="30"/>
        <v>#N/A</v>
      </c>
      <c r="R193" s="44">
        <f ca="1">ROUND(PERCENTILE(DayByDayTable[[#Data],[BlankLeadTime]],0.8),0)</f>
        <v>8</v>
      </c>
    </row>
    <row r="194" spans="1:18">
      <c r="A194" s="51">
        <f t="shared" si="31"/>
        <v>42683</v>
      </c>
      <c r="B194" s="11">
        <f t="shared" si="24"/>
        <v>42683</v>
      </c>
      <c r="C194" s="47">
        <f>SUMIFS('On The Board'!$M$5:$M$219,'On The Board'!F$5:F$219,"&lt;="&amp;$B194,'On The Board'!E$5:E$219,"="&amp;FutureWork)</f>
        <v>43</v>
      </c>
      <c r="D194" s="12">
        <f ca="1">IF(TodaysDate&gt;=B194,SUMIF('On The Board'!F$5:F$219,"&lt;="&amp;$B194,'On The Board'!$M$5:$M$219)-SUM(E194:I194),D193)</f>
        <v>47</v>
      </c>
      <c r="E194" s="12">
        <f>SUMIF('On The Board'!G$5:G$219,"&lt;="&amp;$B194,'On The Board'!$M$5:$M$219)-SUM(F194:I194)</f>
        <v>0</v>
      </c>
      <c r="F194" s="12">
        <f>SUMIF('On The Board'!H$5:H$219,"&lt;="&amp;$B194,'On The Board'!$M$5:$M$219)-SUM(G194:I194)</f>
        <v>5</v>
      </c>
      <c r="G194" s="12">
        <f>SUMIF('On The Board'!I$5:I$219,"&lt;="&amp;$B194,'On The Board'!$M$5:$M$219)-SUM(H194,I194)</f>
        <v>2</v>
      </c>
      <c r="H194" s="12">
        <f>SUMIF('On The Board'!J$5:J$219,"&lt;="&amp;$B194,'On The Board'!$M$5:$M$219)-SUM(I194)</f>
        <v>0</v>
      </c>
      <c r="I194" s="12">
        <f>SUMIF('On The Board'!K$5:K$219,"&lt;="&amp;$B194,'On The Board'!$M$5:$M$219)</f>
        <v>70</v>
      </c>
      <c r="J194" s="10">
        <f t="shared" si="32"/>
        <v>77</v>
      </c>
      <c r="K194" s="10" t="e">
        <f t="shared" ref="K194:K257" ca="1" si="33">IF(TodaysDate&gt;=B194,SUM(E194:H194),NA())</f>
        <v>#N/A</v>
      </c>
      <c r="L194" s="44" t="e">
        <f t="shared" ca="1" si="28"/>
        <v>#N/A</v>
      </c>
      <c r="M194" s="44" t="e">
        <f t="shared" ca="1" si="27"/>
        <v>#N/A</v>
      </c>
      <c r="N194" s="44" t="e">
        <f t="shared" ca="1" si="26"/>
        <v>#N/A</v>
      </c>
      <c r="O194" s="53" t="e">
        <f t="shared" ca="1" si="29"/>
        <v>#N/A</v>
      </c>
      <c r="P194" s="53" t="str">
        <f ca="1">IFERROR(DayByDayTable[[#This Row],[Lead Time]],"")</f>
        <v/>
      </c>
      <c r="Q194" s="44" t="e">
        <f t="shared" ca="1" si="30"/>
        <v>#N/A</v>
      </c>
      <c r="R194" s="44">
        <f ca="1">ROUND(PERCENTILE(DayByDayTable[[#Data],[BlankLeadTime]],0.8),0)</f>
        <v>8</v>
      </c>
    </row>
    <row r="195" spans="1:18">
      <c r="A195" s="51">
        <f t="shared" si="31"/>
        <v>42684</v>
      </c>
      <c r="B195" s="11">
        <f t="shared" ref="B195:B258" si="34">IF(NETWORKDAYS(B194,B194+1,BankHolidays)=2,B194+1,IF(NETWORKDAYS(B194,B194+2,BankHolidays)=2,B194+2,IF(NETWORKDAYS(B194,B194+3,BankHolidays)=2,B194+3,IF(NETWORKDAYS(B194,B194+4,BankHolidays)=2,B194+4,IF(NETWORKDAYS(B194,B194+5,BankHolidays)=2,B194+5,NA())))))</f>
        <v>42684</v>
      </c>
      <c r="C195" s="47">
        <f>SUMIFS('On The Board'!$M$5:$M$219,'On The Board'!F$5:F$219,"&lt;="&amp;$B195,'On The Board'!E$5:E$219,"="&amp;FutureWork)</f>
        <v>43</v>
      </c>
      <c r="D195" s="12">
        <f ca="1">IF(TodaysDate&gt;=B195,SUMIF('On The Board'!F$5:F$219,"&lt;="&amp;$B195,'On The Board'!$M$5:$M$219)-SUM(E195:I195),D194)</f>
        <v>47</v>
      </c>
      <c r="E195" s="12">
        <f>SUMIF('On The Board'!G$5:G$219,"&lt;="&amp;$B195,'On The Board'!$M$5:$M$219)-SUM(F195:I195)</f>
        <v>0</v>
      </c>
      <c r="F195" s="12">
        <f>SUMIF('On The Board'!H$5:H$219,"&lt;="&amp;$B195,'On The Board'!$M$5:$M$219)-SUM(G195:I195)</f>
        <v>5</v>
      </c>
      <c r="G195" s="12">
        <f>SUMIF('On The Board'!I$5:I$219,"&lt;="&amp;$B195,'On The Board'!$M$5:$M$219)-SUM(H195,I195)</f>
        <v>2</v>
      </c>
      <c r="H195" s="12">
        <f>SUMIF('On The Board'!J$5:J$219,"&lt;="&amp;$B195,'On The Board'!$M$5:$M$219)-SUM(I195)</f>
        <v>0</v>
      </c>
      <c r="I195" s="12">
        <f>SUMIF('On The Board'!K$5:K$219,"&lt;="&amp;$B195,'On The Board'!$M$5:$M$219)</f>
        <v>70</v>
      </c>
      <c r="J195" s="10">
        <f t="shared" si="32"/>
        <v>77</v>
      </c>
      <c r="K195" s="10" t="e">
        <f t="shared" ca="1" si="33"/>
        <v>#N/A</v>
      </c>
      <c r="L195" s="44" t="e">
        <f t="shared" ca="1" si="28"/>
        <v>#N/A</v>
      </c>
      <c r="M195" s="44" t="e">
        <f t="shared" ca="1" si="27"/>
        <v>#N/A</v>
      </c>
      <c r="N195" s="44" t="e">
        <f t="shared" ref="N195:N258" ca="1" si="35">IF(M195&gt;0,L195/M195,NA())</f>
        <v>#N/A</v>
      </c>
      <c r="O195" s="53" t="e">
        <f t="shared" ca="1" si="29"/>
        <v>#N/A</v>
      </c>
      <c r="P195" s="53" t="str">
        <f ca="1">IFERROR(DayByDayTable[[#This Row],[Lead Time]],"")</f>
        <v/>
      </c>
      <c r="Q195" s="44" t="e">
        <f t="shared" ca="1" si="30"/>
        <v>#N/A</v>
      </c>
      <c r="R195" s="44">
        <f ca="1">ROUND(PERCENTILE(DayByDayTable[[#Data],[BlankLeadTime]],0.8),0)</f>
        <v>8</v>
      </c>
    </row>
    <row r="196" spans="1:18">
      <c r="A196" s="51">
        <f t="shared" si="31"/>
        <v>42685</v>
      </c>
      <c r="B196" s="11">
        <f t="shared" si="34"/>
        <v>42685</v>
      </c>
      <c r="C196" s="47">
        <f>SUMIFS('On The Board'!$M$5:$M$219,'On The Board'!F$5:F$219,"&lt;="&amp;$B196,'On The Board'!E$5:E$219,"="&amp;FutureWork)</f>
        <v>43</v>
      </c>
      <c r="D196" s="12">
        <f ca="1">IF(TodaysDate&gt;=B196,SUMIF('On The Board'!F$5:F$219,"&lt;="&amp;$B196,'On The Board'!$M$5:$M$219)-SUM(E196:I196),D195)</f>
        <v>47</v>
      </c>
      <c r="E196" s="12">
        <f>SUMIF('On The Board'!G$5:G$219,"&lt;="&amp;$B196,'On The Board'!$M$5:$M$219)-SUM(F196:I196)</f>
        <v>0</v>
      </c>
      <c r="F196" s="12">
        <f>SUMIF('On The Board'!H$5:H$219,"&lt;="&amp;$B196,'On The Board'!$M$5:$M$219)-SUM(G196:I196)</f>
        <v>5</v>
      </c>
      <c r="G196" s="12">
        <f>SUMIF('On The Board'!I$5:I$219,"&lt;="&amp;$B196,'On The Board'!$M$5:$M$219)-SUM(H196,I196)</f>
        <v>2</v>
      </c>
      <c r="H196" s="12">
        <f>SUMIF('On The Board'!J$5:J$219,"&lt;="&amp;$B196,'On The Board'!$M$5:$M$219)-SUM(I196)</f>
        <v>0</v>
      </c>
      <c r="I196" s="12">
        <f>SUMIF('On The Board'!K$5:K$219,"&lt;="&amp;$B196,'On The Board'!$M$5:$M$219)</f>
        <v>70</v>
      </c>
      <c r="J196" s="10">
        <f t="shared" si="32"/>
        <v>77</v>
      </c>
      <c r="K196" s="10" t="e">
        <f t="shared" ca="1" si="33"/>
        <v>#N/A</v>
      </c>
      <c r="L196" s="44" t="e">
        <f t="shared" ca="1" si="28"/>
        <v>#N/A</v>
      </c>
      <c r="M196" s="44" t="e">
        <f t="shared" ca="1" si="27"/>
        <v>#N/A</v>
      </c>
      <c r="N196" s="44" t="e">
        <f t="shared" ca="1" si="35"/>
        <v>#N/A</v>
      </c>
      <c r="O196" s="53" t="e">
        <f t="shared" ca="1" si="29"/>
        <v>#N/A</v>
      </c>
      <c r="P196" s="53" t="str">
        <f ca="1">IFERROR(DayByDayTable[[#This Row],[Lead Time]],"")</f>
        <v/>
      </c>
      <c r="Q196" s="44" t="e">
        <f t="shared" ca="1" si="30"/>
        <v>#N/A</v>
      </c>
      <c r="R196" s="44">
        <f ca="1">ROUND(PERCENTILE(DayByDayTable[[#Data],[BlankLeadTime]],0.8),0)</f>
        <v>8</v>
      </c>
    </row>
    <row r="197" spans="1:18">
      <c r="A197" s="51">
        <f t="shared" si="31"/>
        <v>42688</v>
      </c>
      <c r="B197" s="11">
        <f t="shared" si="34"/>
        <v>42688</v>
      </c>
      <c r="C197" s="47">
        <f>SUMIFS('On The Board'!$M$5:$M$219,'On The Board'!F$5:F$219,"&lt;="&amp;$B197,'On The Board'!E$5:E$219,"="&amp;FutureWork)</f>
        <v>43</v>
      </c>
      <c r="D197" s="12">
        <f ca="1">IF(TodaysDate&gt;=B197,SUMIF('On The Board'!F$5:F$219,"&lt;="&amp;$B197,'On The Board'!$M$5:$M$219)-SUM(E197:I197),D196)</f>
        <v>47</v>
      </c>
      <c r="E197" s="12">
        <f>SUMIF('On The Board'!G$5:G$219,"&lt;="&amp;$B197,'On The Board'!$M$5:$M$219)-SUM(F197:I197)</f>
        <v>0</v>
      </c>
      <c r="F197" s="12">
        <f>SUMIF('On The Board'!H$5:H$219,"&lt;="&amp;$B197,'On The Board'!$M$5:$M$219)-SUM(G197:I197)</f>
        <v>5</v>
      </c>
      <c r="G197" s="12">
        <f>SUMIF('On The Board'!I$5:I$219,"&lt;="&amp;$B197,'On The Board'!$M$5:$M$219)-SUM(H197,I197)</f>
        <v>2</v>
      </c>
      <c r="H197" s="12">
        <f>SUMIF('On The Board'!J$5:J$219,"&lt;="&amp;$B197,'On The Board'!$M$5:$M$219)-SUM(I197)</f>
        <v>0</v>
      </c>
      <c r="I197" s="12">
        <f>SUMIF('On The Board'!K$5:K$219,"&lt;="&amp;$B197,'On The Board'!$M$5:$M$219)</f>
        <v>70</v>
      </c>
      <c r="J197" s="10">
        <f t="shared" si="32"/>
        <v>77</v>
      </c>
      <c r="K197" s="10" t="e">
        <f t="shared" ca="1" si="33"/>
        <v>#N/A</v>
      </c>
      <c r="L197" s="44" t="e">
        <f t="shared" ca="1" si="28"/>
        <v>#N/A</v>
      </c>
      <c r="M197" s="44" t="e">
        <f t="shared" ca="1" si="27"/>
        <v>#N/A</v>
      </c>
      <c r="N197" s="44" t="e">
        <f t="shared" ca="1" si="35"/>
        <v>#N/A</v>
      </c>
      <c r="O197" s="53" t="e">
        <f t="shared" ca="1" si="29"/>
        <v>#N/A</v>
      </c>
      <c r="P197" s="53" t="str">
        <f ca="1">IFERROR(DayByDayTable[[#This Row],[Lead Time]],"")</f>
        <v/>
      </c>
      <c r="Q197" s="44" t="e">
        <f t="shared" ca="1" si="30"/>
        <v>#N/A</v>
      </c>
      <c r="R197" s="44">
        <f ca="1">ROUND(PERCENTILE(DayByDayTable[[#Data],[BlankLeadTime]],0.8),0)</f>
        <v>8</v>
      </c>
    </row>
    <row r="198" spans="1:18">
      <c r="A198" s="51">
        <f t="shared" si="31"/>
        <v>42689</v>
      </c>
      <c r="B198" s="11">
        <f t="shared" si="34"/>
        <v>42689</v>
      </c>
      <c r="C198" s="47">
        <f>SUMIFS('On The Board'!$M$5:$M$219,'On The Board'!F$5:F$219,"&lt;="&amp;$B198,'On The Board'!E$5:E$219,"="&amp;FutureWork)</f>
        <v>43</v>
      </c>
      <c r="D198" s="12">
        <f ca="1">IF(TodaysDate&gt;=B198,SUMIF('On The Board'!F$5:F$219,"&lt;="&amp;$B198,'On The Board'!$M$5:$M$219)-SUM(E198:I198),D197)</f>
        <v>47</v>
      </c>
      <c r="E198" s="12">
        <f>SUMIF('On The Board'!G$5:G$219,"&lt;="&amp;$B198,'On The Board'!$M$5:$M$219)-SUM(F198:I198)</f>
        <v>0</v>
      </c>
      <c r="F198" s="12">
        <f>SUMIF('On The Board'!H$5:H$219,"&lt;="&amp;$B198,'On The Board'!$M$5:$M$219)-SUM(G198:I198)</f>
        <v>5</v>
      </c>
      <c r="G198" s="12">
        <f>SUMIF('On The Board'!I$5:I$219,"&lt;="&amp;$B198,'On The Board'!$M$5:$M$219)-SUM(H198,I198)</f>
        <v>2</v>
      </c>
      <c r="H198" s="12">
        <f>SUMIF('On The Board'!J$5:J$219,"&lt;="&amp;$B198,'On The Board'!$M$5:$M$219)-SUM(I198)</f>
        <v>0</v>
      </c>
      <c r="I198" s="12">
        <f>SUMIF('On The Board'!K$5:K$219,"&lt;="&amp;$B198,'On The Board'!$M$5:$M$219)</f>
        <v>70</v>
      </c>
      <c r="J198" s="10">
        <f t="shared" si="32"/>
        <v>77</v>
      </c>
      <c r="K198" s="10" t="e">
        <f t="shared" ca="1" si="33"/>
        <v>#N/A</v>
      </c>
      <c r="L198" s="44" t="e">
        <f t="shared" ca="1" si="28"/>
        <v>#N/A</v>
      </c>
      <c r="M198" s="44" t="e">
        <f t="shared" ca="1" si="27"/>
        <v>#N/A</v>
      </c>
      <c r="N198" s="44" t="e">
        <f t="shared" ca="1" si="35"/>
        <v>#N/A</v>
      </c>
      <c r="O198" s="53" t="e">
        <f t="shared" ca="1" si="29"/>
        <v>#N/A</v>
      </c>
      <c r="P198" s="53" t="str">
        <f ca="1">IFERROR(DayByDayTable[[#This Row],[Lead Time]],"")</f>
        <v/>
      </c>
      <c r="Q198" s="44" t="e">
        <f t="shared" ca="1" si="30"/>
        <v>#N/A</v>
      </c>
      <c r="R198" s="44">
        <f ca="1">ROUND(PERCENTILE(DayByDayTable[[#Data],[BlankLeadTime]],0.8),0)</f>
        <v>8</v>
      </c>
    </row>
    <row r="199" spans="1:18">
      <c r="A199" s="51">
        <f t="shared" si="31"/>
        <v>42690</v>
      </c>
      <c r="B199" s="11">
        <f t="shared" si="34"/>
        <v>42690</v>
      </c>
      <c r="C199" s="47">
        <f>SUMIFS('On The Board'!$M$5:$M$219,'On The Board'!F$5:F$219,"&lt;="&amp;$B199,'On The Board'!E$5:E$219,"="&amp;FutureWork)</f>
        <v>43</v>
      </c>
      <c r="D199" s="12">
        <f ca="1">IF(TodaysDate&gt;=B199,SUMIF('On The Board'!F$5:F$219,"&lt;="&amp;$B199,'On The Board'!$M$5:$M$219)-SUM(E199:I199),D198)</f>
        <v>47</v>
      </c>
      <c r="E199" s="12">
        <f>SUMIF('On The Board'!G$5:G$219,"&lt;="&amp;$B199,'On The Board'!$M$5:$M$219)-SUM(F199:I199)</f>
        <v>0</v>
      </c>
      <c r="F199" s="12">
        <f>SUMIF('On The Board'!H$5:H$219,"&lt;="&amp;$B199,'On The Board'!$M$5:$M$219)-SUM(G199:I199)</f>
        <v>5</v>
      </c>
      <c r="G199" s="12">
        <f>SUMIF('On The Board'!I$5:I$219,"&lt;="&amp;$B199,'On The Board'!$M$5:$M$219)-SUM(H199,I199)</f>
        <v>2</v>
      </c>
      <c r="H199" s="12">
        <f>SUMIF('On The Board'!J$5:J$219,"&lt;="&amp;$B199,'On The Board'!$M$5:$M$219)-SUM(I199)</f>
        <v>0</v>
      </c>
      <c r="I199" s="12">
        <f>SUMIF('On The Board'!K$5:K$219,"&lt;="&amp;$B199,'On The Board'!$M$5:$M$219)</f>
        <v>70</v>
      </c>
      <c r="J199" s="10">
        <f t="shared" si="32"/>
        <v>77</v>
      </c>
      <c r="K199" s="10" t="e">
        <f t="shared" ca="1" si="33"/>
        <v>#N/A</v>
      </c>
      <c r="L199" s="44" t="e">
        <f t="shared" ca="1" si="28"/>
        <v>#N/A</v>
      </c>
      <c r="M199" s="44" t="e">
        <f t="shared" ca="1" si="27"/>
        <v>#N/A</v>
      </c>
      <c r="N199" s="44" t="e">
        <f t="shared" ca="1" si="35"/>
        <v>#N/A</v>
      </c>
      <c r="O199" s="53" t="e">
        <f t="shared" ca="1" si="29"/>
        <v>#N/A</v>
      </c>
      <c r="P199" s="53" t="str">
        <f ca="1">IFERROR(DayByDayTable[[#This Row],[Lead Time]],"")</f>
        <v/>
      </c>
      <c r="Q199" s="44" t="e">
        <f t="shared" ca="1" si="30"/>
        <v>#N/A</v>
      </c>
      <c r="R199" s="44">
        <f ca="1">ROUND(PERCENTILE(DayByDayTable[[#Data],[BlankLeadTime]],0.8),0)</f>
        <v>8</v>
      </c>
    </row>
    <row r="200" spans="1:18">
      <c r="A200" s="51">
        <f t="shared" si="31"/>
        <v>42691</v>
      </c>
      <c r="B200" s="11">
        <f t="shared" si="34"/>
        <v>42691</v>
      </c>
      <c r="C200" s="47">
        <f>SUMIFS('On The Board'!$M$5:$M$219,'On The Board'!F$5:F$219,"&lt;="&amp;$B200,'On The Board'!E$5:E$219,"="&amp;FutureWork)</f>
        <v>43</v>
      </c>
      <c r="D200" s="12">
        <f ca="1">IF(TodaysDate&gt;=B200,SUMIF('On The Board'!F$5:F$219,"&lt;="&amp;$B200,'On The Board'!$M$5:$M$219)-SUM(E200:I200),D199)</f>
        <v>47</v>
      </c>
      <c r="E200" s="12">
        <f>SUMIF('On The Board'!G$5:G$219,"&lt;="&amp;$B200,'On The Board'!$M$5:$M$219)-SUM(F200:I200)</f>
        <v>0</v>
      </c>
      <c r="F200" s="12">
        <f>SUMIF('On The Board'!H$5:H$219,"&lt;="&amp;$B200,'On The Board'!$M$5:$M$219)-SUM(G200:I200)</f>
        <v>5</v>
      </c>
      <c r="G200" s="12">
        <f>SUMIF('On The Board'!I$5:I$219,"&lt;="&amp;$B200,'On The Board'!$M$5:$M$219)-SUM(H200,I200)</f>
        <v>2</v>
      </c>
      <c r="H200" s="12">
        <f>SUMIF('On The Board'!J$5:J$219,"&lt;="&amp;$B200,'On The Board'!$M$5:$M$219)-SUM(I200)</f>
        <v>0</v>
      </c>
      <c r="I200" s="12">
        <f>SUMIF('On The Board'!K$5:K$219,"&lt;="&amp;$B200,'On The Board'!$M$5:$M$219)</f>
        <v>70</v>
      </c>
      <c r="J200" s="10">
        <f t="shared" si="32"/>
        <v>77</v>
      </c>
      <c r="K200" s="10" t="e">
        <f t="shared" ca="1" si="33"/>
        <v>#N/A</v>
      </c>
      <c r="L200" s="44" t="e">
        <f t="shared" ca="1" si="28"/>
        <v>#N/A</v>
      </c>
      <c r="M200" s="44" t="e">
        <f t="shared" ca="1" si="27"/>
        <v>#N/A</v>
      </c>
      <c r="N200" s="44" t="e">
        <f t="shared" ca="1" si="35"/>
        <v>#N/A</v>
      </c>
      <c r="O200" s="53" t="e">
        <f t="shared" ca="1" si="29"/>
        <v>#N/A</v>
      </c>
      <c r="P200" s="53" t="str">
        <f ca="1">IFERROR(DayByDayTable[[#This Row],[Lead Time]],"")</f>
        <v/>
      </c>
      <c r="Q200" s="44" t="e">
        <f t="shared" ca="1" si="30"/>
        <v>#N/A</v>
      </c>
      <c r="R200" s="44">
        <f ca="1">ROUND(PERCENTILE(DayByDayTable[[#Data],[BlankLeadTime]],0.8),0)</f>
        <v>8</v>
      </c>
    </row>
    <row r="201" spans="1:18">
      <c r="A201" s="51">
        <f t="shared" si="31"/>
        <v>42692</v>
      </c>
      <c r="B201" s="11">
        <f t="shared" si="34"/>
        <v>42692</v>
      </c>
      <c r="C201" s="47">
        <f>SUMIFS('On The Board'!$M$5:$M$219,'On The Board'!F$5:F$219,"&lt;="&amp;$B201,'On The Board'!E$5:E$219,"="&amp;FutureWork)</f>
        <v>43</v>
      </c>
      <c r="D201" s="12">
        <f ca="1">IF(TodaysDate&gt;=B201,SUMIF('On The Board'!F$5:F$219,"&lt;="&amp;$B201,'On The Board'!$M$5:$M$219)-SUM(E201:I201),D200)</f>
        <v>47</v>
      </c>
      <c r="E201" s="12">
        <f>SUMIF('On The Board'!G$5:G$219,"&lt;="&amp;$B201,'On The Board'!$M$5:$M$219)-SUM(F201:I201)</f>
        <v>0</v>
      </c>
      <c r="F201" s="12">
        <f>SUMIF('On The Board'!H$5:H$219,"&lt;="&amp;$B201,'On The Board'!$M$5:$M$219)-SUM(G201:I201)</f>
        <v>5</v>
      </c>
      <c r="G201" s="12">
        <f>SUMIF('On The Board'!I$5:I$219,"&lt;="&amp;$B201,'On The Board'!$M$5:$M$219)-SUM(H201,I201)</f>
        <v>2</v>
      </c>
      <c r="H201" s="12">
        <f>SUMIF('On The Board'!J$5:J$219,"&lt;="&amp;$B201,'On The Board'!$M$5:$M$219)-SUM(I201)</f>
        <v>0</v>
      </c>
      <c r="I201" s="12">
        <f>SUMIF('On The Board'!K$5:K$219,"&lt;="&amp;$B201,'On The Board'!$M$5:$M$219)</f>
        <v>70</v>
      </c>
      <c r="J201" s="10">
        <f t="shared" si="32"/>
        <v>77</v>
      </c>
      <c r="K201" s="10" t="e">
        <f t="shared" ca="1" si="33"/>
        <v>#N/A</v>
      </c>
      <c r="L201" s="44" t="e">
        <f t="shared" ca="1" si="28"/>
        <v>#N/A</v>
      </c>
      <c r="M201" s="44" t="e">
        <f t="shared" ca="1" si="27"/>
        <v>#N/A</v>
      </c>
      <c r="N201" s="44" t="e">
        <f t="shared" ca="1" si="35"/>
        <v>#N/A</v>
      </c>
      <c r="O201" s="53" t="e">
        <f t="shared" ca="1" si="29"/>
        <v>#N/A</v>
      </c>
      <c r="P201" s="53" t="str">
        <f ca="1">IFERROR(DayByDayTable[[#This Row],[Lead Time]],"")</f>
        <v/>
      </c>
      <c r="Q201" s="44" t="e">
        <f t="shared" ca="1" si="30"/>
        <v>#N/A</v>
      </c>
      <c r="R201" s="44">
        <f ca="1">ROUND(PERCENTILE(DayByDayTable[[#Data],[BlankLeadTime]],0.8),0)</f>
        <v>8</v>
      </c>
    </row>
    <row r="202" spans="1:18">
      <c r="A202" s="51">
        <f t="shared" si="31"/>
        <v>42695</v>
      </c>
      <c r="B202" s="11">
        <f t="shared" si="34"/>
        <v>42695</v>
      </c>
      <c r="C202" s="47">
        <f>SUMIFS('On The Board'!$M$5:$M$219,'On The Board'!F$5:F$219,"&lt;="&amp;$B202,'On The Board'!E$5:E$219,"="&amp;FutureWork)</f>
        <v>43</v>
      </c>
      <c r="D202" s="12">
        <f ca="1">IF(TodaysDate&gt;=B202,SUMIF('On The Board'!F$5:F$219,"&lt;="&amp;$B202,'On The Board'!$M$5:$M$219)-SUM(E202:I202),D201)</f>
        <v>47</v>
      </c>
      <c r="E202" s="12">
        <f>SUMIF('On The Board'!G$5:G$219,"&lt;="&amp;$B202,'On The Board'!$M$5:$M$219)-SUM(F202:I202)</f>
        <v>0</v>
      </c>
      <c r="F202" s="12">
        <f>SUMIF('On The Board'!H$5:H$219,"&lt;="&amp;$B202,'On The Board'!$M$5:$M$219)-SUM(G202:I202)</f>
        <v>5</v>
      </c>
      <c r="G202" s="12">
        <f>SUMIF('On The Board'!I$5:I$219,"&lt;="&amp;$B202,'On The Board'!$M$5:$M$219)-SUM(H202,I202)</f>
        <v>2</v>
      </c>
      <c r="H202" s="12">
        <f>SUMIF('On The Board'!J$5:J$219,"&lt;="&amp;$B202,'On The Board'!$M$5:$M$219)-SUM(I202)</f>
        <v>0</v>
      </c>
      <c r="I202" s="12">
        <f>SUMIF('On The Board'!K$5:K$219,"&lt;="&amp;$B202,'On The Board'!$M$5:$M$219)</f>
        <v>70</v>
      </c>
      <c r="J202" s="10">
        <f t="shared" si="32"/>
        <v>77</v>
      </c>
      <c r="K202" s="10" t="e">
        <f t="shared" ca="1" si="33"/>
        <v>#N/A</v>
      </c>
      <c r="L202" s="44" t="e">
        <f t="shared" ca="1" si="28"/>
        <v>#N/A</v>
      </c>
      <c r="M202" s="44" t="e">
        <f t="shared" ca="1" si="27"/>
        <v>#N/A</v>
      </c>
      <c r="N202" s="44" t="e">
        <f t="shared" ca="1" si="35"/>
        <v>#N/A</v>
      </c>
      <c r="O202" s="53" t="e">
        <f t="shared" ca="1" si="29"/>
        <v>#N/A</v>
      </c>
      <c r="P202" s="53" t="str">
        <f ca="1">IFERROR(DayByDayTable[[#This Row],[Lead Time]],"")</f>
        <v/>
      </c>
      <c r="Q202" s="44" t="e">
        <f t="shared" ca="1" si="30"/>
        <v>#N/A</v>
      </c>
      <c r="R202" s="44">
        <f ca="1">ROUND(PERCENTILE(DayByDayTable[[#Data],[BlankLeadTime]],0.8),0)</f>
        <v>8</v>
      </c>
    </row>
    <row r="203" spans="1:18">
      <c r="A203" s="51">
        <f t="shared" si="31"/>
        <v>42696</v>
      </c>
      <c r="B203" s="11">
        <f t="shared" si="34"/>
        <v>42696</v>
      </c>
      <c r="C203" s="47">
        <f>SUMIFS('On The Board'!$M$5:$M$219,'On The Board'!F$5:F$219,"&lt;="&amp;$B203,'On The Board'!E$5:E$219,"="&amp;FutureWork)</f>
        <v>43</v>
      </c>
      <c r="D203" s="12">
        <f ca="1">IF(TodaysDate&gt;=B203,SUMIF('On The Board'!F$5:F$219,"&lt;="&amp;$B203,'On The Board'!$M$5:$M$219)-SUM(E203:I203),D202)</f>
        <v>47</v>
      </c>
      <c r="E203" s="12">
        <f>SUMIF('On The Board'!G$5:G$219,"&lt;="&amp;$B203,'On The Board'!$M$5:$M$219)-SUM(F203:I203)</f>
        <v>0</v>
      </c>
      <c r="F203" s="12">
        <f>SUMIF('On The Board'!H$5:H$219,"&lt;="&amp;$B203,'On The Board'!$M$5:$M$219)-SUM(G203:I203)</f>
        <v>5</v>
      </c>
      <c r="G203" s="12">
        <f>SUMIF('On The Board'!I$5:I$219,"&lt;="&amp;$B203,'On The Board'!$M$5:$M$219)-SUM(H203,I203)</f>
        <v>2</v>
      </c>
      <c r="H203" s="12">
        <f>SUMIF('On The Board'!J$5:J$219,"&lt;="&amp;$B203,'On The Board'!$M$5:$M$219)-SUM(I203)</f>
        <v>0</v>
      </c>
      <c r="I203" s="12">
        <f>SUMIF('On The Board'!K$5:K$219,"&lt;="&amp;$B203,'On The Board'!$M$5:$M$219)</f>
        <v>70</v>
      </c>
      <c r="J203" s="10">
        <f t="shared" si="32"/>
        <v>77</v>
      </c>
      <c r="K203" s="10" t="e">
        <f t="shared" ca="1" si="33"/>
        <v>#N/A</v>
      </c>
      <c r="L203" s="44" t="e">
        <f t="shared" ca="1" si="28"/>
        <v>#N/A</v>
      </c>
      <c r="M203" s="44" t="e">
        <f t="shared" ca="1" si="27"/>
        <v>#N/A</v>
      </c>
      <c r="N203" s="44" t="e">
        <f t="shared" ca="1" si="35"/>
        <v>#N/A</v>
      </c>
      <c r="O203" s="53" t="e">
        <f t="shared" ca="1" si="29"/>
        <v>#N/A</v>
      </c>
      <c r="P203" s="53" t="str">
        <f ca="1">IFERROR(DayByDayTable[[#This Row],[Lead Time]],"")</f>
        <v/>
      </c>
      <c r="Q203" s="44" t="e">
        <f t="shared" ca="1" si="30"/>
        <v>#N/A</v>
      </c>
      <c r="R203" s="44">
        <f ca="1">ROUND(PERCENTILE(DayByDayTable[[#Data],[BlankLeadTime]],0.8),0)</f>
        <v>8</v>
      </c>
    </row>
    <row r="204" spans="1:18">
      <c r="A204" s="51">
        <f t="shared" si="31"/>
        <v>42697</v>
      </c>
      <c r="B204" s="11">
        <f t="shared" si="34"/>
        <v>42697</v>
      </c>
      <c r="C204" s="47">
        <f>SUMIFS('On The Board'!$M$5:$M$219,'On The Board'!F$5:F$219,"&lt;="&amp;$B204,'On The Board'!E$5:E$219,"="&amp;FutureWork)</f>
        <v>43</v>
      </c>
      <c r="D204" s="12">
        <f ca="1">IF(TodaysDate&gt;=B204,SUMIF('On The Board'!F$5:F$219,"&lt;="&amp;$B204,'On The Board'!$M$5:$M$219)-SUM(E204:I204),D203)</f>
        <v>47</v>
      </c>
      <c r="E204" s="12">
        <f>SUMIF('On The Board'!G$5:G$219,"&lt;="&amp;$B204,'On The Board'!$M$5:$M$219)-SUM(F204:I204)</f>
        <v>0</v>
      </c>
      <c r="F204" s="12">
        <f>SUMIF('On The Board'!H$5:H$219,"&lt;="&amp;$B204,'On The Board'!$M$5:$M$219)-SUM(G204:I204)</f>
        <v>5</v>
      </c>
      <c r="G204" s="12">
        <f>SUMIF('On The Board'!I$5:I$219,"&lt;="&amp;$B204,'On The Board'!$M$5:$M$219)-SUM(H204,I204)</f>
        <v>2</v>
      </c>
      <c r="H204" s="12">
        <f>SUMIF('On The Board'!J$5:J$219,"&lt;="&amp;$B204,'On The Board'!$M$5:$M$219)-SUM(I204)</f>
        <v>0</v>
      </c>
      <c r="I204" s="12">
        <f>SUMIF('On The Board'!K$5:K$219,"&lt;="&amp;$B204,'On The Board'!$M$5:$M$219)</f>
        <v>70</v>
      </c>
      <c r="J204" s="10">
        <f t="shared" si="32"/>
        <v>77</v>
      </c>
      <c r="K204" s="10" t="e">
        <f t="shared" ca="1" si="33"/>
        <v>#N/A</v>
      </c>
      <c r="L204" s="44" t="e">
        <f t="shared" ca="1" si="28"/>
        <v>#N/A</v>
      </c>
      <c r="M204" s="44" t="e">
        <f t="shared" ref="M204:M267" ca="1" si="36">IF(ISNUMBER(L204),(I204-I194)/NETWORKDAYS(B194,B204,BankHolidays),NA())</f>
        <v>#N/A</v>
      </c>
      <c r="N204" s="44" t="e">
        <f t="shared" ca="1" si="35"/>
        <v>#N/A</v>
      </c>
      <c r="O204" s="53" t="e">
        <f t="shared" ca="1" si="29"/>
        <v>#N/A</v>
      </c>
      <c r="P204" s="53" t="str">
        <f ca="1">IFERROR(DayByDayTable[[#This Row],[Lead Time]],"")</f>
        <v/>
      </c>
      <c r="Q204" s="44" t="e">
        <f t="shared" ca="1" si="30"/>
        <v>#N/A</v>
      </c>
      <c r="R204" s="44">
        <f ca="1">ROUND(PERCENTILE(DayByDayTable[[#Data],[BlankLeadTime]],0.8),0)</f>
        <v>8</v>
      </c>
    </row>
    <row r="205" spans="1:18">
      <c r="A205" s="51">
        <f t="shared" si="31"/>
        <v>42698</v>
      </c>
      <c r="B205" s="11">
        <f t="shared" si="34"/>
        <v>42698</v>
      </c>
      <c r="C205" s="47">
        <f>SUMIFS('On The Board'!$M$5:$M$219,'On The Board'!F$5:F$219,"&lt;="&amp;$B205,'On The Board'!E$5:E$219,"="&amp;FutureWork)</f>
        <v>43</v>
      </c>
      <c r="D205" s="12">
        <f ca="1">IF(TodaysDate&gt;=B205,SUMIF('On The Board'!F$5:F$219,"&lt;="&amp;$B205,'On The Board'!$M$5:$M$219)-SUM(E205:I205),D204)</f>
        <v>47</v>
      </c>
      <c r="E205" s="12">
        <f>SUMIF('On The Board'!G$5:G$219,"&lt;="&amp;$B205,'On The Board'!$M$5:$M$219)-SUM(F205:I205)</f>
        <v>0</v>
      </c>
      <c r="F205" s="12">
        <f>SUMIF('On The Board'!H$5:H$219,"&lt;="&amp;$B205,'On The Board'!$M$5:$M$219)-SUM(G205:I205)</f>
        <v>5</v>
      </c>
      <c r="G205" s="12">
        <f>SUMIF('On The Board'!I$5:I$219,"&lt;="&amp;$B205,'On The Board'!$M$5:$M$219)-SUM(H205,I205)</f>
        <v>2</v>
      </c>
      <c r="H205" s="12">
        <f>SUMIF('On The Board'!J$5:J$219,"&lt;="&amp;$B205,'On The Board'!$M$5:$M$219)-SUM(I205)</f>
        <v>0</v>
      </c>
      <c r="I205" s="12">
        <f>SUMIF('On The Board'!K$5:K$219,"&lt;="&amp;$B205,'On The Board'!$M$5:$M$219)</f>
        <v>70</v>
      </c>
      <c r="J205" s="10">
        <f t="shared" si="32"/>
        <v>77</v>
      </c>
      <c r="K205" s="10" t="e">
        <f t="shared" ca="1" si="33"/>
        <v>#N/A</v>
      </c>
      <c r="L205" s="44" t="e">
        <f t="shared" ref="L205:L268" ca="1" si="37">AVERAGE(K195:K205)</f>
        <v>#N/A</v>
      </c>
      <c r="M205" s="44" t="e">
        <f t="shared" ca="1" si="36"/>
        <v>#N/A</v>
      </c>
      <c r="N205" s="44" t="e">
        <f t="shared" ca="1" si="35"/>
        <v>#N/A</v>
      </c>
      <c r="O205" s="53" t="e">
        <f t="shared" ref="O205:O268" ca="1" si="38">AVERAGE(N195:N205)</f>
        <v>#N/A</v>
      </c>
      <c r="P205" s="53" t="str">
        <f ca="1">IFERROR(DayByDayTable[[#This Row],[Lead Time]],"")</f>
        <v/>
      </c>
      <c r="Q205" s="44" t="e">
        <f t="shared" ca="1" si="30"/>
        <v>#N/A</v>
      </c>
      <c r="R205" s="44">
        <f ca="1">ROUND(PERCENTILE(DayByDayTable[[#Data],[BlankLeadTime]],0.8),0)</f>
        <v>8</v>
      </c>
    </row>
    <row r="206" spans="1:18">
      <c r="A206" s="51">
        <f t="shared" si="31"/>
        <v>42699</v>
      </c>
      <c r="B206" s="11">
        <f t="shared" si="34"/>
        <v>42699</v>
      </c>
      <c r="C206" s="47">
        <f>SUMIFS('On The Board'!$M$5:$M$219,'On The Board'!F$5:F$219,"&lt;="&amp;$B206,'On The Board'!E$5:E$219,"="&amp;FutureWork)</f>
        <v>43</v>
      </c>
      <c r="D206" s="12">
        <f ca="1">IF(TodaysDate&gt;=B206,SUMIF('On The Board'!F$5:F$219,"&lt;="&amp;$B206,'On The Board'!$M$5:$M$219)-SUM(E206:I206),D205)</f>
        <v>47</v>
      </c>
      <c r="E206" s="12">
        <f>SUMIF('On The Board'!G$5:G$219,"&lt;="&amp;$B206,'On The Board'!$M$5:$M$219)-SUM(F206:I206)</f>
        <v>0</v>
      </c>
      <c r="F206" s="12">
        <f>SUMIF('On The Board'!H$5:H$219,"&lt;="&amp;$B206,'On The Board'!$M$5:$M$219)-SUM(G206:I206)</f>
        <v>5</v>
      </c>
      <c r="G206" s="12">
        <f>SUMIF('On The Board'!I$5:I$219,"&lt;="&amp;$B206,'On The Board'!$M$5:$M$219)-SUM(H206,I206)</f>
        <v>2</v>
      </c>
      <c r="H206" s="12">
        <f>SUMIF('On The Board'!J$5:J$219,"&lt;="&amp;$B206,'On The Board'!$M$5:$M$219)-SUM(I206)</f>
        <v>0</v>
      </c>
      <c r="I206" s="12">
        <f>SUMIF('On The Board'!K$5:K$219,"&lt;="&amp;$B206,'On The Board'!$M$5:$M$219)</f>
        <v>70</v>
      </c>
      <c r="J206" s="10">
        <f t="shared" si="32"/>
        <v>77</v>
      </c>
      <c r="K206" s="10" t="e">
        <f t="shared" ca="1" si="33"/>
        <v>#N/A</v>
      </c>
      <c r="L206" s="44" t="e">
        <f t="shared" ca="1" si="37"/>
        <v>#N/A</v>
      </c>
      <c r="M206" s="44" t="e">
        <f t="shared" ca="1" si="36"/>
        <v>#N/A</v>
      </c>
      <c r="N206" s="44" t="e">
        <f t="shared" ca="1" si="35"/>
        <v>#N/A</v>
      </c>
      <c r="O206" s="53" t="e">
        <f t="shared" ca="1" si="38"/>
        <v>#N/A</v>
      </c>
      <c r="P206" s="53" t="str">
        <f ca="1">IFERROR(DayByDayTable[[#This Row],[Lead Time]],"")</f>
        <v/>
      </c>
      <c r="Q206" s="44" t="e">
        <f t="shared" ca="1" si="30"/>
        <v>#N/A</v>
      </c>
      <c r="R206" s="44">
        <f ca="1">ROUND(PERCENTILE(DayByDayTable[[#Data],[BlankLeadTime]],0.8),0)</f>
        <v>8</v>
      </c>
    </row>
    <row r="207" spans="1:18">
      <c r="A207" s="51">
        <f t="shared" si="31"/>
        <v>42702</v>
      </c>
      <c r="B207" s="11">
        <f t="shared" si="34"/>
        <v>42702</v>
      </c>
      <c r="C207" s="47">
        <f>SUMIFS('On The Board'!$M$5:$M$219,'On The Board'!F$5:F$219,"&lt;="&amp;$B207,'On The Board'!E$5:E$219,"="&amp;FutureWork)</f>
        <v>43</v>
      </c>
      <c r="D207" s="12">
        <f ca="1">IF(TodaysDate&gt;=B207,SUMIF('On The Board'!F$5:F$219,"&lt;="&amp;$B207,'On The Board'!$M$5:$M$219)-SUM(E207:I207),D206)</f>
        <v>47</v>
      </c>
      <c r="E207" s="12">
        <f>SUMIF('On The Board'!G$5:G$219,"&lt;="&amp;$B207,'On The Board'!$M$5:$M$219)-SUM(F207:I207)</f>
        <v>0</v>
      </c>
      <c r="F207" s="12">
        <f>SUMIF('On The Board'!H$5:H$219,"&lt;="&amp;$B207,'On The Board'!$M$5:$M$219)-SUM(G207:I207)</f>
        <v>5</v>
      </c>
      <c r="G207" s="12">
        <f>SUMIF('On The Board'!I$5:I$219,"&lt;="&amp;$B207,'On The Board'!$M$5:$M$219)-SUM(H207,I207)</f>
        <v>2</v>
      </c>
      <c r="H207" s="12">
        <f>SUMIF('On The Board'!J$5:J$219,"&lt;="&amp;$B207,'On The Board'!$M$5:$M$219)-SUM(I207)</f>
        <v>0</v>
      </c>
      <c r="I207" s="12">
        <f>SUMIF('On The Board'!K$5:K$219,"&lt;="&amp;$B207,'On The Board'!$M$5:$M$219)</f>
        <v>70</v>
      </c>
      <c r="J207" s="10">
        <f t="shared" si="32"/>
        <v>77</v>
      </c>
      <c r="K207" s="10" t="e">
        <f t="shared" ca="1" si="33"/>
        <v>#N/A</v>
      </c>
      <c r="L207" s="44" t="e">
        <f t="shared" ca="1" si="37"/>
        <v>#N/A</v>
      </c>
      <c r="M207" s="44" t="e">
        <f t="shared" ca="1" si="36"/>
        <v>#N/A</v>
      </c>
      <c r="N207" s="44" t="e">
        <f t="shared" ca="1" si="35"/>
        <v>#N/A</v>
      </c>
      <c r="O207" s="53" t="e">
        <f t="shared" ca="1" si="38"/>
        <v>#N/A</v>
      </c>
      <c r="P207" s="53" t="str">
        <f ca="1">IFERROR(DayByDayTable[[#This Row],[Lead Time]],"")</f>
        <v/>
      </c>
      <c r="Q207" s="44" t="e">
        <f t="shared" ca="1" si="30"/>
        <v>#N/A</v>
      </c>
      <c r="R207" s="44">
        <f ca="1">ROUND(PERCENTILE(DayByDayTable[[#Data],[BlankLeadTime]],0.8),0)</f>
        <v>8</v>
      </c>
    </row>
    <row r="208" spans="1:18">
      <c r="A208" s="51">
        <f t="shared" si="31"/>
        <v>42703</v>
      </c>
      <c r="B208" s="11">
        <f t="shared" si="34"/>
        <v>42703</v>
      </c>
      <c r="C208" s="47">
        <f>SUMIFS('On The Board'!$M$5:$M$219,'On The Board'!F$5:F$219,"&lt;="&amp;$B208,'On The Board'!E$5:E$219,"="&amp;FutureWork)</f>
        <v>43</v>
      </c>
      <c r="D208" s="12">
        <f ca="1">IF(TodaysDate&gt;=B208,SUMIF('On The Board'!F$5:F$219,"&lt;="&amp;$B208,'On The Board'!$M$5:$M$219)-SUM(E208:I208),D207)</f>
        <v>47</v>
      </c>
      <c r="E208" s="12">
        <f>SUMIF('On The Board'!G$5:G$219,"&lt;="&amp;$B208,'On The Board'!$M$5:$M$219)-SUM(F208:I208)</f>
        <v>0</v>
      </c>
      <c r="F208" s="12">
        <f>SUMIF('On The Board'!H$5:H$219,"&lt;="&amp;$B208,'On The Board'!$M$5:$M$219)-SUM(G208:I208)</f>
        <v>5</v>
      </c>
      <c r="G208" s="12">
        <f>SUMIF('On The Board'!I$5:I$219,"&lt;="&amp;$B208,'On The Board'!$M$5:$M$219)-SUM(H208,I208)</f>
        <v>2</v>
      </c>
      <c r="H208" s="12">
        <f>SUMIF('On The Board'!J$5:J$219,"&lt;="&amp;$B208,'On The Board'!$M$5:$M$219)-SUM(I208)</f>
        <v>0</v>
      </c>
      <c r="I208" s="12">
        <f>SUMIF('On The Board'!K$5:K$219,"&lt;="&amp;$B208,'On The Board'!$M$5:$M$219)</f>
        <v>70</v>
      </c>
      <c r="J208" s="10">
        <f t="shared" si="32"/>
        <v>77</v>
      </c>
      <c r="K208" s="10" t="e">
        <f t="shared" ca="1" si="33"/>
        <v>#N/A</v>
      </c>
      <c r="L208" s="44" t="e">
        <f t="shared" ca="1" si="37"/>
        <v>#N/A</v>
      </c>
      <c r="M208" s="44" t="e">
        <f t="shared" ca="1" si="36"/>
        <v>#N/A</v>
      </c>
      <c r="N208" s="44" t="e">
        <f t="shared" ca="1" si="35"/>
        <v>#N/A</v>
      </c>
      <c r="O208" s="53" t="e">
        <f t="shared" ca="1" si="38"/>
        <v>#N/A</v>
      </c>
      <c r="P208" s="53" t="str">
        <f ca="1">IFERROR(DayByDayTable[[#This Row],[Lead Time]],"")</f>
        <v/>
      </c>
      <c r="Q208" s="44" t="e">
        <f t="shared" ref="Q208:Q271" ca="1" si="39">PERCENTILE(N197:N208,0.8)</f>
        <v>#N/A</v>
      </c>
      <c r="R208" s="44">
        <f ca="1">ROUND(PERCENTILE(DayByDayTable[[#Data],[BlankLeadTime]],0.8),0)</f>
        <v>8</v>
      </c>
    </row>
    <row r="209" spans="1:18">
      <c r="A209" s="51">
        <f t="shared" si="31"/>
        <v>42704</v>
      </c>
      <c r="B209" s="11">
        <f t="shared" si="34"/>
        <v>42704</v>
      </c>
      <c r="C209" s="47">
        <f>SUMIFS('On The Board'!$M$5:$M$219,'On The Board'!F$5:F$219,"&lt;="&amp;$B209,'On The Board'!E$5:E$219,"="&amp;FutureWork)</f>
        <v>43</v>
      </c>
      <c r="D209" s="12">
        <f ca="1">IF(TodaysDate&gt;=B209,SUMIF('On The Board'!F$5:F$219,"&lt;="&amp;$B209,'On The Board'!$M$5:$M$219)-SUM(E209:I209),D208)</f>
        <v>47</v>
      </c>
      <c r="E209" s="12">
        <f>SUMIF('On The Board'!G$5:G$219,"&lt;="&amp;$B209,'On The Board'!$M$5:$M$219)-SUM(F209:I209)</f>
        <v>0</v>
      </c>
      <c r="F209" s="12">
        <f>SUMIF('On The Board'!H$5:H$219,"&lt;="&amp;$B209,'On The Board'!$M$5:$M$219)-SUM(G209:I209)</f>
        <v>5</v>
      </c>
      <c r="G209" s="12">
        <f>SUMIF('On The Board'!I$5:I$219,"&lt;="&amp;$B209,'On The Board'!$M$5:$M$219)-SUM(H209,I209)</f>
        <v>2</v>
      </c>
      <c r="H209" s="12">
        <f>SUMIF('On The Board'!J$5:J$219,"&lt;="&amp;$B209,'On The Board'!$M$5:$M$219)-SUM(I209)</f>
        <v>0</v>
      </c>
      <c r="I209" s="12">
        <f>SUMIF('On The Board'!K$5:K$219,"&lt;="&amp;$B209,'On The Board'!$M$5:$M$219)</f>
        <v>70</v>
      </c>
      <c r="J209" s="10">
        <f t="shared" si="32"/>
        <v>77</v>
      </c>
      <c r="K209" s="10" t="e">
        <f t="shared" ca="1" si="33"/>
        <v>#N/A</v>
      </c>
      <c r="L209" s="44" t="e">
        <f t="shared" ca="1" si="37"/>
        <v>#N/A</v>
      </c>
      <c r="M209" s="44" t="e">
        <f t="shared" ca="1" si="36"/>
        <v>#N/A</v>
      </c>
      <c r="N209" s="44" t="e">
        <f t="shared" ca="1" si="35"/>
        <v>#N/A</v>
      </c>
      <c r="O209" s="53" t="e">
        <f t="shared" ca="1" si="38"/>
        <v>#N/A</v>
      </c>
      <c r="P209" s="53" t="str">
        <f ca="1">IFERROR(DayByDayTable[[#This Row],[Lead Time]],"")</f>
        <v/>
      </c>
      <c r="Q209" s="44" t="e">
        <f t="shared" ca="1" si="39"/>
        <v>#N/A</v>
      </c>
      <c r="R209" s="44">
        <f ca="1">ROUND(PERCENTILE(DayByDayTable[[#Data],[BlankLeadTime]],0.8),0)</f>
        <v>8</v>
      </c>
    </row>
    <row r="210" spans="1:18">
      <c r="A210" s="51">
        <f t="shared" si="31"/>
        <v>42705</v>
      </c>
      <c r="B210" s="11">
        <f t="shared" si="34"/>
        <v>42705</v>
      </c>
      <c r="C210" s="47">
        <f>SUMIFS('On The Board'!$M$5:$M$219,'On The Board'!F$5:F$219,"&lt;="&amp;$B210,'On The Board'!E$5:E$219,"="&amp;FutureWork)</f>
        <v>43</v>
      </c>
      <c r="D210" s="12">
        <f ca="1">IF(TodaysDate&gt;=B210,SUMIF('On The Board'!F$5:F$219,"&lt;="&amp;$B210,'On The Board'!$M$5:$M$219)-SUM(E210:I210),D209)</f>
        <v>47</v>
      </c>
      <c r="E210" s="12">
        <f>SUMIF('On The Board'!G$5:G$219,"&lt;="&amp;$B210,'On The Board'!$M$5:$M$219)-SUM(F210:I210)</f>
        <v>0</v>
      </c>
      <c r="F210" s="12">
        <f>SUMIF('On The Board'!H$5:H$219,"&lt;="&amp;$B210,'On The Board'!$M$5:$M$219)-SUM(G210:I210)</f>
        <v>5</v>
      </c>
      <c r="G210" s="12">
        <f>SUMIF('On The Board'!I$5:I$219,"&lt;="&amp;$B210,'On The Board'!$M$5:$M$219)-SUM(H210,I210)</f>
        <v>2</v>
      </c>
      <c r="H210" s="12">
        <f>SUMIF('On The Board'!J$5:J$219,"&lt;="&amp;$B210,'On The Board'!$M$5:$M$219)-SUM(I210)</f>
        <v>0</v>
      </c>
      <c r="I210" s="12">
        <f>SUMIF('On The Board'!K$5:K$219,"&lt;="&amp;$B210,'On The Board'!$M$5:$M$219)</f>
        <v>70</v>
      </c>
      <c r="J210" s="10">
        <f t="shared" si="32"/>
        <v>77</v>
      </c>
      <c r="K210" s="10" t="e">
        <f t="shared" ca="1" si="33"/>
        <v>#N/A</v>
      </c>
      <c r="L210" s="44" t="e">
        <f t="shared" ca="1" si="37"/>
        <v>#N/A</v>
      </c>
      <c r="M210" s="44" t="e">
        <f t="shared" ca="1" si="36"/>
        <v>#N/A</v>
      </c>
      <c r="N210" s="44" t="e">
        <f t="shared" ca="1" si="35"/>
        <v>#N/A</v>
      </c>
      <c r="O210" s="53" t="e">
        <f t="shared" ca="1" si="38"/>
        <v>#N/A</v>
      </c>
      <c r="P210" s="53" t="str">
        <f ca="1">IFERROR(DayByDayTable[[#This Row],[Lead Time]],"")</f>
        <v/>
      </c>
      <c r="Q210" s="44" t="e">
        <f t="shared" ca="1" si="39"/>
        <v>#N/A</v>
      </c>
      <c r="R210" s="44">
        <f ca="1">ROUND(PERCENTILE(DayByDayTable[[#Data],[BlankLeadTime]],0.8),0)</f>
        <v>8</v>
      </c>
    </row>
    <row r="211" spans="1:18">
      <c r="A211" s="51">
        <f t="shared" si="31"/>
        <v>42706</v>
      </c>
      <c r="B211" s="11">
        <f t="shared" si="34"/>
        <v>42706</v>
      </c>
      <c r="C211" s="47">
        <f>SUMIFS('On The Board'!$M$5:$M$219,'On The Board'!F$5:F$219,"&lt;="&amp;$B211,'On The Board'!E$5:E$219,"="&amp;FutureWork)</f>
        <v>43</v>
      </c>
      <c r="D211" s="12">
        <f ca="1">IF(TodaysDate&gt;=B211,SUMIF('On The Board'!F$5:F$219,"&lt;="&amp;$B211,'On The Board'!$M$5:$M$219)-SUM(E211:I211),D210)</f>
        <v>47</v>
      </c>
      <c r="E211" s="12">
        <f>SUMIF('On The Board'!G$5:G$219,"&lt;="&amp;$B211,'On The Board'!$M$5:$M$219)-SUM(F211:I211)</f>
        <v>0</v>
      </c>
      <c r="F211" s="12">
        <f>SUMIF('On The Board'!H$5:H$219,"&lt;="&amp;$B211,'On The Board'!$M$5:$M$219)-SUM(G211:I211)</f>
        <v>5</v>
      </c>
      <c r="G211" s="12">
        <f>SUMIF('On The Board'!I$5:I$219,"&lt;="&amp;$B211,'On The Board'!$M$5:$M$219)-SUM(H211,I211)</f>
        <v>2</v>
      </c>
      <c r="H211" s="12">
        <f>SUMIF('On The Board'!J$5:J$219,"&lt;="&amp;$B211,'On The Board'!$M$5:$M$219)-SUM(I211)</f>
        <v>0</v>
      </c>
      <c r="I211" s="12">
        <f>SUMIF('On The Board'!K$5:K$219,"&lt;="&amp;$B211,'On The Board'!$M$5:$M$219)</f>
        <v>70</v>
      </c>
      <c r="J211" s="10">
        <f t="shared" si="32"/>
        <v>77</v>
      </c>
      <c r="K211" s="10" t="e">
        <f t="shared" ca="1" si="33"/>
        <v>#N/A</v>
      </c>
      <c r="L211" s="44" t="e">
        <f t="shared" ca="1" si="37"/>
        <v>#N/A</v>
      </c>
      <c r="M211" s="44" t="e">
        <f t="shared" ca="1" si="36"/>
        <v>#N/A</v>
      </c>
      <c r="N211" s="44" t="e">
        <f t="shared" ca="1" si="35"/>
        <v>#N/A</v>
      </c>
      <c r="O211" s="53" t="e">
        <f t="shared" ca="1" si="38"/>
        <v>#N/A</v>
      </c>
      <c r="P211" s="53" t="str">
        <f ca="1">IFERROR(DayByDayTable[[#This Row],[Lead Time]],"")</f>
        <v/>
      </c>
      <c r="Q211" s="44" t="e">
        <f t="shared" ca="1" si="39"/>
        <v>#N/A</v>
      </c>
      <c r="R211" s="44">
        <f ca="1">ROUND(PERCENTILE(DayByDayTable[[#Data],[BlankLeadTime]],0.8),0)</f>
        <v>8</v>
      </c>
    </row>
    <row r="212" spans="1:18">
      <c r="A212" s="51">
        <f t="shared" si="31"/>
        <v>42709</v>
      </c>
      <c r="B212" s="11">
        <f t="shared" si="34"/>
        <v>42709</v>
      </c>
      <c r="C212" s="47">
        <f>SUMIFS('On The Board'!$M$5:$M$219,'On The Board'!F$5:F$219,"&lt;="&amp;$B212,'On The Board'!E$5:E$219,"="&amp;FutureWork)</f>
        <v>43</v>
      </c>
      <c r="D212" s="12">
        <f ca="1">IF(TodaysDate&gt;=B212,SUMIF('On The Board'!F$5:F$219,"&lt;="&amp;$B212,'On The Board'!$M$5:$M$219)-SUM(E212:I212),D211)</f>
        <v>47</v>
      </c>
      <c r="E212" s="12">
        <f>SUMIF('On The Board'!G$5:G$219,"&lt;="&amp;$B212,'On The Board'!$M$5:$M$219)-SUM(F212:I212)</f>
        <v>0</v>
      </c>
      <c r="F212" s="12">
        <f>SUMIF('On The Board'!H$5:H$219,"&lt;="&amp;$B212,'On The Board'!$M$5:$M$219)-SUM(G212:I212)</f>
        <v>5</v>
      </c>
      <c r="G212" s="12">
        <f>SUMIF('On The Board'!I$5:I$219,"&lt;="&amp;$B212,'On The Board'!$M$5:$M$219)-SUM(H212,I212)</f>
        <v>2</v>
      </c>
      <c r="H212" s="12">
        <f>SUMIF('On The Board'!J$5:J$219,"&lt;="&amp;$B212,'On The Board'!$M$5:$M$219)-SUM(I212)</f>
        <v>0</v>
      </c>
      <c r="I212" s="12">
        <f>SUMIF('On The Board'!K$5:K$219,"&lt;="&amp;$B212,'On The Board'!$M$5:$M$219)</f>
        <v>70</v>
      </c>
      <c r="J212" s="10">
        <f t="shared" si="32"/>
        <v>77</v>
      </c>
      <c r="K212" s="10" t="e">
        <f t="shared" ca="1" si="33"/>
        <v>#N/A</v>
      </c>
      <c r="L212" s="44" t="e">
        <f t="shared" ca="1" si="37"/>
        <v>#N/A</v>
      </c>
      <c r="M212" s="44" t="e">
        <f t="shared" ca="1" si="36"/>
        <v>#N/A</v>
      </c>
      <c r="N212" s="44" t="e">
        <f t="shared" ca="1" si="35"/>
        <v>#N/A</v>
      </c>
      <c r="O212" s="53" t="e">
        <f t="shared" ca="1" si="38"/>
        <v>#N/A</v>
      </c>
      <c r="P212" s="53" t="str">
        <f ca="1">IFERROR(DayByDayTable[[#This Row],[Lead Time]],"")</f>
        <v/>
      </c>
      <c r="Q212" s="44" t="e">
        <f t="shared" ca="1" si="39"/>
        <v>#N/A</v>
      </c>
      <c r="R212" s="44">
        <f ca="1">ROUND(PERCENTILE(DayByDayTable[[#Data],[BlankLeadTime]],0.8),0)</f>
        <v>8</v>
      </c>
    </row>
    <row r="213" spans="1:18">
      <c r="A213" s="51">
        <f t="shared" si="31"/>
        <v>42710</v>
      </c>
      <c r="B213" s="11">
        <f t="shared" si="34"/>
        <v>42710</v>
      </c>
      <c r="C213" s="47">
        <f>SUMIFS('On The Board'!$M$5:$M$219,'On The Board'!F$5:F$219,"&lt;="&amp;$B213,'On The Board'!E$5:E$219,"="&amp;FutureWork)</f>
        <v>43</v>
      </c>
      <c r="D213" s="12">
        <f ca="1">IF(TodaysDate&gt;=B213,SUMIF('On The Board'!F$5:F$219,"&lt;="&amp;$B213,'On The Board'!$M$5:$M$219)-SUM(E213:I213),D212)</f>
        <v>47</v>
      </c>
      <c r="E213" s="12">
        <f>SUMIF('On The Board'!G$5:G$219,"&lt;="&amp;$B213,'On The Board'!$M$5:$M$219)-SUM(F213:I213)</f>
        <v>0</v>
      </c>
      <c r="F213" s="12">
        <f>SUMIF('On The Board'!H$5:H$219,"&lt;="&amp;$B213,'On The Board'!$M$5:$M$219)-SUM(G213:I213)</f>
        <v>5</v>
      </c>
      <c r="G213" s="12">
        <f>SUMIF('On The Board'!I$5:I$219,"&lt;="&amp;$B213,'On The Board'!$M$5:$M$219)-SUM(H213,I213)</f>
        <v>2</v>
      </c>
      <c r="H213" s="12">
        <f>SUMIF('On The Board'!J$5:J$219,"&lt;="&amp;$B213,'On The Board'!$M$5:$M$219)-SUM(I213)</f>
        <v>0</v>
      </c>
      <c r="I213" s="12">
        <f>SUMIF('On The Board'!K$5:K$219,"&lt;="&amp;$B213,'On The Board'!$M$5:$M$219)</f>
        <v>70</v>
      </c>
      <c r="J213" s="10">
        <f t="shared" si="32"/>
        <v>77</v>
      </c>
      <c r="K213" s="10" t="e">
        <f t="shared" ca="1" si="33"/>
        <v>#N/A</v>
      </c>
      <c r="L213" s="44" t="e">
        <f t="shared" ca="1" si="37"/>
        <v>#N/A</v>
      </c>
      <c r="M213" s="44" t="e">
        <f t="shared" ca="1" si="36"/>
        <v>#N/A</v>
      </c>
      <c r="N213" s="44" t="e">
        <f t="shared" ca="1" si="35"/>
        <v>#N/A</v>
      </c>
      <c r="O213" s="53" t="e">
        <f t="shared" ca="1" si="38"/>
        <v>#N/A</v>
      </c>
      <c r="P213" s="53" t="str">
        <f ca="1">IFERROR(DayByDayTable[[#This Row],[Lead Time]],"")</f>
        <v/>
      </c>
      <c r="Q213" s="44" t="e">
        <f t="shared" ca="1" si="39"/>
        <v>#N/A</v>
      </c>
      <c r="R213" s="44">
        <f ca="1">ROUND(PERCENTILE(DayByDayTable[[#Data],[BlankLeadTime]],0.8),0)</f>
        <v>8</v>
      </c>
    </row>
    <row r="214" spans="1:18">
      <c r="A214" s="51">
        <f t="shared" si="31"/>
        <v>42711</v>
      </c>
      <c r="B214" s="11">
        <f t="shared" si="34"/>
        <v>42711</v>
      </c>
      <c r="C214" s="47">
        <f>SUMIFS('On The Board'!$M$5:$M$219,'On The Board'!F$5:F$219,"&lt;="&amp;$B214,'On The Board'!E$5:E$219,"="&amp;FutureWork)</f>
        <v>43</v>
      </c>
      <c r="D214" s="12">
        <f ca="1">IF(TodaysDate&gt;=B214,SUMIF('On The Board'!F$5:F$219,"&lt;="&amp;$B214,'On The Board'!$M$5:$M$219)-SUM(E214:I214),D213)</f>
        <v>47</v>
      </c>
      <c r="E214" s="12">
        <f>SUMIF('On The Board'!G$5:G$219,"&lt;="&amp;$B214,'On The Board'!$M$5:$M$219)-SUM(F214:I214)</f>
        <v>0</v>
      </c>
      <c r="F214" s="12">
        <f>SUMIF('On The Board'!H$5:H$219,"&lt;="&amp;$B214,'On The Board'!$M$5:$M$219)-SUM(G214:I214)</f>
        <v>5</v>
      </c>
      <c r="G214" s="12">
        <f>SUMIF('On The Board'!I$5:I$219,"&lt;="&amp;$B214,'On The Board'!$M$5:$M$219)-SUM(H214,I214)</f>
        <v>2</v>
      </c>
      <c r="H214" s="12">
        <f>SUMIF('On The Board'!J$5:J$219,"&lt;="&amp;$B214,'On The Board'!$M$5:$M$219)-SUM(I214)</f>
        <v>0</v>
      </c>
      <c r="I214" s="12">
        <f>SUMIF('On The Board'!K$5:K$219,"&lt;="&amp;$B214,'On The Board'!$M$5:$M$219)</f>
        <v>70</v>
      </c>
      <c r="J214" s="10">
        <f t="shared" si="32"/>
        <v>77</v>
      </c>
      <c r="K214" s="10" t="e">
        <f t="shared" ca="1" si="33"/>
        <v>#N/A</v>
      </c>
      <c r="L214" s="44" t="e">
        <f t="shared" ca="1" si="37"/>
        <v>#N/A</v>
      </c>
      <c r="M214" s="44" t="e">
        <f t="shared" ca="1" si="36"/>
        <v>#N/A</v>
      </c>
      <c r="N214" s="44" t="e">
        <f t="shared" ca="1" si="35"/>
        <v>#N/A</v>
      </c>
      <c r="O214" s="53" t="e">
        <f t="shared" ca="1" si="38"/>
        <v>#N/A</v>
      </c>
      <c r="P214" s="53" t="str">
        <f ca="1">IFERROR(DayByDayTable[[#This Row],[Lead Time]],"")</f>
        <v/>
      </c>
      <c r="Q214" s="44" t="e">
        <f t="shared" ca="1" si="39"/>
        <v>#N/A</v>
      </c>
      <c r="R214" s="44">
        <f ca="1">ROUND(PERCENTILE(DayByDayTable[[#Data],[BlankLeadTime]],0.8),0)</f>
        <v>8</v>
      </c>
    </row>
    <row r="215" spans="1:18">
      <c r="A215" s="51">
        <f t="shared" si="31"/>
        <v>42712</v>
      </c>
      <c r="B215" s="11">
        <f t="shared" si="34"/>
        <v>42712</v>
      </c>
      <c r="C215" s="47">
        <f>SUMIFS('On The Board'!$M$5:$M$219,'On The Board'!F$5:F$219,"&lt;="&amp;$B215,'On The Board'!E$5:E$219,"="&amp;FutureWork)</f>
        <v>43</v>
      </c>
      <c r="D215" s="12">
        <f ca="1">IF(TodaysDate&gt;=B215,SUMIF('On The Board'!F$5:F$219,"&lt;="&amp;$B215,'On The Board'!$M$5:$M$219)-SUM(E215:I215),D214)</f>
        <v>47</v>
      </c>
      <c r="E215" s="12">
        <f>SUMIF('On The Board'!G$5:G$219,"&lt;="&amp;$B215,'On The Board'!$M$5:$M$219)-SUM(F215:I215)</f>
        <v>0</v>
      </c>
      <c r="F215" s="12">
        <f>SUMIF('On The Board'!H$5:H$219,"&lt;="&amp;$B215,'On The Board'!$M$5:$M$219)-SUM(G215:I215)</f>
        <v>5</v>
      </c>
      <c r="G215" s="12">
        <f>SUMIF('On The Board'!I$5:I$219,"&lt;="&amp;$B215,'On The Board'!$M$5:$M$219)-SUM(H215,I215)</f>
        <v>2</v>
      </c>
      <c r="H215" s="12">
        <f>SUMIF('On The Board'!J$5:J$219,"&lt;="&amp;$B215,'On The Board'!$M$5:$M$219)-SUM(I215)</f>
        <v>0</v>
      </c>
      <c r="I215" s="12">
        <f>SUMIF('On The Board'!K$5:K$219,"&lt;="&amp;$B215,'On The Board'!$M$5:$M$219)</f>
        <v>70</v>
      </c>
      <c r="J215" s="10">
        <f t="shared" si="32"/>
        <v>77</v>
      </c>
      <c r="K215" s="10" t="e">
        <f t="shared" ca="1" si="33"/>
        <v>#N/A</v>
      </c>
      <c r="L215" s="44" t="e">
        <f t="shared" ca="1" si="37"/>
        <v>#N/A</v>
      </c>
      <c r="M215" s="44" t="e">
        <f t="shared" ca="1" si="36"/>
        <v>#N/A</v>
      </c>
      <c r="N215" s="44" t="e">
        <f t="shared" ca="1" si="35"/>
        <v>#N/A</v>
      </c>
      <c r="O215" s="53" t="e">
        <f t="shared" ca="1" si="38"/>
        <v>#N/A</v>
      </c>
      <c r="P215" s="53" t="str">
        <f ca="1">IFERROR(DayByDayTable[[#This Row],[Lead Time]],"")</f>
        <v/>
      </c>
      <c r="Q215" s="44" t="e">
        <f t="shared" ca="1" si="39"/>
        <v>#N/A</v>
      </c>
      <c r="R215" s="44">
        <f ca="1">ROUND(PERCENTILE(DayByDayTable[[#Data],[BlankLeadTime]],0.8),0)</f>
        <v>8</v>
      </c>
    </row>
    <row r="216" spans="1:18">
      <c r="A216" s="51">
        <f t="shared" si="31"/>
        <v>42713</v>
      </c>
      <c r="B216" s="11">
        <f t="shared" si="34"/>
        <v>42713</v>
      </c>
      <c r="C216" s="47">
        <f>SUMIFS('On The Board'!$M$5:$M$219,'On The Board'!F$5:F$219,"&lt;="&amp;$B216,'On The Board'!E$5:E$219,"="&amp;FutureWork)</f>
        <v>43</v>
      </c>
      <c r="D216" s="12">
        <f ca="1">IF(TodaysDate&gt;=B216,SUMIF('On The Board'!F$5:F$219,"&lt;="&amp;$B216,'On The Board'!$M$5:$M$219)-SUM(E216:I216),D215)</f>
        <v>47</v>
      </c>
      <c r="E216" s="12">
        <f>SUMIF('On The Board'!G$5:G$219,"&lt;="&amp;$B216,'On The Board'!$M$5:$M$219)-SUM(F216:I216)</f>
        <v>0</v>
      </c>
      <c r="F216" s="12">
        <f>SUMIF('On The Board'!H$5:H$219,"&lt;="&amp;$B216,'On The Board'!$M$5:$M$219)-SUM(G216:I216)</f>
        <v>5</v>
      </c>
      <c r="G216" s="12">
        <f>SUMIF('On The Board'!I$5:I$219,"&lt;="&amp;$B216,'On The Board'!$M$5:$M$219)-SUM(H216,I216)</f>
        <v>2</v>
      </c>
      <c r="H216" s="12">
        <f>SUMIF('On The Board'!J$5:J$219,"&lt;="&amp;$B216,'On The Board'!$M$5:$M$219)-SUM(I216)</f>
        <v>0</v>
      </c>
      <c r="I216" s="12">
        <f>SUMIF('On The Board'!K$5:K$219,"&lt;="&amp;$B216,'On The Board'!$M$5:$M$219)</f>
        <v>70</v>
      </c>
      <c r="J216" s="10">
        <f t="shared" si="32"/>
        <v>77</v>
      </c>
      <c r="K216" s="10" t="e">
        <f t="shared" ca="1" si="33"/>
        <v>#N/A</v>
      </c>
      <c r="L216" s="44" t="e">
        <f t="shared" ca="1" si="37"/>
        <v>#N/A</v>
      </c>
      <c r="M216" s="44" t="e">
        <f t="shared" ca="1" si="36"/>
        <v>#N/A</v>
      </c>
      <c r="N216" s="44" t="e">
        <f t="shared" ca="1" si="35"/>
        <v>#N/A</v>
      </c>
      <c r="O216" s="53" t="e">
        <f t="shared" ca="1" si="38"/>
        <v>#N/A</v>
      </c>
      <c r="P216" s="53" t="str">
        <f ca="1">IFERROR(DayByDayTable[[#This Row],[Lead Time]],"")</f>
        <v/>
      </c>
      <c r="Q216" s="44" t="e">
        <f t="shared" ca="1" si="39"/>
        <v>#N/A</v>
      </c>
      <c r="R216" s="44">
        <f ca="1">ROUND(PERCENTILE(DayByDayTable[[#Data],[BlankLeadTime]],0.8),0)</f>
        <v>8</v>
      </c>
    </row>
    <row r="217" spans="1:18">
      <c r="A217" s="51">
        <f t="shared" si="31"/>
        <v>42716</v>
      </c>
      <c r="B217" s="11">
        <f t="shared" si="34"/>
        <v>42716</v>
      </c>
      <c r="C217" s="47">
        <f>SUMIFS('On The Board'!$M$5:$M$219,'On The Board'!F$5:F$219,"&lt;="&amp;$B217,'On The Board'!E$5:E$219,"="&amp;FutureWork)</f>
        <v>43</v>
      </c>
      <c r="D217" s="12">
        <f ca="1">IF(TodaysDate&gt;=B217,SUMIF('On The Board'!F$5:F$219,"&lt;="&amp;$B217,'On The Board'!$M$5:$M$219)-SUM(E217:I217),D216)</f>
        <v>47</v>
      </c>
      <c r="E217" s="12">
        <f>SUMIF('On The Board'!G$5:G$219,"&lt;="&amp;$B217,'On The Board'!$M$5:$M$219)-SUM(F217:I217)</f>
        <v>0</v>
      </c>
      <c r="F217" s="12">
        <f>SUMIF('On The Board'!H$5:H$219,"&lt;="&amp;$B217,'On The Board'!$M$5:$M$219)-SUM(G217:I217)</f>
        <v>5</v>
      </c>
      <c r="G217" s="12">
        <f>SUMIF('On The Board'!I$5:I$219,"&lt;="&amp;$B217,'On The Board'!$M$5:$M$219)-SUM(H217,I217)</f>
        <v>2</v>
      </c>
      <c r="H217" s="12">
        <f>SUMIF('On The Board'!J$5:J$219,"&lt;="&amp;$B217,'On The Board'!$M$5:$M$219)-SUM(I217)</f>
        <v>0</v>
      </c>
      <c r="I217" s="12">
        <f>SUMIF('On The Board'!K$5:K$219,"&lt;="&amp;$B217,'On The Board'!$M$5:$M$219)</f>
        <v>70</v>
      </c>
      <c r="J217" s="10">
        <f t="shared" si="32"/>
        <v>77</v>
      </c>
      <c r="K217" s="10" t="e">
        <f t="shared" ca="1" si="33"/>
        <v>#N/A</v>
      </c>
      <c r="L217" s="44" t="e">
        <f t="shared" ca="1" si="37"/>
        <v>#N/A</v>
      </c>
      <c r="M217" s="44" t="e">
        <f t="shared" ca="1" si="36"/>
        <v>#N/A</v>
      </c>
      <c r="N217" s="44" t="e">
        <f t="shared" ca="1" si="35"/>
        <v>#N/A</v>
      </c>
      <c r="O217" s="53" t="e">
        <f t="shared" ca="1" si="38"/>
        <v>#N/A</v>
      </c>
      <c r="P217" s="53" t="str">
        <f ca="1">IFERROR(DayByDayTable[[#This Row],[Lead Time]],"")</f>
        <v/>
      </c>
      <c r="Q217" s="44" t="e">
        <f t="shared" ca="1" si="39"/>
        <v>#N/A</v>
      </c>
      <c r="R217" s="44">
        <f ca="1">ROUND(PERCENTILE(DayByDayTable[[#Data],[BlankLeadTime]],0.8),0)</f>
        <v>8</v>
      </c>
    </row>
    <row r="218" spans="1:18">
      <c r="A218" s="51">
        <f t="shared" si="31"/>
        <v>42717</v>
      </c>
      <c r="B218" s="11">
        <f t="shared" si="34"/>
        <v>42717</v>
      </c>
      <c r="C218" s="47">
        <f>SUMIFS('On The Board'!$M$5:$M$219,'On The Board'!F$5:F$219,"&lt;="&amp;$B218,'On The Board'!E$5:E$219,"="&amp;FutureWork)</f>
        <v>43</v>
      </c>
      <c r="D218" s="12">
        <f ca="1">IF(TodaysDate&gt;=B218,SUMIF('On The Board'!F$5:F$219,"&lt;="&amp;$B218,'On The Board'!$M$5:$M$219)-SUM(E218:I218),D217)</f>
        <v>47</v>
      </c>
      <c r="E218" s="12">
        <f>SUMIF('On The Board'!G$5:G$219,"&lt;="&amp;$B218,'On The Board'!$M$5:$M$219)-SUM(F218:I218)</f>
        <v>0</v>
      </c>
      <c r="F218" s="12">
        <f>SUMIF('On The Board'!H$5:H$219,"&lt;="&amp;$B218,'On The Board'!$M$5:$M$219)-SUM(G218:I218)</f>
        <v>5</v>
      </c>
      <c r="G218" s="12">
        <f>SUMIF('On The Board'!I$5:I$219,"&lt;="&amp;$B218,'On The Board'!$M$5:$M$219)-SUM(H218,I218)</f>
        <v>2</v>
      </c>
      <c r="H218" s="12">
        <f>SUMIF('On The Board'!J$5:J$219,"&lt;="&amp;$B218,'On The Board'!$M$5:$M$219)-SUM(I218)</f>
        <v>0</v>
      </c>
      <c r="I218" s="12">
        <f>SUMIF('On The Board'!K$5:K$219,"&lt;="&amp;$B218,'On The Board'!$M$5:$M$219)</f>
        <v>70</v>
      </c>
      <c r="J218" s="10">
        <f t="shared" si="32"/>
        <v>77</v>
      </c>
      <c r="K218" s="10" t="e">
        <f t="shared" ca="1" si="33"/>
        <v>#N/A</v>
      </c>
      <c r="L218" s="44" t="e">
        <f t="shared" ca="1" si="37"/>
        <v>#N/A</v>
      </c>
      <c r="M218" s="44" t="e">
        <f t="shared" ca="1" si="36"/>
        <v>#N/A</v>
      </c>
      <c r="N218" s="44" t="e">
        <f t="shared" ca="1" si="35"/>
        <v>#N/A</v>
      </c>
      <c r="O218" s="53" t="e">
        <f t="shared" ca="1" si="38"/>
        <v>#N/A</v>
      </c>
      <c r="P218" s="53" t="str">
        <f ca="1">IFERROR(DayByDayTable[[#This Row],[Lead Time]],"")</f>
        <v/>
      </c>
      <c r="Q218" s="44" t="e">
        <f t="shared" ca="1" si="39"/>
        <v>#N/A</v>
      </c>
      <c r="R218" s="44">
        <f ca="1">ROUND(PERCENTILE(DayByDayTable[[#Data],[BlankLeadTime]],0.8),0)</f>
        <v>8</v>
      </c>
    </row>
    <row r="219" spans="1:18">
      <c r="A219" s="51">
        <f t="shared" si="31"/>
        <v>42718</v>
      </c>
      <c r="B219" s="11">
        <f t="shared" si="34"/>
        <v>42718</v>
      </c>
      <c r="C219" s="47">
        <f>SUMIFS('On The Board'!$M$5:$M$219,'On The Board'!F$5:F$219,"&lt;="&amp;$B219,'On The Board'!E$5:E$219,"="&amp;FutureWork)</f>
        <v>43</v>
      </c>
      <c r="D219" s="12">
        <f ca="1">IF(TodaysDate&gt;=B219,SUMIF('On The Board'!F$5:F$219,"&lt;="&amp;$B219,'On The Board'!$M$5:$M$219)-SUM(E219:I219),D218)</f>
        <v>47</v>
      </c>
      <c r="E219" s="12">
        <f>SUMIF('On The Board'!G$5:G$219,"&lt;="&amp;$B219,'On The Board'!$M$5:$M$219)-SUM(F219:I219)</f>
        <v>0</v>
      </c>
      <c r="F219" s="12">
        <f>SUMIF('On The Board'!H$5:H$219,"&lt;="&amp;$B219,'On The Board'!$M$5:$M$219)-SUM(G219:I219)</f>
        <v>5</v>
      </c>
      <c r="G219" s="12">
        <f>SUMIF('On The Board'!I$5:I$219,"&lt;="&amp;$B219,'On The Board'!$M$5:$M$219)-SUM(H219,I219)</f>
        <v>2</v>
      </c>
      <c r="H219" s="12">
        <f>SUMIF('On The Board'!J$5:J$219,"&lt;="&amp;$B219,'On The Board'!$M$5:$M$219)-SUM(I219)</f>
        <v>0</v>
      </c>
      <c r="I219" s="12">
        <f>SUMIF('On The Board'!K$5:K$219,"&lt;="&amp;$B219,'On The Board'!$M$5:$M$219)</f>
        <v>70</v>
      </c>
      <c r="J219" s="10">
        <f t="shared" si="32"/>
        <v>77</v>
      </c>
      <c r="K219" s="10" t="e">
        <f t="shared" ca="1" si="33"/>
        <v>#N/A</v>
      </c>
      <c r="L219" s="44" t="e">
        <f t="shared" ca="1" si="37"/>
        <v>#N/A</v>
      </c>
      <c r="M219" s="44" t="e">
        <f t="shared" ca="1" si="36"/>
        <v>#N/A</v>
      </c>
      <c r="N219" s="44" t="e">
        <f t="shared" ca="1" si="35"/>
        <v>#N/A</v>
      </c>
      <c r="O219" s="53" t="e">
        <f t="shared" ca="1" si="38"/>
        <v>#N/A</v>
      </c>
      <c r="P219" s="53" t="str">
        <f ca="1">IFERROR(DayByDayTable[[#This Row],[Lead Time]],"")</f>
        <v/>
      </c>
      <c r="Q219" s="44" t="e">
        <f t="shared" ca="1" si="39"/>
        <v>#N/A</v>
      </c>
      <c r="R219" s="44">
        <f ca="1">ROUND(PERCENTILE(DayByDayTable[[#Data],[BlankLeadTime]],0.8),0)</f>
        <v>8</v>
      </c>
    </row>
    <row r="220" spans="1:18">
      <c r="A220" s="51">
        <f t="shared" si="31"/>
        <v>42719</v>
      </c>
      <c r="B220" s="11">
        <f t="shared" si="34"/>
        <v>42719</v>
      </c>
      <c r="C220" s="47">
        <f>SUMIFS('On The Board'!$M$5:$M$219,'On The Board'!F$5:F$219,"&lt;="&amp;$B220,'On The Board'!E$5:E$219,"="&amp;FutureWork)</f>
        <v>43</v>
      </c>
      <c r="D220" s="12">
        <f ca="1">IF(TodaysDate&gt;=B220,SUMIF('On The Board'!F$5:F$219,"&lt;="&amp;$B220,'On The Board'!$M$5:$M$219)-SUM(E220:I220),D219)</f>
        <v>47</v>
      </c>
      <c r="E220" s="12">
        <f>SUMIF('On The Board'!G$5:G$219,"&lt;="&amp;$B220,'On The Board'!$M$5:$M$219)-SUM(F220:I220)</f>
        <v>0</v>
      </c>
      <c r="F220" s="12">
        <f>SUMIF('On The Board'!H$5:H$219,"&lt;="&amp;$B220,'On The Board'!$M$5:$M$219)-SUM(G220:I220)</f>
        <v>5</v>
      </c>
      <c r="G220" s="12">
        <f>SUMIF('On The Board'!I$5:I$219,"&lt;="&amp;$B220,'On The Board'!$M$5:$M$219)-SUM(H220,I220)</f>
        <v>2</v>
      </c>
      <c r="H220" s="12">
        <f>SUMIF('On The Board'!J$5:J$219,"&lt;="&amp;$B220,'On The Board'!$M$5:$M$219)-SUM(I220)</f>
        <v>0</v>
      </c>
      <c r="I220" s="12">
        <f>SUMIF('On The Board'!K$5:K$219,"&lt;="&amp;$B220,'On The Board'!$M$5:$M$219)</f>
        <v>70</v>
      </c>
      <c r="J220" s="10">
        <f t="shared" si="32"/>
        <v>77</v>
      </c>
      <c r="K220" s="10" t="e">
        <f t="shared" ca="1" si="33"/>
        <v>#N/A</v>
      </c>
      <c r="L220" s="44" t="e">
        <f t="shared" ca="1" si="37"/>
        <v>#N/A</v>
      </c>
      <c r="M220" s="44" t="e">
        <f t="shared" ca="1" si="36"/>
        <v>#N/A</v>
      </c>
      <c r="N220" s="44" t="e">
        <f t="shared" ca="1" si="35"/>
        <v>#N/A</v>
      </c>
      <c r="O220" s="53" t="e">
        <f t="shared" ca="1" si="38"/>
        <v>#N/A</v>
      </c>
      <c r="P220" s="53" t="str">
        <f ca="1">IFERROR(DayByDayTable[[#This Row],[Lead Time]],"")</f>
        <v/>
      </c>
      <c r="Q220" s="44" t="e">
        <f t="shared" ca="1" si="39"/>
        <v>#N/A</v>
      </c>
      <c r="R220" s="44">
        <f ca="1">ROUND(PERCENTILE(DayByDayTable[[#Data],[BlankLeadTime]],0.8),0)</f>
        <v>8</v>
      </c>
    </row>
    <row r="221" spans="1:18">
      <c r="A221" s="51">
        <f t="shared" si="31"/>
        <v>42720</v>
      </c>
      <c r="B221" s="11">
        <f t="shared" si="34"/>
        <v>42720</v>
      </c>
      <c r="C221" s="47">
        <f>SUMIFS('On The Board'!$M$5:$M$219,'On The Board'!F$5:F$219,"&lt;="&amp;$B221,'On The Board'!E$5:E$219,"="&amp;FutureWork)</f>
        <v>43</v>
      </c>
      <c r="D221" s="12">
        <f ca="1">IF(TodaysDate&gt;=B221,SUMIF('On The Board'!F$5:F$219,"&lt;="&amp;$B221,'On The Board'!$M$5:$M$219)-SUM(E221:I221),D220)</f>
        <v>47</v>
      </c>
      <c r="E221" s="12">
        <f>SUMIF('On The Board'!G$5:G$219,"&lt;="&amp;$B221,'On The Board'!$M$5:$M$219)-SUM(F221:I221)</f>
        <v>0</v>
      </c>
      <c r="F221" s="12">
        <f>SUMIF('On The Board'!H$5:H$219,"&lt;="&amp;$B221,'On The Board'!$M$5:$M$219)-SUM(G221:I221)</f>
        <v>5</v>
      </c>
      <c r="G221" s="12">
        <f>SUMIF('On The Board'!I$5:I$219,"&lt;="&amp;$B221,'On The Board'!$M$5:$M$219)-SUM(H221,I221)</f>
        <v>2</v>
      </c>
      <c r="H221" s="12">
        <f>SUMIF('On The Board'!J$5:J$219,"&lt;="&amp;$B221,'On The Board'!$M$5:$M$219)-SUM(I221)</f>
        <v>0</v>
      </c>
      <c r="I221" s="12">
        <f>SUMIF('On The Board'!K$5:K$219,"&lt;="&amp;$B221,'On The Board'!$M$5:$M$219)</f>
        <v>70</v>
      </c>
      <c r="J221" s="10">
        <f t="shared" si="32"/>
        <v>77</v>
      </c>
      <c r="K221" s="10" t="e">
        <f t="shared" ca="1" si="33"/>
        <v>#N/A</v>
      </c>
      <c r="L221" s="44" t="e">
        <f t="shared" ca="1" si="37"/>
        <v>#N/A</v>
      </c>
      <c r="M221" s="44" t="e">
        <f t="shared" ca="1" si="36"/>
        <v>#N/A</v>
      </c>
      <c r="N221" s="44" t="e">
        <f t="shared" ca="1" si="35"/>
        <v>#N/A</v>
      </c>
      <c r="O221" s="53" t="e">
        <f t="shared" ca="1" si="38"/>
        <v>#N/A</v>
      </c>
      <c r="P221" s="53" t="str">
        <f ca="1">IFERROR(DayByDayTable[[#This Row],[Lead Time]],"")</f>
        <v/>
      </c>
      <c r="Q221" s="44" t="e">
        <f t="shared" ca="1" si="39"/>
        <v>#N/A</v>
      </c>
      <c r="R221" s="44">
        <f ca="1">ROUND(PERCENTILE(DayByDayTable[[#Data],[BlankLeadTime]],0.8),0)</f>
        <v>8</v>
      </c>
    </row>
    <row r="222" spans="1:18">
      <c r="A222" s="51">
        <f t="shared" si="31"/>
        <v>42723</v>
      </c>
      <c r="B222" s="11">
        <f t="shared" si="34"/>
        <v>42723</v>
      </c>
      <c r="C222" s="47">
        <f>SUMIFS('On The Board'!$M$5:$M$219,'On The Board'!F$5:F$219,"&lt;="&amp;$B222,'On The Board'!E$5:E$219,"="&amp;FutureWork)</f>
        <v>43</v>
      </c>
      <c r="D222" s="12">
        <f ca="1">IF(TodaysDate&gt;=B222,SUMIF('On The Board'!F$5:F$219,"&lt;="&amp;$B222,'On The Board'!$M$5:$M$219)-SUM(E222:I222),D221)</f>
        <v>47</v>
      </c>
      <c r="E222" s="12">
        <f>SUMIF('On The Board'!G$5:G$219,"&lt;="&amp;$B222,'On The Board'!$M$5:$M$219)-SUM(F222:I222)</f>
        <v>0</v>
      </c>
      <c r="F222" s="12">
        <f>SUMIF('On The Board'!H$5:H$219,"&lt;="&amp;$B222,'On The Board'!$M$5:$M$219)-SUM(G222:I222)</f>
        <v>5</v>
      </c>
      <c r="G222" s="12">
        <f>SUMIF('On The Board'!I$5:I$219,"&lt;="&amp;$B222,'On The Board'!$M$5:$M$219)-SUM(H222,I222)</f>
        <v>2</v>
      </c>
      <c r="H222" s="12">
        <f>SUMIF('On The Board'!J$5:J$219,"&lt;="&amp;$B222,'On The Board'!$M$5:$M$219)-SUM(I222)</f>
        <v>0</v>
      </c>
      <c r="I222" s="12">
        <f>SUMIF('On The Board'!K$5:K$219,"&lt;="&amp;$B222,'On The Board'!$M$5:$M$219)</f>
        <v>70</v>
      </c>
      <c r="J222" s="10">
        <f t="shared" si="32"/>
        <v>77</v>
      </c>
      <c r="K222" s="10" t="e">
        <f t="shared" ca="1" si="33"/>
        <v>#N/A</v>
      </c>
      <c r="L222" s="44" t="e">
        <f t="shared" ca="1" si="37"/>
        <v>#N/A</v>
      </c>
      <c r="M222" s="44" t="e">
        <f t="shared" ca="1" si="36"/>
        <v>#N/A</v>
      </c>
      <c r="N222" s="44" t="e">
        <f t="shared" ca="1" si="35"/>
        <v>#N/A</v>
      </c>
      <c r="O222" s="53" t="e">
        <f t="shared" ca="1" si="38"/>
        <v>#N/A</v>
      </c>
      <c r="P222" s="53" t="str">
        <f ca="1">IFERROR(DayByDayTable[[#This Row],[Lead Time]],"")</f>
        <v/>
      </c>
      <c r="Q222" s="44" t="e">
        <f t="shared" ca="1" si="39"/>
        <v>#N/A</v>
      </c>
      <c r="R222" s="44">
        <f ca="1">ROUND(PERCENTILE(DayByDayTable[[#Data],[BlankLeadTime]],0.8),0)</f>
        <v>8</v>
      </c>
    </row>
    <row r="223" spans="1:18">
      <c r="A223" s="51">
        <f t="shared" si="31"/>
        <v>42724</v>
      </c>
      <c r="B223" s="11">
        <f t="shared" si="34"/>
        <v>42724</v>
      </c>
      <c r="C223" s="47">
        <f>SUMIFS('On The Board'!$M$5:$M$219,'On The Board'!F$5:F$219,"&lt;="&amp;$B223,'On The Board'!E$5:E$219,"="&amp;FutureWork)</f>
        <v>43</v>
      </c>
      <c r="D223" s="12">
        <f ca="1">IF(TodaysDate&gt;=B223,SUMIF('On The Board'!F$5:F$219,"&lt;="&amp;$B223,'On The Board'!$M$5:$M$219)-SUM(E223:I223),D222)</f>
        <v>47</v>
      </c>
      <c r="E223" s="12">
        <f>SUMIF('On The Board'!G$5:G$219,"&lt;="&amp;$B223,'On The Board'!$M$5:$M$219)-SUM(F223:I223)</f>
        <v>0</v>
      </c>
      <c r="F223" s="12">
        <f>SUMIF('On The Board'!H$5:H$219,"&lt;="&amp;$B223,'On The Board'!$M$5:$M$219)-SUM(G223:I223)</f>
        <v>5</v>
      </c>
      <c r="G223" s="12">
        <f>SUMIF('On The Board'!I$5:I$219,"&lt;="&amp;$B223,'On The Board'!$M$5:$M$219)-SUM(H223,I223)</f>
        <v>2</v>
      </c>
      <c r="H223" s="12">
        <f>SUMIF('On The Board'!J$5:J$219,"&lt;="&amp;$B223,'On The Board'!$M$5:$M$219)-SUM(I223)</f>
        <v>0</v>
      </c>
      <c r="I223" s="12">
        <f>SUMIF('On The Board'!K$5:K$219,"&lt;="&amp;$B223,'On The Board'!$M$5:$M$219)</f>
        <v>70</v>
      </c>
      <c r="J223" s="10">
        <f t="shared" si="32"/>
        <v>77</v>
      </c>
      <c r="K223" s="10" t="e">
        <f t="shared" ca="1" si="33"/>
        <v>#N/A</v>
      </c>
      <c r="L223" s="44" t="e">
        <f t="shared" ca="1" si="37"/>
        <v>#N/A</v>
      </c>
      <c r="M223" s="44" t="e">
        <f t="shared" ca="1" si="36"/>
        <v>#N/A</v>
      </c>
      <c r="N223" s="44" t="e">
        <f t="shared" ca="1" si="35"/>
        <v>#N/A</v>
      </c>
      <c r="O223" s="53" t="e">
        <f t="shared" ca="1" si="38"/>
        <v>#N/A</v>
      </c>
      <c r="P223" s="53" t="str">
        <f ca="1">IFERROR(DayByDayTable[[#This Row],[Lead Time]],"")</f>
        <v/>
      </c>
      <c r="Q223" s="44" t="e">
        <f t="shared" ca="1" si="39"/>
        <v>#N/A</v>
      </c>
      <c r="R223" s="44">
        <f ca="1">ROUND(PERCENTILE(DayByDayTable[[#Data],[BlankLeadTime]],0.8),0)</f>
        <v>8</v>
      </c>
    </row>
    <row r="224" spans="1:18">
      <c r="A224" s="51">
        <f t="shared" si="31"/>
        <v>42725</v>
      </c>
      <c r="B224" s="11">
        <f t="shared" si="34"/>
        <v>42725</v>
      </c>
      <c r="C224" s="47">
        <f>SUMIFS('On The Board'!$M$5:$M$219,'On The Board'!F$5:F$219,"&lt;="&amp;$B224,'On The Board'!E$5:E$219,"="&amp;FutureWork)</f>
        <v>43</v>
      </c>
      <c r="D224" s="12">
        <f ca="1">IF(TodaysDate&gt;=B224,SUMIF('On The Board'!F$5:F$219,"&lt;="&amp;$B224,'On The Board'!$M$5:$M$219)-SUM(E224:I224),D223)</f>
        <v>47</v>
      </c>
      <c r="E224" s="12">
        <f>SUMIF('On The Board'!G$5:G$219,"&lt;="&amp;$B224,'On The Board'!$M$5:$M$219)-SUM(F224:I224)</f>
        <v>0</v>
      </c>
      <c r="F224" s="12">
        <f>SUMIF('On The Board'!H$5:H$219,"&lt;="&amp;$B224,'On The Board'!$M$5:$M$219)-SUM(G224:I224)</f>
        <v>5</v>
      </c>
      <c r="G224" s="12">
        <f>SUMIF('On The Board'!I$5:I$219,"&lt;="&amp;$B224,'On The Board'!$M$5:$M$219)-SUM(H224,I224)</f>
        <v>2</v>
      </c>
      <c r="H224" s="12">
        <f>SUMIF('On The Board'!J$5:J$219,"&lt;="&amp;$B224,'On The Board'!$M$5:$M$219)-SUM(I224)</f>
        <v>0</v>
      </c>
      <c r="I224" s="12">
        <f>SUMIF('On The Board'!K$5:K$219,"&lt;="&amp;$B224,'On The Board'!$M$5:$M$219)</f>
        <v>70</v>
      </c>
      <c r="J224" s="10">
        <f t="shared" si="32"/>
        <v>77</v>
      </c>
      <c r="K224" s="10" t="e">
        <f t="shared" ca="1" si="33"/>
        <v>#N/A</v>
      </c>
      <c r="L224" s="44" t="e">
        <f t="shared" ca="1" si="37"/>
        <v>#N/A</v>
      </c>
      <c r="M224" s="44" t="e">
        <f t="shared" ca="1" si="36"/>
        <v>#N/A</v>
      </c>
      <c r="N224" s="44" t="e">
        <f t="shared" ca="1" si="35"/>
        <v>#N/A</v>
      </c>
      <c r="O224" s="53" t="e">
        <f t="shared" ca="1" si="38"/>
        <v>#N/A</v>
      </c>
      <c r="P224" s="53" t="str">
        <f ca="1">IFERROR(DayByDayTable[[#This Row],[Lead Time]],"")</f>
        <v/>
      </c>
      <c r="Q224" s="44" t="e">
        <f t="shared" ca="1" si="39"/>
        <v>#N/A</v>
      </c>
      <c r="R224" s="44">
        <f ca="1">ROUND(PERCENTILE(DayByDayTable[[#Data],[BlankLeadTime]],0.8),0)</f>
        <v>8</v>
      </c>
    </row>
    <row r="225" spans="1:18">
      <c r="A225" s="51">
        <f t="shared" si="31"/>
        <v>42726</v>
      </c>
      <c r="B225" s="11">
        <f t="shared" si="34"/>
        <v>42726</v>
      </c>
      <c r="C225" s="47">
        <f>SUMIFS('On The Board'!$M$5:$M$219,'On The Board'!F$5:F$219,"&lt;="&amp;$B225,'On The Board'!E$5:E$219,"="&amp;FutureWork)</f>
        <v>43</v>
      </c>
      <c r="D225" s="12">
        <f ca="1">IF(TodaysDate&gt;=B225,SUMIF('On The Board'!F$5:F$219,"&lt;="&amp;$B225,'On The Board'!$M$5:$M$219)-SUM(E225:I225),D224)</f>
        <v>47</v>
      </c>
      <c r="E225" s="12">
        <f>SUMIF('On The Board'!G$5:G$219,"&lt;="&amp;$B225,'On The Board'!$M$5:$M$219)-SUM(F225:I225)</f>
        <v>0</v>
      </c>
      <c r="F225" s="12">
        <f>SUMIF('On The Board'!H$5:H$219,"&lt;="&amp;$B225,'On The Board'!$M$5:$M$219)-SUM(G225:I225)</f>
        <v>5</v>
      </c>
      <c r="G225" s="12">
        <f>SUMIF('On The Board'!I$5:I$219,"&lt;="&amp;$B225,'On The Board'!$M$5:$M$219)-SUM(H225,I225)</f>
        <v>2</v>
      </c>
      <c r="H225" s="12">
        <f>SUMIF('On The Board'!J$5:J$219,"&lt;="&amp;$B225,'On The Board'!$M$5:$M$219)-SUM(I225)</f>
        <v>0</v>
      </c>
      <c r="I225" s="12">
        <f>SUMIF('On The Board'!K$5:K$219,"&lt;="&amp;$B225,'On The Board'!$M$5:$M$219)</f>
        <v>70</v>
      </c>
      <c r="J225" s="10">
        <f t="shared" si="32"/>
        <v>77</v>
      </c>
      <c r="K225" s="10" t="e">
        <f t="shared" ca="1" si="33"/>
        <v>#N/A</v>
      </c>
      <c r="L225" s="44" t="e">
        <f t="shared" ca="1" si="37"/>
        <v>#N/A</v>
      </c>
      <c r="M225" s="44" t="e">
        <f t="shared" ca="1" si="36"/>
        <v>#N/A</v>
      </c>
      <c r="N225" s="44" t="e">
        <f t="shared" ca="1" si="35"/>
        <v>#N/A</v>
      </c>
      <c r="O225" s="53" t="e">
        <f t="shared" ca="1" si="38"/>
        <v>#N/A</v>
      </c>
      <c r="P225" s="53" t="str">
        <f ca="1">IFERROR(DayByDayTable[[#This Row],[Lead Time]],"")</f>
        <v/>
      </c>
      <c r="Q225" s="44" t="e">
        <f t="shared" ca="1" si="39"/>
        <v>#N/A</v>
      </c>
      <c r="R225" s="44">
        <f ca="1">ROUND(PERCENTILE(DayByDayTable[[#Data],[BlankLeadTime]],0.8),0)</f>
        <v>8</v>
      </c>
    </row>
    <row r="226" spans="1:18">
      <c r="A226" s="51">
        <f t="shared" si="31"/>
        <v>42727</v>
      </c>
      <c r="B226" s="11">
        <f t="shared" si="34"/>
        <v>42727</v>
      </c>
      <c r="C226" s="47">
        <f>SUMIFS('On The Board'!$M$5:$M$219,'On The Board'!F$5:F$219,"&lt;="&amp;$B226,'On The Board'!E$5:E$219,"="&amp;FutureWork)</f>
        <v>43</v>
      </c>
      <c r="D226" s="12">
        <f ca="1">IF(TodaysDate&gt;=B226,SUMIF('On The Board'!F$5:F$219,"&lt;="&amp;$B226,'On The Board'!$M$5:$M$219)-SUM(E226:I226),D225)</f>
        <v>47</v>
      </c>
      <c r="E226" s="12">
        <f>SUMIF('On The Board'!G$5:G$219,"&lt;="&amp;$B226,'On The Board'!$M$5:$M$219)-SUM(F226:I226)</f>
        <v>0</v>
      </c>
      <c r="F226" s="12">
        <f>SUMIF('On The Board'!H$5:H$219,"&lt;="&amp;$B226,'On The Board'!$M$5:$M$219)-SUM(G226:I226)</f>
        <v>5</v>
      </c>
      <c r="G226" s="12">
        <f>SUMIF('On The Board'!I$5:I$219,"&lt;="&amp;$B226,'On The Board'!$M$5:$M$219)-SUM(H226,I226)</f>
        <v>2</v>
      </c>
      <c r="H226" s="12">
        <f>SUMIF('On The Board'!J$5:J$219,"&lt;="&amp;$B226,'On The Board'!$M$5:$M$219)-SUM(I226)</f>
        <v>0</v>
      </c>
      <c r="I226" s="12">
        <f>SUMIF('On The Board'!K$5:K$219,"&lt;="&amp;$B226,'On The Board'!$M$5:$M$219)</f>
        <v>70</v>
      </c>
      <c r="J226" s="10">
        <f t="shared" si="32"/>
        <v>77</v>
      </c>
      <c r="K226" s="10" t="e">
        <f t="shared" ca="1" si="33"/>
        <v>#N/A</v>
      </c>
      <c r="L226" s="44" t="e">
        <f t="shared" ca="1" si="37"/>
        <v>#N/A</v>
      </c>
      <c r="M226" s="44" t="e">
        <f t="shared" ca="1" si="36"/>
        <v>#N/A</v>
      </c>
      <c r="N226" s="44" t="e">
        <f t="shared" ca="1" si="35"/>
        <v>#N/A</v>
      </c>
      <c r="O226" s="53" t="e">
        <f t="shared" ca="1" si="38"/>
        <v>#N/A</v>
      </c>
      <c r="P226" s="53" t="str">
        <f ca="1">IFERROR(DayByDayTable[[#This Row],[Lead Time]],"")</f>
        <v/>
      </c>
      <c r="Q226" s="44" t="e">
        <f t="shared" ca="1" si="39"/>
        <v>#N/A</v>
      </c>
      <c r="R226" s="44">
        <f ca="1">ROUND(PERCENTILE(DayByDayTable[[#Data],[BlankLeadTime]],0.8),0)</f>
        <v>8</v>
      </c>
    </row>
    <row r="227" spans="1:18">
      <c r="A227" s="51">
        <f t="shared" si="31"/>
        <v>42732</v>
      </c>
      <c r="B227" s="11">
        <f t="shared" si="34"/>
        <v>42732</v>
      </c>
      <c r="C227" s="47">
        <f>SUMIFS('On The Board'!$M$5:$M$219,'On The Board'!F$5:F$219,"&lt;="&amp;$B227,'On The Board'!E$5:E$219,"="&amp;FutureWork)</f>
        <v>43</v>
      </c>
      <c r="D227" s="12">
        <f ca="1">IF(TodaysDate&gt;=B227,SUMIF('On The Board'!F$5:F$219,"&lt;="&amp;$B227,'On The Board'!$M$5:$M$219)-SUM(E227:I227),D226)</f>
        <v>47</v>
      </c>
      <c r="E227" s="12">
        <f>SUMIF('On The Board'!G$5:G$219,"&lt;="&amp;$B227,'On The Board'!$M$5:$M$219)-SUM(F227:I227)</f>
        <v>0</v>
      </c>
      <c r="F227" s="12">
        <f>SUMIF('On The Board'!H$5:H$219,"&lt;="&amp;$B227,'On The Board'!$M$5:$M$219)-SUM(G227:I227)</f>
        <v>5</v>
      </c>
      <c r="G227" s="12">
        <f>SUMIF('On The Board'!I$5:I$219,"&lt;="&amp;$B227,'On The Board'!$M$5:$M$219)-SUM(H227,I227)</f>
        <v>2</v>
      </c>
      <c r="H227" s="12">
        <f>SUMIF('On The Board'!J$5:J$219,"&lt;="&amp;$B227,'On The Board'!$M$5:$M$219)-SUM(I227)</f>
        <v>0</v>
      </c>
      <c r="I227" s="12">
        <f>SUMIF('On The Board'!K$5:K$219,"&lt;="&amp;$B227,'On The Board'!$M$5:$M$219)</f>
        <v>70</v>
      </c>
      <c r="J227" s="10">
        <f t="shared" si="32"/>
        <v>77</v>
      </c>
      <c r="K227" s="10" t="e">
        <f t="shared" ca="1" si="33"/>
        <v>#N/A</v>
      </c>
      <c r="L227" s="44" t="e">
        <f t="shared" ca="1" si="37"/>
        <v>#N/A</v>
      </c>
      <c r="M227" s="44" t="e">
        <f t="shared" ca="1" si="36"/>
        <v>#N/A</v>
      </c>
      <c r="N227" s="44" t="e">
        <f t="shared" ca="1" si="35"/>
        <v>#N/A</v>
      </c>
      <c r="O227" s="53" t="e">
        <f t="shared" ca="1" si="38"/>
        <v>#N/A</v>
      </c>
      <c r="P227" s="53" t="str">
        <f ca="1">IFERROR(DayByDayTable[[#This Row],[Lead Time]],"")</f>
        <v/>
      </c>
      <c r="Q227" s="44" t="e">
        <f t="shared" ca="1" si="39"/>
        <v>#N/A</v>
      </c>
      <c r="R227" s="44">
        <f ca="1">ROUND(PERCENTILE(DayByDayTable[[#Data],[BlankLeadTime]],0.8),0)</f>
        <v>8</v>
      </c>
    </row>
    <row r="228" spans="1:18">
      <c r="A228" s="51">
        <f t="shared" si="31"/>
        <v>42733</v>
      </c>
      <c r="B228" s="11">
        <f t="shared" si="34"/>
        <v>42733</v>
      </c>
      <c r="C228" s="47">
        <f>SUMIFS('On The Board'!$M$5:$M$219,'On The Board'!F$5:F$219,"&lt;="&amp;$B228,'On The Board'!E$5:E$219,"="&amp;FutureWork)</f>
        <v>43</v>
      </c>
      <c r="D228" s="12">
        <f ca="1">IF(TodaysDate&gt;=B228,SUMIF('On The Board'!F$5:F$219,"&lt;="&amp;$B228,'On The Board'!$M$5:$M$219)-SUM(E228:I228),D227)</f>
        <v>47</v>
      </c>
      <c r="E228" s="12">
        <f>SUMIF('On The Board'!G$5:G$219,"&lt;="&amp;$B228,'On The Board'!$M$5:$M$219)-SUM(F228:I228)</f>
        <v>0</v>
      </c>
      <c r="F228" s="12">
        <f>SUMIF('On The Board'!H$5:H$219,"&lt;="&amp;$B228,'On The Board'!$M$5:$M$219)-SUM(G228:I228)</f>
        <v>5</v>
      </c>
      <c r="G228" s="12">
        <f>SUMIF('On The Board'!I$5:I$219,"&lt;="&amp;$B228,'On The Board'!$M$5:$M$219)-SUM(H228,I228)</f>
        <v>2</v>
      </c>
      <c r="H228" s="12">
        <f>SUMIF('On The Board'!J$5:J$219,"&lt;="&amp;$B228,'On The Board'!$M$5:$M$219)-SUM(I228)</f>
        <v>0</v>
      </c>
      <c r="I228" s="12">
        <f>SUMIF('On The Board'!K$5:K$219,"&lt;="&amp;$B228,'On The Board'!$M$5:$M$219)</f>
        <v>70</v>
      </c>
      <c r="J228" s="10">
        <f t="shared" si="32"/>
        <v>77</v>
      </c>
      <c r="K228" s="10" t="e">
        <f t="shared" ca="1" si="33"/>
        <v>#N/A</v>
      </c>
      <c r="L228" s="44" t="e">
        <f t="shared" ca="1" si="37"/>
        <v>#N/A</v>
      </c>
      <c r="M228" s="44" t="e">
        <f t="shared" ca="1" si="36"/>
        <v>#N/A</v>
      </c>
      <c r="N228" s="44" t="e">
        <f t="shared" ca="1" si="35"/>
        <v>#N/A</v>
      </c>
      <c r="O228" s="53" t="e">
        <f t="shared" ca="1" si="38"/>
        <v>#N/A</v>
      </c>
      <c r="P228" s="53" t="str">
        <f ca="1">IFERROR(DayByDayTable[[#This Row],[Lead Time]],"")</f>
        <v/>
      </c>
      <c r="Q228" s="44" t="e">
        <f t="shared" ca="1" si="39"/>
        <v>#N/A</v>
      </c>
      <c r="R228" s="44">
        <f ca="1">ROUND(PERCENTILE(DayByDayTable[[#Data],[BlankLeadTime]],0.8),0)</f>
        <v>8</v>
      </c>
    </row>
    <row r="229" spans="1:18">
      <c r="A229" s="51">
        <f t="shared" si="31"/>
        <v>42734</v>
      </c>
      <c r="B229" s="11">
        <f t="shared" si="34"/>
        <v>42734</v>
      </c>
      <c r="C229" s="47">
        <f>SUMIFS('On The Board'!$M$5:$M$219,'On The Board'!F$5:F$219,"&lt;="&amp;$B229,'On The Board'!E$5:E$219,"="&amp;FutureWork)</f>
        <v>43</v>
      </c>
      <c r="D229" s="12">
        <f ca="1">IF(TodaysDate&gt;=B229,SUMIF('On The Board'!F$5:F$219,"&lt;="&amp;$B229,'On The Board'!$M$5:$M$219)-SUM(E229:I229),D228)</f>
        <v>47</v>
      </c>
      <c r="E229" s="12">
        <f>SUMIF('On The Board'!G$5:G$219,"&lt;="&amp;$B229,'On The Board'!$M$5:$M$219)-SUM(F229:I229)</f>
        <v>0</v>
      </c>
      <c r="F229" s="12">
        <f>SUMIF('On The Board'!H$5:H$219,"&lt;="&amp;$B229,'On The Board'!$M$5:$M$219)-SUM(G229:I229)</f>
        <v>5</v>
      </c>
      <c r="G229" s="12">
        <f>SUMIF('On The Board'!I$5:I$219,"&lt;="&amp;$B229,'On The Board'!$M$5:$M$219)-SUM(H229,I229)</f>
        <v>2</v>
      </c>
      <c r="H229" s="12">
        <f>SUMIF('On The Board'!J$5:J$219,"&lt;="&amp;$B229,'On The Board'!$M$5:$M$219)-SUM(I229)</f>
        <v>0</v>
      </c>
      <c r="I229" s="12">
        <f>SUMIF('On The Board'!K$5:K$219,"&lt;="&amp;$B229,'On The Board'!$M$5:$M$219)</f>
        <v>70</v>
      </c>
      <c r="J229" s="10">
        <f t="shared" si="32"/>
        <v>77</v>
      </c>
      <c r="K229" s="10" t="e">
        <f t="shared" ca="1" si="33"/>
        <v>#N/A</v>
      </c>
      <c r="L229" s="44" t="e">
        <f t="shared" ca="1" si="37"/>
        <v>#N/A</v>
      </c>
      <c r="M229" s="44" t="e">
        <f t="shared" ca="1" si="36"/>
        <v>#N/A</v>
      </c>
      <c r="N229" s="44" t="e">
        <f t="shared" ca="1" si="35"/>
        <v>#N/A</v>
      </c>
      <c r="O229" s="53" t="e">
        <f t="shared" ca="1" si="38"/>
        <v>#N/A</v>
      </c>
      <c r="P229" s="53" t="str">
        <f ca="1">IFERROR(DayByDayTable[[#This Row],[Lead Time]],"")</f>
        <v/>
      </c>
      <c r="Q229" s="44" t="e">
        <f t="shared" ca="1" si="39"/>
        <v>#N/A</v>
      </c>
      <c r="R229" s="44">
        <f ca="1">ROUND(PERCENTILE(DayByDayTable[[#Data],[BlankLeadTime]],0.8),0)</f>
        <v>8</v>
      </c>
    </row>
    <row r="230" spans="1:18">
      <c r="A230" s="51">
        <f t="shared" si="31"/>
        <v>42738</v>
      </c>
      <c r="B230" s="11">
        <f t="shared" si="34"/>
        <v>42738</v>
      </c>
      <c r="C230" s="47">
        <f>SUMIFS('On The Board'!$M$5:$M$219,'On The Board'!F$5:F$219,"&lt;="&amp;$B230,'On The Board'!E$5:E$219,"="&amp;FutureWork)</f>
        <v>43</v>
      </c>
      <c r="D230" s="12">
        <f ca="1">IF(TodaysDate&gt;=B230,SUMIF('On The Board'!F$5:F$219,"&lt;="&amp;$B230,'On The Board'!$M$5:$M$219)-SUM(E230:I230),D229)</f>
        <v>47</v>
      </c>
      <c r="E230" s="12">
        <f>SUMIF('On The Board'!G$5:G$219,"&lt;="&amp;$B230,'On The Board'!$M$5:$M$219)-SUM(F230:I230)</f>
        <v>0</v>
      </c>
      <c r="F230" s="12">
        <f>SUMIF('On The Board'!H$5:H$219,"&lt;="&amp;$B230,'On The Board'!$M$5:$M$219)-SUM(G230:I230)</f>
        <v>5</v>
      </c>
      <c r="G230" s="12">
        <f>SUMIF('On The Board'!I$5:I$219,"&lt;="&amp;$B230,'On The Board'!$M$5:$M$219)-SUM(H230,I230)</f>
        <v>2</v>
      </c>
      <c r="H230" s="12">
        <f>SUMIF('On The Board'!J$5:J$219,"&lt;="&amp;$B230,'On The Board'!$M$5:$M$219)-SUM(I230)</f>
        <v>0</v>
      </c>
      <c r="I230" s="12">
        <f>SUMIF('On The Board'!K$5:K$219,"&lt;="&amp;$B230,'On The Board'!$M$5:$M$219)</f>
        <v>70</v>
      </c>
      <c r="J230" s="10">
        <f t="shared" si="32"/>
        <v>77</v>
      </c>
      <c r="K230" s="10" t="e">
        <f t="shared" ca="1" si="33"/>
        <v>#N/A</v>
      </c>
      <c r="L230" s="44" t="e">
        <f t="shared" ca="1" si="37"/>
        <v>#N/A</v>
      </c>
      <c r="M230" s="44" t="e">
        <f t="shared" ca="1" si="36"/>
        <v>#N/A</v>
      </c>
      <c r="N230" s="44" t="e">
        <f t="shared" ca="1" si="35"/>
        <v>#N/A</v>
      </c>
      <c r="O230" s="53" t="e">
        <f t="shared" ca="1" si="38"/>
        <v>#N/A</v>
      </c>
      <c r="P230" s="53" t="str">
        <f ca="1">IFERROR(DayByDayTable[[#This Row],[Lead Time]],"")</f>
        <v/>
      </c>
      <c r="Q230" s="44" t="e">
        <f t="shared" ca="1" si="39"/>
        <v>#N/A</v>
      </c>
      <c r="R230" s="44">
        <f ca="1">ROUND(PERCENTILE(DayByDayTable[[#Data],[BlankLeadTime]],0.8),0)</f>
        <v>8</v>
      </c>
    </row>
    <row r="231" spans="1:18">
      <c r="A231" s="51">
        <f t="shared" si="31"/>
        <v>42739</v>
      </c>
      <c r="B231" s="11">
        <f t="shared" si="34"/>
        <v>42739</v>
      </c>
      <c r="C231" s="47">
        <f>SUMIFS('On The Board'!$M$5:$M$219,'On The Board'!F$5:F$219,"&lt;="&amp;$B231,'On The Board'!E$5:E$219,"="&amp;FutureWork)</f>
        <v>43</v>
      </c>
      <c r="D231" s="12">
        <f ca="1">IF(TodaysDate&gt;=B231,SUMIF('On The Board'!F$5:F$219,"&lt;="&amp;$B231,'On The Board'!$M$5:$M$219)-SUM(E231:I231),D230)</f>
        <v>47</v>
      </c>
      <c r="E231" s="12">
        <f>SUMIF('On The Board'!G$5:G$219,"&lt;="&amp;$B231,'On The Board'!$M$5:$M$219)-SUM(F231:I231)</f>
        <v>0</v>
      </c>
      <c r="F231" s="12">
        <f>SUMIF('On The Board'!H$5:H$219,"&lt;="&amp;$B231,'On The Board'!$M$5:$M$219)-SUM(G231:I231)</f>
        <v>5</v>
      </c>
      <c r="G231" s="12">
        <f>SUMIF('On The Board'!I$5:I$219,"&lt;="&amp;$B231,'On The Board'!$M$5:$M$219)-SUM(H231,I231)</f>
        <v>2</v>
      </c>
      <c r="H231" s="12">
        <f>SUMIF('On The Board'!J$5:J$219,"&lt;="&amp;$B231,'On The Board'!$M$5:$M$219)-SUM(I231)</f>
        <v>0</v>
      </c>
      <c r="I231" s="12">
        <f>SUMIF('On The Board'!K$5:K$219,"&lt;="&amp;$B231,'On The Board'!$M$5:$M$219)</f>
        <v>70</v>
      </c>
      <c r="J231" s="10">
        <f t="shared" si="32"/>
        <v>77</v>
      </c>
      <c r="K231" s="10" t="e">
        <f t="shared" ca="1" si="33"/>
        <v>#N/A</v>
      </c>
      <c r="L231" s="44" t="e">
        <f t="shared" ca="1" si="37"/>
        <v>#N/A</v>
      </c>
      <c r="M231" s="44" t="e">
        <f t="shared" ca="1" si="36"/>
        <v>#N/A</v>
      </c>
      <c r="N231" s="44" t="e">
        <f t="shared" ca="1" si="35"/>
        <v>#N/A</v>
      </c>
      <c r="O231" s="53" t="e">
        <f t="shared" ca="1" si="38"/>
        <v>#N/A</v>
      </c>
      <c r="P231" s="53" t="str">
        <f ca="1">IFERROR(DayByDayTable[[#This Row],[Lead Time]],"")</f>
        <v/>
      </c>
      <c r="Q231" s="44" t="e">
        <f t="shared" ca="1" si="39"/>
        <v>#N/A</v>
      </c>
      <c r="R231" s="44">
        <f ca="1">ROUND(PERCENTILE(DayByDayTable[[#Data],[BlankLeadTime]],0.8),0)</f>
        <v>8</v>
      </c>
    </row>
    <row r="232" spans="1:18">
      <c r="A232" s="51">
        <f t="shared" si="31"/>
        <v>42740</v>
      </c>
      <c r="B232" s="11">
        <f t="shared" si="34"/>
        <v>42740</v>
      </c>
      <c r="C232" s="47">
        <f>SUMIFS('On The Board'!$M$5:$M$219,'On The Board'!F$5:F$219,"&lt;="&amp;$B232,'On The Board'!E$5:E$219,"="&amp;FutureWork)</f>
        <v>43</v>
      </c>
      <c r="D232" s="12">
        <f ca="1">IF(TodaysDate&gt;=B232,SUMIF('On The Board'!F$5:F$219,"&lt;="&amp;$B232,'On The Board'!$M$5:$M$219)-SUM(E232:I232),D231)</f>
        <v>47</v>
      </c>
      <c r="E232" s="12">
        <f>SUMIF('On The Board'!G$5:G$219,"&lt;="&amp;$B232,'On The Board'!$M$5:$M$219)-SUM(F232:I232)</f>
        <v>0</v>
      </c>
      <c r="F232" s="12">
        <f>SUMIF('On The Board'!H$5:H$219,"&lt;="&amp;$B232,'On The Board'!$M$5:$M$219)-SUM(G232:I232)</f>
        <v>5</v>
      </c>
      <c r="G232" s="12">
        <f>SUMIF('On The Board'!I$5:I$219,"&lt;="&amp;$B232,'On The Board'!$M$5:$M$219)-SUM(H232,I232)</f>
        <v>2</v>
      </c>
      <c r="H232" s="12">
        <f>SUMIF('On The Board'!J$5:J$219,"&lt;="&amp;$B232,'On The Board'!$M$5:$M$219)-SUM(I232)</f>
        <v>0</v>
      </c>
      <c r="I232" s="12">
        <f>SUMIF('On The Board'!K$5:K$219,"&lt;="&amp;$B232,'On The Board'!$M$5:$M$219)</f>
        <v>70</v>
      </c>
      <c r="J232" s="10">
        <f t="shared" si="32"/>
        <v>77</v>
      </c>
      <c r="K232" s="10" t="e">
        <f t="shared" ca="1" si="33"/>
        <v>#N/A</v>
      </c>
      <c r="L232" s="44" t="e">
        <f t="shared" ca="1" si="37"/>
        <v>#N/A</v>
      </c>
      <c r="M232" s="44" t="e">
        <f t="shared" ca="1" si="36"/>
        <v>#N/A</v>
      </c>
      <c r="N232" s="44" t="e">
        <f t="shared" ca="1" si="35"/>
        <v>#N/A</v>
      </c>
      <c r="O232" s="53" t="e">
        <f t="shared" ca="1" si="38"/>
        <v>#N/A</v>
      </c>
      <c r="P232" s="53" t="str">
        <f ca="1">IFERROR(DayByDayTable[[#This Row],[Lead Time]],"")</f>
        <v/>
      </c>
      <c r="Q232" s="44" t="e">
        <f t="shared" ca="1" si="39"/>
        <v>#N/A</v>
      </c>
      <c r="R232" s="44">
        <f ca="1">ROUND(PERCENTILE(DayByDayTable[[#Data],[BlankLeadTime]],0.8),0)</f>
        <v>8</v>
      </c>
    </row>
    <row r="233" spans="1:18">
      <c r="A233" s="51">
        <f t="shared" si="31"/>
        <v>42741</v>
      </c>
      <c r="B233" s="11">
        <f t="shared" si="34"/>
        <v>42741</v>
      </c>
      <c r="C233" s="47">
        <f>SUMIFS('On The Board'!$M$5:$M$219,'On The Board'!F$5:F$219,"&lt;="&amp;$B233,'On The Board'!E$5:E$219,"="&amp;FutureWork)</f>
        <v>43</v>
      </c>
      <c r="D233" s="12">
        <f ca="1">IF(TodaysDate&gt;=B233,SUMIF('On The Board'!F$5:F$219,"&lt;="&amp;$B233,'On The Board'!$M$5:$M$219)-SUM(E233:I233),D232)</f>
        <v>47</v>
      </c>
      <c r="E233" s="12">
        <f>SUMIF('On The Board'!G$5:G$219,"&lt;="&amp;$B233,'On The Board'!$M$5:$M$219)-SUM(F233:I233)</f>
        <v>0</v>
      </c>
      <c r="F233" s="12">
        <f>SUMIF('On The Board'!H$5:H$219,"&lt;="&amp;$B233,'On The Board'!$M$5:$M$219)-SUM(G233:I233)</f>
        <v>5</v>
      </c>
      <c r="G233" s="12">
        <f>SUMIF('On The Board'!I$5:I$219,"&lt;="&amp;$B233,'On The Board'!$M$5:$M$219)-SUM(H233,I233)</f>
        <v>2</v>
      </c>
      <c r="H233" s="12">
        <f>SUMIF('On The Board'!J$5:J$219,"&lt;="&amp;$B233,'On The Board'!$M$5:$M$219)-SUM(I233)</f>
        <v>0</v>
      </c>
      <c r="I233" s="12">
        <f>SUMIF('On The Board'!K$5:K$219,"&lt;="&amp;$B233,'On The Board'!$M$5:$M$219)</f>
        <v>70</v>
      </c>
      <c r="J233" s="10">
        <f t="shared" si="32"/>
        <v>77</v>
      </c>
      <c r="K233" s="10" t="e">
        <f t="shared" ca="1" si="33"/>
        <v>#N/A</v>
      </c>
      <c r="L233" s="44" t="e">
        <f t="shared" ca="1" si="37"/>
        <v>#N/A</v>
      </c>
      <c r="M233" s="44" t="e">
        <f t="shared" ca="1" si="36"/>
        <v>#N/A</v>
      </c>
      <c r="N233" s="44" t="e">
        <f t="shared" ca="1" si="35"/>
        <v>#N/A</v>
      </c>
      <c r="O233" s="53" t="e">
        <f t="shared" ca="1" si="38"/>
        <v>#N/A</v>
      </c>
      <c r="P233" s="53" t="str">
        <f ca="1">IFERROR(DayByDayTable[[#This Row],[Lead Time]],"")</f>
        <v/>
      </c>
      <c r="Q233" s="44" t="e">
        <f t="shared" ca="1" si="39"/>
        <v>#N/A</v>
      </c>
      <c r="R233" s="44">
        <f ca="1">ROUND(PERCENTILE(DayByDayTable[[#Data],[BlankLeadTime]],0.8),0)</f>
        <v>8</v>
      </c>
    </row>
    <row r="234" spans="1:18">
      <c r="A234" s="51">
        <f t="shared" si="31"/>
        <v>42744</v>
      </c>
      <c r="B234" s="11">
        <f t="shared" si="34"/>
        <v>42744</v>
      </c>
      <c r="C234" s="47">
        <f>SUMIFS('On The Board'!$M$5:$M$219,'On The Board'!F$5:F$219,"&lt;="&amp;$B234,'On The Board'!E$5:E$219,"="&amp;FutureWork)</f>
        <v>43</v>
      </c>
      <c r="D234" s="12">
        <f ca="1">IF(TodaysDate&gt;=B234,SUMIF('On The Board'!F$5:F$219,"&lt;="&amp;$B234,'On The Board'!$M$5:$M$219)-SUM(E234:I234),D233)</f>
        <v>47</v>
      </c>
      <c r="E234" s="12">
        <f>SUMIF('On The Board'!G$5:G$219,"&lt;="&amp;$B234,'On The Board'!$M$5:$M$219)-SUM(F234:I234)</f>
        <v>0</v>
      </c>
      <c r="F234" s="12">
        <f>SUMIF('On The Board'!H$5:H$219,"&lt;="&amp;$B234,'On The Board'!$M$5:$M$219)-SUM(G234:I234)</f>
        <v>5</v>
      </c>
      <c r="G234" s="12">
        <f>SUMIF('On The Board'!I$5:I$219,"&lt;="&amp;$B234,'On The Board'!$M$5:$M$219)-SUM(H234,I234)</f>
        <v>2</v>
      </c>
      <c r="H234" s="12">
        <f>SUMIF('On The Board'!J$5:J$219,"&lt;="&amp;$B234,'On The Board'!$M$5:$M$219)-SUM(I234)</f>
        <v>0</v>
      </c>
      <c r="I234" s="12">
        <f>SUMIF('On The Board'!K$5:K$219,"&lt;="&amp;$B234,'On The Board'!$M$5:$M$219)</f>
        <v>70</v>
      </c>
      <c r="J234" s="10">
        <f t="shared" si="32"/>
        <v>77</v>
      </c>
      <c r="K234" s="10" t="e">
        <f t="shared" ca="1" si="33"/>
        <v>#N/A</v>
      </c>
      <c r="L234" s="44" t="e">
        <f t="shared" ca="1" si="37"/>
        <v>#N/A</v>
      </c>
      <c r="M234" s="44" t="e">
        <f t="shared" ca="1" si="36"/>
        <v>#N/A</v>
      </c>
      <c r="N234" s="44" t="e">
        <f t="shared" ca="1" si="35"/>
        <v>#N/A</v>
      </c>
      <c r="O234" s="53" t="e">
        <f t="shared" ca="1" si="38"/>
        <v>#N/A</v>
      </c>
      <c r="P234" s="53" t="str">
        <f ca="1">IFERROR(DayByDayTable[[#This Row],[Lead Time]],"")</f>
        <v/>
      </c>
      <c r="Q234" s="44" t="e">
        <f t="shared" ca="1" si="39"/>
        <v>#N/A</v>
      </c>
      <c r="R234" s="44">
        <f ca="1">ROUND(PERCENTILE(DayByDayTable[[#Data],[BlankLeadTime]],0.8),0)</f>
        <v>8</v>
      </c>
    </row>
    <row r="235" spans="1:18">
      <c r="A235" s="51">
        <f t="shared" si="31"/>
        <v>42745</v>
      </c>
      <c r="B235" s="11">
        <f t="shared" si="34"/>
        <v>42745</v>
      </c>
      <c r="C235" s="47">
        <f>SUMIFS('On The Board'!$M$5:$M$219,'On The Board'!F$5:F$219,"&lt;="&amp;$B235,'On The Board'!E$5:E$219,"="&amp;FutureWork)</f>
        <v>43</v>
      </c>
      <c r="D235" s="12">
        <f ca="1">IF(TodaysDate&gt;=B235,SUMIF('On The Board'!F$5:F$219,"&lt;="&amp;$B235,'On The Board'!$M$5:$M$219)-SUM(E235:I235),D234)</f>
        <v>47</v>
      </c>
      <c r="E235" s="12">
        <f>SUMIF('On The Board'!G$5:G$219,"&lt;="&amp;$B235,'On The Board'!$M$5:$M$219)-SUM(F235:I235)</f>
        <v>0</v>
      </c>
      <c r="F235" s="12">
        <f>SUMIF('On The Board'!H$5:H$219,"&lt;="&amp;$B235,'On The Board'!$M$5:$M$219)-SUM(G235:I235)</f>
        <v>5</v>
      </c>
      <c r="G235" s="12">
        <f>SUMIF('On The Board'!I$5:I$219,"&lt;="&amp;$B235,'On The Board'!$M$5:$M$219)-SUM(H235,I235)</f>
        <v>2</v>
      </c>
      <c r="H235" s="12">
        <f>SUMIF('On The Board'!J$5:J$219,"&lt;="&amp;$B235,'On The Board'!$M$5:$M$219)-SUM(I235)</f>
        <v>0</v>
      </c>
      <c r="I235" s="12">
        <f>SUMIF('On The Board'!K$5:K$219,"&lt;="&amp;$B235,'On The Board'!$M$5:$M$219)</f>
        <v>70</v>
      </c>
      <c r="J235" s="10">
        <f t="shared" si="32"/>
        <v>77</v>
      </c>
      <c r="K235" s="10" t="e">
        <f t="shared" ca="1" si="33"/>
        <v>#N/A</v>
      </c>
      <c r="L235" s="44" t="e">
        <f t="shared" ca="1" si="37"/>
        <v>#N/A</v>
      </c>
      <c r="M235" s="44" t="e">
        <f t="shared" ca="1" si="36"/>
        <v>#N/A</v>
      </c>
      <c r="N235" s="44" t="e">
        <f t="shared" ca="1" si="35"/>
        <v>#N/A</v>
      </c>
      <c r="O235" s="53" t="e">
        <f t="shared" ca="1" si="38"/>
        <v>#N/A</v>
      </c>
      <c r="P235" s="53" t="str">
        <f ca="1">IFERROR(DayByDayTable[[#This Row],[Lead Time]],"")</f>
        <v/>
      </c>
      <c r="Q235" s="44" t="e">
        <f t="shared" ca="1" si="39"/>
        <v>#N/A</v>
      </c>
      <c r="R235" s="44">
        <f ca="1">ROUND(PERCENTILE(DayByDayTable[[#Data],[BlankLeadTime]],0.8),0)</f>
        <v>8</v>
      </c>
    </row>
    <row r="236" spans="1:18">
      <c r="A236" s="51">
        <f t="shared" si="31"/>
        <v>42746</v>
      </c>
      <c r="B236" s="11">
        <f t="shared" si="34"/>
        <v>42746</v>
      </c>
      <c r="C236" s="47">
        <f>SUMIFS('On The Board'!$M$5:$M$219,'On The Board'!F$5:F$219,"&lt;="&amp;$B236,'On The Board'!E$5:E$219,"="&amp;FutureWork)</f>
        <v>43</v>
      </c>
      <c r="D236" s="12">
        <f ca="1">IF(TodaysDate&gt;=B236,SUMIF('On The Board'!F$5:F$219,"&lt;="&amp;$B236,'On The Board'!$M$5:$M$219)-SUM(E236:I236),D235)</f>
        <v>47</v>
      </c>
      <c r="E236" s="12">
        <f>SUMIF('On The Board'!G$5:G$219,"&lt;="&amp;$B236,'On The Board'!$M$5:$M$219)-SUM(F236:I236)</f>
        <v>0</v>
      </c>
      <c r="F236" s="12">
        <f>SUMIF('On The Board'!H$5:H$219,"&lt;="&amp;$B236,'On The Board'!$M$5:$M$219)-SUM(G236:I236)</f>
        <v>5</v>
      </c>
      <c r="G236" s="12">
        <f>SUMIF('On The Board'!I$5:I$219,"&lt;="&amp;$B236,'On The Board'!$M$5:$M$219)-SUM(H236,I236)</f>
        <v>2</v>
      </c>
      <c r="H236" s="12">
        <f>SUMIF('On The Board'!J$5:J$219,"&lt;="&amp;$B236,'On The Board'!$M$5:$M$219)-SUM(I236)</f>
        <v>0</v>
      </c>
      <c r="I236" s="12">
        <f>SUMIF('On The Board'!K$5:K$219,"&lt;="&amp;$B236,'On The Board'!$M$5:$M$219)</f>
        <v>70</v>
      </c>
      <c r="J236" s="10">
        <f t="shared" si="32"/>
        <v>77</v>
      </c>
      <c r="K236" s="10" t="e">
        <f t="shared" ca="1" si="33"/>
        <v>#N/A</v>
      </c>
      <c r="L236" s="44" t="e">
        <f t="shared" ca="1" si="37"/>
        <v>#N/A</v>
      </c>
      <c r="M236" s="44" t="e">
        <f t="shared" ca="1" si="36"/>
        <v>#N/A</v>
      </c>
      <c r="N236" s="44" t="e">
        <f t="shared" ca="1" si="35"/>
        <v>#N/A</v>
      </c>
      <c r="O236" s="53" t="e">
        <f t="shared" ca="1" si="38"/>
        <v>#N/A</v>
      </c>
      <c r="P236" s="53" t="str">
        <f ca="1">IFERROR(DayByDayTable[[#This Row],[Lead Time]],"")</f>
        <v/>
      </c>
      <c r="Q236" s="44" t="e">
        <f t="shared" ca="1" si="39"/>
        <v>#N/A</v>
      </c>
      <c r="R236" s="44">
        <f ca="1">ROUND(PERCENTILE(DayByDayTable[[#Data],[BlankLeadTime]],0.8),0)</f>
        <v>8</v>
      </c>
    </row>
    <row r="237" spans="1:18">
      <c r="A237" s="51">
        <f t="shared" si="31"/>
        <v>42747</v>
      </c>
      <c r="B237" s="11">
        <f t="shared" si="34"/>
        <v>42747</v>
      </c>
      <c r="C237" s="47">
        <f>SUMIFS('On The Board'!$M$5:$M$219,'On The Board'!F$5:F$219,"&lt;="&amp;$B237,'On The Board'!E$5:E$219,"="&amp;FutureWork)</f>
        <v>43</v>
      </c>
      <c r="D237" s="12">
        <f ca="1">IF(TodaysDate&gt;=B237,SUMIF('On The Board'!F$5:F$219,"&lt;="&amp;$B237,'On The Board'!$M$5:$M$219)-SUM(E237:I237),D236)</f>
        <v>47</v>
      </c>
      <c r="E237" s="12">
        <f>SUMIF('On The Board'!G$5:G$219,"&lt;="&amp;$B237,'On The Board'!$M$5:$M$219)-SUM(F237:I237)</f>
        <v>0</v>
      </c>
      <c r="F237" s="12">
        <f>SUMIF('On The Board'!H$5:H$219,"&lt;="&amp;$B237,'On The Board'!$M$5:$M$219)-SUM(G237:I237)</f>
        <v>5</v>
      </c>
      <c r="G237" s="12">
        <f>SUMIF('On The Board'!I$5:I$219,"&lt;="&amp;$B237,'On The Board'!$M$5:$M$219)-SUM(H237,I237)</f>
        <v>2</v>
      </c>
      <c r="H237" s="12">
        <f>SUMIF('On The Board'!J$5:J$219,"&lt;="&amp;$B237,'On The Board'!$M$5:$M$219)-SUM(I237)</f>
        <v>0</v>
      </c>
      <c r="I237" s="12">
        <f>SUMIF('On The Board'!K$5:K$219,"&lt;="&amp;$B237,'On The Board'!$M$5:$M$219)</f>
        <v>70</v>
      </c>
      <c r="J237" s="10">
        <f t="shared" si="32"/>
        <v>77</v>
      </c>
      <c r="K237" s="10" t="e">
        <f t="shared" ca="1" si="33"/>
        <v>#N/A</v>
      </c>
      <c r="L237" s="44" t="e">
        <f t="shared" ca="1" si="37"/>
        <v>#N/A</v>
      </c>
      <c r="M237" s="44" t="e">
        <f t="shared" ca="1" si="36"/>
        <v>#N/A</v>
      </c>
      <c r="N237" s="44" t="e">
        <f t="shared" ca="1" si="35"/>
        <v>#N/A</v>
      </c>
      <c r="O237" s="53" t="e">
        <f t="shared" ca="1" si="38"/>
        <v>#N/A</v>
      </c>
      <c r="P237" s="53" t="str">
        <f ca="1">IFERROR(DayByDayTable[[#This Row],[Lead Time]],"")</f>
        <v/>
      </c>
      <c r="Q237" s="44" t="e">
        <f t="shared" ca="1" si="39"/>
        <v>#N/A</v>
      </c>
      <c r="R237" s="44">
        <f ca="1">ROUND(PERCENTILE(DayByDayTable[[#Data],[BlankLeadTime]],0.8),0)</f>
        <v>8</v>
      </c>
    </row>
    <row r="238" spans="1:18">
      <c r="A238" s="51">
        <f t="shared" si="31"/>
        <v>42748</v>
      </c>
      <c r="B238" s="11">
        <f t="shared" si="34"/>
        <v>42748</v>
      </c>
      <c r="C238" s="47">
        <f>SUMIFS('On The Board'!$M$5:$M$219,'On The Board'!F$5:F$219,"&lt;="&amp;$B238,'On The Board'!E$5:E$219,"="&amp;FutureWork)</f>
        <v>43</v>
      </c>
      <c r="D238" s="12">
        <f ca="1">IF(TodaysDate&gt;=B238,SUMIF('On The Board'!F$5:F$219,"&lt;="&amp;$B238,'On The Board'!$M$5:$M$219)-SUM(E238:I238),D237)</f>
        <v>47</v>
      </c>
      <c r="E238" s="12">
        <f>SUMIF('On The Board'!G$5:G$219,"&lt;="&amp;$B238,'On The Board'!$M$5:$M$219)-SUM(F238:I238)</f>
        <v>0</v>
      </c>
      <c r="F238" s="12">
        <f>SUMIF('On The Board'!H$5:H$219,"&lt;="&amp;$B238,'On The Board'!$M$5:$M$219)-SUM(G238:I238)</f>
        <v>5</v>
      </c>
      <c r="G238" s="12">
        <f>SUMIF('On The Board'!I$5:I$219,"&lt;="&amp;$B238,'On The Board'!$M$5:$M$219)-SUM(H238,I238)</f>
        <v>2</v>
      </c>
      <c r="H238" s="12">
        <f>SUMIF('On The Board'!J$5:J$219,"&lt;="&amp;$B238,'On The Board'!$M$5:$M$219)-SUM(I238)</f>
        <v>0</v>
      </c>
      <c r="I238" s="12">
        <f>SUMIF('On The Board'!K$5:K$219,"&lt;="&amp;$B238,'On The Board'!$M$5:$M$219)</f>
        <v>70</v>
      </c>
      <c r="J238" s="10">
        <f t="shared" si="32"/>
        <v>77</v>
      </c>
      <c r="K238" s="10" t="e">
        <f t="shared" ca="1" si="33"/>
        <v>#N/A</v>
      </c>
      <c r="L238" s="44" t="e">
        <f t="shared" ca="1" si="37"/>
        <v>#N/A</v>
      </c>
      <c r="M238" s="44" t="e">
        <f t="shared" ca="1" si="36"/>
        <v>#N/A</v>
      </c>
      <c r="N238" s="44" t="e">
        <f t="shared" ca="1" si="35"/>
        <v>#N/A</v>
      </c>
      <c r="O238" s="53" t="e">
        <f t="shared" ca="1" si="38"/>
        <v>#N/A</v>
      </c>
      <c r="P238" s="53" t="str">
        <f ca="1">IFERROR(DayByDayTable[[#This Row],[Lead Time]],"")</f>
        <v/>
      </c>
      <c r="Q238" s="44" t="e">
        <f t="shared" ca="1" si="39"/>
        <v>#N/A</v>
      </c>
      <c r="R238" s="44">
        <f ca="1">ROUND(PERCENTILE(DayByDayTable[[#Data],[BlankLeadTime]],0.8),0)</f>
        <v>8</v>
      </c>
    </row>
    <row r="239" spans="1:18">
      <c r="A239" s="51">
        <f t="shared" si="31"/>
        <v>42751</v>
      </c>
      <c r="B239" s="11">
        <f t="shared" si="34"/>
        <v>42751</v>
      </c>
      <c r="C239" s="47">
        <f>SUMIFS('On The Board'!$M$5:$M$219,'On The Board'!F$5:F$219,"&lt;="&amp;$B239,'On The Board'!E$5:E$219,"="&amp;FutureWork)</f>
        <v>43</v>
      </c>
      <c r="D239" s="12">
        <f ca="1">IF(TodaysDate&gt;=B239,SUMIF('On The Board'!F$5:F$219,"&lt;="&amp;$B239,'On The Board'!$M$5:$M$219)-SUM(E239:I239),D238)</f>
        <v>47</v>
      </c>
      <c r="E239" s="12">
        <f>SUMIF('On The Board'!G$5:G$219,"&lt;="&amp;$B239,'On The Board'!$M$5:$M$219)-SUM(F239:I239)</f>
        <v>0</v>
      </c>
      <c r="F239" s="12">
        <f>SUMIF('On The Board'!H$5:H$219,"&lt;="&amp;$B239,'On The Board'!$M$5:$M$219)-SUM(G239:I239)</f>
        <v>5</v>
      </c>
      <c r="G239" s="12">
        <f>SUMIF('On The Board'!I$5:I$219,"&lt;="&amp;$B239,'On The Board'!$M$5:$M$219)-SUM(H239,I239)</f>
        <v>2</v>
      </c>
      <c r="H239" s="12">
        <f>SUMIF('On The Board'!J$5:J$219,"&lt;="&amp;$B239,'On The Board'!$M$5:$M$219)-SUM(I239)</f>
        <v>0</v>
      </c>
      <c r="I239" s="12">
        <f>SUMIF('On The Board'!K$5:K$219,"&lt;="&amp;$B239,'On The Board'!$M$5:$M$219)</f>
        <v>70</v>
      </c>
      <c r="J239" s="10">
        <f t="shared" si="32"/>
        <v>77</v>
      </c>
      <c r="K239" s="10" t="e">
        <f t="shared" ca="1" si="33"/>
        <v>#N/A</v>
      </c>
      <c r="L239" s="44" t="e">
        <f t="shared" ca="1" si="37"/>
        <v>#N/A</v>
      </c>
      <c r="M239" s="44" t="e">
        <f t="shared" ca="1" si="36"/>
        <v>#N/A</v>
      </c>
      <c r="N239" s="44" t="e">
        <f t="shared" ca="1" si="35"/>
        <v>#N/A</v>
      </c>
      <c r="O239" s="53" t="e">
        <f t="shared" ca="1" si="38"/>
        <v>#N/A</v>
      </c>
      <c r="P239" s="53" t="str">
        <f ca="1">IFERROR(DayByDayTable[[#This Row],[Lead Time]],"")</f>
        <v/>
      </c>
      <c r="Q239" s="44" t="e">
        <f t="shared" ca="1" si="39"/>
        <v>#N/A</v>
      </c>
      <c r="R239" s="44">
        <f ca="1">ROUND(PERCENTILE(DayByDayTable[[#Data],[BlankLeadTime]],0.8),0)</f>
        <v>8</v>
      </c>
    </row>
    <row r="240" spans="1:18">
      <c r="A240" s="51">
        <f t="shared" si="31"/>
        <v>42752</v>
      </c>
      <c r="B240" s="11">
        <f t="shared" si="34"/>
        <v>42752</v>
      </c>
      <c r="C240" s="47">
        <f>SUMIFS('On The Board'!$M$5:$M$219,'On The Board'!F$5:F$219,"&lt;="&amp;$B240,'On The Board'!E$5:E$219,"="&amp;FutureWork)</f>
        <v>43</v>
      </c>
      <c r="D240" s="12">
        <f ca="1">IF(TodaysDate&gt;=B240,SUMIF('On The Board'!F$5:F$219,"&lt;="&amp;$B240,'On The Board'!$M$5:$M$219)-SUM(E240:I240),D239)</f>
        <v>47</v>
      </c>
      <c r="E240" s="12">
        <f>SUMIF('On The Board'!G$5:G$219,"&lt;="&amp;$B240,'On The Board'!$M$5:$M$219)-SUM(F240:I240)</f>
        <v>0</v>
      </c>
      <c r="F240" s="12">
        <f>SUMIF('On The Board'!H$5:H$219,"&lt;="&amp;$B240,'On The Board'!$M$5:$M$219)-SUM(G240:I240)</f>
        <v>5</v>
      </c>
      <c r="G240" s="12">
        <f>SUMIF('On The Board'!I$5:I$219,"&lt;="&amp;$B240,'On The Board'!$M$5:$M$219)-SUM(H240,I240)</f>
        <v>2</v>
      </c>
      <c r="H240" s="12">
        <f>SUMIF('On The Board'!J$5:J$219,"&lt;="&amp;$B240,'On The Board'!$M$5:$M$219)-SUM(I240)</f>
        <v>0</v>
      </c>
      <c r="I240" s="12">
        <f>SUMIF('On The Board'!K$5:K$219,"&lt;="&amp;$B240,'On The Board'!$M$5:$M$219)</f>
        <v>70</v>
      </c>
      <c r="J240" s="10">
        <f t="shared" si="32"/>
        <v>77</v>
      </c>
      <c r="K240" s="10" t="e">
        <f t="shared" ca="1" si="33"/>
        <v>#N/A</v>
      </c>
      <c r="L240" s="44" t="e">
        <f t="shared" ca="1" si="37"/>
        <v>#N/A</v>
      </c>
      <c r="M240" s="44" t="e">
        <f t="shared" ca="1" si="36"/>
        <v>#N/A</v>
      </c>
      <c r="N240" s="44" t="e">
        <f t="shared" ca="1" si="35"/>
        <v>#N/A</v>
      </c>
      <c r="O240" s="53" t="e">
        <f t="shared" ca="1" si="38"/>
        <v>#N/A</v>
      </c>
      <c r="P240" s="53" t="str">
        <f ca="1">IFERROR(DayByDayTable[[#This Row],[Lead Time]],"")</f>
        <v/>
      </c>
      <c r="Q240" s="44" t="e">
        <f t="shared" ca="1" si="39"/>
        <v>#N/A</v>
      </c>
      <c r="R240" s="44">
        <f ca="1">ROUND(PERCENTILE(DayByDayTable[[#Data],[BlankLeadTime]],0.8),0)</f>
        <v>8</v>
      </c>
    </row>
    <row r="241" spans="1:18">
      <c r="A241" s="51">
        <f t="shared" si="31"/>
        <v>42753</v>
      </c>
      <c r="B241" s="11">
        <f t="shared" si="34"/>
        <v>42753</v>
      </c>
      <c r="C241" s="47">
        <f>SUMIFS('On The Board'!$M$5:$M$219,'On The Board'!F$5:F$219,"&lt;="&amp;$B241,'On The Board'!E$5:E$219,"="&amp;FutureWork)</f>
        <v>43</v>
      </c>
      <c r="D241" s="12">
        <f ca="1">IF(TodaysDate&gt;=B241,SUMIF('On The Board'!F$5:F$219,"&lt;="&amp;$B241,'On The Board'!$M$5:$M$219)-SUM(E241:I241),D240)</f>
        <v>47</v>
      </c>
      <c r="E241" s="12">
        <f>SUMIF('On The Board'!G$5:G$219,"&lt;="&amp;$B241,'On The Board'!$M$5:$M$219)-SUM(F241:I241)</f>
        <v>0</v>
      </c>
      <c r="F241" s="12">
        <f>SUMIF('On The Board'!H$5:H$219,"&lt;="&amp;$B241,'On The Board'!$M$5:$M$219)-SUM(G241:I241)</f>
        <v>5</v>
      </c>
      <c r="G241" s="12">
        <f>SUMIF('On The Board'!I$5:I$219,"&lt;="&amp;$B241,'On The Board'!$M$5:$M$219)-SUM(H241,I241)</f>
        <v>2</v>
      </c>
      <c r="H241" s="12">
        <f>SUMIF('On The Board'!J$5:J$219,"&lt;="&amp;$B241,'On The Board'!$M$5:$M$219)-SUM(I241)</f>
        <v>0</v>
      </c>
      <c r="I241" s="12">
        <f>SUMIF('On The Board'!K$5:K$219,"&lt;="&amp;$B241,'On The Board'!$M$5:$M$219)</f>
        <v>70</v>
      </c>
      <c r="J241" s="10">
        <f t="shared" si="32"/>
        <v>77</v>
      </c>
      <c r="K241" s="10" t="e">
        <f t="shared" ca="1" si="33"/>
        <v>#N/A</v>
      </c>
      <c r="L241" s="44" t="e">
        <f t="shared" ca="1" si="37"/>
        <v>#N/A</v>
      </c>
      <c r="M241" s="44" t="e">
        <f t="shared" ca="1" si="36"/>
        <v>#N/A</v>
      </c>
      <c r="N241" s="44" t="e">
        <f t="shared" ca="1" si="35"/>
        <v>#N/A</v>
      </c>
      <c r="O241" s="53" t="e">
        <f t="shared" ca="1" si="38"/>
        <v>#N/A</v>
      </c>
      <c r="P241" s="53" t="str">
        <f ca="1">IFERROR(DayByDayTable[[#This Row],[Lead Time]],"")</f>
        <v/>
      </c>
      <c r="Q241" s="44" t="e">
        <f t="shared" ca="1" si="39"/>
        <v>#N/A</v>
      </c>
      <c r="R241" s="44">
        <f ca="1">ROUND(PERCENTILE(DayByDayTable[[#Data],[BlankLeadTime]],0.8),0)</f>
        <v>8</v>
      </c>
    </row>
    <row r="242" spans="1:18">
      <c r="A242" s="51">
        <f t="shared" si="31"/>
        <v>42754</v>
      </c>
      <c r="B242" s="11">
        <f t="shared" si="34"/>
        <v>42754</v>
      </c>
      <c r="C242" s="47">
        <f>SUMIFS('On The Board'!$M$5:$M$219,'On The Board'!F$5:F$219,"&lt;="&amp;$B242,'On The Board'!E$5:E$219,"="&amp;FutureWork)</f>
        <v>43</v>
      </c>
      <c r="D242" s="12">
        <f ca="1">IF(TodaysDate&gt;=B242,SUMIF('On The Board'!F$5:F$219,"&lt;="&amp;$B242,'On The Board'!$M$5:$M$219)-SUM(E242:I242),D241)</f>
        <v>47</v>
      </c>
      <c r="E242" s="12">
        <f>SUMIF('On The Board'!G$5:G$219,"&lt;="&amp;$B242,'On The Board'!$M$5:$M$219)-SUM(F242:I242)</f>
        <v>0</v>
      </c>
      <c r="F242" s="12">
        <f>SUMIF('On The Board'!H$5:H$219,"&lt;="&amp;$B242,'On The Board'!$M$5:$M$219)-SUM(G242:I242)</f>
        <v>5</v>
      </c>
      <c r="G242" s="12">
        <f>SUMIF('On The Board'!I$5:I$219,"&lt;="&amp;$B242,'On The Board'!$M$5:$M$219)-SUM(H242,I242)</f>
        <v>2</v>
      </c>
      <c r="H242" s="12">
        <f>SUMIF('On The Board'!J$5:J$219,"&lt;="&amp;$B242,'On The Board'!$M$5:$M$219)-SUM(I242)</f>
        <v>0</v>
      </c>
      <c r="I242" s="12">
        <f>SUMIF('On The Board'!K$5:K$219,"&lt;="&amp;$B242,'On The Board'!$M$5:$M$219)</f>
        <v>70</v>
      </c>
      <c r="J242" s="10">
        <f t="shared" si="32"/>
        <v>77</v>
      </c>
      <c r="K242" s="10" t="e">
        <f t="shared" ca="1" si="33"/>
        <v>#N/A</v>
      </c>
      <c r="L242" s="44" t="e">
        <f t="shared" ca="1" si="37"/>
        <v>#N/A</v>
      </c>
      <c r="M242" s="44" t="e">
        <f t="shared" ca="1" si="36"/>
        <v>#N/A</v>
      </c>
      <c r="N242" s="44" t="e">
        <f t="shared" ca="1" si="35"/>
        <v>#N/A</v>
      </c>
      <c r="O242" s="53" t="e">
        <f t="shared" ca="1" si="38"/>
        <v>#N/A</v>
      </c>
      <c r="P242" s="53" t="str">
        <f ca="1">IFERROR(DayByDayTable[[#This Row],[Lead Time]],"")</f>
        <v/>
      </c>
      <c r="Q242" s="44" t="e">
        <f t="shared" ca="1" si="39"/>
        <v>#N/A</v>
      </c>
      <c r="R242" s="44">
        <f ca="1">ROUND(PERCENTILE(DayByDayTable[[#Data],[BlankLeadTime]],0.8),0)</f>
        <v>8</v>
      </c>
    </row>
    <row r="243" spans="1:18">
      <c r="A243" s="51">
        <f t="shared" si="31"/>
        <v>42755</v>
      </c>
      <c r="B243" s="11">
        <f t="shared" si="34"/>
        <v>42755</v>
      </c>
      <c r="C243" s="47">
        <f>SUMIFS('On The Board'!$M$5:$M$219,'On The Board'!F$5:F$219,"&lt;="&amp;$B243,'On The Board'!E$5:E$219,"="&amp;FutureWork)</f>
        <v>43</v>
      </c>
      <c r="D243" s="12">
        <f ca="1">IF(TodaysDate&gt;=B243,SUMIF('On The Board'!F$5:F$219,"&lt;="&amp;$B243,'On The Board'!$M$5:$M$219)-SUM(E243:I243),D242)</f>
        <v>47</v>
      </c>
      <c r="E243" s="12">
        <f>SUMIF('On The Board'!G$5:G$219,"&lt;="&amp;$B243,'On The Board'!$M$5:$M$219)-SUM(F243:I243)</f>
        <v>0</v>
      </c>
      <c r="F243" s="12">
        <f>SUMIF('On The Board'!H$5:H$219,"&lt;="&amp;$B243,'On The Board'!$M$5:$M$219)-SUM(G243:I243)</f>
        <v>5</v>
      </c>
      <c r="G243" s="12">
        <f>SUMIF('On The Board'!I$5:I$219,"&lt;="&amp;$B243,'On The Board'!$M$5:$M$219)-SUM(H243,I243)</f>
        <v>2</v>
      </c>
      <c r="H243" s="12">
        <f>SUMIF('On The Board'!J$5:J$219,"&lt;="&amp;$B243,'On The Board'!$M$5:$M$219)-SUM(I243)</f>
        <v>0</v>
      </c>
      <c r="I243" s="12">
        <f>SUMIF('On The Board'!K$5:K$219,"&lt;="&amp;$B243,'On The Board'!$M$5:$M$219)</f>
        <v>70</v>
      </c>
      <c r="J243" s="10">
        <f t="shared" si="32"/>
        <v>77</v>
      </c>
      <c r="K243" s="10" t="e">
        <f t="shared" ca="1" si="33"/>
        <v>#N/A</v>
      </c>
      <c r="L243" s="44" t="e">
        <f t="shared" ca="1" si="37"/>
        <v>#N/A</v>
      </c>
      <c r="M243" s="44" t="e">
        <f t="shared" ca="1" si="36"/>
        <v>#N/A</v>
      </c>
      <c r="N243" s="44" t="e">
        <f t="shared" ca="1" si="35"/>
        <v>#N/A</v>
      </c>
      <c r="O243" s="53" t="e">
        <f t="shared" ca="1" si="38"/>
        <v>#N/A</v>
      </c>
      <c r="P243" s="53" t="str">
        <f ca="1">IFERROR(DayByDayTable[[#This Row],[Lead Time]],"")</f>
        <v/>
      </c>
      <c r="Q243" s="44" t="e">
        <f t="shared" ca="1" si="39"/>
        <v>#N/A</v>
      </c>
      <c r="R243" s="44">
        <f ca="1">ROUND(PERCENTILE(DayByDayTable[[#Data],[BlankLeadTime]],0.8),0)</f>
        <v>8</v>
      </c>
    </row>
    <row r="244" spans="1:18">
      <c r="A244" s="51">
        <f t="shared" si="31"/>
        <v>42758</v>
      </c>
      <c r="B244" s="11">
        <f t="shared" si="34"/>
        <v>42758</v>
      </c>
      <c r="C244" s="47">
        <f>SUMIFS('On The Board'!$M$5:$M$219,'On The Board'!F$5:F$219,"&lt;="&amp;$B244,'On The Board'!E$5:E$219,"="&amp;FutureWork)</f>
        <v>43</v>
      </c>
      <c r="D244" s="12">
        <f ca="1">IF(TodaysDate&gt;=B244,SUMIF('On The Board'!F$5:F$219,"&lt;="&amp;$B244,'On The Board'!$M$5:$M$219)-SUM(E244:I244),D243)</f>
        <v>47</v>
      </c>
      <c r="E244" s="12">
        <f>SUMIF('On The Board'!G$5:G$219,"&lt;="&amp;$B244,'On The Board'!$M$5:$M$219)-SUM(F244:I244)</f>
        <v>0</v>
      </c>
      <c r="F244" s="12">
        <f>SUMIF('On The Board'!H$5:H$219,"&lt;="&amp;$B244,'On The Board'!$M$5:$M$219)-SUM(G244:I244)</f>
        <v>5</v>
      </c>
      <c r="G244" s="12">
        <f>SUMIF('On The Board'!I$5:I$219,"&lt;="&amp;$B244,'On The Board'!$M$5:$M$219)-SUM(H244,I244)</f>
        <v>2</v>
      </c>
      <c r="H244" s="12">
        <f>SUMIF('On The Board'!J$5:J$219,"&lt;="&amp;$B244,'On The Board'!$M$5:$M$219)-SUM(I244)</f>
        <v>0</v>
      </c>
      <c r="I244" s="12">
        <f>SUMIF('On The Board'!K$5:K$219,"&lt;="&amp;$B244,'On The Board'!$M$5:$M$219)</f>
        <v>70</v>
      </c>
      <c r="J244" s="10">
        <f t="shared" si="32"/>
        <v>77</v>
      </c>
      <c r="K244" s="10" t="e">
        <f t="shared" ca="1" si="33"/>
        <v>#N/A</v>
      </c>
      <c r="L244" s="44" t="e">
        <f t="shared" ca="1" si="37"/>
        <v>#N/A</v>
      </c>
      <c r="M244" s="44" t="e">
        <f t="shared" ca="1" si="36"/>
        <v>#N/A</v>
      </c>
      <c r="N244" s="44" t="e">
        <f t="shared" ca="1" si="35"/>
        <v>#N/A</v>
      </c>
      <c r="O244" s="53" t="e">
        <f t="shared" ca="1" si="38"/>
        <v>#N/A</v>
      </c>
      <c r="P244" s="53" t="str">
        <f ca="1">IFERROR(DayByDayTable[[#This Row],[Lead Time]],"")</f>
        <v/>
      </c>
      <c r="Q244" s="44" t="e">
        <f t="shared" ca="1" si="39"/>
        <v>#N/A</v>
      </c>
      <c r="R244" s="44">
        <f ca="1">ROUND(PERCENTILE(DayByDayTable[[#Data],[BlankLeadTime]],0.8),0)</f>
        <v>8</v>
      </c>
    </row>
    <row r="245" spans="1:18">
      <c r="A245" s="51">
        <f t="shared" si="31"/>
        <v>42759</v>
      </c>
      <c r="B245" s="11">
        <f t="shared" si="34"/>
        <v>42759</v>
      </c>
      <c r="C245" s="47">
        <f>SUMIFS('On The Board'!$M$5:$M$219,'On The Board'!F$5:F$219,"&lt;="&amp;$B245,'On The Board'!E$5:E$219,"="&amp;FutureWork)</f>
        <v>43</v>
      </c>
      <c r="D245" s="12">
        <f ca="1">IF(TodaysDate&gt;=B245,SUMIF('On The Board'!F$5:F$219,"&lt;="&amp;$B245,'On The Board'!$M$5:$M$219)-SUM(E245:I245),D244)</f>
        <v>47</v>
      </c>
      <c r="E245" s="12">
        <f>SUMIF('On The Board'!G$5:G$219,"&lt;="&amp;$B245,'On The Board'!$M$5:$M$219)-SUM(F245:I245)</f>
        <v>0</v>
      </c>
      <c r="F245" s="12">
        <f>SUMIF('On The Board'!H$5:H$219,"&lt;="&amp;$B245,'On The Board'!$M$5:$M$219)-SUM(G245:I245)</f>
        <v>5</v>
      </c>
      <c r="G245" s="12">
        <f>SUMIF('On The Board'!I$5:I$219,"&lt;="&amp;$B245,'On The Board'!$M$5:$M$219)-SUM(H245,I245)</f>
        <v>2</v>
      </c>
      <c r="H245" s="12">
        <f>SUMIF('On The Board'!J$5:J$219,"&lt;="&amp;$B245,'On The Board'!$M$5:$M$219)-SUM(I245)</f>
        <v>0</v>
      </c>
      <c r="I245" s="12">
        <f>SUMIF('On The Board'!K$5:K$219,"&lt;="&amp;$B245,'On The Board'!$M$5:$M$219)</f>
        <v>70</v>
      </c>
      <c r="J245" s="10">
        <f t="shared" si="32"/>
        <v>77</v>
      </c>
      <c r="K245" s="10" t="e">
        <f t="shared" ca="1" si="33"/>
        <v>#N/A</v>
      </c>
      <c r="L245" s="44" t="e">
        <f t="shared" ca="1" si="37"/>
        <v>#N/A</v>
      </c>
      <c r="M245" s="44" t="e">
        <f t="shared" ca="1" si="36"/>
        <v>#N/A</v>
      </c>
      <c r="N245" s="44" t="e">
        <f t="shared" ca="1" si="35"/>
        <v>#N/A</v>
      </c>
      <c r="O245" s="53" t="e">
        <f t="shared" ca="1" si="38"/>
        <v>#N/A</v>
      </c>
      <c r="P245" s="53" t="str">
        <f ca="1">IFERROR(DayByDayTable[[#This Row],[Lead Time]],"")</f>
        <v/>
      </c>
      <c r="Q245" s="44" t="e">
        <f t="shared" ca="1" si="39"/>
        <v>#N/A</v>
      </c>
      <c r="R245" s="44">
        <f ca="1">ROUND(PERCENTILE(DayByDayTable[[#Data],[BlankLeadTime]],0.8),0)</f>
        <v>8</v>
      </c>
    </row>
    <row r="246" spans="1:18">
      <c r="A246" s="51">
        <f t="shared" si="31"/>
        <v>42760</v>
      </c>
      <c r="B246" s="11">
        <f t="shared" si="34"/>
        <v>42760</v>
      </c>
      <c r="C246" s="47">
        <f>SUMIFS('On The Board'!$M$5:$M$219,'On The Board'!F$5:F$219,"&lt;="&amp;$B246,'On The Board'!E$5:E$219,"="&amp;FutureWork)</f>
        <v>43</v>
      </c>
      <c r="D246" s="12">
        <f ca="1">IF(TodaysDate&gt;=B246,SUMIF('On The Board'!F$5:F$219,"&lt;="&amp;$B246,'On The Board'!$M$5:$M$219)-SUM(E246:I246),D245)</f>
        <v>47</v>
      </c>
      <c r="E246" s="12">
        <f>SUMIF('On The Board'!G$5:G$219,"&lt;="&amp;$B246,'On The Board'!$M$5:$M$219)-SUM(F246:I246)</f>
        <v>0</v>
      </c>
      <c r="F246" s="12">
        <f>SUMIF('On The Board'!H$5:H$219,"&lt;="&amp;$B246,'On The Board'!$M$5:$M$219)-SUM(G246:I246)</f>
        <v>5</v>
      </c>
      <c r="G246" s="12">
        <f>SUMIF('On The Board'!I$5:I$219,"&lt;="&amp;$B246,'On The Board'!$M$5:$M$219)-SUM(H246,I246)</f>
        <v>2</v>
      </c>
      <c r="H246" s="12">
        <f>SUMIF('On The Board'!J$5:J$219,"&lt;="&amp;$B246,'On The Board'!$M$5:$M$219)-SUM(I246)</f>
        <v>0</v>
      </c>
      <c r="I246" s="12">
        <f>SUMIF('On The Board'!K$5:K$219,"&lt;="&amp;$B246,'On The Board'!$M$5:$M$219)</f>
        <v>70</v>
      </c>
      <c r="J246" s="10">
        <f t="shared" si="32"/>
        <v>77</v>
      </c>
      <c r="K246" s="10" t="e">
        <f t="shared" ca="1" si="33"/>
        <v>#N/A</v>
      </c>
      <c r="L246" s="44" t="e">
        <f t="shared" ca="1" si="37"/>
        <v>#N/A</v>
      </c>
      <c r="M246" s="44" t="e">
        <f t="shared" ca="1" si="36"/>
        <v>#N/A</v>
      </c>
      <c r="N246" s="44" t="e">
        <f t="shared" ca="1" si="35"/>
        <v>#N/A</v>
      </c>
      <c r="O246" s="53" t="e">
        <f t="shared" ca="1" si="38"/>
        <v>#N/A</v>
      </c>
      <c r="P246" s="53" t="str">
        <f ca="1">IFERROR(DayByDayTable[[#This Row],[Lead Time]],"")</f>
        <v/>
      </c>
      <c r="Q246" s="44" t="e">
        <f t="shared" ca="1" si="39"/>
        <v>#N/A</v>
      </c>
      <c r="R246" s="44">
        <f ca="1">ROUND(PERCENTILE(DayByDayTable[[#Data],[BlankLeadTime]],0.8),0)</f>
        <v>8</v>
      </c>
    </row>
    <row r="247" spans="1:18">
      <c r="A247" s="51">
        <f t="shared" si="31"/>
        <v>42761</v>
      </c>
      <c r="B247" s="11">
        <f t="shared" si="34"/>
        <v>42761</v>
      </c>
      <c r="C247" s="47">
        <f>SUMIFS('On The Board'!$M$5:$M$219,'On The Board'!F$5:F$219,"&lt;="&amp;$B247,'On The Board'!E$5:E$219,"="&amp;FutureWork)</f>
        <v>43</v>
      </c>
      <c r="D247" s="12">
        <f ca="1">IF(TodaysDate&gt;=B247,SUMIF('On The Board'!F$5:F$219,"&lt;="&amp;$B247,'On The Board'!$M$5:$M$219)-SUM(E247:I247),D246)</f>
        <v>47</v>
      </c>
      <c r="E247" s="12">
        <f>SUMIF('On The Board'!G$5:G$219,"&lt;="&amp;$B247,'On The Board'!$M$5:$M$219)-SUM(F247:I247)</f>
        <v>0</v>
      </c>
      <c r="F247" s="12">
        <f>SUMIF('On The Board'!H$5:H$219,"&lt;="&amp;$B247,'On The Board'!$M$5:$M$219)-SUM(G247:I247)</f>
        <v>5</v>
      </c>
      <c r="G247" s="12">
        <f>SUMIF('On The Board'!I$5:I$219,"&lt;="&amp;$B247,'On The Board'!$M$5:$M$219)-SUM(H247,I247)</f>
        <v>2</v>
      </c>
      <c r="H247" s="12">
        <f>SUMIF('On The Board'!J$5:J$219,"&lt;="&amp;$B247,'On The Board'!$M$5:$M$219)-SUM(I247)</f>
        <v>0</v>
      </c>
      <c r="I247" s="12">
        <f>SUMIF('On The Board'!K$5:K$219,"&lt;="&amp;$B247,'On The Board'!$M$5:$M$219)</f>
        <v>70</v>
      </c>
      <c r="J247" s="10">
        <f t="shared" si="32"/>
        <v>77</v>
      </c>
      <c r="K247" s="10" t="e">
        <f t="shared" ca="1" si="33"/>
        <v>#N/A</v>
      </c>
      <c r="L247" s="44" t="e">
        <f t="shared" ca="1" si="37"/>
        <v>#N/A</v>
      </c>
      <c r="M247" s="44" t="e">
        <f t="shared" ca="1" si="36"/>
        <v>#N/A</v>
      </c>
      <c r="N247" s="44" t="e">
        <f t="shared" ca="1" si="35"/>
        <v>#N/A</v>
      </c>
      <c r="O247" s="53" t="e">
        <f t="shared" ca="1" si="38"/>
        <v>#N/A</v>
      </c>
      <c r="P247" s="53" t="str">
        <f ca="1">IFERROR(DayByDayTable[[#This Row],[Lead Time]],"")</f>
        <v/>
      </c>
      <c r="Q247" s="44" t="e">
        <f t="shared" ca="1" si="39"/>
        <v>#N/A</v>
      </c>
      <c r="R247" s="44">
        <f ca="1">ROUND(PERCENTILE(DayByDayTable[[#Data],[BlankLeadTime]],0.8),0)</f>
        <v>8</v>
      </c>
    </row>
    <row r="248" spans="1:18">
      <c r="A248" s="51">
        <f t="shared" si="31"/>
        <v>42762</v>
      </c>
      <c r="B248" s="11">
        <f t="shared" si="34"/>
        <v>42762</v>
      </c>
      <c r="C248" s="47">
        <f>SUMIFS('On The Board'!$M$5:$M$219,'On The Board'!F$5:F$219,"&lt;="&amp;$B248,'On The Board'!E$5:E$219,"="&amp;FutureWork)</f>
        <v>43</v>
      </c>
      <c r="D248" s="12">
        <f ca="1">IF(TodaysDate&gt;=B248,SUMIF('On The Board'!F$5:F$219,"&lt;="&amp;$B248,'On The Board'!$M$5:$M$219)-SUM(E248:I248),D247)</f>
        <v>47</v>
      </c>
      <c r="E248" s="12">
        <f>SUMIF('On The Board'!G$5:G$219,"&lt;="&amp;$B248,'On The Board'!$M$5:$M$219)-SUM(F248:I248)</f>
        <v>0</v>
      </c>
      <c r="F248" s="12">
        <f>SUMIF('On The Board'!H$5:H$219,"&lt;="&amp;$B248,'On The Board'!$M$5:$M$219)-SUM(G248:I248)</f>
        <v>5</v>
      </c>
      <c r="G248" s="12">
        <f>SUMIF('On The Board'!I$5:I$219,"&lt;="&amp;$B248,'On The Board'!$M$5:$M$219)-SUM(H248,I248)</f>
        <v>2</v>
      </c>
      <c r="H248" s="12">
        <f>SUMIF('On The Board'!J$5:J$219,"&lt;="&amp;$B248,'On The Board'!$M$5:$M$219)-SUM(I248)</f>
        <v>0</v>
      </c>
      <c r="I248" s="12">
        <f>SUMIF('On The Board'!K$5:K$219,"&lt;="&amp;$B248,'On The Board'!$M$5:$M$219)</f>
        <v>70</v>
      </c>
      <c r="J248" s="10">
        <f t="shared" si="32"/>
        <v>77</v>
      </c>
      <c r="K248" s="10" t="e">
        <f t="shared" ca="1" si="33"/>
        <v>#N/A</v>
      </c>
      <c r="L248" s="44" t="e">
        <f t="shared" ca="1" si="37"/>
        <v>#N/A</v>
      </c>
      <c r="M248" s="44" t="e">
        <f t="shared" ca="1" si="36"/>
        <v>#N/A</v>
      </c>
      <c r="N248" s="44" t="e">
        <f t="shared" ca="1" si="35"/>
        <v>#N/A</v>
      </c>
      <c r="O248" s="53" t="e">
        <f t="shared" ca="1" si="38"/>
        <v>#N/A</v>
      </c>
      <c r="P248" s="53" t="str">
        <f ca="1">IFERROR(DayByDayTable[[#This Row],[Lead Time]],"")</f>
        <v/>
      </c>
      <c r="Q248" s="44" t="e">
        <f t="shared" ca="1" si="39"/>
        <v>#N/A</v>
      </c>
      <c r="R248" s="44">
        <f ca="1">ROUND(PERCENTILE(DayByDayTable[[#Data],[BlankLeadTime]],0.8),0)</f>
        <v>8</v>
      </c>
    </row>
    <row r="249" spans="1:18">
      <c r="A249" s="51">
        <f t="shared" si="31"/>
        <v>42765</v>
      </c>
      <c r="B249" s="11">
        <f t="shared" si="34"/>
        <v>42765</v>
      </c>
      <c r="C249" s="47">
        <f>SUMIFS('On The Board'!$M$5:$M$219,'On The Board'!F$5:F$219,"&lt;="&amp;$B249,'On The Board'!E$5:E$219,"="&amp;FutureWork)</f>
        <v>43</v>
      </c>
      <c r="D249" s="12">
        <f ca="1">IF(TodaysDate&gt;=B249,SUMIF('On The Board'!F$5:F$219,"&lt;="&amp;$B249,'On The Board'!$M$5:$M$219)-SUM(E249:I249),D248)</f>
        <v>47</v>
      </c>
      <c r="E249" s="12">
        <f>SUMIF('On The Board'!G$5:G$219,"&lt;="&amp;$B249,'On The Board'!$M$5:$M$219)-SUM(F249:I249)</f>
        <v>0</v>
      </c>
      <c r="F249" s="12">
        <f>SUMIF('On The Board'!H$5:H$219,"&lt;="&amp;$B249,'On The Board'!$M$5:$M$219)-SUM(G249:I249)</f>
        <v>5</v>
      </c>
      <c r="G249" s="12">
        <f>SUMIF('On The Board'!I$5:I$219,"&lt;="&amp;$B249,'On The Board'!$M$5:$M$219)-SUM(H249,I249)</f>
        <v>2</v>
      </c>
      <c r="H249" s="12">
        <f>SUMIF('On The Board'!J$5:J$219,"&lt;="&amp;$B249,'On The Board'!$M$5:$M$219)-SUM(I249)</f>
        <v>0</v>
      </c>
      <c r="I249" s="12">
        <f>SUMIF('On The Board'!K$5:K$219,"&lt;="&amp;$B249,'On The Board'!$M$5:$M$219)</f>
        <v>70</v>
      </c>
      <c r="J249" s="10">
        <f t="shared" si="32"/>
        <v>77</v>
      </c>
      <c r="K249" s="10" t="e">
        <f t="shared" ca="1" si="33"/>
        <v>#N/A</v>
      </c>
      <c r="L249" s="44" t="e">
        <f t="shared" ca="1" si="37"/>
        <v>#N/A</v>
      </c>
      <c r="M249" s="44" t="e">
        <f t="shared" ca="1" si="36"/>
        <v>#N/A</v>
      </c>
      <c r="N249" s="44" t="e">
        <f t="shared" ca="1" si="35"/>
        <v>#N/A</v>
      </c>
      <c r="O249" s="53" t="e">
        <f t="shared" ca="1" si="38"/>
        <v>#N/A</v>
      </c>
      <c r="P249" s="53" t="str">
        <f ca="1">IFERROR(DayByDayTable[[#This Row],[Lead Time]],"")</f>
        <v/>
      </c>
      <c r="Q249" s="44" t="e">
        <f t="shared" ca="1" si="39"/>
        <v>#N/A</v>
      </c>
      <c r="R249" s="44">
        <f ca="1">ROUND(PERCENTILE(DayByDayTable[[#Data],[BlankLeadTime]],0.8),0)</f>
        <v>8</v>
      </c>
    </row>
    <row r="250" spans="1:18">
      <c r="A250" s="51">
        <f t="shared" si="31"/>
        <v>42766</v>
      </c>
      <c r="B250" s="11">
        <f t="shared" si="34"/>
        <v>42766</v>
      </c>
      <c r="C250" s="47">
        <f>SUMIFS('On The Board'!$M$5:$M$219,'On The Board'!F$5:F$219,"&lt;="&amp;$B250,'On The Board'!E$5:E$219,"="&amp;FutureWork)</f>
        <v>43</v>
      </c>
      <c r="D250" s="12">
        <f ca="1">IF(TodaysDate&gt;=B250,SUMIF('On The Board'!F$5:F$219,"&lt;="&amp;$B250,'On The Board'!$M$5:$M$219)-SUM(E250:I250),D249)</f>
        <v>47</v>
      </c>
      <c r="E250" s="12">
        <f>SUMIF('On The Board'!G$5:G$219,"&lt;="&amp;$B250,'On The Board'!$M$5:$M$219)-SUM(F250:I250)</f>
        <v>0</v>
      </c>
      <c r="F250" s="12">
        <f>SUMIF('On The Board'!H$5:H$219,"&lt;="&amp;$B250,'On The Board'!$M$5:$M$219)-SUM(G250:I250)</f>
        <v>5</v>
      </c>
      <c r="G250" s="12">
        <f>SUMIF('On The Board'!I$5:I$219,"&lt;="&amp;$B250,'On The Board'!$M$5:$M$219)-SUM(H250,I250)</f>
        <v>2</v>
      </c>
      <c r="H250" s="12">
        <f>SUMIF('On The Board'!J$5:J$219,"&lt;="&amp;$B250,'On The Board'!$M$5:$M$219)-SUM(I250)</f>
        <v>0</v>
      </c>
      <c r="I250" s="12">
        <f>SUMIF('On The Board'!K$5:K$219,"&lt;="&amp;$B250,'On The Board'!$M$5:$M$219)</f>
        <v>70</v>
      </c>
      <c r="J250" s="10">
        <f t="shared" si="32"/>
        <v>77</v>
      </c>
      <c r="K250" s="10" t="e">
        <f t="shared" ca="1" si="33"/>
        <v>#N/A</v>
      </c>
      <c r="L250" s="44" t="e">
        <f t="shared" ca="1" si="37"/>
        <v>#N/A</v>
      </c>
      <c r="M250" s="44" t="e">
        <f t="shared" ca="1" si="36"/>
        <v>#N/A</v>
      </c>
      <c r="N250" s="44" t="e">
        <f t="shared" ca="1" si="35"/>
        <v>#N/A</v>
      </c>
      <c r="O250" s="53" t="e">
        <f t="shared" ca="1" si="38"/>
        <v>#N/A</v>
      </c>
      <c r="P250" s="53" t="str">
        <f ca="1">IFERROR(DayByDayTable[[#This Row],[Lead Time]],"")</f>
        <v/>
      </c>
      <c r="Q250" s="44" t="e">
        <f t="shared" ca="1" si="39"/>
        <v>#N/A</v>
      </c>
      <c r="R250" s="44">
        <f ca="1">ROUND(PERCENTILE(DayByDayTable[[#Data],[BlankLeadTime]],0.8),0)</f>
        <v>8</v>
      </c>
    </row>
    <row r="251" spans="1:18">
      <c r="A251" s="51">
        <f t="shared" si="31"/>
        <v>42767</v>
      </c>
      <c r="B251" s="11">
        <f t="shared" si="34"/>
        <v>42767</v>
      </c>
      <c r="C251" s="47">
        <f>SUMIFS('On The Board'!$M$5:$M$219,'On The Board'!F$5:F$219,"&lt;="&amp;$B251,'On The Board'!E$5:E$219,"="&amp;FutureWork)</f>
        <v>43</v>
      </c>
      <c r="D251" s="12">
        <f ca="1">IF(TodaysDate&gt;=B251,SUMIF('On The Board'!F$5:F$219,"&lt;="&amp;$B251,'On The Board'!$M$5:$M$219)-SUM(E251:I251),D250)</f>
        <v>47</v>
      </c>
      <c r="E251" s="12">
        <f>SUMIF('On The Board'!G$5:G$219,"&lt;="&amp;$B251,'On The Board'!$M$5:$M$219)-SUM(F251:I251)</f>
        <v>0</v>
      </c>
      <c r="F251" s="12">
        <f>SUMIF('On The Board'!H$5:H$219,"&lt;="&amp;$B251,'On The Board'!$M$5:$M$219)-SUM(G251:I251)</f>
        <v>5</v>
      </c>
      <c r="G251" s="12">
        <f>SUMIF('On The Board'!I$5:I$219,"&lt;="&amp;$B251,'On The Board'!$M$5:$M$219)-SUM(H251,I251)</f>
        <v>2</v>
      </c>
      <c r="H251" s="12">
        <f>SUMIF('On The Board'!J$5:J$219,"&lt;="&amp;$B251,'On The Board'!$M$5:$M$219)-SUM(I251)</f>
        <v>0</v>
      </c>
      <c r="I251" s="12">
        <f>SUMIF('On The Board'!K$5:K$219,"&lt;="&amp;$B251,'On The Board'!$M$5:$M$219)</f>
        <v>70</v>
      </c>
      <c r="J251" s="10">
        <f t="shared" si="32"/>
        <v>77</v>
      </c>
      <c r="K251" s="10" t="e">
        <f t="shared" ca="1" si="33"/>
        <v>#N/A</v>
      </c>
      <c r="L251" s="44" t="e">
        <f t="shared" ca="1" si="37"/>
        <v>#N/A</v>
      </c>
      <c r="M251" s="44" t="e">
        <f t="shared" ca="1" si="36"/>
        <v>#N/A</v>
      </c>
      <c r="N251" s="44" t="e">
        <f t="shared" ca="1" si="35"/>
        <v>#N/A</v>
      </c>
      <c r="O251" s="53" t="e">
        <f t="shared" ca="1" si="38"/>
        <v>#N/A</v>
      </c>
      <c r="P251" s="53" t="str">
        <f ca="1">IFERROR(DayByDayTable[[#This Row],[Lead Time]],"")</f>
        <v/>
      </c>
      <c r="Q251" s="44" t="e">
        <f t="shared" ca="1" si="39"/>
        <v>#N/A</v>
      </c>
      <c r="R251" s="44">
        <f ca="1">ROUND(PERCENTILE(DayByDayTable[[#Data],[BlankLeadTime]],0.8),0)</f>
        <v>8</v>
      </c>
    </row>
    <row r="252" spans="1:18">
      <c r="A252" s="51">
        <f t="shared" si="31"/>
        <v>42768</v>
      </c>
      <c r="B252" s="11">
        <f t="shared" si="34"/>
        <v>42768</v>
      </c>
      <c r="C252" s="47">
        <f>SUMIFS('On The Board'!$M$5:$M$219,'On The Board'!F$5:F$219,"&lt;="&amp;$B252,'On The Board'!E$5:E$219,"="&amp;FutureWork)</f>
        <v>43</v>
      </c>
      <c r="D252" s="12">
        <f ca="1">IF(TodaysDate&gt;=B252,SUMIF('On The Board'!F$5:F$219,"&lt;="&amp;$B252,'On The Board'!$M$5:$M$219)-SUM(E252:I252),D251)</f>
        <v>47</v>
      </c>
      <c r="E252" s="12">
        <f>SUMIF('On The Board'!G$5:G$219,"&lt;="&amp;$B252,'On The Board'!$M$5:$M$219)-SUM(F252:I252)</f>
        <v>0</v>
      </c>
      <c r="F252" s="12">
        <f>SUMIF('On The Board'!H$5:H$219,"&lt;="&amp;$B252,'On The Board'!$M$5:$M$219)-SUM(G252:I252)</f>
        <v>5</v>
      </c>
      <c r="G252" s="12">
        <f>SUMIF('On The Board'!I$5:I$219,"&lt;="&amp;$B252,'On The Board'!$M$5:$M$219)-SUM(H252,I252)</f>
        <v>2</v>
      </c>
      <c r="H252" s="12">
        <f>SUMIF('On The Board'!J$5:J$219,"&lt;="&amp;$B252,'On The Board'!$M$5:$M$219)-SUM(I252)</f>
        <v>0</v>
      </c>
      <c r="I252" s="12">
        <f>SUMIF('On The Board'!K$5:K$219,"&lt;="&amp;$B252,'On The Board'!$M$5:$M$219)</f>
        <v>70</v>
      </c>
      <c r="J252" s="10">
        <f t="shared" si="32"/>
        <v>77</v>
      </c>
      <c r="K252" s="10" t="e">
        <f t="shared" ca="1" si="33"/>
        <v>#N/A</v>
      </c>
      <c r="L252" s="44" t="e">
        <f t="shared" ca="1" si="37"/>
        <v>#N/A</v>
      </c>
      <c r="M252" s="44" t="e">
        <f t="shared" ca="1" si="36"/>
        <v>#N/A</v>
      </c>
      <c r="N252" s="44" t="e">
        <f t="shared" ca="1" si="35"/>
        <v>#N/A</v>
      </c>
      <c r="O252" s="53" t="e">
        <f t="shared" ca="1" si="38"/>
        <v>#N/A</v>
      </c>
      <c r="P252" s="53" t="str">
        <f ca="1">IFERROR(DayByDayTable[[#This Row],[Lead Time]],"")</f>
        <v/>
      </c>
      <c r="Q252" s="44" t="e">
        <f t="shared" ca="1" si="39"/>
        <v>#N/A</v>
      </c>
      <c r="R252" s="44">
        <f ca="1">ROUND(PERCENTILE(DayByDayTable[[#Data],[BlankLeadTime]],0.8),0)</f>
        <v>8</v>
      </c>
    </row>
    <row r="253" spans="1:18">
      <c r="A253" s="51">
        <f t="shared" si="31"/>
        <v>42769</v>
      </c>
      <c r="B253" s="11">
        <f t="shared" si="34"/>
        <v>42769</v>
      </c>
      <c r="C253" s="47">
        <f>SUMIFS('On The Board'!$M$5:$M$219,'On The Board'!F$5:F$219,"&lt;="&amp;$B253,'On The Board'!E$5:E$219,"="&amp;FutureWork)</f>
        <v>43</v>
      </c>
      <c r="D253" s="12">
        <f ca="1">IF(TodaysDate&gt;=B253,SUMIF('On The Board'!F$5:F$219,"&lt;="&amp;$B253,'On The Board'!$M$5:$M$219)-SUM(E253:I253),D252)</f>
        <v>47</v>
      </c>
      <c r="E253" s="12">
        <f>SUMIF('On The Board'!G$5:G$219,"&lt;="&amp;$B253,'On The Board'!$M$5:$M$219)-SUM(F253:I253)</f>
        <v>0</v>
      </c>
      <c r="F253" s="12">
        <f>SUMIF('On The Board'!H$5:H$219,"&lt;="&amp;$B253,'On The Board'!$M$5:$M$219)-SUM(G253:I253)</f>
        <v>5</v>
      </c>
      <c r="G253" s="12">
        <f>SUMIF('On The Board'!I$5:I$219,"&lt;="&amp;$B253,'On The Board'!$M$5:$M$219)-SUM(H253,I253)</f>
        <v>2</v>
      </c>
      <c r="H253" s="12">
        <f>SUMIF('On The Board'!J$5:J$219,"&lt;="&amp;$B253,'On The Board'!$M$5:$M$219)-SUM(I253)</f>
        <v>0</v>
      </c>
      <c r="I253" s="12">
        <f>SUMIF('On The Board'!K$5:K$219,"&lt;="&amp;$B253,'On The Board'!$M$5:$M$219)</f>
        <v>70</v>
      </c>
      <c r="J253" s="10">
        <f t="shared" si="32"/>
        <v>77</v>
      </c>
      <c r="K253" s="10" t="e">
        <f t="shared" ca="1" si="33"/>
        <v>#N/A</v>
      </c>
      <c r="L253" s="44" t="e">
        <f t="shared" ca="1" si="37"/>
        <v>#N/A</v>
      </c>
      <c r="M253" s="44" t="e">
        <f t="shared" ca="1" si="36"/>
        <v>#N/A</v>
      </c>
      <c r="N253" s="44" t="e">
        <f t="shared" ca="1" si="35"/>
        <v>#N/A</v>
      </c>
      <c r="O253" s="53" t="e">
        <f t="shared" ca="1" si="38"/>
        <v>#N/A</v>
      </c>
      <c r="P253" s="53" t="str">
        <f ca="1">IFERROR(DayByDayTable[[#This Row],[Lead Time]],"")</f>
        <v/>
      </c>
      <c r="Q253" s="44" t="e">
        <f t="shared" ca="1" si="39"/>
        <v>#N/A</v>
      </c>
      <c r="R253" s="44">
        <f ca="1">ROUND(PERCENTILE(DayByDayTable[[#Data],[BlankLeadTime]],0.8),0)</f>
        <v>8</v>
      </c>
    </row>
    <row r="254" spans="1:18">
      <c r="A254" s="51">
        <f t="shared" si="31"/>
        <v>42772</v>
      </c>
      <c r="B254" s="11">
        <f t="shared" si="34"/>
        <v>42772</v>
      </c>
      <c r="C254" s="47">
        <f>SUMIFS('On The Board'!$M$5:$M$219,'On The Board'!F$5:F$219,"&lt;="&amp;$B254,'On The Board'!E$5:E$219,"="&amp;FutureWork)</f>
        <v>43</v>
      </c>
      <c r="D254" s="12">
        <f ca="1">IF(TodaysDate&gt;=B254,SUMIF('On The Board'!F$5:F$219,"&lt;="&amp;$B254,'On The Board'!$M$5:$M$219)-SUM(E254:I254),D253)</f>
        <v>47</v>
      </c>
      <c r="E254" s="12">
        <f>SUMIF('On The Board'!G$5:G$219,"&lt;="&amp;$B254,'On The Board'!$M$5:$M$219)-SUM(F254:I254)</f>
        <v>0</v>
      </c>
      <c r="F254" s="12">
        <f>SUMIF('On The Board'!H$5:H$219,"&lt;="&amp;$B254,'On The Board'!$M$5:$M$219)-SUM(G254:I254)</f>
        <v>5</v>
      </c>
      <c r="G254" s="12">
        <f>SUMIF('On The Board'!I$5:I$219,"&lt;="&amp;$B254,'On The Board'!$M$5:$M$219)-SUM(H254,I254)</f>
        <v>2</v>
      </c>
      <c r="H254" s="12">
        <f>SUMIF('On The Board'!J$5:J$219,"&lt;="&amp;$B254,'On The Board'!$M$5:$M$219)-SUM(I254)</f>
        <v>0</v>
      </c>
      <c r="I254" s="12">
        <f>SUMIF('On The Board'!K$5:K$219,"&lt;="&amp;$B254,'On The Board'!$M$5:$M$219)</f>
        <v>70</v>
      </c>
      <c r="J254" s="10">
        <f t="shared" si="32"/>
        <v>77</v>
      </c>
      <c r="K254" s="10" t="e">
        <f t="shared" ca="1" si="33"/>
        <v>#N/A</v>
      </c>
      <c r="L254" s="44" t="e">
        <f t="shared" ca="1" si="37"/>
        <v>#N/A</v>
      </c>
      <c r="M254" s="44" t="e">
        <f t="shared" ca="1" si="36"/>
        <v>#N/A</v>
      </c>
      <c r="N254" s="44" t="e">
        <f t="shared" ca="1" si="35"/>
        <v>#N/A</v>
      </c>
      <c r="O254" s="53" t="e">
        <f t="shared" ca="1" si="38"/>
        <v>#N/A</v>
      </c>
      <c r="P254" s="53" t="str">
        <f ca="1">IFERROR(DayByDayTable[[#This Row],[Lead Time]],"")</f>
        <v/>
      </c>
      <c r="Q254" s="44" t="e">
        <f t="shared" ca="1" si="39"/>
        <v>#N/A</v>
      </c>
      <c r="R254" s="44">
        <f ca="1">ROUND(PERCENTILE(DayByDayTable[[#Data],[BlankLeadTime]],0.8),0)</f>
        <v>8</v>
      </c>
    </row>
    <row r="255" spans="1:18">
      <c r="A255" s="51">
        <f t="shared" ref="A255:A318" si="40">B255</f>
        <v>42773</v>
      </c>
      <c r="B255" s="11">
        <f t="shared" si="34"/>
        <v>42773</v>
      </c>
      <c r="C255" s="47">
        <f>SUMIFS('On The Board'!$M$5:$M$219,'On The Board'!F$5:F$219,"&lt;="&amp;$B255,'On The Board'!E$5:E$219,"="&amp;FutureWork)</f>
        <v>43</v>
      </c>
      <c r="D255" s="12">
        <f ca="1">IF(TodaysDate&gt;=B255,SUMIF('On The Board'!F$5:F$219,"&lt;="&amp;$B255,'On The Board'!$M$5:$M$219)-SUM(E255:I255),D254)</f>
        <v>47</v>
      </c>
      <c r="E255" s="12">
        <f>SUMIF('On The Board'!G$5:G$219,"&lt;="&amp;$B255,'On The Board'!$M$5:$M$219)-SUM(F255:I255)</f>
        <v>0</v>
      </c>
      <c r="F255" s="12">
        <f>SUMIF('On The Board'!H$5:H$219,"&lt;="&amp;$B255,'On The Board'!$M$5:$M$219)-SUM(G255:I255)</f>
        <v>5</v>
      </c>
      <c r="G255" s="12">
        <f>SUMIF('On The Board'!I$5:I$219,"&lt;="&amp;$B255,'On The Board'!$M$5:$M$219)-SUM(H255,I255)</f>
        <v>2</v>
      </c>
      <c r="H255" s="12">
        <f>SUMIF('On The Board'!J$5:J$219,"&lt;="&amp;$B255,'On The Board'!$M$5:$M$219)-SUM(I255)</f>
        <v>0</v>
      </c>
      <c r="I255" s="12">
        <f>SUMIF('On The Board'!K$5:K$219,"&lt;="&amp;$B255,'On The Board'!$M$5:$M$219)</f>
        <v>70</v>
      </c>
      <c r="J255" s="10">
        <f t="shared" ref="J255:J318" si="41">SUM(E255:I255)</f>
        <v>77</v>
      </c>
      <c r="K255" s="10" t="e">
        <f t="shared" ca="1" si="33"/>
        <v>#N/A</v>
      </c>
      <c r="L255" s="44" t="e">
        <f t="shared" ca="1" si="37"/>
        <v>#N/A</v>
      </c>
      <c r="M255" s="44" t="e">
        <f t="shared" ca="1" si="36"/>
        <v>#N/A</v>
      </c>
      <c r="N255" s="44" t="e">
        <f t="shared" ca="1" si="35"/>
        <v>#N/A</v>
      </c>
      <c r="O255" s="53" t="e">
        <f t="shared" ca="1" si="38"/>
        <v>#N/A</v>
      </c>
      <c r="P255" s="53" t="str">
        <f ca="1">IFERROR(DayByDayTable[[#This Row],[Lead Time]],"")</f>
        <v/>
      </c>
      <c r="Q255" s="44" t="e">
        <f t="shared" ca="1" si="39"/>
        <v>#N/A</v>
      </c>
      <c r="R255" s="44">
        <f ca="1">ROUND(PERCENTILE(DayByDayTable[[#Data],[BlankLeadTime]],0.8),0)</f>
        <v>8</v>
      </c>
    </row>
    <row r="256" spans="1:18">
      <c r="A256" s="51">
        <f t="shared" si="40"/>
        <v>42774</v>
      </c>
      <c r="B256" s="11">
        <f t="shared" si="34"/>
        <v>42774</v>
      </c>
      <c r="C256" s="47">
        <f>SUMIFS('On The Board'!$M$5:$M$219,'On The Board'!F$5:F$219,"&lt;="&amp;$B256,'On The Board'!E$5:E$219,"="&amp;FutureWork)</f>
        <v>43</v>
      </c>
      <c r="D256" s="12">
        <f ca="1">IF(TodaysDate&gt;=B256,SUMIF('On The Board'!F$5:F$219,"&lt;="&amp;$B256,'On The Board'!$M$5:$M$219)-SUM(E256:I256),D255)</f>
        <v>47</v>
      </c>
      <c r="E256" s="12">
        <f>SUMIF('On The Board'!G$5:G$219,"&lt;="&amp;$B256,'On The Board'!$M$5:$M$219)-SUM(F256:I256)</f>
        <v>0</v>
      </c>
      <c r="F256" s="12">
        <f>SUMIF('On The Board'!H$5:H$219,"&lt;="&amp;$B256,'On The Board'!$M$5:$M$219)-SUM(G256:I256)</f>
        <v>5</v>
      </c>
      <c r="G256" s="12">
        <f>SUMIF('On The Board'!I$5:I$219,"&lt;="&amp;$B256,'On The Board'!$M$5:$M$219)-SUM(H256,I256)</f>
        <v>2</v>
      </c>
      <c r="H256" s="12">
        <f>SUMIF('On The Board'!J$5:J$219,"&lt;="&amp;$B256,'On The Board'!$M$5:$M$219)-SUM(I256)</f>
        <v>0</v>
      </c>
      <c r="I256" s="12">
        <f>SUMIF('On The Board'!K$5:K$219,"&lt;="&amp;$B256,'On The Board'!$M$5:$M$219)</f>
        <v>70</v>
      </c>
      <c r="J256" s="10">
        <f t="shared" si="41"/>
        <v>77</v>
      </c>
      <c r="K256" s="10" t="e">
        <f t="shared" ca="1" si="33"/>
        <v>#N/A</v>
      </c>
      <c r="L256" s="44" t="e">
        <f t="shared" ca="1" si="37"/>
        <v>#N/A</v>
      </c>
      <c r="M256" s="44" t="e">
        <f t="shared" ca="1" si="36"/>
        <v>#N/A</v>
      </c>
      <c r="N256" s="44" t="e">
        <f t="shared" ca="1" si="35"/>
        <v>#N/A</v>
      </c>
      <c r="O256" s="53" t="e">
        <f t="shared" ca="1" si="38"/>
        <v>#N/A</v>
      </c>
      <c r="P256" s="53" t="str">
        <f ca="1">IFERROR(DayByDayTable[[#This Row],[Lead Time]],"")</f>
        <v/>
      </c>
      <c r="Q256" s="44" t="e">
        <f t="shared" ca="1" si="39"/>
        <v>#N/A</v>
      </c>
      <c r="R256" s="44">
        <f ca="1">ROUND(PERCENTILE(DayByDayTable[[#Data],[BlankLeadTime]],0.8),0)</f>
        <v>8</v>
      </c>
    </row>
    <row r="257" spans="1:18">
      <c r="A257" s="51">
        <f t="shared" si="40"/>
        <v>42775</v>
      </c>
      <c r="B257" s="11">
        <f t="shared" si="34"/>
        <v>42775</v>
      </c>
      <c r="C257" s="47">
        <f>SUMIFS('On The Board'!$M$5:$M$219,'On The Board'!F$5:F$219,"&lt;="&amp;$B257,'On The Board'!E$5:E$219,"="&amp;FutureWork)</f>
        <v>43</v>
      </c>
      <c r="D257" s="12">
        <f ca="1">IF(TodaysDate&gt;=B257,SUMIF('On The Board'!F$5:F$219,"&lt;="&amp;$B257,'On The Board'!$M$5:$M$219)-SUM(E257:I257),D256)</f>
        <v>47</v>
      </c>
      <c r="E257" s="12">
        <f>SUMIF('On The Board'!G$5:G$219,"&lt;="&amp;$B257,'On The Board'!$M$5:$M$219)-SUM(F257:I257)</f>
        <v>0</v>
      </c>
      <c r="F257" s="12">
        <f>SUMIF('On The Board'!H$5:H$219,"&lt;="&amp;$B257,'On The Board'!$M$5:$M$219)-SUM(G257:I257)</f>
        <v>5</v>
      </c>
      <c r="G257" s="12">
        <f>SUMIF('On The Board'!I$5:I$219,"&lt;="&amp;$B257,'On The Board'!$M$5:$M$219)-SUM(H257,I257)</f>
        <v>2</v>
      </c>
      <c r="H257" s="12">
        <f>SUMIF('On The Board'!J$5:J$219,"&lt;="&amp;$B257,'On The Board'!$M$5:$M$219)-SUM(I257)</f>
        <v>0</v>
      </c>
      <c r="I257" s="12">
        <f>SUMIF('On The Board'!K$5:K$219,"&lt;="&amp;$B257,'On The Board'!$M$5:$M$219)</f>
        <v>70</v>
      </c>
      <c r="J257" s="10">
        <f t="shared" si="41"/>
        <v>77</v>
      </c>
      <c r="K257" s="10" t="e">
        <f t="shared" ca="1" si="33"/>
        <v>#N/A</v>
      </c>
      <c r="L257" s="44" t="e">
        <f t="shared" ca="1" si="37"/>
        <v>#N/A</v>
      </c>
      <c r="M257" s="44" t="e">
        <f t="shared" ca="1" si="36"/>
        <v>#N/A</v>
      </c>
      <c r="N257" s="44" t="e">
        <f t="shared" ca="1" si="35"/>
        <v>#N/A</v>
      </c>
      <c r="O257" s="53" t="e">
        <f t="shared" ca="1" si="38"/>
        <v>#N/A</v>
      </c>
      <c r="P257" s="53" t="str">
        <f ca="1">IFERROR(DayByDayTable[[#This Row],[Lead Time]],"")</f>
        <v/>
      </c>
      <c r="Q257" s="44" t="e">
        <f t="shared" ca="1" si="39"/>
        <v>#N/A</v>
      </c>
      <c r="R257" s="44">
        <f ca="1">ROUND(PERCENTILE(DayByDayTable[[#Data],[BlankLeadTime]],0.8),0)</f>
        <v>8</v>
      </c>
    </row>
    <row r="258" spans="1:18">
      <c r="A258" s="51">
        <f t="shared" si="40"/>
        <v>42776</v>
      </c>
      <c r="B258" s="11">
        <f t="shared" si="34"/>
        <v>42776</v>
      </c>
      <c r="C258" s="47">
        <f>SUMIFS('On The Board'!$M$5:$M$219,'On The Board'!F$5:F$219,"&lt;="&amp;$B258,'On The Board'!E$5:E$219,"="&amp;FutureWork)</f>
        <v>43</v>
      </c>
      <c r="D258" s="12">
        <f ca="1">IF(TodaysDate&gt;=B258,SUMIF('On The Board'!F$5:F$219,"&lt;="&amp;$B258,'On The Board'!$M$5:$M$219)-SUM(E258:I258),D257)</f>
        <v>47</v>
      </c>
      <c r="E258" s="12">
        <f>SUMIF('On The Board'!G$5:G$219,"&lt;="&amp;$B258,'On The Board'!$M$5:$M$219)-SUM(F258:I258)</f>
        <v>0</v>
      </c>
      <c r="F258" s="12">
        <f>SUMIF('On The Board'!H$5:H$219,"&lt;="&amp;$B258,'On The Board'!$M$5:$M$219)-SUM(G258:I258)</f>
        <v>5</v>
      </c>
      <c r="G258" s="12">
        <f>SUMIF('On The Board'!I$5:I$219,"&lt;="&amp;$B258,'On The Board'!$M$5:$M$219)-SUM(H258,I258)</f>
        <v>2</v>
      </c>
      <c r="H258" s="12">
        <f>SUMIF('On The Board'!J$5:J$219,"&lt;="&amp;$B258,'On The Board'!$M$5:$M$219)-SUM(I258)</f>
        <v>0</v>
      </c>
      <c r="I258" s="12">
        <f>SUMIF('On The Board'!K$5:K$219,"&lt;="&amp;$B258,'On The Board'!$M$5:$M$219)</f>
        <v>70</v>
      </c>
      <c r="J258" s="10">
        <f t="shared" si="41"/>
        <v>77</v>
      </c>
      <c r="K258" s="10" t="e">
        <f t="shared" ref="K258:K321" ca="1" si="42">IF(TodaysDate&gt;=B258,SUM(E258:H258),NA())</f>
        <v>#N/A</v>
      </c>
      <c r="L258" s="44" t="e">
        <f t="shared" ca="1" si="37"/>
        <v>#N/A</v>
      </c>
      <c r="M258" s="44" t="e">
        <f t="shared" ca="1" si="36"/>
        <v>#N/A</v>
      </c>
      <c r="N258" s="44" t="e">
        <f t="shared" ca="1" si="35"/>
        <v>#N/A</v>
      </c>
      <c r="O258" s="53" t="e">
        <f t="shared" ca="1" si="38"/>
        <v>#N/A</v>
      </c>
      <c r="P258" s="53" t="str">
        <f ca="1">IFERROR(DayByDayTable[[#This Row],[Lead Time]],"")</f>
        <v/>
      </c>
      <c r="Q258" s="44" t="e">
        <f t="shared" ca="1" si="39"/>
        <v>#N/A</v>
      </c>
      <c r="R258" s="44">
        <f ca="1">ROUND(PERCENTILE(DayByDayTable[[#Data],[BlankLeadTime]],0.8),0)</f>
        <v>8</v>
      </c>
    </row>
    <row r="259" spans="1:18">
      <c r="A259" s="51">
        <f t="shared" si="40"/>
        <v>42779</v>
      </c>
      <c r="B259" s="11">
        <f t="shared" ref="B259:B322" si="43">IF(NETWORKDAYS(B258,B258+1,BankHolidays)=2,B258+1,IF(NETWORKDAYS(B258,B258+2,BankHolidays)=2,B258+2,IF(NETWORKDAYS(B258,B258+3,BankHolidays)=2,B258+3,IF(NETWORKDAYS(B258,B258+4,BankHolidays)=2,B258+4,IF(NETWORKDAYS(B258,B258+5,BankHolidays)=2,B258+5,NA())))))</f>
        <v>42779</v>
      </c>
      <c r="C259" s="47">
        <f>SUMIFS('On The Board'!$M$5:$M$219,'On The Board'!F$5:F$219,"&lt;="&amp;$B259,'On The Board'!E$5:E$219,"="&amp;FutureWork)</f>
        <v>43</v>
      </c>
      <c r="D259" s="12">
        <f ca="1">IF(TodaysDate&gt;=B259,SUMIF('On The Board'!F$5:F$219,"&lt;="&amp;$B259,'On The Board'!$M$5:$M$219)-SUM(E259:I259),D258)</f>
        <v>47</v>
      </c>
      <c r="E259" s="12">
        <f>SUMIF('On The Board'!G$5:G$219,"&lt;="&amp;$B259,'On The Board'!$M$5:$M$219)-SUM(F259:I259)</f>
        <v>0</v>
      </c>
      <c r="F259" s="12">
        <f>SUMIF('On The Board'!H$5:H$219,"&lt;="&amp;$B259,'On The Board'!$M$5:$M$219)-SUM(G259:I259)</f>
        <v>5</v>
      </c>
      <c r="G259" s="12">
        <f>SUMIF('On The Board'!I$5:I$219,"&lt;="&amp;$B259,'On The Board'!$M$5:$M$219)-SUM(H259,I259)</f>
        <v>2</v>
      </c>
      <c r="H259" s="12">
        <f>SUMIF('On The Board'!J$5:J$219,"&lt;="&amp;$B259,'On The Board'!$M$5:$M$219)-SUM(I259)</f>
        <v>0</v>
      </c>
      <c r="I259" s="12">
        <f>SUMIF('On The Board'!K$5:K$219,"&lt;="&amp;$B259,'On The Board'!$M$5:$M$219)</f>
        <v>70</v>
      </c>
      <c r="J259" s="10">
        <f t="shared" si="41"/>
        <v>77</v>
      </c>
      <c r="K259" s="10" t="e">
        <f t="shared" ca="1" si="42"/>
        <v>#N/A</v>
      </c>
      <c r="L259" s="44" t="e">
        <f t="shared" ca="1" si="37"/>
        <v>#N/A</v>
      </c>
      <c r="M259" s="44" t="e">
        <f t="shared" ca="1" si="36"/>
        <v>#N/A</v>
      </c>
      <c r="N259" s="44" t="e">
        <f t="shared" ref="N259:N322" ca="1" si="44">IF(M259&gt;0,L259/M259,NA())</f>
        <v>#N/A</v>
      </c>
      <c r="O259" s="53" t="e">
        <f t="shared" ca="1" si="38"/>
        <v>#N/A</v>
      </c>
      <c r="P259" s="53" t="str">
        <f ca="1">IFERROR(DayByDayTable[[#This Row],[Lead Time]],"")</f>
        <v/>
      </c>
      <c r="Q259" s="44" t="e">
        <f t="shared" ca="1" si="39"/>
        <v>#N/A</v>
      </c>
      <c r="R259" s="44">
        <f ca="1">ROUND(PERCENTILE(DayByDayTable[[#Data],[BlankLeadTime]],0.8),0)</f>
        <v>8</v>
      </c>
    </row>
    <row r="260" spans="1:18">
      <c r="A260" s="51">
        <f t="shared" si="40"/>
        <v>42780</v>
      </c>
      <c r="B260" s="11">
        <f t="shared" si="43"/>
        <v>42780</v>
      </c>
      <c r="C260" s="47">
        <f>SUMIFS('On The Board'!$M$5:$M$219,'On The Board'!F$5:F$219,"&lt;="&amp;$B260,'On The Board'!E$5:E$219,"="&amp;FutureWork)</f>
        <v>43</v>
      </c>
      <c r="D260" s="12">
        <f ca="1">IF(TodaysDate&gt;=B260,SUMIF('On The Board'!F$5:F$219,"&lt;="&amp;$B260,'On The Board'!$M$5:$M$219)-SUM(E260:I260),D259)</f>
        <v>47</v>
      </c>
      <c r="E260" s="12">
        <f>SUMIF('On The Board'!G$5:G$219,"&lt;="&amp;$B260,'On The Board'!$M$5:$M$219)-SUM(F260:I260)</f>
        <v>0</v>
      </c>
      <c r="F260" s="12">
        <f>SUMIF('On The Board'!H$5:H$219,"&lt;="&amp;$B260,'On The Board'!$M$5:$M$219)-SUM(G260:I260)</f>
        <v>5</v>
      </c>
      <c r="G260" s="12">
        <f>SUMIF('On The Board'!I$5:I$219,"&lt;="&amp;$B260,'On The Board'!$M$5:$M$219)-SUM(H260,I260)</f>
        <v>2</v>
      </c>
      <c r="H260" s="12">
        <f>SUMIF('On The Board'!J$5:J$219,"&lt;="&amp;$B260,'On The Board'!$M$5:$M$219)-SUM(I260)</f>
        <v>0</v>
      </c>
      <c r="I260" s="12">
        <f>SUMIF('On The Board'!K$5:K$219,"&lt;="&amp;$B260,'On The Board'!$M$5:$M$219)</f>
        <v>70</v>
      </c>
      <c r="J260" s="10">
        <f t="shared" si="41"/>
        <v>77</v>
      </c>
      <c r="K260" s="10" t="e">
        <f t="shared" ca="1" si="42"/>
        <v>#N/A</v>
      </c>
      <c r="L260" s="44" t="e">
        <f t="shared" ca="1" si="37"/>
        <v>#N/A</v>
      </c>
      <c r="M260" s="44" t="e">
        <f t="shared" ca="1" si="36"/>
        <v>#N/A</v>
      </c>
      <c r="N260" s="44" t="e">
        <f t="shared" ca="1" si="44"/>
        <v>#N/A</v>
      </c>
      <c r="O260" s="53" t="e">
        <f t="shared" ca="1" si="38"/>
        <v>#N/A</v>
      </c>
      <c r="P260" s="53" t="str">
        <f ca="1">IFERROR(DayByDayTable[[#This Row],[Lead Time]],"")</f>
        <v/>
      </c>
      <c r="Q260" s="44" t="e">
        <f t="shared" ca="1" si="39"/>
        <v>#N/A</v>
      </c>
      <c r="R260" s="44">
        <f ca="1">ROUND(PERCENTILE(DayByDayTable[[#Data],[BlankLeadTime]],0.8),0)</f>
        <v>8</v>
      </c>
    </row>
    <row r="261" spans="1:18">
      <c r="A261" s="51">
        <f t="shared" si="40"/>
        <v>42781</v>
      </c>
      <c r="B261" s="11">
        <f t="shared" si="43"/>
        <v>42781</v>
      </c>
      <c r="C261" s="47">
        <f>SUMIFS('On The Board'!$M$5:$M$219,'On The Board'!F$5:F$219,"&lt;="&amp;$B261,'On The Board'!E$5:E$219,"="&amp;FutureWork)</f>
        <v>43</v>
      </c>
      <c r="D261" s="12">
        <f ca="1">IF(TodaysDate&gt;=B261,SUMIF('On The Board'!F$5:F$219,"&lt;="&amp;$B261,'On The Board'!$M$5:$M$219)-SUM(E261:I261),D260)</f>
        <v>47</v>
      </c>
      <c r="E261" s="12">
        <f>SUMIF('On The Board'!G$5:G$219,"&lt;="&amp;$B261,'On The Board'!$M$5:$M$219)-SUM(F261:I261)</f>
        <v>0</v>
      </c>
      <c r="F261" s="12">
        <f>SUMIF('On The Board'!H$5:H$219,"&lt;="&amp;$B261,'On The Board'!$M$5:$M$219)-SUM(G261:I261)</f>
        <v>5</v>
      </c>
      <c r="G261" s="12">
        <f>SUMIF('On The Board'!I$5:I$219,"&lt;="&amp;$B261,'On The Board'!$M$5:$M$219)-SUM(H261,I261)</f>
        <v>2</v>
      </c>
      <c r="H261" s="12">
        <f>SUMIF('On The Board'!J$5:J$219,"&lt;="&amp;$B261,'On The Board'!$M$5:$M$219)-SUM(I261)</f>
        <v>0</v>
      </c>
      <c r="I261" s="12">
        <f>SUMIF('On The Board'!K$5:K$219,"&lt;="&amp;$B261,'On The Board'!$M$5:$M$219)</f>
        <v>70</v>
      </c>
      <c r="J261" s="10">
        <f t="shared" si="41"/>
        <v>77</v>
      </c>
      <c r="K261" s="10" t="e">
        <f t="shared" ca="1" si="42"/>
        <v>#N/A</v>
      </c>
      <c r="L261" s="44" t="e">
        <f t="shared" ca="1" si="37"/>
        <v>#N/A</v>
      </c>
      <c r="M261" s="44" t="e">
        <f t="shared" ca="1" si="36"/>
        <v>#N/A</v>
      </c>
      <c r="N261" s="44" t="e">
        <f t="shared" ca="1" si="44"/>
        <v>#N/A</v>
      </c>
      <c r="O261" s="53" t="e">
        <f t="shared" ca="1" si="38"/>
        <v>#N/A</v>
      </c>
      <c r="P261" s="53" t="str">
        <f ca="1">IFERROR(DayByDayTable[[#This Row],[Lead Time]],"")</f>
        <v/>
      </c>
      <c r="Q261" s="44" t="e">
        <f t="shared" ca="1" si="39"/>
        <v>#N/A</v>
      </c>
      <c r="R261" s="44">
        <f ca="1">ROUND(PERCENTILE(DayByDayTable[[#Data],[BlankLeadTime]],0.8),0)</f>
        <v>8</v>
      </c>
    </row>
    <row r="262" spans="1:18">
      <c r="A262" s="51">
        <f t="shared" si="40"/>
        <v>42782</v>
      </c>
      <c r="B262" s="11">
        <f t="shared" si="43"/>
        <v>42782</v>
      </c>
      <c r="C262" s="47">
        <f>SUMIFS('On The Board'!$M$5:$M$219,'On The Board'!F$5:F$219,"&lt;="&amp;$B262,'On The Board'!E$5:E$219,"="&amp;FutureWork)</f>
        <v>43</v>
      </c>
      <c r="D262" s="12">
        <f ca="1">IF(TodaysDate&gt;=B262,SUMIF('On The Board'!F$5:F$219,"&lt;="&amp;$B262,'On The Board'!$M$5:$M$219)-SUM(E262:I262),D261)</f>
        <v>47</v>
      </c>
      <c r="E262" s="12">
        <f>SUMIF('On The Board'!G$5:G$219,"&lt;="&amp;$B262,'On The Board'!$M$5:$M$219)-SUM(F262:I262)</f>
        <v>0</v>
      </c>
      <c r="F262" s="12">
        <f>SUMIF('On The Board'!H$5:H$219,"&lt;="&amp;$B262,'On The Board'!$M$5:$M$219)-SUM(G262:I262)</f>
        <v>5</v>
      </c>
      <c r="G262" s="12">
        <f>SUMIF('On The Board'!I$5:I$219,"&lt;="&amp;$B262,'On The Board'!$M$5:$M$219)-SUM(H262,I262)</f>
        <v>2</v>
      </c>
      <c r="H262" s="12">
        <f>SUMIF('On The Board'!J$5:J$219,"&lt;="&amp;$B262,'On The Board'!$M$5:$M$219)-SUM(I262)</f>
        <v>0</v>
      </c>
      <c r="I262" s="12">
        <f>SUMIF('On The Board'!K$5:K$219,"&lt;="&amp;$B262,'On The Board'!$M$5:$M$219)</f>
        <v>70</v>
      </c>
      <c r="J262" s="10">
        <f t="shared" si="41"/>
        <v>77</v>
      </c>
      <c r="K262" s="10" t="e">
        <f t="shared" ca="1" si="42"/>
        <v>#N/A</v>
      </c>
      <c r="L262" s="44" t="e">
        <f t="shared" ca="1" si="37"/>
        <v>#N/A</v>
      </c>
      <c r="M262" s="44" t="e">
        <f t="shared" ca="1" si="36"/>
        <v>#N/A</v>
      </c>
      <c r="N262" s="44" t="e">
        <f t="shared" ca="1" si="44"/>
        <v>#N/A</v>
      </c>
      <c r="O262" s="53" t="e">
        <f t="shared" ca="1" si="38"/>
        <v>#N/A</v>
      </c>
      <c r="P262" s="53" t="str">
        <f ca="1">IFERROR(DayByDayTable[[#This Row],[Lead Time]],"")</f>
        <v/>
      </c>
      <c r="Q262" s="44" t="e">
        <f t="shared" ca="1" si="39"/>
        <v>#N/A</v>
      </c>
      <c r="R262" s="44">
        <f ca="1">ROUND(PERCENTILE(DayByDayTable[[#Data],[BlankLeadTime]],0.8),0)</f>
        <v>8</v>
      </c>
    </row>
    <row r="263" spans="1:18">
      <c r="A263" s="51">
        <f t="shared" si="40"/>
        <v>42783</v>
      </c>
      <c r="B263" s="11">
        <f t="shared" si="43"/>
        <v>42783</v>
      </c>
      <c r="C263" s="47">
        <f>SUMIFS('On The Board'!$M$5:$M$219,'On The Board'!F$5:F$219,"&lt;="&amp;$B263,'On The Board'!E$5:E$219,"="&amp;FutureWork)</f>
        <v>43</v>
      </c>
      <c r="D263" s="12">
        <f ca="1">IF(TodaysDate&gt;=B263,SUMIF('On The Board'!F$5:F$219,"&lt;="&amp;$B263,'On The Board'!$M$5:$M$219)-SUM(E263:I263),D262)</f>
        <v>47</v>
      </c>
      <c r="E263" s="12">
        <f>SUMIF('On The Board'!G$5:G$219,"&lt;="&amp;$B263,'On The Board'!$M$5:$M$219)-SUM(F263:I263)</f>
        <v>0</v>
      </c>
      <c r="F263" s="12">
        <f>SUMIF('On The Board'!H$5:H$219,"&lt;="&amp;$B263,'On The Board'!$M$5:$M$219)-SUM(G263:I263)</f>
        <v>5</v>
      </c>
      <c r="G263" s="12">
        <f>SUMIF('On The Board'!I$5:I$219,"&lt;="&amp;$B263,'On The Board'!$M$5:$M$219)-SUM(H263,I263)</f>
        <v>2</v>
      </c>
      <c r="H263" s="12">
        <f>SUMIF('On The Board'!J$5:J$219,"&lt;="&amp;$B263,'On The Board'!$M$5:$M$219)-SUM(I263)</f>
        <v>0</v>
      </c>
      <c r="I263" s="12">
        <f>SUMIF('On The Board'!K$5:K$219,"&lt;="&amp;$B263,'On The Board'!$M$5:$M$219)</f>
        <v>70</v>
      </c>
      <c r="J263" s="10">
        <f t="shared" si="41"/>
        <v>77</v>
      </c>
      <c r="K263" s="10" t="e">
        <f t="shared" ca="1" si="42"/>
        <v>#N/A</v>
      </c>
      <c r="L263" s="44" t="e">
        <f t="shared" ca="1" si="37"/>
        <v>#N/A</v>
      </c>
      <c r="M263" s="44" t="e">
        <f t="shared" ca="1" si="36"/>
        <v>#N/A</v>
      </c>
      <c r="N263" s="44" t="e">
        <f t="shared" ca="1" si="44"/>
        <v>#N/A</v>
      </c>
      <c r="O263" s="53" t="e">
        <f t="shared" ca="1" si="38"/>
        <v>#N/A</v>
      </c>
      <c r="P263" s="53" t="str">
        <f ca="1">IFERROR(DayByDayTable[[#This Row],[Lead Time]],"")</f>
        <v/>
      </c>
      <c r="Q263" s="44" t="e">
        <f t="shared" ca="1" si="39"/>
        <v>#N/A</v>
      </c>
      <c r="R263" s="44">
        <f ca="1">ROUND(PERCENTILE(DayByDayTable[[#Data],[BlankLeadTime]],0.8),0)</f>
        <v>8</v>
      </c>
    </row>
    <row r="264" spans="1:18">
      <c r="A264" s="51">
        <f t="shared" si="40"/>
        <v>42786</v>
      </c>
      <c r="B264" s="11">
        <f t="shared" si="43"/>
        <v>42786</v>
      </c>
      <c r="C264" s="47">
        <f>SUMIFS('On The Board'!$M$5:$M$219,'On The Board'!F$5:F$219,"&lt;="&amp;$B264,'On The Board'!E$5:E$219,"="&amp;FutureWork)</f>
        <v>43</v>
      </c>
      <c r="D264" s="12">
        <f ca="1">IF(TodaysDate&gt;=B264,SUMIF('On The Board'!F$5:F$219,"&lt;="&amp;$B264,'On The Board'!$M$5:$M$219)-SUM(E264:I264),D263)</f>
        <v>47</v>
      </c>
      <c r="E264" s="12">
        <f>SUMIF('On The Board'!G$5:G$219,"&lt;="&amp;$B264,'On The Board'!$M$5:$M$219)-SUM(F264:I264)</f>
        <v>0</v>
      </c>
      <c r="F264" s="12">
        <f>SUMIF('On The Board'!H$5:H$219,"&lt;="&amp;$B264,'On The Board'!$M$5:$M$219)-SUM(G264:I264)</f>
        <v>5</v>
      </c>
      <c r="G264" s="12">
        <f>SUMIF('On The Board'!I$5:I$219,"&lt;="&amp;$B264,'On The Board'!$M$5:$M$219)-SUM(H264,I264)</f>
        <v>2</v>
      </c>
      <c r="H264" s="12">
        <f>SUMIF('On The Board'!J$5:J$219,"&lt;="&amp;$B264,'On The Board'!$M$5:$M$219)-SUM(I264)</f>
        <v>0</v>
      </c>
      <c r="I264" s="12">
        <f>SUMIF('On The Board'!K$5:K$219,"&lt;="&amp;$B264,'On The Board'!$M$5:$M$219)</f>
        <v>70</v>
      </c>
      <c r="J264" s="10">
        <f t="shared" si="41"/>
        <v>77</v>
      </c>
      <c r="K264" s="10" t="e">
        <f t="shared" ca="1" si="42"/>
        <v>#N/A</v>
      </c>
      <c r="L264" s="44" t="e">
        <f t="shared" ca="1" si="37"/>
        <v>#N/A</v>
      </c>
      <c r="M264" s="44" t="e">
        <f t="shared" ca="1" si="36"/>
        <v>#N/A</v>
      </c>
      <c r="N264" s="44" t="e">
        <f t="shared" ca="1" si="44"/>
        <v>#N/A</v>
      </c>
      <c r="O264" s="53" t="e">
        <f t="shared" ca="1" si="38"/>
        <v>#N/A</v>
      </c>
      <c r="P264" s="53" t="str">
        <f ca="1">IFERROR(DayByDayTable[[#This Row],[Lead Time]],"")</f>
        <v/>
      </c>
      <c r="Q264" s="44" t="e">
        <f t="shared" ca="1" si="39"/>
        <v>#N/A</v>
      </c>
      <c r="R264" s="44">
        <f ca="1">ROUND(PERCENTILE(DayByDayTable[[#Data],[BlankLeadTime]],0.8),0)</f>
        <v>8</v>
      </c>
    </row>
    <row r="265" spans="1:18">
      <c r="A265" s="51">
        <f t="shared" si="40"/>
        <v>42787</v>
      </c>
      <c r="B265" s="11">
        <f t="shared" si="43"/>
        <v>42787</v>
      </c>
      <c r="C265" s="47">
        <f>SUMIFS('On The Board'!$M$5:$M$219,'On The Board'!F$5:F$219,"&lt;="&amp;$B265,'On The Board'!E$5:E$219,"="&amp;FutureWork)</f>
        <v>43</v>
      </c>
      <c r="D265" s="12">
        <f ca="1">IF(TodaysDate&gt;=B265,SUMIF('On The Board'!F$5:F$219,"&lt;="&amp;$B265,'On The Board'!$M$5:$M$219)-SUM(E265:I265),D264)</f>
        <v>47</v>
      </c>
      <c r="E265" s="12">
        <f>SUMIF('On The Board'!G$5:G$219,"&lt;="&amp;$B265,'On The Board'!$M$5:$M$219)-SUM(F265:I265)</f>
        <v>0</v>
      </c>
      <c r="F265" s="12">
        <f>SUMIF('On The Board'!H$5:H$219,"&lt;="&amp;$B265,'On The Board'!$M$5:$M$219)-SUM(G265:I265)</f>
        <v>5</v>
      </c>
      <c r="G265" s="12">
        <f>SUMIF('On The Board'!I$5:I$219,"&lt;="&amp;$B265,'On The Board'!$M$5:$M$219)-SUM(H265,I265)</f>
        <v>2</v>
      </c>
      <c r="H265" s="12">
        <f>SUMIF('On The Board'!J$5:J$219,"&lt;="&amp;$B265,'On The Board'!$M$5:$M$219)-SUM(I265)</f>
        <v>0</v>
      </c>
      <c r="I265" s="12">
        <f>SUMIF('On The Board'!K$5:K$219,"&lt;="&amp;$B265,'On The Board'!$M$5:$M$219)</f>
        <v>70</v>
      </c>
      <c r="J265" s="10">
        <f t="shared" si="41"/>
        <v>77</v>
      </c>
      <c r="K265" s="10" t="e">
        <f t="shared" ca="1" si="42"/>
        <v>#N/A</v>
      </c>
      <c r="L265" s="44" t="e">
        <f t="shared" ca="1" si="37"/>
        <v>#N/A</v>
      </c>
      <c r="M265" s="44" t="e">
        <f t="shared" ca="1" si="36"/>
        <v>#N/A</v>
      </c>
      <c r="N265" s="44" t="e">
        <f t="shared" ca="1" si="44"/>
        <v>#N/A</v>
      </c>
      <c r="O265" s="53" t="e">
        <f t="shared" ca="1" si="38"/>
        <v>#N/A</v>
      </c>
      <c r="P265" s="53" t="str">
        <f ca="1">IFERROR(DayByDayTable[[#This Row],[Lead Time]],"")</f>
        <v/>
      </c>
      <c r="Q265" s="44" t="e">
        <f t="shared" ca="1" si="39"/>
        <v>#N/A</v>
      </c>
      <c r="R265" s="44">
        <f ca="1">ROUND(PERCENTILE(DayByDayTable[[#Data],[BlankLeadTime]],0.8),0)</f>
        <v>8</v>
      </c>
    </row>
    <row r="266" spans="1:18">
      <c r="A266" s="51">
        <f t="shared" si="40"/>
        <v>42788</v>
      </c>
      <c r="B266" s="11">
        <f t="shared" si="43"/>
        <v>42788</v>
      </c>
      <c r="C266" s="47">
        <f>SUMIFS('On The Board'!$M$5:$M$219,'On The Board'!F$5:F$219,"&lt;="&amp;$B266,'On The Board'!E$5:E$219,"="&amp;FutureWork)</f>
        <v>43</v>
      </c>
      <c r="D266" s="12">
        <f ca="1">IF(TodaysDate&gt;=B266,SUMIF('On The Board'!F$5:F$219,"&lt;="&amp;$B266,'On The Board'!$M$5:$M$219)-SUM(E266:I266),D265)</f>
        <v>47</v>
      </c>
      <c r="E266" s="12">
        <f>SUMIF('On The Board'!G$5:G$219,"&lt;="&amp;$B266,'On The Board'!$M$5:$M$219)-SUM(F266:I266)</f>
        <v>0</v>
      </c>
      <c r="F266" s="12">
        <f>SUMIF('On The Board'!H$5:H$219,"&lt;="&amp;$B266,'On The Board'!$M$5:$M$219)-SUM(G266:I266)</f>
        <v>5</v>
      </c>
      <c r="G266" s="12">
        <f>SUMIF('On The Board'!I$5:I$219,"&lt;="&amp;$B266,'On The Board'!$M$5:$M$219)-SUM(H266,I266)</f>
        <v>2</v>
      </c>
      <c r="H266" s="12">
        <f>SUMIF('On The Board'!J$5:J$219,"&lt;="&amp;$B266,'On The Board'!$M$5:$M$219)-SUM(I266)</f>
        <v>0</v>
      </c>
      <c r="I266" s="12">
        <f>SUMIF('On The Board'!K$5:K$219,"&lt;="&amp;$B266,'On The Board'!$M$5:$M$219)</f>
        <v>70</v>
      </c>
      <c r="J266" s="10">
        <f t="shared" si="41"/>
        <v>77</v>
      </c>
      <c r="K266" s="10" t="e">
        <f t="shared" ca="1" si="42"/>
        <v>#N/A</v>
      </c>
      <c r="L266" s="44" t="e">
        <f t="shared" ca="1" si="37"/>
        <v>#N/A</v>
      </c>
      <c r="M266" s="44" t="e">
        <f t="shared" ca="1" si="36"/>
        <v>#N/A</v>
      </c>
      <c r="N266" s="44" t="e">
        <f t="shared" ca="1" si="44"/>
        <v>#N/A</v>
      </c>
      <c r="O266" s="53" t="e">
        <f t="shared" ca="1" si="38"/>
        <v>#N/A</v>
      </c>
      <c r="P266" s="53" t="str">
        <f ca="1">IFERROR(DayByDayTable[[#This Row],[Lead Time]],"")</f>
        <v/>
      </c>
      <c r="Q266" s="44" t="e">
        <f t="shared" ca="1" si="39"/>
        <v>#N/A</v>
      </c>
      <c r="R266" s="44">
        <f ca="1">ROUND(PERCENTILE(DayByDayTable[[#Data],[BlankLeadTime]],0.8),0)</f>
        <v>8</v>
      </c>
    </row>
    <row r="267" spans="1:18">
      <c r="A267" s="51">
        <f t="shared" si="40"/>
        <v>42789</v>
      </c>
      <c r="B267" s="11">
        <f t="shared" si="43"/>
        <v>42789</v>
      </c>
      <c r="C267" s="47">
        <f>SUMIFS('On The Board'!$M$5:$M$219,'On The Board'!F$5:F$219,"&lt;="&amp;$B267,'On The Board'!E$5:E$219,"="&amp;FutureWork)</f>
        <v>43</v>
      </c>
      <c r="D267" s="12">
        <f ca="1">IF(TodaysDate&gt;=B267,SUMIF('On The Board'!F$5:F$219,"&lt;="&amp;$B267,'On The Board'!$M$5:$M$219)-SUM(E267:I267),D266)</f>
        <v>47</v>
      </c>
      <c r="E267" s="12">
        <f>SUMIF('On The Board'!G$5:G$219,"&lt;="&amp;$B267,'On The Board'!$M$5:$M$219)-SUM(F267:I267)</f>
        <v>0</v>
      </c>
      <c r="F267" s="12">
        <f>SUMIF('On The Board'!H$5:H$219,"&lt;="&amp;$B267,'On The Board'!$M$5:$M$219)-SUM(G267:I267)</f>
        <v>5</v>
      </c>
      <c r="G267" s="12">
        <f>SUMIF('On The Board'!I$5:I$219,"&lt;="&amp;$B267,'On The Board'!$M$5:$M$219)-SUM(H267,I267)</f>
        <v>2</v>
      </c>
      <c r="H267" s="12">
        <f>SUMIF('On The Board'!J$5:J$219,"&lt;="&amp;$B267,'On The Board'!$M$5:$M$219)-SUM(I267)</f>
        <v>0</v>
      </c>
      <c r="I267" s="12">
        <f>SUMIF('On The Board'!K$5:K$219,"&lt;="&amp;$B267,'On The Board'!$M$5:$M$219)</f>
        <v>70</v>
      </c>
      <c r="J267" s="10">
        <f t="shared" si="41"/>
        <v>77</v>
      </c>
      <c r="K267" s="10" t="e">
        <f t="shared" ca="1" si="42"/>
        <v>#N/A</v>
      </c>
      <c r="L267" s="44" t="e">
        <f t="shared" ca="1" si="37"/>
        <v>#N/A</v>
      </c>
      <c r="M267" s="44" t="e">
        <f t="shared" ca="1" si="36"/>
        <v>#N/A</v>
      </c>
      <c r="N267" s="44" t="e">
        <f t="shared" ca="1" si="44"/>
        <v>#N/A</v>
      </c>
      <c r="O267" s="53" t="e">
        <f t="shared" ca="1" si="38"/>
        <v>#N/A</v>
      </c>
      <c r="P267" s="53" t="str">
        <f ca="1">IFERROR(DayByDayTable[[#This Row],[Lead Time]],"")</f>
        <v/>
      </c>
      <c r="Q267" s="44" t="e">
        <f t="shared" ca="1" si="39"/>
        <v>#N/A</v>
      </c>
      <c r="R267" s="44">
        <f ca="1">ROUND(PERCENTILE(DayByDayTable[[#Data],[BlankLeadTime]],0.8),0)</f>
        <v>8</v>
      </c>
    </row>
    <row r="268" spans="1:18">
      <c r="A268" s="51">
        <f t="shared" si="40"/>
        <v>42790</v>
      </c>
      <c r="B268" s="11">
        <f t="shared" si="43"/>
        <v>42790</v>
      </c>
      <c r="C268" s="47">
        <f>SUMIFS('On The Board'!$M$5:$M$219,'On The Board'!F$5:F$219,"&lt;="&amp;$B268,'On The Board'!E$5:E$219,"="&amp;FutureWork)</f>
        <v>43</v>
      </c>
      <c r="D268" s="12">
        <f ca="1">IF(TodaysDate&gt;=B268,SUMIF('On The Board'!F$5:F$219,"&lt;="&amp;$B268,'On The Board'!$M$5:$M$219)-SUM(E268:I268),D267)</f>
        <v>47</v>
      </c>
      <c r="E268" s="12">
        <f>SUMIF('On The Board'!G$5:G$219,"&lt;="&amp;$B268,'On The Board'!$M$5:$M$219)-SUM(F268:I268)</f>
        <v>0</v>
      </c>
      <c r="F268" s="12">
        <f>SUMIF('On The Board'!H$5:H$219,"&lt;="&amp;$B268,'On The Board'!$M$5:$M$219)-SUM(G268:I268)</f>
        <v>5</v>
      </c>
      <c r="G268" s="12">
        <f>SUMIF('On The Board'!I$5:I$219,"&lt;="&amp;$B268,'On The Board'!$M$5:$M$219)-SUM(H268,I268)</f>
        <v>2</v>
      </c>
      <c r="H268" s="12">
        <f>SUMIF('On The Board'!J$5:J$219,"&lt;="&amp;$B268,'On The Board'!$M$5:$M$219)-SUM(I268)</f>
        <v>0</v>
      </c>
      <c r="I268" s="12">
        <f>SUMIF('On The Board'!K$5:K$219,"&lt;="&amp;$B268,'On The Board'!$M$5:$M$219)</f>
        <v>70</v>
      </c>
      <c r="J268" s="10">
        <f t="shared" si="41"/>
        <v>77</v>
      </c>
      <c r="K268" s="10" t="e">
        <f t="shared" ca="1" si="42"/>
        <v>#N/A</v>
      </c>
      <c r="L268" s="44" t="e">
        <f t="shared" ca="1" si="37"/>
        <v>#N/A</v>
      </c>
      <c r="M268" s="44" t="e">
        <f t="shared" ref="M268:M331" ca="1" si="45">IF(ISNUMBER(L268),(I268-I258)/NETWORKDAYS(B258,B268,BankHolidays),NA())</f>
        <v>#N/A</v>
      </c>
      <c r="N268" s="44" t="e">
        <f t="shared" ca="1" si="44"/>
        <v>#N/A</v>
      </c>
      <c r="O268" s="53" t="e">
        <f t="shared" ca="1" si="38"/>
        <v>#N/A</v>
      </c>
      <c r="P268" s="53" t="str">
        <f ca="1">IFERROR(DayByDayTable[[#This Row],[Lead Time]],"")</f>
        <v/>
      </c>
      <c r="Q268" s="44" t="e">
        <f t="shared" ca="1" si="39"/>
        <v>#N/A</v>
      </c>
      <c r="R268" s="44">
        <f ca="1">ROUND(PERCENTILE(DayByDayTable[[#Data],[BlankLeadTime]],0.8),0)</f>
        <v>8</v>
      </c>
    </row>
    <row r="269" spans="1:18">
      <c r="A269" s="51">
        <f t="shared" si="40"/>
        <v>42793</v>
      </c>
      <c r="B269" s="11">
        <f t="shared" si="43"/>
        <v>42793</v>
      </c>
      <c r="C269" s="47">
        <f>SUMIFS('On The Board'!$M$5:$M$219,'On The Board'!F$5:F$219,"&lt;="&amp;$B269,'On The Board'!E$5:E$219,"="&amp;FutureWork)</f>
        <v>43</v>
      </c>
      <c r="D269" s="12">
        <f ca="1">IF(TodaysDate&gt;=B269,SUMIF('On The Board'!F$5:F$219,"&lt;="&amp;$B269,'On The Board'!$M$5:$M$219)-SUM(E269:I269),D268)</f>
        <v>47</v>
      </c>
      <c r="E269" s="12">
        <f>SUMIF('On The Board'!G$5:G$219,"&lt;="&amp;$B269,'On The Board'!$M$5:$M$219)-SUM(F269:I269)</f>
        <v>0</v>
      </c>
      <c r="F269" s="12">
        <f>SUMIF('On The Board'!H$5:H$219,"&lt;="&amp;$B269,'On The Board'!$M$5:$M$219)-SUM(G269:I269)</f>
        <v>5</v>
      </c>
      <c r="G269" s="12">
        <f>SUMIF('On The Board'!I$5:I$219,"&lt;="&amp;$B269,'On The Board'!$M$5:$M$219)-SUM(H269,I269)</f>
        <v>2</v>
      </c>
      <c r="H269" s="12">
        <f>SUMIF('On The Board'!J$5:J$219,"&lt;="&amp;$B269,'On The Board'!$M$5:$M$219)-SUM(I269)</f>
        <v>0</v>
      </c>
      <c r="I269" s="12">
        <f>SUMIF('On The Board'!K$5:K$219,"&lt;="&amp;$B269,'On The Board'!$M$5:$M$219)</f>
        <v>70</v>
      </c>
      <c r="J269" s="10">
        <f t="shared" si="41"/>
        <v>77</v>
      </c>
      <c r="K269" s="10" t="e">
        <f t="shared" ca="1" si="42"/>
        <v>#N/A</v>
      </c>
      <c r="L269" s="44" t="e">
        <f t="shared" ref="L269:L332" ca="1" si="46">AVERAGE(K259:K269)</f>
        <v>#N/A</v>
      </c>
      <c r="M269" s="44" t="e">
        <f t="shared" ca="1" si="45"/>
        <v>#N/A</v>
      </c>
      <c r="N269" s="44" t="e">
        <f t="shared" ca="1" si="44"/>
        <v>#N/A</v>
      </c>
      <c r="O269" s="53" t="e">
        <f t="shared" ref="O269:O332" ca="1" si="47">AVERAGE(N259:N269)</f>
        <v>#N/A</v>
      </c>
      <c r="P269" s="53" t="str">
        <f ca="1">IFERROR(DayByDayTable[[#This Row],[Lead Time]],"")</f>
        <v/>
      </c>
      <c r="Q269" s="44" t="e">
        <f t="shared" ca="1" si="39"/>
        <v>#N/A</v>
      </c>
      <c r="R269" s="44">
        <f ca="1">ROUND(PERCENTILE(DayByDayTable[[#Data],[BlankLeadTime]],0.8),0)</f>
        <v>8</v>
      </c>
    </row>
    <row r="270" spans="1:18">
      <c r="A270" s="51">
        <f t="shared" si="40"/>
        <v>42794</v>
      </c>
      <c r="B270" s="11">
        <f t="shared" si="43"/>
        <v>42794</v>
      </c>
      <c r="C270" s="47">
        <f>SUMIFS('On The Board'!$M$5:$M$219,'On The Board'!F$5:F$219,"&lt;="&amp;$B270,'On The Board'!E$5:E$219,"="&amp;FutureWork)</f>
        <v>43</v>
      </c>
      <c r="D270" s="12">
        <f ca="1">IF(TodaysDate&gt;=B270,SUMIF('On The Board'!F$5:F$219,"&lt;="&amp;$B270,'On The Board'!$M$5:$M$219)-SUM(E270:I270),D269)</f>
        <v>47</v>
      </c>
      <c r="E270" s="12">
        <f>SUMIF('On The Board'!G$5:G$219,"&lt;="&amp;$B270,'On The Board'!$M$5:$M$219)-SUM(F270:I270)</f>
        <v>0</v>
      </c>
      <c r="F270" s="12">
        <f>SUMIF('On The Board'!H$5:H$219,"&lt;="&amp;$B270,'On The Board'!$M$5:$M$219)-SUM(G270:I270)</f>
        <v>5</v>
      </c>
      <c r="G270" s="12">
        <f>SUMIF('On The Board'!I$5:I$219,"&lt;="&amp;$B270,'On The Board'!$M$5:$M$219)-SUM(H270,I270)</f>
        <v>2</v>
      </c>
      <c r="H270" s="12">
        <f>SUMIF('On The Board'!J$5:J$219,"&lt;="&amp;$B270,'On The Board'!$M$5:$M$219)-SUM(I270)</f>
        <v>0</v>
      </c>
      <c r="I270" s="12">
        <f>SUMIF('On The Board'!K$5:K$219,"&lt;="&amp;$B270,'On The Board'!$M$5:$M$219)</f>
        <v>70</v>
      </c>
      <c r="J270" s="10">
        <f t="shared" si="41"/>
        <v>77</v>
      </c>
      <c r="K270" s="10" t="e">
        <f t="shared" ca="1" si="42"/>
        <v>#N/A</v>
      </c>
      <c r="L270" s="44" t="e">
        <f t="shared" ca="1" si="46"/>
        <v>#N/A</v>
      </c>
      <c r="M270" s="44" t="e">
        <f t="shared" ca="1" si="45"/>
        <v>#N/A</v>
      </c>
      <c r="N270" s="44" t="e">
        <f t="shared" ca="1" si="44"/>
        <v>#N/A</v>
      </c>
      <c r="O270" s="53" t="e">
        <f t="shared" ca="1" si="47"/>
        <v>#N/A</v>
      </c>
      <c r="P270" s="53" t="str">
        <f ca="1">IFERROR(DayByDayTable[[#This Row],[Lead Time]],"")</f>
        <v/>
      </c>
      <c r="Q270" s="44" t="e">
        <f t="shared" ca="1" si="39"/>
        <v>#N/A</v>
      </c>
      <c r="R270" s="44">
        <f ca="1">ROUND(PERCENTILE(DayByDayTable[[#Data],[BlankLeadTime]],0.8),0)</f>
        <v>8</v>
      </c>
    </row>
    <row r="271" spans="1:18">
      <c r="A271" s="51">
        <f t="shared" si="40"/>
        <v>42795</v>
      </c>
      <c r="B271" s="11">
        <f t="shared" si="43"/>
        <v>42795</v>
      </c>
      <c r="C271" s="47">
        <f>SUMIFS('On The Board'!$M$5:$M$219,'On The Board'!F$5:F$219,"&lt;="&amp;$B271,'On The Board'!E$5:E$219,"="&amp;FutureWork)</f>
        <v>43</v>
      </c>
      <c r="D271" s="12">
        <f ca="1">IF(TodaysDate&gt;=B271,SUMIF('On The Board'!F$5:F$219,"&lt;="&amp;$B271,'On The Board'!$M$5:$M$219)-SUM(E271:I271),D270)</f>
        <v>47</v>
      </c>
      <c r="E271" s="12">
        <f>SUMIF('On The Board'!G$5:G$219,"&lt;="&amp;$B271,'On The Board'!$M$5:$M$219)-SUM(F271:I271)</f>
        <v>0</v>
      </c>
      <c r="F271" s="12">
        <f>SUMIF('On The Board'!H$5:H$219,"&lt;="&amp;$B271,'On The Board'!$M$5:$M$219)-SUM(G271:I271)</f>
        <v>5</v>
      </c>
      <c r="G271" s="12">
        <f>SUMIF('On The Board'!I$5:I$219,"&lt;="&amp;$B271,'On The Board'!$M$5:$M$219)-SUM(H271,I271)</f>
        <v>2</v>
      </c>
      <c r="H271" s="12">
        <f>SUMIF('On The Board'!J$5:J$219,"&lt;="&amp;$B271,'On The Board'!$M$5:$M$219)-SUM(I271)</f>
        <v>0</v>
      </c>
      <c r="I271" s="12">
        <f>SUMIF('On The Board'!K$5:K$219,"&lt;="&amp;$B271,'On The Board'!$M$5:$M$219)</f>
        <v>70</v>
      </c>
      <c r="J271" s="10">
        <f t="shared" si="41"/>
        <v>77</v>
      </c>
      <c r="K271" s="10" t="e">
        <f t="shared" ca="1" si="42"/>
        <v>#N/A</v>
      </c>
      <c r="L271" s="44" t="e">
        <f t="shared" ca="1" si="46"/>
        <v>#N/A</v>
      </c>
      <c r="M271" s="44" t="e">
        <f t="shared" ca="1" si="45"/>
        <v>#N/A</v>
      </c>
      <c r="N271" s="44" t="e">
        <f t="shared" ca="1" si="44"/>
        <v>#N/A</v>
      </c>
      <c r="O271" s="53" t="e">
        <f t="shared" ca="1" si="47"/>
        <v>#N/A</v>
      </c>
      <c r="P271" s="53" t="str">
        <f ca="1">IFERROR(DayByDayTable[[#This Row],[Lead Time]],"")</f>
        <v/>
      </c>
      <c r="Q271" s="44" t="e">
        <f t="shared" ca="1" si="39"/>
        <v>#N/A</v>
      </c>
      <c r="R271" s="44">
        <f ca="1">ROUND(PERCENTILE(DayByDayTable[[#Data],[BlankLeadTime]],0.8),0)</f>
        <v>8</v>
      </c>
    </row>
    <row r="272" spans="1:18">
      <c r="A272" s="51">
        <f t="shared" si="40"/>
        <v>42796</v>
      </c>
      <c r="B272" s="11">
        <f t="shared" si="43"/>
        <v>42796</v>
      </c>
      <c r="C272" s="47">
        <f>SUMIFS('On The Board'!$M$5:$M$219,'On The Board'!F$5:F$219,"&lt;="&amp;$B272,'On The Board'!E$5:E$219,"="&amp;FutureWork)</f>
        <v>43</v>
      </c>
      <c r="D272" s="12">
        <f ca="1">IF(TodaysDate&gt;=B272,SUMIF('On The Board'!F$5:F$219,"&lt;="&amp;$B272,'On The Board'!$M$5:$M$219)-SUM(E272:I272),D271)</f>
        <v>47</v>
      </c>
      <c r="E272" s="12">
        <f>SUMIF('On The Board'!G$5:G$219,"&lt;="&amp;$B272,'On The Board'!$M$5:$M$219)-SUM(F272:I272)</f>
        <v>0</v>
      </c>
      <c r="F272" s="12">
        <f>SUMIF('On The Board'!H$5:H$219,"&lt;="&amp;$B272,'On The Board'!$M$5:$M$219)-SUM(G272:I272)</f>
        <v>5</v>
      </c>
      <c r="G272" s="12">
        <f>SUMIF('On The Board'!I$5:I$219,"&lt;="&amp;$B272,'On The Board'!$M$5:$M$219)-SUM(H272,I272)</f>
        <v>2</v>
      </c>
      <c r="H272" s="12">
        <f>SUMIF('On The Board'!J$5:J$219,"&lt;="&amp;$B272,'On The Board'!$M$5:$M$219)-SUM(I272)</f>
        <v>0</v>
      </c>
      <c r="I272" s="12">
        <f>SUMIF('On The Board'!K$5:K$219,"&lt;="&amp;$B272,'On The Board'!$M$5:$M$219)</f>
        <v>70</v>
      </c>
      <c r="J272" s="10">
        <f t="shared" si="41"/>
        <v>77</v>
      </c>
      <c r="K272" s="10" t="e">
        <f t="shared" ca="1" si="42"/>
        <v>#N/A</v>
      </c>
      <c r="L272" s="44" t="e">
        <f t="shared" ca="1" si="46"/>
        <v>#N/A</v>
      </c>
      <c r="M272" s="44" t="e">
        <f t="shared" ca="1" si="45"/>
        <v>#N/A</v>
      </c>
      <c r="N272" s="44" t="e">
        <f t="shared" ca="1" si="44"/>
        <v>#N/A</v>
      </c>
      <c r="O272" s="53" t="e">
        <f t="shared" ca="1" si="47"/>
        <v>#N/A</v>
      </c>
      <c r="P272" s="53" t="str">
        <f ca="1">IFERROR(DayByDayTable[[#This Row],[Lead Time]],"")</f>
        <v/>
      </c>
      <c r="Q272" s="44" t="e">
        <f t="shared" ref="Q272:Q335" ca="1" si="48">PERCENTILE(N261:N272,0.8)</f>
        <v>#N/A</v>
      </c>
      <c r="R272" s="44">
        <f ca="1">ROUND(PERCENTILE(DayByDayTable[[#Data],[BlankLeadTime]],0.8),0)</f>
        <v>8</v>
      </c>
    </row>
    <row r="273" spans="1:18">
      <c r="A273" s="51">
        <f t="shared" si="40"/>
        <v>42797</v>
      </c>
      <c r="B273" s="11">
        <f t="shared" si="43"/>
        <v>42797</v>
      </c>
      <c r="C273" s="47">
        <f>SUMIFS('On The Board'!$M$5:$M$219,'On The Board'!F$5:F$219,"&lt;="&amp;$B273,'On The Board'!E$5:E$219,"="&amp;FutureWork)</f>
        <v>43</v>
      </c>
      <c r="D273" s="12">
        <f ca="1">IF(TodaysDate&gt;=B273,SUMIF('On The Board'!F$5:F$219,"&lt;="&amp;$B273,'On The Board'!$M$5:$M$219)-SUM(E273:I273),D272)</f>
        <v>47</v>
      </c>
      <c r="E273" s="12">
        <f>SUMIF('On The Board'!G$5:G$219,"&lt;="&amp;$B273,'On The Board'!$M$5:$M$219)-SUM(F273:I273)</f>
        <v>0</v>
      </c>
      <c r="F273" s="12">
        <f>SUMIF('On The Board'!H$5:H$219,"&lt;="&amp;$B273,'On The Board'!$M$5:$M$219)-SUM(G273:I273)</f>
        <v>5</v>
      </c>
      <c r="G273" s="12">
        <f>SUMIF('On The Board'!I$5:I$219,"&lt;="&amp;$B273,'On The Board'!$M$5:$M$219)-SUM(H273,I273)</f>
        <v>2</v>
      </c>
      <c r="H273" s="12">
        <f>SUMIF('On The Board'!J$5:J$219,"&lt;="&amp;$B273,'On The Board'!$M$5:$M$219)-SUM(I273)</f>
        <v>0</v>
      </c>
      <c r="I273" s="12">
        <f>SUMIF('On The Board'!K$5:K$219,"&lt;="&amp;$B273,'On The Board'!$M$5:$M$219)</f>
        <v>70</v>
      </c>
      <c r="J273" s="10">
        <f t="shared" si="41"/>
        <v>77</v>
      </c>
      <c r="K273" s="10" t="e">
        <f t="shared" ca="1" si="42"/>
        <v>#N/A</v>
      </c>
      <c r="L273" s="44" t="e">
        <f t="shared" ca="1" si="46"/>
        <v>#N/A</v>
      </c>
      <c r="M273" s="44" t="e">
        <f t="shared" ca="1" si="45"/>
        <v>#N/A</v>
      </c>
      <c r="N273" s="44" t="e">
        <f t="shared" ca="1" si="44"/>
        <v>#N/A</v>
      </c>
      <c r="O273" s="53" t="e">
        <f t="shared" ca="1" si="47"/>
        <v>#N/A</v>
      </c>
      <c r="P273" s="53" t="str">
        <f ca="1">IFERROR(DayByDayTable[[#This Row],[Lead Time]],"")</f>
        <v/>
      </c>
      <c r="Q273" s="44" t="e">
        <f t="shared" ca="1" si="48"/>
        <v>#N/A</v>
      </c>
      <c r="R273" s="44">
        <f ca="1">ROUND(PERCENTILE(DayByDayTable[[#Data],[BlankLeadTime]],0.8),0)</f>
        <v>8</v>
      </c>
    </row>
    <row r="274" spans="1:18">
      <c r="A274" s="51">
        <f t="shared" si="40"/>
        <v>42800</v>
      </c>
      <c r="B274" s="11">
        <f t="shared" si="43"/>
        <v>42800</v>
      </c>
      <c r="C274" s="47">
        <f>SUMIFS('On The Board'!$M$5:$M$219,'On The Board'!F$5:F$219,"&lt;="&amp;$B274,'On The Board'!E$5:E$219,"="&amp;FutureWork)</f>
        <v>43</v>
      </c>
      <c r="D274" s="12">
        <f ca="1">IF(TodaysDate&gt;=B274,SUMIF('On The Board'!F$5:F$219,"&lt;="&amp;$B274,'On The Board'!$M$5:$M$219)-SUM(E274:I274),D273)</f>
        <v>47</v>
      </c>
      <c r="E274" s="12">
        <f>SUMIF('On The Board'!G$5:G$219,"&lt;="&amp;$B274,'On The Board'!$M$5:$M$219)-SUM(F274:I274)</f>
        <v>0</v>
      </c>
      <c r="F274" s="12">
        <f>SUMIF('On The Board'!H$5:H$219,"&lt;="&amp;$B274,'On The Board'!$M$5:$M$219)-SUM(G274:I274)</f>
        <v>5</v>
      </c>
      <c r="G274" s="12">
        <f>SUMIF('On The Board'!I$5:I$219,"&lt;="&amp;$B274,'On The Board'!$M$5:$M$219)-SUM(H274,I274)</f>
        <v>2</v>
      </c>
      <c r="H274" s="12">
        <f>SUMIF('On The Board'!J$5:J$219,"&lt;="&amp;$B274,'On The Board'!$M$5:$M$219)-SUM(I274)</f>
        <v>0</v>
      </c>
      <c r="I274" s="12">
        <f>SUMIF('On The Board'!K$5:K$219,"&lt;="&amp;$B274,'On The Board'!$M$5:$M$219)</f>
        <v>70</v>
      </c>
      <c r="J274" s="10">
        <f t="shared" si="41"/>
        <v>77</v>
      </c>
      <c r="K274" s="10" t="e">
        <f t="shared" ca="1" si="42"/>
        <v>#N/A</v>
      </c>
      <c r="L274" s="44" t="e">
        <f t="shared" ca="1" si="46"/>
        <v>#N/A</v>
      </c>
      <c r="M274" s="44" t="e">
        <f t="shared" ca="1" si="45"/>
        <v>#N/A</v>
      </c>
      <c r="N274" s="44" t="e">
        <f t="shared" ca="1" si="44"/>
        <v>#N/A</v>
      </c>
      <c r="O274" s="53" t="e">
        <f t="shared" ca="1" si="47"/>
        <v>#N/A</v>
      </c>
      <c r="P274" s="53" t="str">
        <f ca="1">IFERROR(DayByDayTable[[#This Row],[Lead Time]],"")</f>
        <v/>
      </c>
      <c r="Q274" s="44" t="e">
        <f t="shared" ca="1" si="48"/>
        <v>#N/A</v>
      </c>
      <c r="R274" s="44">
        <f ca="1">ROUND(PERCENTILE(DayByDayTable[[#Data],[BlankLeadTime]],0.8),0)</f>
        <v>8</v>
      </c>
    </row>
    <row r="275" spans="1:18">
      <c r="A275" s="51">
        <f t="shared" si="40"/>
        <v>42801</v>
      </c>
      <c r="B275" s="11">
        <f t="shared" si="43"/>
        <v>42801</v>
      </c>
      <c r="C275" s="47">
        <f>SUMIFS('On The Board'!$M$5:$M$219,'On The Board'!F$5:F$219,"&lt;="&amp;$B275,'On The Board'!E$5:E$219,"="&amp;FutureWork)</f>
        <v>43</v>
      </c>
      <c r="D275" s="12">
        <f ca="1">IF(TodaysDate&gt;=B275,SUMIF('On The Board'!F$5:F$219,"&lt;="&amp;$B275,'On The Board'!$M$5:$M$219)-SUM(E275:I275),D274)</f>
        <v>47</v>
      </c>
      <c r="E275" s="12">
        <f>SUMIF('On The Board'!G$5:G$219,"&lt;="&amp;$B275,'On The Board'!$M$5:$M$219)-SUM(F275:I275)</f>
        <v>0</v>
      </c>
      <c r="F275" s="12">
        <f>SUMIF('On The Board'!H$5:H$219,"&lt;="&amp;$B275,'On The Board'!$M$5:$M$219)-SUM(G275:I275)</f>
        <v>5</v>
      </c>
      <c r="G275" s="12">
        <f>SUMIF('On The Board'!I$5:I$219,"&lt;="&amp;$B275,'On The Board'!$M$5:$M$219)-SUM(H275,I275)</f>
        <v>2</v>
      </c>
      <c r="H275" s="12">
        <f>SUMIF('On The Board'!J$5:J$219,"&lt;="&amp;$B275,'On The Board'!$M$5:$M$219)-SUM(I275)</f>
        <v>0</v>
      </c>
      <c r="I275" s="12">
        <f>SUMIF('On The Board'!K$5:K$219,"&lt;="&amp;$B275,'On The Board'!$M$5:$M$219)</f>
        <v>70</v>
      </c>
      <c r="J275" s="10">
        <f t="shared" si="41"/>
        <v>77</v>
      </c>
      <c r="K275" s="10" t="e">
        <f t="shared" ca="1" si="42"/>
        <v>#N/A</v>
      </c>
      <c r="L275" s="44" t="e">
        <f t="shared" ca="1" si="46"/>
        <v>#N/A</v>
      </c>
      <c r="M275" s="44" t="e">
        <f t="shared" ca="1" si="45"/>
        <v>#N/A</v>
      </c>
      <c r="N275" s="44" t="e">
        <f t="shared" ca="1" si="44"/>
        <v>#N/A</v>
      </c>
      <c r="O275" s="53" t="e">
        <f t="shared" ca="1" si="47"/>
        <v>#N/A</v>
      </c>
      <c r="P275" s="53" t="str">
        <f ca="1">IFERROR(DayByDayTable[[#This Row],[Lead Time]],"")</f>
        <v/>
      </c>
      <c r="Q275" s="44" t="e">
        <f t="shared" ca="1" si="48"/>
        <v>#N/A</v>
      </c>
      <c r="R275" s="44">
        <f ca="1">ROUND(PERCENTILE(DayByDayTable[[#Data],[BlankLeadTime]],0.8),0)</f>
        <v>8</v>
      </c>
    </row>
    <row r="276" spans="1:18">
      <c r="A276" s="51">
        <f t="shared" si="40"/>
        <v>42802</v>
      </c>
      <c r="B276" s="11">
        <f t="shared" si="43"/>
        <v>42802</v>
      </c>
      <c r="C276" s="47">
        <f>SUMIFS('On The Board'!$M$5:$M$219,'On The Board'!F$5:F$219,"&lt;="&amp;$B276,'On The Board'!E$5:E$219,"="&amp;FutureWork)</f>
        <v>43</v>
      </c>
      <c r="D276" s="12">
        <f ca="1">IF(TodaysDate&gt;=B276,SUMIF('On The Board'!F$5:F$219,"&lt;="&amp;$B276,'On The Board'!$M$5:$M$219)-SUM(E276:I276),D275)</f>
        <v>47</v>
      </c>
      <c r="E276" s="12">
        <f>SUMIF('On The Board'!G$5:G$219,"&lt;="&amp;$B276,'On The Board'!$M$5:$M$219)-SUM(F276:I276)</f>
        <v>0</v>
      </c>
      <c r="F276" s="12">
        <f>SUMIF('On The Board'!H$5:H$219,"&lt;="&amp;$B276,'On The Board'!$M$5:$M$219)-SUM(G276:I276)</f>
        <v>5</v>
      </c>
      <c r="G276" s="12">
        <f>SUMIF('On The Board'!I$5:I$219,"&lt;="&amp;$B276,'On The Board'!$M$5:$M$219)-SUM(H276,I276)</f>
        <v>2</v>
      </c>
      <c r="H276" s="12">
        <f>SUMIF('On The Board'!J$5:J$219,"&lt;="&amp;$B276,'On The Board'!$M$5:$M$219)-SUM(I276)</f>
        <v>0</v>
      </c>
      <c r="I276" s="12">
        <f>SUMIF('On The Board'!K$5:K$219,"&lt;="&amp;$B276,'On The Board'!$M$5:$M$219)</f>
        <v>70</v>
      </c>
      <c r="J276" s="10">
        <f t="shared" si="41"/>
        <v>77</v>
      </c>
      <c r="K276" s="10" t="e">
        <f t="shared" ca="1" si="42"/>
        <v>#N/A</v>
      </c>
      <c r="L276" s="44" t="e">
        <f t="shared" ca="1" si="46"/>
        <v>#N/A</v>
      </c>
      <c r="M276" s="44" t="e">
        <f t="shared" ca="1" si="45"/>
        <v>#N/A</v>
      </c>
      <c r="N276" s="44" t="e">
        <f t="shared" ca="1" si="44"/>
        <v>#N/A</v>
      </c>
      <c r="O276" s="53" t="e">
        <f t="shared" ca="1" si="47"/>
        <v>#N/A</v>
      </c>
      <c r="P276" s="53" t="str">
        <f ca="1">IFERROR(DayByDayTable[[#This Row],[Lead Time]],"")</f>
        <v/>
      </c>
      <c r="Q276" s="44" t="e">
        <f t="shared" ca="1" si="48"/>
        <v>#N/A</v>
      </c>
      <c r="R276" s="44">
        <f ca="1">ROUND(PERCENTILE(DayByDayTable[[#Data],[BlankLeadTime]],0.8),0)</f>
        <v>8</v>
      </c>
    </row>
    <row r="277" spans="1:18">
      <c r="A277" s="51">
        <f t="shared" si="40"/>
        <v>42803</v>
      </c>
      <c r="B277" s="11">
        <f t="shared" si="43"/>
        <v>42803</v>
      </c>
      <c r="C277" s="47">
        <f>SUMIFS('On The Board'!$M$5:$M$219,'On The Board'!F$5:F$219,"&lt;="&amp;$B277,'On The Board'!E$5:E$219,"="&amp;FutureWork)</f>
        <v>43</v>
      </c>
      <c r="D277" s="12">
        <f ca="1">IF(TodaysDate&gt;=B277,SUMIF('On The Board'!F$5:F$219,"&lt;="&amp;$B277,'On The Board'!$M$5:$M$219)-SUM(E277:I277),D276)</f>
        <v>47</v>
      </c>
      <c r="E277" s="12">
        <f>SUMIF('On The Board'!G$5:G$219,"&lt;="&amp;$B277,'On The Board'!$M$5:$M$219)-SUM(F277:I277)</f>
        <v>0</v>
      </c>
      <c r="F277" s="12">
        <f>SUMIF('On The Board'!H$5:H$219,"&lt;="&amp;$B277,'On The Board'!$M$5:$M$219)-SUM(G277:I277)</f>
        <v>5</v>
      </c>
      <c r="G277" s="12">
        <f>SUMIF('On The Board'!I$5:I$219,"&lt;="&amp;$B277,'On The Board'!$M$5:$M$219)-SUM(H277,I277)</f>
        <v>2</v>
      </c>
      <c r="H277" s="12">
        <f>SUMIF('On The Board'!J$5:J$219,"&lt;="&amp;$B277,'On The Board'!$M$5:$M$219)-SUM(I277)</f>
        <v>0</v>
      </c>
      <c r="I277" s="12">
        <f>SUMIF('On The Board'!K$5:K$219,"&lt;="&amp;$B277,'On The Board'!$M$5:$M$219)</f>
        <v>70</v>
      </c>
      <c r="J277" s="10">
        <f t="shared" si="41"/>
        <v>77</v>
      </c>
      <c r="K277" s="10" t="e">
        <f t="shared" ca="1" si="42"/>
        <v>#N/A</v>
      </c>
      <c r="L277" s="44" t="e">
        <f t="shared" ca="1" si="46"/>
        <v>#N/A</v>
      </c>
      <c r="M277" s="44" t="e">
        <f t="shared" ca="1" si="45"/>
        <v>#N/A</v>
      </c>
      <c r="N277" s="44" t="e">
        <f t="shared" ca="1" si="44"/>
        <v>#N/A</v>
      </c>
      <c r="O277" s="53" t="e">
        <f t="shared" ca="1" si="47"/>
        <v>#N/A</v>
      </c>
      <c r="P277" s="53" t="str">
        <f ca="1">IFERROR(DayByDayTable[[#This Row],[Lead Time]],"")</f>
        <v/>
      </c>
      <c r="Q277" s="44" t="e">
        <f t="shared" ca="1" si="48"/>
        <v>#N/A</v>
      </c>
      <c r="R277" s="44">
        <f ca="1">ROUND(PERCENTILE(DayByDayTable[[#Data],[BlankLeadTime]],0.8),0)</f>
        <v>8</v>
      </c>
    </row>
    <row r="278" spans="1:18">
      <c r="A278" s="51">
        <f t="shared" si="40"/>
        <v>42804</v>
      </c>
      <c r="B278" s="11">
        <f t="shared" si="43"/>
        <v>42804</v>
      </c>
      <c r="C278" s="47">
        <f>SUMIFS('On The Board'!$M$5:$M$219,'On The Board'!F$5:F$219,"&lt;="&amp;$B278,'On The Board'!E$5:E$219,"="&amp;FutureWork)</f>
        <v>43</v>
      </c>
      <c r="D278" s="12">
        <f ca="1">IF(TodaysDate&gt;=B278,SUMIF('On The Board'!F$5:F$219,"&lt;="&amp;$B278,'On The Board'!$M$5:$M$219)-SUM(E278:I278),D277)</f>
        <v>47</v>
      </c>
      <c r="E278" s="12">
        <f>SUMIF('On The Board'!G$5:G$219,"&lt;="&amp;$B278,'On The Board'!$M$5:$M$219)-SUM(F278:I278)</f>
        <v>0</v>
      </c>
      <c r="F278" s="12">
        <f>SUMIF('On The Board'!H$5:H$219,"&lt;="&amp;$B278,'On The Board'!$M$5:$M$219)-SUM(G278:I278)</f>
        <v>5</v>
      </c>
      <c r="G278" s="12">
        <f>SUMIF('On The Board'!I$5:I$219,"&lt;="&amp;$B278,'On The Board'!$M$5:$M$219)-SUM(H278,I278)</f>
        <v>2</v>
      </c>
      <c r="H278" s="12">
        <f>SUMIF('On The Board'!J$5:J$219,"&lt;="&amp;$B278,'On The Board'!$M$5:$M$219)-SUM(I278)</f>
        <v>0</v>
      </c>
      <c r="I278" s="12">
        <f>SUMIF('On The Board'!K$5:K$219,"&lt;="&amp;$B278,'On The Board'!$M$5:$M$219)</f>
        <v>70</v>
      </c>
      <c r="J278" s="10">
        <f t="shared" si="41"/>
        <v>77</v>
      </c>
      <c r="K278" s="10" t="e">
        <f t="shared" ca="1" si="42"/>
        <v>#N/A</v>
      </c>
      <c r="L278" s="44" t="e">
        <f t="shared" ca="1" si="46"/>
        <v>#N/A</v>
      </c>
      <c r="M278" s="44" t="e">
        <f t="shared" ca="1" si="45"/>
        <v>#N/A</v>
      </c>
      <c r="N278" s="44" t="e">
        <f t="shared" ca="1" si="44"/>
        <v>#N/A</v>
      </c>
      <c r="O278" s="53" t="e">
        <f t="shared" ca="1" si="47"/>
        <v>#N/A</v>
      </c>
      <c r="P278" s="53" t="str">
        <f ca="1">IFERROR(DayByDayTable[[#This Row],[Lead Time]],"")</f>
        <v/>
      </c>
      <c r="Q278" s="44" t="e">
        <f t="shared" ca="1" si="48"/>
        <v>#N/A</v>
      </c>
      <c r="R278" s="44">
        <f ca="1">ROUND(PERCENTILE(DayByDayTable[[#Data],[BlankLeadTime]],0.8),0)</f>
        <v>8</v>
      </c>
    </row>
    <row r="279" spans="1:18">
      <c r="A279" s="51">
        <f t="shared" si="40"/>
        <v>42807</v>
      </c>
      <c r="B279" s="11">
        <f t="shared" si="43"/>
        <v>42807</v>
      </c>
      <c r="C279" s="47">
        <f>SUMIFS('On The Board'!$M$5:$M$219,'On The Board'!F$5:F$219,"&lt;="&amp;$B279,'On The Board'!E$5:E$219,"="&amp;FutureWork)</f>
        <v>43</v>
      </c>
      <c r="D279" s="12">
        <f ca="1">IF(TodaysDate&gt;=B279,SUMIF('On The Board'!F$5:F$219,"&lt;="&amp;$B279,'On The Board'!$M$5:$M$219)-SUM(E279:I279),D278)</f>
        <v>47</v>
      </c>
      <c r="E279" s="12">
        <f>SUMIF('On The Board'!G$5:G$219,"&lt;="&amp;$B279,'On The Board'!$M$5:$M$219)-SUM(F279:I279)</f>
        <v>0</v>
      </c>
      <c r="F279" s="12">
        <f>SUMIF('On The Board'!H$5:H$219,"&lt;="&amp;$B279,'On The Board'!$M$5:$M$219)-SUM(G279:I279)</f>
        <v>5</v>
      </c>
      <c r="G279" s="12">
        <f>SUMIF('On The Board'!I$5:I$219,"&lt;="&amp;$B279,'On The Board'!$M$5:$M$219)-SUM(H279,I279)</f>
        <v>2</v>
      </c>
      <c r="H279" s="12">
        <f>SUMIF('On The Board'!J$5:J$219,"&lt;="&amp;$B279,'On The Board'!$M$5:$M$219)-SUM(I279)</f>
        <v>0</v>
      </c>
      <c r="I279" s="12">
        <f>SUMIF('On The Board'!K$5:K$219,"&lt;="&amp;$B279,'On The Board'!$M$5:$M$219)</f>
        <v>70</v>
      </c>
      <c r="J279" s="10">
        <f t="shared" si="41"/>
        <v>77</v>
      </c>
      <c r="K279" s="10" t="e">
        <f t="shared" ca="1" si="42"/>
        <v>#N/A</v>
      </c>
      <c r="L279" s="44" t="e">
        <f t="shared" ca="1" si="46"/>
        <v>#N/A</v>
      </c>
      <c r="M279" s="44" t="e">
        <f t="shared" ca="1" si="45"/>
        <v>#N/A</v>
      </c>
      <c r="N279" s="44" t="e">
        <f t="shared" ca="1" si="44"/>
        <v>#N/A</v>
      </c>
      <c r="O279" s="53" t="e">
        <f t="shared" ca="1" si="47"/>
        <v>#N/A</v>
      </c>
      <c r="P279" s="53" t="str">
        <f ca="1">IFERROR(DayByDayTable[[#This Row],[Lead Time]],"")</f>
        <v/>
      </c>
      <c r="Q279" s="44" t="e">
        <f t="shared" ca="1" si="48"/>
        <v>#N/A</v>
      </c>
      <c r="R279" s="44">
        <f ca="1">ROUND(PERCENTILE(DayByDayTable[[#Data],[BlankLeadTime]],0.8),0)</f>
        <v>8</v>
      </c>
    </row>
    <row r="280" spans="1:18">
      <c r="A280" s="51">
        <f t="shared" si="40"/>
        <v>42808</v>
      </c>
      <c r="B280" s="11">
        <f t="shared" si="43"/>
        <v>42808</v>
      </c>
      <c r="C280" s="47">
        <f>SUMIFS('On The Board'!$M$5:$M$219,'On The Board'!F$5:F$219,"&lt;="&amp;$B280,'On The Board'!E$5:E$219,"="&amp;FutureWork)</f>
        <v>43</v>
      </c>
      <c r="D280" s="12">
        <f ca="1">IF(TodaysDate&gt;=B280,SUMIF('On The Board'!F$5:F$219,"&lt;="&amp;$B280,'On The Board'!$M$5:$M$219)-SUM(E280:I280),D279)</f>
        <v>47</v>
      </c>
      <c r="E280" s="12">
        <f>SUMIF('On The Board'!G$5:G$219,"&lt;="&amp;$B280,'On The Board'!$M$5:$M$219)-SUM(F280:I280)</f>
        <v>0</v>
      </c>
      <c r="F280" s="12">
        <f>SUMIF('On The Board'!H$5:H$219,"&lt;="&amp;$B280,'On The Board'!$M$5:$M$219)-SUM(G280:I280)</f>
        <v>5</v>
      </c>
      <c r="G280" s="12">
        <f>SUMIF('On The Board'!I$5:I$219,"&lt;="&amp;$B280,'On The Board'!$M$5:$M$219)-SUM(H280,I280)</f>
        <v>2</v>
      </c>
      <c r="H280" s="12">
        <f>SUMIF('On The Board'!J$5:J$219,"&lt;="&amp;$B280,'On The Board'!$M$5:$M$219)-SUM(I280)</f>
        <v>0</v>
      </c>
      <c r="I280" s="12">
        <f>SUMIF('On The Board'!K$5:K$219,"&lt;="&amp;$B280,'On The Board'!$M$5:$M$219)</f>
        <v>70</v>
      </c>
      <c r="J280" s="10">
        <f t="shared" si="41"/>
        <v>77</v>
      </c>
      <c r="K280" s="10" t="e">
        <f t="shared" ca="1" si="42"/>
        <v>#N/A</v>
      </c>
      <c r="L280" s="44" t="e">
        <f t="shared" ca="1" si="46"/>
        <v>#N/A</v>
      </c>
      <c r="M280" s="44" t="e">
        <f t="shared" ca="1" si="45"/>
        <v>#N/A</v>
      </c>
      <c r="N280" s="44" t="e">
        <f t="shared" ca="1" si="44"/>
        <v>#N/A</v>
      </c>
      <c r="O280" s="53" t="e">
        <f t="shared" ca="1" si="47"/>
        <v>#N/A</v>
      </c>
      <c r="P280" s="53" t="str">
        <f ca="1">IFERROR(DayByDayTable[[#This Row],[Lead Time]],"")</f>
        <v/>
      </c>
      <c r="Q280" s="44" t="e">
        <f t="shared" ca="1" si="48"/>
        <v>#N/A</v>
      </c>
      <c r="R280" s="44">
        <f ca="1">ROUND(PERCENTILE(DayByDayTable[[#Data],[BlankLeadTime]],0.8),0)</f>
        <v>8</v>
      </c>
    </row>
    <row r="281" spans="1:18">
      <c r="A281" s="51">
        <f t="shared" si="40"/>
        <v>42809</v>
      </c>
      <c r="B281" s="11">
        <f t="shared" si="43"/>
        <v>42809</v>
      </c>
      <c r="C281" s="47">
        <f>SUMIFS('On The Board'!$M$5:$M$219,'On The Board'!F$5:F$219,"&lt;="&amp;$B281,'On The Board'!E$5:E$219,"="&amp;FutureWork)</f>
        <v>43</v>
      </c>
      <c r="D281" s="12">
        <f ca="1">IF(TodaysDate&gt;=B281,SUMIF('On The Board'!F$5:F$219,"&lt;="&amp;$B281,'On The Board'!$M$5:$M$219)-SUM(E281:I281),D280)</f>
        <v>47</v>
      </c>
      <c r="E281" s="12">
        <f>SUMIF('On The Board'!G$5:G$219,"&lt;="&amp;$B281,'On The Board'!$M$5:$M$219)-SUM(F281:I281)</f>
        <v>0</v>
      </c>
      <c r="F281" s="12">
        <f>SUMIF('On The Board'!H$5:H$219,"&lt;="&amp;$B281,'On The Board'!$M$5:$M$219)-SUM(G281:I281)</f>
        <v>5</v>
      </c>
      <c r="G281" s="12">
        <f>SUMIF('On The Board'!I$5:I$219,"&lt;="&amp;$B281,'On The Board'!$M$5:$M$219)-SUM(H281,I281)</f>
        <v>2</v>
      </c>
      <c r="H281" s="12">
        <f>SUMIF('On The Board'!J$5:J$219,"&lt;="&amp;$B281,'On The Board'!$M$5:$M$219)-SUM(I281)</f>
        <v>0</v>
      </c>
      <c r="I281" s="12">
        <f>SUMIF('On The Board'!K$5:K$219,"&lt;="&amp;$B281,'On The Board'!$M$5:$M$219)</f>
        <v>70</v>
      </c>
      <c r="J281" s="10">
        <f t="shared" si="41"/>
        <v>77</v>
      </c>
      <c r="K281" s="10" t="e">
        <f t="shared" ca="1" si="42"/>
        <v>#N/A</v>
      </c>
      <c r="L281" s="44" t="e">
        <f t="shared" ca="1" si="46"/>
        <v>#N/A</v>
      </c>
      <c r="M281" s="44" t="e">
        <f t="shared" ca="1" si="45"/>
        <v>#N/A</v>
      </c>
      <c r="N281" s="44" t="e">
        <f t="shared" ca="1" si="44"/>
        <v>#N/A</v>
      </c>
      <c r="O281" s="53" t="e">
        <f t="shared" ca="1" si="47"/>
        <v>#N/A</v>
      </c>
      <c r="P281" s="53" t="str">
        <f ca="1">IFERROR(DayByDayTable[[#This Row],[Lead Time]],"")</f>
        <v/>
      </c>
      <c r="Q281" s="44" t="e">
        <f t="shared" ca="1" si="48"/>
        <v>#N/A</v>
      </c>
      <c r="R281" s="44">
        <f ca="1">ROUND(PERCENTILE(DayByDayTable[[#Data],[BlankLeadTime]],0.8),0)</f>
        <v>8</v>
      </c>
    </row>
    <row r="282" spans="1:18">
      <c r="A282" s="51">
        <f t="shared" si="40"/>
        <v>42810</v>
      </c>
      <c r="B282" s="11">
        <f t="shared" si="43"/>
        <v>42810</v>
      </c>
      <c r="C282" s="47">
        <f>SUMIFS('On The Board'!$M$5:$M$219,'On The Board'!F$5:F$219,"&lt;="&amp;$B282,'On The Board'!E$5:E$219,"="&amp;FutureWork)</f>
        <v>43</v>
      </c>
      <c r="D282" s="12">
        <f ca="1">IF(TodaysDate&gt;=B282,SUMIF('On The Board'!F$5:F$219,"&lt;="&amp;$B282,'On The Board'!$M$5:$M$219)-SUM(E282:I282),D281)</f>
        <v>47</v>
      </c>
      <c r="E282" s="12">
        <f>SUMIF('On The Board'!G$5:G$219,"&lt;="&amp;$B282,'On The Board'!$M$5:$M$219)-SUM(F282:I282)</f>
        <v>0</v>
      </c>
      <c r="F282" s="12">
        <f>SUMIF('On The Board'!H$5:H$219,"&lt;="&amp;$B282,'On The Board'!$M$5:$M$219)-SUM(G282:I282)</f>
        <v>5</v>
      </c>
      <c r="G282" s="12">
        <f>SUMIF('On The Board'!I$5:I$219,"&lt;="&amp;$B282,'On The Board'!$M$5:$M$219)-SUM(H282,I282)</f>
        <v>2</v>
      </c>
      <c r="H282" s="12">
        <f>SUMIF('On The Board'!J$5:J$219,"&lt;="&amp;$B282,'On The Board'!$M$5:$M$219)-SUM(I282)</f>
        <v>0</v>
      </c>
      <c r="I282" s="12">
        <f>SUMIF('On The Board'!K$5:K$219,"&lt;="&amp;$B282,'On The Board'!$M$5:$M$219)</f>
        <v>70</v>
      </c>
      <c r="J282" s="10">
        <f t="shared" si="41"/>
        <v>77</v>
      </c>
      <c r="K282" s="10" t="e">
        <f t="shared" ca="1" si="42"/>
        <v>#N/A</v>
      </c>
      <c r="L282" s="44" t="e">
        <f t="shared" ca="1" si="46"/>
        <v>#N/A</v>
      </c>
      <c r="M282" s="44" t="e">
        <f t="shared" ca="1" si="45"/>
        <v>#N/A</v>
      </c>
      <c r="N282" s="44" t="e">
        <f t="shared" ca="1" si="44"/>
        <v>#N/A</v>
      </c>
      <c r="O282" s="53" t="e">
        <f t="shared" ca="1" si="47"/>
        <v>#N/A</v>
      </c>
      <c r="P282" s="53" t="str">
        <f ca="1">IFERROR(DayByDayTable[[#This Row],[Lead Time]],"")</f>
        <v/>
      </c>
      <c r="Q282" s="44" t="e">
        <f t="shared" ca="1" si="48"/>
        <v>#N/A</v>
      </c>
      <c r="R282" s="44">
        <f ca="1">ROUND(PERCENTILE(DayByDayTable[[#Data],[BlankLeadTime]],0.8),0)</f>
        <v>8</v>
      </c>
    </row>
    <row r="283" spans="1:18">
      <c r="A283" s="51">
        <f t="shared" si="40"/>
        <v>42811</v>
      </c>
      <c r="B283" s="11">
        <f t="shared" si="43"/>
        <v>42811</v>
      </c>
      <c r="C283" s="47">
        <f>SUMIFS('On The Board'!$M$5:$M$219,'On The Board'!F$5:F$219,"&lt;="&amp;$B283,'On The Board'!E$5:E$219,"="&amp;FutureWork)</f>
        <v>43</v>
      </c>
      <c r="D283" s="12">
        <f ca="1">IF(TodaysDate&gt;=B283,SUMIF('On The Board'!F$5:F$219,"&lt;="&amp;$B283,'On The Board'!$M$5:$M$219)-SUM(E283:I283),D282)</f>
        <v>47</v>
      </c>
      <c r="E283" s="12">
        <f>SUMIF('On The Board'!G$5:G$219,"&lt;="&amp;$B283,'On The Board'!$M$5:$M$219)-SUM(F283:I283)</f>
        <v>0</v>
      </c>
      <c r="F283" s="12">
        <f>SUMIF('On The Board'!H$5:H$219,"&lt;="&amp;$B283,'On The Board'!$M$5:$M$219)-SUM(G283:I283)</f>
        <v>5</v>
      </c>
      <c r="G283" s="12">
        <f>SUMIF('On The Board'!I$5:I$219,"&lt;="&amp;$B283,'On The Board'!$M$5:$M$219)-SUM(H283,I283)</f>
        <v>2</v>
      </c>
      <c r="H283" s="12">
        <f>SUMIF('On The Board'!J$5:J$219,"&lt;="&amp;$B283,'On The Board'!$M$5:$M$219)-SUM(I283)</f>
        <v>0</v>
      </c>
      <c r="I283" s="12">
        <f>SUMIF('On The Board'!K$5:K$219,"&lt;="&amp;$B283,'On The Board'!$M$5:$M$219)</f>
        <v>70</v>
      </c>
      <c r="J283" s="10">
        <f t="shared" si="41"/>
        <v>77</v>
      </c>
      <c r="K283" s="10" t="e">
        <f t="shared" ca="1" si="42"/>
        <v>#N/A</v>
      </c>
      <c r="L283" s="44" t="e">
        <f t="shared" ca="1" si="46"/>
        <v>#N/A</v>
      </c>
      <c r="M283" s="44" t="e">
        <f t="shared" ca="1" si="45"/>
        <v>#N/A</v>
      </c>
      <c r="N283" s="44" t="e">
        <f t="shared" ca="1" si="44"/>
        <v>#N/A</v>
      </c>
      <c r="O283" s="53" t="e">
        <f t="shared" ca="1" si="47"/>
        <v>#N/A</v>
      </c>
      <c r="P283" s="53" t="str">
        <f ca="1">IFERROR(DayByDayTable[[#This Row],[Lead Time]],"")</f>
        <v/>
      </c>
      <c r="Q283" s="44" t="e">
        <f t="shared" ca="1" si="48"/>
        <v>#N/A</v>
      </c>
      <c r="R283" s="44">
        <f ca="1">ROUND(PERCENTILE(DayByDayTable[[#Data],[BlankLeadTime]],0.8),0)</f>
        <v>8</v>
      </c>
    </row>
    <row r="284" spans="1:18">
      <c r="A284" s="51">
        <f t="shared" si="40"/>
        <v>42814</v>
      </c>
      <c r="B284" s="11">
        <f t="shared" si="43"/>
        <v>42814</v>
      </c>
      <c r="C284" s="47">
        <f>SUMIFS('On The Board'!$M$5:$M$219,'On The Board'!F$5:F$219,"&lt;="&amp;$B284,'On The Board'!E$5:E$219,"="&amp;FutureWork)</f>
        <v>43</v>
      </c>
      <c r="D284" s="12">
        <f ca="1">IF(TodaysDate&gt;=B284,SUMIF('On The Board'!F$5:F$219,"&lt;="&amp;$B284,'On The Board'!$M$5:$M$219)-SUM(E284:I284),D283)</f>
        <v>47</v>
      </c>
      <c r="E284" s="12">
        <f>SUMIF('On The Board'!G$5:G$219,"&lt;="&amp;$B284,'On The Board'!$M$5:$M$219)-SUM(F284:I284)</f>
        <v>0</v>
      </c>
      <c r="F284" s="12">
        <f>SUMIF('On The Board'!H$5:H$219,"&lt;="&amp;$B284,'On The Board'!$M$5:$M$219)-SUM(G284:I284)</f>
        <v>5</v>
      </c>
      <c r="G284" s="12">
        <f>SUMIF('On The Board'!I$5:I$219,"&lt;="&amp;$B284,'On The Board'!$M$5:$M$219)-SUM(H284,I284)</f>
        <v>2</v>
      </c>
      <c r="H284" s="12">
        <f>SUMIF('On The Board'!J$5:J$219,"&lt;="&amp;$B284,'On The Board'!$M$5:$M$219)-SUM(I284)</f>
        <v>0</v>
      </c>
      <c r="I284" s="12">
        <f>SUMIF('On The Board'!K$5:K$219,"&lt;="&amp;$B284,'On The Board'!$M$5:$M$219)</f>
        <v>70</v>
      </c>
      <c r="J284" s="10">
        <f t="shared" si="41"/>
        <v>77</v>
      </c>
      <c r="K284" s="10" t="e">
        <f t="shared" ca="1" si="42"/>
        <v>#N/A</v>
      </c>
      <c r="L284" s="44" t="e">
        <f t="shared" ca="1" si="46"/>
        <v>#N/A</v>
      </c>
      <c r="M284" s="44" t="e">
        <f t="shared" ca="1" si="45"/>
        <v>#N/A</v>
      </c>
      <c r="N284" s="44" t="e">
        <f t="shared" ca="1" si="44"/>
        <v>#N/A</v>
      </c>
      <c r="O284" s="53" t="e">
        <f t="shared" ca="1" si="47"/>
        <v>#N/A</v>
      </c>
      <c r="P284" s="53" t="str">
        <f ca="1">IFERROR(DayByDayTable[[#This Row],[Lead Time]],"")</f>
        <v/>
      </c>
      <c r="Q284" s="44" t="e">
        <f t="shared" ca="1" si="48"/>
        <v>#N/A</v>
      </c>
      <c r="R284" s="44">
        <f ca="1">ROUND(PERCENTILE(DayByDayTable[[#Data],[BlankLeadTime]],0.8),0)</f>
        <v>8</v>
      </c>
    </row>
    <row r="285" spans="1:18">
      <c r="A285" s="51">
        <f t="shared" si="40"/>
        <v>42815</v>
      </c>
      <c r="B285" s="11">
        <f t="shared" si="43"/>
        <v>42815</v>
      </c>
      <c r="C285" s="47">
        <f>SUMIFS('On The Board'!$M$5:$M$219,'On The Board'!F$5:F$219,"&lt;="&amp;$B285,'On The Board'!E$5:E$219,"="&amp;FutureWork)</f>
        <v>43</v>
      </c>
      <c r="D285" s="12">
        <f ca="1">IF(TodaysDate&gt;=B285,SUMIF('On The Board'!F$5:F$219,"&lt;="&amp;$B285,'On The Board'!$M$5:$M$219)-SUM(E285:I285),D284)</f>
        <v>47</v>
      </c>
      <c r="E285" s="12">
        <f>SUMIF('On The Board'!G$5:G$219,"&lt;="&amp;$B285,'On The Board'!$M$5:$M$219)-SUM(F285:I285)</f>
        <v>0</v>
      </c>
      <c r="F285" s="12">
        <f>SUMIF('On The Board'!H$5:H$219,"&lt;="&amp;$B285,'On The Board'!$M$5:$M$219)-SUM(G285:I285)</f>
        <v>5</v>
      </c>
      <c r="G285" s="12">
        <f>SUMIF('On The Board'!I$5:I$219,"&lt;="&amp;$B285,'On The Board'!$M$5:$M$219)-SUM(H285,I285)</f>
        <v>2</v>
      </c>
      <c r="H285" s="12">
        <f>SUMIF('On The Board'!J$5:J$219,"&lt;="&amp;$B285,'On The Board'!$M$5:$M$219)-SUM(I285)</f>
        <v>0</v>
      </c>
      <c r="I285" s="12">
        <f>SUMIF('On The Board'!K$5:K$219,"&lt;="&amp;$B285,'On The Board'!$M$5:$M$219)</f>
        <v>70</v>
      </c>
      <c r="J285" s="10">
        <f t="shared" si="41"/>
        <v>77</v>
      </c>
      <c r="K285" s="10" t="e">
        <f t="shared" ca="1" si="42"/>
        <v>#N/A</v>
      </c>
      <c r="L285" s="44" t="e">
        <f t="shared" ca="1" si="46"/>
        <v>#N/A</v>
      </c>
      <c r="M285" s="44" t="e">
        <f t="shared" ca="1" si="45"/>
        <v>#N/A</v>
      </c>
      <c r="N285" s="44" t="e">
        <f t="shared" ca="1" si="44"/>
        <v>#N/A</v>
      </c>
      <c r="O285" s="53" t="e">
        <f t="shared" ca="1" si="47"/>
        <v>#N/A</v>
      </c>
      <c r="P285" s="53" t="str">
        <f ca="1">IFERROR(DayByDayTable[[#This Row],[Lead Time]],"")</f>
        <v/>
      </c>
      <c r="Q285" s="44" t="e">
        <f t="shared" ca="1" si="48"/>
        <v>#N/A</v>
      </c>
      <c r="R285" s="44">
        <f ca="1">ROUND(PERCENTILE(DayByDayTable[[#Data],[BlankLeadTime]],0.8),0)</f>
        <v>8</v>
      </c>
    </row>
    <row r="286" spans="1:18">
      <c r="A286" s="51">
        <f t="shared" si="40"/>
        <v>42816</v>
      </c>
      <c r="B286" s="11">
        <f t="shared" si="43"/>
        <v>42816</v>
      </c>
      <c r="C286" s="47">
        <f>SUMIFS('On The Board'!$M$5:$M$219,'On The Board'!F$5:F$219,"&lt;="&amp;$B286,'On The Board'!E$5:E$219,"="&amp;FutureWork)</f>
        <v>43</v>
      </c>
      <c r="D286" s="12">
        <f ca="1">IF(TodaysDate&gt;=B286,SUMIF('On The Board'!F$5:F$219,"&lt;="&amp;$B286,'On The Board'!$M$5:$M$219)-SUM(E286:I286),D285)</f>
        <v>47</v>
      </c>
      <c r="E286" s="12">
        <f>SUMIF('On The Board'!G$5:G$219,"&lt;="&amp;$B286,'On The Board'!$M$5:$M$219)-SUM(F286:I286)</f>
        <v>0</v>
      </c>
      <c r="F286" s="12">
        <f>SUMIF('On The Board'!H$5:H$219,"&lt;="&amp;$B286,'On The Board'!$M$5:$M$219)-SUM(G286:I286)</f>
        <v>5</v>
      </c>
      <c r="G286" s="12">
        <f>SUMIF('On The Board'!I$5:I$219,"&lt;="&amp;$B286,'On The Board'!$M$5:$M$219)-SUM(H286,I286)</f>
        <v>2</v>
      </c>
      <c r="H286" s="12">
        <f>SUMIF('On The Board'!J$5:J$219,"&lt;="&amp;$B286,'On The Board'!$M$5:$M$219)-SUM(I286)</f>
        <v>0</v>
      </c>
      <c r="I286" s="12">
        <f>SUMIF('On The Board'!K$5:K$219,"&lt;="&amp;$B286,'On The Board'!$M$5:$M$219)</f>
        <v>70</v>
      </c>
      <c r="J286" s="10">
        <f t="shared" si="41"/>
        <v>77</v>
      </c>
      <c r="K286" s="10" t="e">
        <f t="shared" ca="1" si="42"/>
        <v>#N/A</v>
      </c>
      <c r="L286" s="44" t="e">
        <f t="shared" ca="1" si="46"/>
        <v>#N/A</v>
      </c>
      <c r="M286" s="44" t="e">
        <f t="shared" ca="1" si="45"/>
        <v>#N/A</v>
      </c>
      <c r="N286" s="44" t="e">
        <f t="shared" ca="1" si="44"/>
        <v>#N/A</v>
      </c>
      <c r="O286" s="53" t="e">
        <f t="shared" ca="1" si="47"/>
        <v>#N/A</v>
      </c>
      <c r="P286" s="53" t="str">
        <f ca="1">IFERROR(DayByDayTable[[#This Row],[Lead Time]],"")</f>
        <v/>
      </c>
      <c r="Q286" s="44" t="e">
        <f t="shared" ca="1" si="48"/>
        <v>#N/A</v>
      </c>
      <c r="R286" s="44">
        <f ca="1">ROUND(PERCENTILE(DayByDayTable[[#Data],[BlankLeadTime]],0.8),0)</f>
        <v>8</v>
      </c>
    </row>
    <row r="287" spans="1:18">
      <c r="A287" s="51">
        <f t="shared" si="40"/>
        <v>42817</v>
      </c>
      <c r="B287" s="11">
        <f t="shared" si="43"/>
        <v>42817</v>
      </c>
      <c r="C287" s="47">
        <f>SUMIFS('On The Board'!$M$5:$M$219,'On The Board'!F$5:F$219,"&lt;="&amp;$B287,'On The Board'!E$5:E$219,"="&amp;FutureWork)</f>
        <v>43</v>
      </c>
      <c r="D287" s="12">
        <f ca="1">IF(TodaysDate&gt;=B287,SUMIF('On The Board'!F$5:F$219,"&lt;="&amp;$B287,'On The Board'!$M$5:$M$219)-SUM(E287:I287),D286)</f>
        <v>47</v>
      </c>
      <c r="E287" s="12">
        <f>SUMIF('On The Board'!G$5:G$219,"&lt;="&amp;$B287,'On The Board'!$M$5:$M$219)-SUM(F287:I287)</f>
        <v>0</v>
      </c>
      <c r="F287" s="12">
        <f>SUMIF('On The Board'!H$5:H$219,"&lt;="&amp;$B287,'On The Board'!$M$5:$M$219)-SUM(G287:I287)</f>
        <v>5</v>
      </c>
      <c r="G287" s="12">
        <f>SUMIF('On The Board'!I$5:I$219,"&lt;="&amp;$B287,'On The Board'!$M$5:$M$219)-SUM(H287,I287)</f>
        <v>2</v>
      </c>
      <c r="H287" s="12">
        <f>SUMIF('On The Board'!J$5:J$219,"&lt;="&amp;$B287,'On The Board'!$M$5:$M$219)-SUM(I287)</f>
        <v>0</v>
      </c>
      <c r="I287" s="12">
        <f>SUMIF('On The Board'!K$5:K$219,"&lt;="&amp;$B287,'On The Board'!$M$5:$M$219)</f>
        <v>70</v>
      </c>
      <c r="J287" s="10">
        <f t="shared" si="41"/>
        <v>77</v>
      </c>
      <c r="K287" s="10" t="e">
        <f t="shared" ca="1" si="42"/>
        <v>#N/A</v>
      </c>
      <c r="L287" s="44" t="e">
        <f t="shared" ca="1" si="46"/>
        <v>#N/A</v>
      </c>
      <c r="M287" s="44" t="e">
        <f t="shared" ca="1" si="45"/>
        <v>#N/A</v>
      </c>
      <c r="N287" s="44" t="e">
        <f t="shared" ca="1" si="44"/>
        <v>#N/A</v>
      </c>
      <c r="O287" s="53" t="e">
        <f t="shared" ca="1" si="47"/>
        <v>#N/A</v>
      </c>
      <c r="P287" s="53" t="str">
        <f ca="1">IFERROR(DayByDayTable[[#This Row],[Lead Time]],"")</f>
        <v/>
      </c>
      <c r="Q287" s="44" t="e">
        <f t="shared" ca="1" si="48"/>
        <v>#N/A</v>
      </c>
      <c r="R287" s="44">
        <f ca="1">ROUND(PERCENTILE(DayByDayTable[[#Data],[BlankLeadTime]],0.8),0)</f>
        <v>8</v>
      </c>
    </row>
    <row r="288" spans="1:18">
      <c r="A288" s="51">
        <f t="shared" si="40"/>
        <v>42818</v>
      </c>
      <c r="B288" s="11">
        <f t="shared" si="43"/>
        <v>42818</v>
      </c>
      <c r="C288" s="47">
        <f>SUMIFS('On The Board'!$M$5:$M$219,'On The Board'!F$5:F$219,"&lt;="&amp;$B288,'On The Board'!E$5:E$219,"="&amp;FutureWork)</f>
        <v>43</v>
      </c>
      <c r="D288" s="12">
        <f ca="1">IF(TodaysDate&gt;=B288,SUMIF('On The Board'!F$5:F$219,"&lt;="&amp;$B288,'On The Board'!$M$5:$M$219)-SUM(E288:I288),D287)</f>
        <v>47</v>
      </c>
      <c r="E288" s="12">
        <f>SUMIF('On The Board'!G$5:G$219,"&lt;="&amp;$B288,'On The Board'!$M$5:$M$219)-SUM(F288:I288)</f>
        <v>0</v>
      </c>
      <c r="F288" s="12">
        <f>SUMIF('On The Board'!H$5:H$219,"&lt;="&amp;$B288,'On The Board'!$M$5:$M$219)-SUM(G288:I288)</f>
        <v>5</v>
      </c>
      <c r="G288" s="12">
        <f>SUMIF('On The Board'!I$5:I$219,"&lt;="&amp;$B288,'On The Board'!$M$5:$M$219)-SUM(H288,I288)</f>
        <v>2</v>
      </c>
      <c r="H288" s="12">
        <f>SUMIF('On The Board'!J$5:J$219,"&lt;="&amp;$B288,'On The Board'!$M$5:$M$219)-SUM(I288)</f>
        <v>0</v>
      </c>
      <c r="I288" s="12">
        <f>SUMIF('On The Board'!K$5:K$219,"&lt;="&amp;$B288,'On The Board'!$M$5:$M$219)</f>
        <v>70</v>
      </c>
      <c r="J288" s="10">
        <f t="shared" si="41"/>
        <v>77</v>
      </c>
      <c r="K288" s="10" t="e">
        <f t="shared" ca="1" si="42"/>
        <v>#N/A</v>
      </c>
      <c r="L288" s="44" t="e">
        <f t="shared" ca="1" si="46"/>
        <v>#N/A</v>
      </c>
      <c r="M288" s="44" t="e">
        <f t="shared" ca="1" si="45"/>
        <v>#N/A</v>
      </c>
      <c r="N288" s="44" t="e">
        <f t="shared" ca="1" si="44"/>
        <v>#N/A</v>
      </c>
      <c r="O288" s="53" t="e">
        <f t="shared" ca="1" si="47"/>
        <v>#N/A</v>
      </c>
      <c r="P288" s="53" t="str">
        <f ca="1">IFERROR(DayByDayTable[[#This Row],[Lead Time]],"")</f>
        <v/>
      </c>
      <c r="Q288" s="44" t="e">
        <f t="shared" ca="1" si="48"/>
        <v>#N/A</v>
      </c>
      <c r="R288" s="44">
        <f ca="1">ROUND(PERCENTILE(DayByDayTable[[#Data],[BlankLeadTime]],0.8),0)</f>
        <v>8</v>
      </c>
    </row>
    <row r="289" spans="1:18">
      <c r="A289" s="51">
        <f t="shared" si="40"/>
        <v>42821</v>
      </c>
      <c r="B289" s="11">
        <f t="shared" si="43"/>
        <v>42821</v>
      </c>
      <c r="C289" s="47">
        <f>SUMIFS('On The Board'!$M$5:$M$219,'On The Board'!F$5:F$219,"&lt;="&amp;$B289,'On The Board'!E$5:E$219,"="&amp;FutureWork)</f>
        <v>43</v>
      </c>
      <c r="D289" s="12">
        <f ca="1">IF(TodaysDate&gt;=B289,SUMIF('On The Board'!F$5:F$219,"&lt;="&amp;$B289,'On The Board'!$M$5:$M$219)-SUM(E289:I289),D288)</f>
        <v>47</v>
      </c>
      <c r="E289" s="12">
        <f>SUMIF('On The Board'!G$5:G$219,"&lt;="&amp;$B289,'On The Board'!$M$5:$M$219)-SUM(F289:I289)</f>
        <v>0</v>
      </c>
      <c r="F289" s="12">
        <f>SUMIF('On The Board'!H$5:H$219,"&lt;="&amp;$B289,'On The Board'!$M$5:$M$219)-SUM(G289:I289)</f>
        <v>5</v>
      </c>
      <c r="G289" s="12">
        <f>SUMIF('On The Board'!I$5:I$219,"&lt;="&amp;$B289,'On The Board'!$M$5:$M$219)-SUM(H289,I289)</f>
        <v>2</v>
      </c>
      <c r="H289" s="12">
        <f>SUMIF('On The Board'!J$5:J$219,"&lt;="&amp;$B289,'On The Board'!$M$5:$M$219)-SUM(I289)</f>
        <v>0</v>
      </c>
      <c r="I289" s="12">
        <f>SUMIF('On The Board'!K$5:K$219,"&lt;="&amp;$B289,'On The Board'!$M$5:$M$219)</f>
        <v>70</v>
      </c>
      <c r="J289" s="10">
        <f t="shared" si="41"/>
        <v>77</v>
      </c>
      <c r="K289" s="10" t="e">
        <f t="shared" ca="1" si="42"/>
        <v>#N/A</v>
      </c>
      <c r="L289" s="44" t="e">
        <f t="shared" ca="1" si="46"/>
        <v>#N/A</v>
      </c>
      <c r="M289" s="44" t="e">
        <f t="shared" ca="1" si="45"/>
        <v>#N/A</v>
      </c>
      <c r="N289" s="44" t="e">
        <f t="shared" ca="1" si="44"/>
        <v>#N/A</v>
      </c>
      <c r="O289" s="53" t="e">
        <f t="shared" ca="1" si="47"/>
        <v>#N/A</v>
      </c>
      <c r="P289" s="53" t="str">
        <f ca="1">IFERROR(DayByDayTable[[#This Row],[Lead Time]],"")</f>
        <v/>
      </c>
      <c r="Q289" s="44" t="e">
        <f t="shared" ca="1" si="48"/>
        <v>#N/A</v>
      </c>
      <c r="R289" s="44">
        <f ca="1">ROUND(PERCENTILE(DayByDayTable[[#Data],[BlankLeadTime]],0.8),0)</f>
        <v>8</v>
      </c>
    </row>
    <row r="290" spans="1:18">
      <c r="A290" s="51">
        <f t="shared" si="40"/>
        <v>42822</v>
      </c>
      <c r="B290" s="11">
        <f t="shared" si="43"/>
        <v>42822</v>
      </c>
      <c r="C290" s="47">
        <f>SUMIFS('On The Board'!$M$5:$M$219,'On The Board'!F$5:F$219,"&lt;="&amp;$B290,'On The Board'!E$5:E$219,"="&amp;FutureWork)</f>
        <v>43</v>
      </c>
      <c r="D290" s="12">
        <f ca="1">IF(TodaysDate&gt;=B290,SUMIF('On The Board'!F$5:F$219,"&lt;="&amp;$B290,'On The Board'!$M$5:$M$219)-SUM(E290:I290),D289)</f>
        <v>47</v>
      </c>
      <c r="E290" s="12">
        <f>SUMIF('On The Board'!G$5:G$219,"&lt;="&amp;$B290,'On The Board'!$M$5:$M$219)-SUM(F290:I290)</f>
        <v>0</v>
      </c>
      <c r="F290" s="12">
        <f>SUMIF('On The Board'!H$5:H$219,"&lt;="&amp;$B290,'On The Board'!$M$5:$M$219)-SUM(G290:I290)</f>
        <v>5</v>
      </c>
      <c r="G290" s="12">
        <f>SUMIF('On The Board'!I$5:I$219,"&lt;="&amp;$B290,'On The Board'!$M$5:$M$219)-SUM(H290,I290)</f>
        <v>2</v>
      </c>
      <c r="H290" s="12">
        <f>SUMIF('On The Board'!J$5:J$219,"&lt;="&amp;$B290,'On The Board'!$M$5:$M$219)-SUM(I290)</f>
        <v>0</v>
      </c>
      <c r="I290" s="12">
        <f>SUMIF('On The Board'!K$5:K$219,"&lt;="&amp;$B290,'On The Board'!$M$5:$M$219)</f>
        <v>70</v>
      </c>
      <c r="J290" s="10">
        <f t="shared" si="41"/>
        <v>77</v>
      </c>
      <c r="K290" s="10" t="e">
        <f t="shared" ca="1" si="42"/>
        <v>#N/A</v>
      </c>
      <c r="L290" s="44" t="e">
        <f t="shared" ca="1" si="46"/>
        <v>#N/A</v>
      </c>
      <c r="M290" s="44" t="e">
        <f t="shared" ca="1" si="45"/>
        <v>#N/A</v>
      </c>
      <c r="N290" s="44" t="e">
        <f t="shared" ca="1" si="44"/>
        <v>#N/A</v>
      </c>
      <c r="O290" s="53" t="e">
        <f t="shared" ca="1" si="47"/>
        <v>#N/A</v>
      </c>
      <c r="P290" s="53" t="str">
        <f ca="1">IFERROR(DayByDayTable[[#This Row],[Lead Time]],"")</f>
        <v/>
      </c>
      <c r="Q290" s="44" t="e">
        <f t="shared" ca="1" si="48"/>
        <v>#N/A</v>
      </c>
      <c r="R290" s="44">
        <f ca="1">ROUND(PERCENTILE(DayByDayTable[[#Data],[BlankLeadTime]],0.8),0)</f>
        <v>8</v>
      </c>
    </row>
    <row r="291" spans="1:18">
      <c r="A291" s="51">
        <f t="shared" si="40"/>
        <v>42823</v>
      </c>
      <c r="B291" s="11">
        <f t="shared" si="43"/>
        <v>42823</v>
      </c>
      <c r="C291" s="47">
        <f>SUMIFS('On The Board'!$M$5:$M$219,'On The Board'!F$5:F$219,"&lt;="&amp;$B291,'On The Board'!E$5:E$219,"="&amp;FutureWork)</f>
        <v>43</v>
      </c>
      <c r="D291" s="12">
        <f ca="1">IF(TodaysDate&gt;=B291,SUMIF('On The Board'!F$5:F$219,"&lt;="&amp;$B291,'On The Board'!$M$5:$M$219)-SUM(E291:I291),D290)</f>
        <v>47</v>
      </c>
      <c r="E291" s="12">
        <f>SUMIF('On The Board'!G$5:G$219,"&lt;="&amp;$B291,'On The Board'!$M$5:$M$219)-SUM(F291:I291)</f>
        <v>0</v>
      </c>
      <c r="F291" s="12">
        <f>SUMIF('On The Board'!H$5:H$219,"&lt;="&amp;$B291,'On The Board'!$M$5:$M$219)-SUM(G291:I291)</f>
        <v>5</v>
      </c>
      <c r="G291" s="12">
        <f>SUMIF('On The Board'!I$5:I$219,"&lt;="&amp;$B291,'On The Board'!$M$5:$M$219)-SUM(H291,I291)</f>
        <v>2</v>
      </c>
      <c r="H291" s="12">
        <f>SUMIF('On The Board'!J$5:J$219,"&lt;="&amp;$B291,'On The Board'!$M$5:$M$219)-SUM(I291)</f>
        <v>0</v>
      </c>
      <c r="I291" s="12">
        <f>SUMIF('On The Board'!K$5:K$219,"&lt;="&amp;$B291,'On The Board'!$M$5:$M$219)</f>
        <v>70</v>
      </c>
      <c r="J291" s="10">
        <f t="shared" si="41"/>
        <v>77</v>
      </c>
      <c r="K291" s="10" t="e">
        <f t="shared" ca="1" si="42"/>
        <v>#N/A</v>
      </c>
      <c r="L291" s="44" t="e">
        <f t="shared" ca="1" si="46"/>
        <v>#N/A</v>
      </c>
      <c r="M291" s="44" t="e">
        <f t="shared" ca="1" si="45"/>
        <v>#N/A</v>
      </c>
      <c r="N291" s="44" t="e">
        <f t="shared" ca="1" si="44"/>
        <v>#N/A</v>
      </c>
      <c r="O291" s="53" t="e">
        <f t="shared" ca="1" si="47"/>
        <v>#N/A</v>
      </c>
      <c r="P291" s="53" t="str">
        <f ca="1">IFERROR(DayByDayTable[[#This Row],[Lead Time]],"")</f>
        <v/>
      </c>
      <c r="Q291" s="44" t="e">
        <f t="shared" ca="1" si="48"/>
        <v>#N/A</v>
      </c>
      <c r="R291" s="44">
        <f ca="1">ROUND(PERCENTILE(DayByDayTable[[#Data],[BlankLeadTime]],0.8),0)</f>
        <v>8</v>
      </c>
    </row>
    <row r="292" spans="1:18">
      <c r="A292" s="51">
        <f t="shared" si="40"/>
        <v>42824</v>
      </c>
      <c r="B292" s="11">
        <f t="shared" si="43"/>
        <v>42824</v>
      </c>
      <c r="C292" s="47">
        <f>SUMIFS('On The Board'!$M$5:$M$219,'On The Board'!F$5:F$219,"&lt;="&amp;$B292,'On The Board'!E$5:E$219,"="&amp;FutureWork)</f>
        <v>43</v>
      </c>
      <c r="D292" s="12">
        <f ca="1">IF(TodaysDate&gt;=B292,SUMIF('On The Board'!F$5:F$219,"&lt;="&amp;$B292,'On The Board'!$M$5:$M$219)-SUM(E292:I292),D291)</f>
        <v>47</v>
      </c>
      <c r="E292" s="12">
        <f>SUMIF('On The Board'!G$5:G$219,"&lt;="&amp;$B292,'On The Board'!$M$5:$M$219)-SUM(F292:I292)</f>
        <v>0</v>
      </c>
      <c r="F292" s="12">
        <f>SUMIF('On The Board'!H$5:H$219,"&lt;="&amp;$B292,'On The Board'!$M$5:$M$219)-SUM(G292:I292)</f>
        <v>5</v>
      </c>
      <c r="G292" s="12">
        <f>SUMIF('On The Board'!I$5:I$219,"&lt;="&amp;$B292,'On The Board'!$M$5:$M$219)-SUM(H292,I292)</f>
        <v>2</v>
      </c>
      <c r="H292" s="12">
        <f>SUMIF('On The Board'!J$5:J$219,"&lt;="&amp;$B292,'On The Board'!$M$5:$M$219)-SUM(I292)</f>
        <v>0</v>
      </c>
      <c r="I292" s="12">
        <f>SUMIF('On The Board'!K$5:K$219,"&lt;="&amp;$B292,'On The Board'!$M$5:$M$219)</f>
        <v>70</v>
      </c>
      <c r="J292" s="10">
        <f t="shared" si="41"/>
        <v>77</v>
      </c>
      <c r="K292" s="10" t="e">
        <f t="shared" ca="1" si="42"/>
        <v>#N/A</v>
      </c>
      <c r="L292" s="44" t="e">
        <f t="shared" ca="1" si="46"/>
        <v>#N/A</v>
      </c>
      <c r="M292" s="44" t="e">
        <f t="shared" ca="1" si="45"/>
        <v>#N/A</v>
      </c>
      <c r="N292" s="44" t="e">
        <f t="shared" ca="1" si="44"/>
        <v>#N/A</v>
      </c>
      <c r="O292" s="53" t="e">
        <f t="shared" ca="1" si="47"/>
        <v>#N/A</v>
      </c>
      <c r="P292" s="53" t="str">
        <f ca="1">IFERROR(DayByDayTable[[#This Row],[Lead Time]],"")</f>
        <v/>
      </c>
      <c r="Q292" s="44" t="e">
        <f t="shared" ca="1" si="48"/>
        <v>#N/A</v>
      </c>
      <c r="R292" s="44">
        <f ca="1">ROUND(PERCENTILE(DayByDayTable[[#Data],[BlankLeadTime]],0.8),0)</f>
        <v>8</v>
      </c>
    </row>
    <row r="293" spans="1:18">
      <c r="A293" s="51">
        <f t="shared" si="40"/>
        <v>42825</v>
      </c>
      <c r="B293" s="11">
        <f t="shared" si="43"/>
        <v>42825</v>
      </c>
      <c r="C293" s="47">
        <f>SUMIFS('On The Board'!$M$5:$M$219,'On The Board'!F$5:F$219,"&lt;="&amp;$B293,'On The Board'!E$5:E$219,"="&amp;FutureWork)</f>
        <v>43</v>
      </c>
      <c r="D293" s="12">
        <f ca="1">IF(TodaysDate&gt;=B293,SUMIF('On The Board'!F$5:F$219,"&lt;="&amp;$B293,'On The Board'!$M$5:$M$219)-SUM(E293:I293),D292)</f>
        <v>47</v>
      </c>
      <c r="E293" s="12">
        <f>SUMIF('On The Board'!G$5:G$219,"&lt;="&amp;$B293,'On The Board'!$M$5:$M$219)-SUM(F293:I293)</f>
        <v>0</v>
      </c>
      <c r="F293" s="12">
        <f>SUMIF('On The Board'!H$5:H$219,"&lt;="&amp;$B293,'On The Board'!$M$5:$M$219)-SUM(G293:I293)</f>
        <v>5</v>
      </c>
      <c r="G293" s="12">
        <f>SUMIF('On The Board'!I$5:I$219,"&lt;="&amp;$B293,'On The Board'!$M$5:$M$219)-SUM(H293,I293)</f>
        <v>2</v>
      </c>
      <c r="H293" s="12">
        <f>SUMIF('On The Board'!J$5:J$219,"&lt;="&amp;$B293,'On The Board'!$M$5:$M$219)-SUM(I293)</f>
        <v>0</v>
      </c>
      <c r="I293" s="12">
        <f>SUMIF('On The Board'!K$5:K$219,"&lt;="&amp;$B293,'On The Board'!$M$5:$M$219)</f>
        <v>70</v>
      </c>
      <c r="J293" s="10">
        <f t="shared" si="41"/>
        <v>77</v>
      </c>
      <c r="K293" s="10" t="e">
        <f t="shared" ca="1" si="42"/>
        <v>#N/A</v>
      </c>
      <c r="L293" s="44" t="e">
        <f t="shared" ca="1" si="46"/>
        <v>#N/A</v>
      </c>
      <c r="M293" s="44" t="e">
        <f t="shared" ca="1" si="45"/>
        <v>#N/A</v>
      </c>
      <c r="N293" s="44" t="e">
        <f t="shared" ca="1" si="44"/>
        <v>#N/A</v>
      </c>
      <c r="O293" s="53" t="e">
        <f t="shared" ca="1" si="47"/>
        <v>#N/A</v>
      </c>
      <c r="P293" s="53" t="str">
        <f ca="1">IFERROR(DayByDayTable[[#This Row],[Lead Time]],"")</f>
        <v/>
      </c>
      <c r="Q293" s="44" t="e">
        <f t="shared" ca="1" si="48"/>
        <v>#N/A</v>
      </c>
      <c r="R293" s="44">
        <f ca="1">ROUND(PERCENTILE(DayByDayTable[[#Data],[BlankLeadTime]],0.8),0)</f>
        <v>8</v>
      </c>
    </row>
    <row r="294" spans="1:18">
      <c r="A294" s="51">
        <f t="shared" si="40"/>
        <v>42828</v>
      </c>
      <c r="B294" s="11">
        <f t="shared" si="43"/>
        <v>42828</v>
      </c>
      <c r="C294" s="47">
        <f>SUMIFS('On The Board'!$M$5:$M$219,'On The Board'!F$5:F$219,"&lt;="&amp;$B294,'On The Board'!E$5:E$219,"="&amp;FutureWork)</f>
        <v>43</v>
      </c>
      <c r="D294" s="12">
        <f ca="1">IF(TodaysDate&gt;=B294,SUMIF('On The Board'!F$5:F$219,"&lt;="&amp;$B294,'On The Board'!$M$5:$M$219)-SUM(E294:I294),D293)</f>
        <v>47</v>
      </c>
      <c r="E294" s="12">
        <f>SUMIF('On The Board'!G$5:G$219,"&lt;="&amp;$B294,'On The Board'!$M$5:$M$219)-SUM(F294:I294)</f>
        <v>0</v>
      </c>
      <c r="F294" s="12">
        <f>SUMIF('On The Board'!H$5:H$219,"&lt;="&amp;$B294,'On The Board'!$M$5:$M$219)-SUM(G294:I294)</f>
        <v>5</v>
      </c>
      <c r="G294" s="12">
        <f>SUMIF('On The Board'!I$5:I$219,"&lt;="&amp;$B294,'On The Board'!$M$5:$M$219)-SUM(H294,I294)</f>
        <v>2</v>
      </c>
      <c r="H294" s="12">
        <f>SUMIF('On The Board'!J$5:J$219,"&lt;="&amp;$B294,'On The Board'!$M$5:$M$219)-SUM(I294)</f>
        <v>0</v>
      </c>
      <c r="I294" s="12">
        <f>SUMIF('On The Board'!K$5:K$219,"&lt;="&amp;$B294,'On The Board'!$M$5:$M$219)</f>
        <v>70</v>
      </c>
      <c r="J294" s="10">
        <f t="shared" si="41"/>
        <v>77</v>
      </c>
      <c r="K294" s="10" t="e">
        <f t="shared" ca="1" si="42"/>
        <v>#N/A</v>
      </c>
      <c r="L294" s="44" t="e">
        <f t="shared" ca="1" si="46"/>
        <v>#N/A</v>
      </c>
      <c r="M294" s="44" t="e">
        <f t="shared" ca="1" si="45"/>
        <v>#N/A</v>
      </c>
      <c r="N294" s="44" t="e">
        <f t="shared" ca="1" si="44"/>
        <v>#N/A</v>
      </c>
      <c r="O294" s="53" t="e">
        <f t="shared" ca="1" si="47"/>
        <v>#N/A</v>
      </c>
      <c r="P294" s="53" t="str">
        <f ca="1">IFERROR(DayByDayTable[[#This Row],[Lead Time]],"")</f>
        <v/>
      </c>
      <c r="Q294" s="44" t="e">
        <f t="shared" ca="1" si="48"/>
        <v>#N/A</v>
      </c>
      <c r="R294" s="44">
        <f ca="1">ROUND(PERCENTILE(DayByDayTable[[#Data],[BlankLeadTime]],0.8),0)</f>
        <v>8</v>
      </c>
    </row>
    <row r="295" spans="1:18">
      <c r="A295" s="51">
        <f t="shared" si="40"/>
        <v>42829</v>
      </c>
      <c r="B295" s="11">
        <f t="shared" si="43"/>
        <v>42829</v>
      </c>
      <c r="C295" s="47">
        <f>SUMIFS('On The Board'!$M$5:$M$219,'On The Board'!F$5:F$219,"&lt;="&amp;$B295,'On The Board'!E$5:E$219,"="&amp;FutureWork)</f>
        <v>43</v>
      </c>
      <c r="D295" s="12">
        <f ca="1">IF(TodaysDate&gt;=B295,SUMIF('On The Board'!F$5:F$219,"&lt;="&amp;$B295,'On The Board'!$M$5:$M$219)-SUM(E295:I295),D294)</f>
        <v>47</v>
      </c>
      <c r="E295" s="12">
        <f>SUMIF('On The Board'!G$5:G$219,"&lt;="&amp;$B295,'On The Board'!$M$5:$M$219)-SUM(F295:I295)</f>
        <v>0</v>
      </c>
      <c r="F295" s="12">
        <f>SUMIF('On The Board'!H$5:H$219,"&lt;="&amp;$B295,'On The Board'!$M$5:$M$219)-SUM(G295:I295)</f>
        <v>5</v>
      </c>
      <c r="G295" s="12">
        <f>SUMIF('On The Board'!I$5:I$219,"&lt;="&amp;$B295,'On The Board'!$M$5:$M$219)-SUM(H295,I295)</f>
        <v>2</v>
      </c>
      <c r="H295" s="12">
        <f>SUMIF('On The Board'!J$5:J$219,"&lt;="&amp;$B295,'On The Board'!$M$5:$M$219)-SUM(I295)</f>
        <v>0</v>
      </c>
      <c r="I295" s="12">
        <f>SUMIF('On The Board'!K$5:K$219,"&lt;="&amp;$B295,'On The Board'!$M$5:$M$219)</f>
        <v>70</v>
      </c>
      <c r="J295" s="10">
        <f t="shared" si="41"/>
        <v>77</v>
      </c>
      <c r="K295" s="10" t="e">
        <f t="shared" ca="1" si="42"/>
        <v>#N/A</v>
      </c>
      <c r="L295" s="44" t="e">
        <f t="shared" ca="1" si="46"/>
        <v>#N/A</v>
      </c>
      <c r="M295" s="44" t="e">
        <f t="shared" ca="1" si="45"/>
        <v>#N/A</v>
      </c>
      <c r="N295" s="44" t="e">
        <f t="shared" ca="1" si="44"/>
        <v>#N/A</v>
      </c>
      <c r="O295" s="53" t="e">
        <f t="shared" ca="1" si="47"/>
        <v>#N/A</v>
      </c>
      <c r="P295" s="53" t="str">
        <f ca="1">IFERROR(DayByDayTable[[#This Row],[Lead Time]],"")</f>
        <v/>
      </c>
      <c r="Q295" s="44" t="e">
        <f t="shared" ca="1" si="48"/>
        <v>#N/A</v>
      </c>
      <c r="R295" s="44">
        <f ca="1">ROUND(PERCENTILE(DayByDayTable[[#Data],[BlankLeadTime]],0.8),0)</f>
        <v>8</v>
      </c>
    </row>
    <row r="296" spans="1:18">
      <c r="A296" s="51">
        <f t="shared" si="40"/>
        <v>42830</v>
      </c>
      <c r="B296" s="11">
        <f t="shared" si="43"/>
        <v>42830</v>
      </c>
      <c r="C296" s="47">
        <f>SUMIFS('On The Board'!$M$5:$M$219,'On The Board'!F$5:F$219,"&lt;="&amp;$B296,'On The Board'!E$5:E$219,"="&amp;FutureWork)</f>
        <v>43</v>
      </c>
      <c r="D296" s="12">
        <f ca="1">IF(TodaysDate&gt;=B296,SUMIF('On The Board'!F$5:F$219,"&lt;="&amp;$B296,'On The Board'!$M$5:$M$219)-SUM(E296:I296),D295)</f>
        <v>47</v>
      </c>
      <c r="E296" s="12">
        <f>SUMIF('On The Board'!G$5:G$219,"&lt;="&amp;$B296,'On The Board'!$M$5:$M$219)-SUM(F296:I296)</f>
        <v>0</v>
      </c>
      <c r="F296" s="12">
        <f>SUMIF('On The Board'!H$5:H$219,"&lt;="&amp;$B296,'On The Board'!$M$5:$M$219)-SUM(G296:I296)</f>
        <v>5</v>
      </c>
      <c r="G296" s="12">
        <f>SUMIF('On The Board'!I$5:I$219,"&lt;="&amp;$B296,'On The Board'!$M$5:$M$219)-SUM(H296,I296)</f>
        <v>2</v>
      </c>
      <c r="H296" s="12">
        <f>SUMIF('On The Board'!J$5:J$219,"&lt;="&amp;$B296,'On The Board'!$M$5:$M$219)-SUM(I296)</f>
        <v>0</v>
      </c>
      <c r="I296" s="12">
        <f>SUMIF('On The Board'!K$5:K$219,"&lt;="&amp;$B296,'On The Board'!$M$5:$M$219)</f>
        <v>70</v>
      </c>
      <c r="J296" s="10">
        <f t="shared" si="41"/>
        <v>77</v>
      </c>
      <c r="K296" s="10" t="e">
        <f t="shared" ca="1" si="42"/>
        <v>#N/A</v>
      </c>
      <c r="L296" s="44" t="e">
        <f t="shared" ca="1" si="46"/>
        <v>#N/A</v>
      </c>
      <c r="M296" s="44" t="e">
        <f t="shared" ca="1" si="45"/>
        <v>#N/A</v>
      </c>
      <c r="N296" s="44" t="e">
        <f t="shared" ca="1" si="44"/>
        <v>#N/A</v>
      </c>
      <c r="O296" s="53" t="e">
        <f t="shared" ca="1" si="47"/>
        <v>#N/A</v>
      </c>
      <c r="P296" s="53" t="str">
        <f ca="1">IFERROR(DayByDayTable[[#This Row],[Lead Time]],"")</f>
        <v/>
      </c>
      <c r="Q296" s="44" t="e">
        <f t="shared" ca="1" si="48"/>
        <v>#N/A</v>
      </c>
      <c r="R296" s="44">
        <f ca="1">ROUND(PERCENTILE(DayByDayTable[[#Data],[BlankLeadTime]],0.8),0)</f>
        <v>8</v>
      </c>
    </row>
    <row r="297" spans="1:18">
      <c r="A297" s="51">
        <f t="shared" si="40"/>
        <v>42831</v>
      </c>
      <c r="B297" s="11">
        <f t="shared" si="43"/>
        <v>42831</v>
      </c>
      <c r="C297" s="47">
        <f>SUMIFS('On The Board'!$M$5:$M$219,'On The Board'!F$5:F$219,"&lt;="&amp;$B297,'On The Board'!E$5:E$219,"="&amp;FutureWork)</f>
        <v>43</v>
      </c>
      <c r="D297" s="12">
        <f ca="1">IF(TodaysDate&gt;=B297,SUMIF('On The Board'!F$5:F$219,"&lt;="&amp;$B297,'On The Board'!$M$5:$M$219)-SUM(E297:I297),D296)</f>
        <v>47</v>
      </c>
      <c r="E297" s="12">
        <f>SUMIF('On The Board'!G$5:G$219,"&lt;="&amp;$B297,'On The Board'!$M$5:$M$219)-SUM(F297:I297)</f>
        <v>0</v>
      </c>
      <c r="F297" s="12">
        <f>SUMIF('On The Board'!H$5:H$219,"&lt;="&amp;$B297,'On The Board'!$M$5:$M$219)-SUM(G297:I297)</f>
        <v>5</v>
      </c>
      <c r="G297" s="12">
        <f>SUMIF('On The Board'!I$5:I$219,"&lt;="&amp;$B297,'On The Board'!$M$5:$M$219)-SUM(H297,I297)</f>
        <v>2</v>
      </c>
      <c r="H297" s="12">
        <f>SUMIF('On The Board'!J$5:J$219,"&lt;="&amp;$B297,'On The Board'!$M$5:$M$219)-SUM(I297)</f>
        <v>0</v>
      </c>
      <c r="I297" s="12">
        <f>SUMIF('On The Board'!K$5:K$219,"&lt;="&amp;$B297,'On The Board'!$M$5:$M$219)</f>
        <v>70</v>
      </c>
      <c r="J297" s="10">
        <f t="shared" si="41"/>
        <v>77</v>
      </c>
      <c r="K297" s="10" t="e">
        <f t="shared" ca="1" si="42"/>
        <v>#N/A</v>
      </c>
      <c r="L297" s="44" t="e">
        <f t="shared" ca="1" si="46"/>
        <v>#N/A</v>
      </c>
      <c r="M297" s="44" t="e">
        <f t="shared" ca="1" si="45"/>
        <v>#N/A</v>
      </c>
      <c r="N297" s="44" t="e">
        <f t="shared" ca="1" si="44"/>
        <v>#N/A</v>
      </c>
      <c r="O297" s="53" t="e">
        <f t="shared" ca="1" si="47"/>
        <v>#N/A</v>
      </c>
      <c r="P297" s="53" t="str">
        <f ca="1">IFERROR(DayByDayTable[[#This Row],[Lead Time]],"")</f>
        <v/>
      </c>
      <c r="Q297" s="44" t="e">
        <f t="shared" ca="1" si="48"/>
        <v>#N/A</v>
      </c>
      <c r="R297" s="44">
        <f ca="1">ROUND(PERCENTILE(DayByDayTable[[#Data],[BlankLeadTime]],0.8),0)</f>
        <v>8</v>
      </c>
    </row>
    <row r="298" spans="1:18">
      <c r="A298" s="51">
        <f t="shared" si="40"/>
        <v>42832</v>
      </c>
      <c r="B298" s="11">
        <f t="shared" si="43"/>
        <v>42832</v>
      </c>
      <c r="C298" s="47">
        <f>SUMIFS('On The Board'!$M$5:$M$219,'On The Board'!F$5:F$219,"&lt;="&amp;$B298,'On The Board'!E$5:E$219,"="&amp;FutureWork)</f>
        <v>43</v>
      </c>
      <c r="D298" s="12">
        <f ca="1">IF(TodaysDate&gt;=B298,SUMIF('On The Board'!F$5:F$219,"&lt;="&amp;$B298,'On The Board'!$M$5:$M$219)-SUM(E298:I298),D297)</f>
        <v>47</v>
      </c>
      <c r="E298" s="12">
        <f>SUMIF('On The Board'!G$5:G$219,"&lt;="&amp;$B298,'On The Board'!$M$5:$M$219)-SUM(F298:I298)</f>
        <v>0</v>
      </c>
      <c r="F298" s="12">
        <f>SUMIF('On The Board'!H$5:H$219,"&lt;="&amp;$B298,'On The Board'!$M$5:$M$219)-SUM(G298:I298)</f>
        <v>5</v>
      </c>
      <c r="G298" s="12">
        <f>SUMIF('On The Board'!I$5:I$219,"&lt;="&amp;$B298,'On The Board'!$M$5:$M$219)-SUM(H298,I298)</f>
        <v>2</v>
      </c>
      <c r="H298" s="12">
        <f>SUMIF('On The Board'!J$5:J$219,"&lt;="&amp;$B298,'On The Board'!$M$5:$M$219)-SUM(I298)</f>
        <v>0</v>
      </c>
      <c r="I298" s="12">
        <f>SUMIF('On The Board'!K$5:K$219,"&lt;="&amp;$B298,'On The Board'!$M$5:$M$219)</f>
        <v>70</v>
      </c>
      <c r="J298" s="10">
        <f t="shared" si="41"/>
        <v>77</v>
      </c>
      <c r="K298" s="10" t="e">
        <f t="shared" ca="1" si="42"/>
        <v>#N/A</v>
      </c>
      <c r="L298" s="44" t="e">
        <f t="shared" ca="1" si="46"/>
        <v>#N/A</v>
      </c>
      <c r="M298" s="44" t="e">
        <f t="shared" ca="1" si="45"/>
        <v>#N/A</v>
      </c>
      <c r="N298" s="44" t="e">
        <f t="shared" ca="1" si="44"/>
        <v>#N/A</v>
      </c>
      <c r="O298" s="53" t="e">
        <f t="shared" ca="1" si="47"/>
        <v>#N/A</v>
      </c>
      <c r="P298" s="53" t="str">
        <f ca="1">IFERROR(DayByDayTable[[#This Row],[Lead Time]],"")</f>
        <v/>
      </c>
      <c r="Q298" s="44" t="e">
        <f t="shared" ca="1" si="48"/>
        <v>#N/A</v>
      </c>
      <c r="R298" s="44">
        <f ca="1">ROUND(PERCENTILE(DayByDayTable[[#Data],[BlankLeadTime]],0.8),0)</f>
        <v>8</v>
      </c>
    </row>
    <row r="299" spans="1:18">
      <c r="A299" s="51">
        <f t="shared" si="40"/>
        <v>42835</v>
      </c>
      <c r="B299" s="11">
        <f t="shared" si="43"/>
        <v>42835</v>
      </c>
      <c r="C299" s="47">
        <f>SUMIFS('On The Board'!$M$5:$M$219,'On The Board'!F$5:F$219,"&lt;="&amp;$B299,'On The Board'!E$5:E$219,"="&amp;FutureWork)</f>
        <v>43</v>
      </c>
      <c r="D299" s="12">
        <f ca="1">IF(TodaysDate&gt;=B299,SUMIF('On The Board'!F$5:F$219,"&lt;="&amp;$B299,'On The Board'!$M$5:$M$219)-SUM(E299:I299),D298)</f>
        <v>47</v>
      </c>
      <c r="E299" s="12">
        <f>SUMIF('On The Board'!G$5:G$219,"&lt;="&amp;$B299,'On The Board'!$M$5:$M$219)-SUM(F299:I299)</f>
        <v>0</v>
      </c>
      <c r="F299" s="12">
        <f>SUMIF('On The Board'!H$5:H$219,"&lt;="&amp;$B299,'On The Board'!$M$5:$M$219)-SUM(G299:I299)</f>
        <v>5</v>
      </c>
      <c r="G299" s="12">
        <f>SUMIF('On The Board'!I$5:I$219,"&lt;="&amp;$B299,'On The Board'!$M$5:$M$219)-SUM(H299,I299)</f>
        <v>2</v>
      </c>
      <c r="H299" s="12">
        <f>SUMIF('On The Board'!J$5:J$219,"&lt;="&amp;$B299,'On The Board'!$M$5:$M$219)-SUM(I299)</f>
        <v>0</v>
      </c>
      <c r="I299" s="12">
        <f>SUMIF('On The Board'!K$5:K$219,"&lt;="&amp;$B299,'On The Board'!$M$5:$M$219)</f>
        <v>70</v>
      </c>
      <c r="J299" s="10">
        <f t="shared" si="41"/>
        <v>77</v>
      </c>
      <c r="K299" s="10" t="e">
        <f t="shared" ca="1" si="42"/>
        <v>#N/A</v>
      </c>
      <c r="L299" s="44" t="e">
        <f t="shared" ca="1" si="46"/>
        <v>#N/A</v>
      </c>
      <c r="M299" s="44" t="e">
        <f t="shared" ca="1" si="45"/>
        <v>#N/A</v>
      </c>
      <c r="N299" s="44" t="e">
        <f t="shared" ca="1" si="44"/>
        <v>#N/A</v>
      </c>
      <c r="O299" s="53" t="e">
        <f t="shared" ca="1" si="47"/>
        <v>#N/A</v>
      </c>
      <c r="P299" s="53" t="str">
        <f ca="1">IFERROR(DayByDayTable[[#This Row],[Lead Time]],"")</f>
        <v/>
      </c>
      <c r="Q299" s="44" t="e">
        <f t="shared" ca="1" si="48"/>
        <v>#N/A</v>
      </c>
      <c r="R299" s="44">
        <f ca="1">ROUND(PERCENTILE(DayByDayTable[[#Data],[BlankLeadTime]],0.8),0)</f>
        <v>8</v>
      </c>
    </row>
    <row r="300" spans="1:18">
      <c r="A300" s="51">
        <f t="shared" si="40"/>
        <v>42836</v>
      </c>
      <c r="B300" s="11">
        <f t="shared" si="43"/>
        <v>42836</v>
      </c>
      <c r="C300" s="47">
        <f>SUMIFS('On The Board'!$M$5:$M$219,'On The Board'!F$5:F$219,"&lt;="&amp;$B300,'On The Board'!E$5:E$219,"="&amp;FutureWork)</f>
        <v>43</v>
      </c>
      <c r="D300" s="12">
        <f ca="1">IF(TodaysDate&gt;=B300,SUMIF('On The Board'!F$5:F$219,"&lt;="&amp;$B300,'On The Board'!$M$5:$M$219)-SUM(E300:I300),D299)</f>
        <v>47</v>
      </c>
      <c r="E300" s="12">
        <f>SUMIF('On The Board'!G$5:G$219,"&lt;="&amp;$B300,'On The Board'!$M$5:$M$219)-SUM(F300:I300)</f>
        <v>0</v>
      </c>
      <c r="F300" s="12">
        <f>SUMIF('On The Board'!H$5:H$219,"&lt;="&amp;$B300,'On The Board'!$M$5:$M$219)-SUM(G300:I300)</f>
        <v>5</v>
      </c>
      <c r="G300" s="12">
        <f>SUMIF('On The Board'!I$5:I$219,"&lt;="&amp;$B300,'On The Board'!$M$5:$M$219)-SUM(H300,I300)</f>
        <v>2</v>
      </c>
      <c r="H300" s="12">
        <f>SUMIF('On The Board'!J$5:J$219,"&lt;="&amp;$B300,'On The Board'!$M$5:$M$219)-SUM(I300)</f>
        <v>0</v>
      </c>
      <c r="I300" s="12">
        <f>SUMIF('On The Board'!K$5:K$219,"&lt;="&amp;$B300,'On The Board'!$M$5:$M$219)</f>
        <v>70</v>
      </c>
      <c r="J300" s="10">
        <f t="shared" si="41"/>
        <v>77</v>
      </c>
      <c r="K300" s="10" t="e">
        <f t="shared" ca="1" si="42"/>
        <v>#N/A</v>
      </c>
      <c r="L300" s="44" t="e">
        <f t="shared" ca="1" si="46"/>
        <v>#N/A</v>
      </c>
      <c r="M300" s="44" t="e">
        <f t="shared" ca="1" si="45"/>
        <v>#N/A</v>
      </c>
      <c r="N300" s="44" t="e">
        <f t="shared" ca="1" si="44"/>
        <v>#N/A</v>
      </c>
      <c r="O300" s="53" t="e">
        <f t="shared" ca="1" si="47"/>
        <v>#N/A</v>
      </c>
      <c r="P300" s="53" t="str">
        <f ca="1">IFERROR(DayByDayTable[[#This Row],[Lead Time]],"")</f>
        <v/>
      </c>
      <c r="Q300" s="44" t="e">
        <f t="shared" ca="1" si="48"/>
        <v>#N/A</v>
      </c>
      <c r="R300" s="44">
        <f ca="1">ROUND(PERCENTILE(DayByDayTable[[#Data],[BlankLeadTime]],0.8),0)</f>
        <v>8</v>
      </c>
    </row>
    <row r="301" spans="1:18">
      <c r="A301" s="51">
        <f t="shared" si="40"/>
        <v>42837</v>
      </c>
      <c r="B301" s="11">
        <f t="shared" si="43"/>
        <v>42837</v>
      </c>
      <c r="C301" s="47">
        <f>SUMIFS('On The Board'!$M$5:$M$219,'On The Board'!F$5:F$219,"&lt;="&amp;$B301,'On The Board'!E$5:E$219,"="&amp;FutureWork)</f>
        <v>43</v>
      </c>
      <c r="D301" s="12">
        <f ca="1">IF(TodaysDate&gt;=B301,SUMIF('On The Board'!F$5:F$219,"&lt;="&amp;$B301,'On The Board'!$M$5:$M$219)-SUM(E301:I301),D300)</f>
        <v>47</v>
      </c>
      <c r="E301" s="12">
        <f>SUMIF('On The Board'!G$5:G$219,"&lt;="&amp;$B301,'On The Board'!$M$5:$M$219)-SUM(F301:I301)</f>
        <v>0</v>
      </c>
      <c r="F301" s="12">
        <f>SUMIF('On The Board'!H$5:H$219,"&lt;="&amp;$B301,'On The Board'!$M$5:$M$219)-SUM(G301:I301)</f>
        <v>5</v>
      </c>
      <c r="G301" s="12">
        <f>SUMIF('On The Board'!I$5:I$219,"&lt;="&amp;$B301,'On The Board'!$M$5:$M$219)-SUM(H301,I301)</f>
        <v>2</v>
      </c>
      <c r="H301" s="12">
        <f>SUMIF('On The Board'!J$5:J$219,"&lt;="&amp;$B301,'On The Board'!$M$5:$M$219)-SUM(I301)</f>
        <v>0</v>
      </c>
      <c r="I301" s="12">
        <f>SUMIF('On The Board'!K$5:K$219,"&lt;="&amp;$B301,'On The Board'!$M$5:$M$219)</f>
        <v>70</v>
      </c>
      <c r="J301" s="10">
        <f t="shared" si="41"/>
        <v>77</v>
      </c>
      <c r="K301" s="10" t="e">
        <f t="shared" ca="1" si="42"/>
        <v>#N/A</v>
      </c>
      <c r="L301" s="44" t="e">
        <f t="shared" ca="1" si="46"/>
        <v>#N/A</v>
      </c>
      <c r="M301" s="44" t="e">
        <f t="shared" ca="1" si="45"/>
        <v>#N/A</v>
      </c>
      <c r="N301" s="44" t="e">
        <f t="shared" ca="1" si="44"/>
        <v>#N/A</v>
      </c>
      <c r="O301" s="53" t="e">
        <f t="shared" ca="1" si="47"/>
        <v>#N/A</v>
      </c>
      <c r="P301" s="53" t="str">
        <f ca="1">IFERROR(DayByDayTable[[#This Row],[Lead Time]],"")</f>
        <v/>
      </c>
      <c r="Q301" s="44" t="e">
        <f t="shared" ca="1" si="48"/>
        <v>#N/A</v>
      </c>
      <c r="R301" s="44">
        <f ca="1">ROUND(PERCENTILE(DayByDayTable[[#Data],[BlankLeadTime]],0.8),0)</f>
        <v>8</v>
      </c>
    </row>
    <row r="302" spans="1:18">
      <c r="A302" s="51">
        <f t="shared" si="40"/>
        <v>42838</v>
      </c>
      <c r="B302" s="11">
        <f t="shared" si="43"/>
        <v>42838</v>
      </c>
      <c r="C302" s="47">
        <f>SUMIFS('On The Board'!$M$5:$M$219,'On The Board'!F$5:F$219,"&lt;="&amp;$B302,'On The Board'!E$5:E$219,"="&amp;FutureWork)</f>
        <v>43</v>
      </c>
      <c r="D302" s="12">
        <f ca="1">IF(TodaysDate&gt;=B302,SUMIF('On The Board'!F$5:F$219,"&lt;="&amp;$B302,'On The Board'!$M$5:$M$219)-SUM(E302:I302),D301)</f>
        <v>47</v>
      </c>
      <c r="E302" s="12">
        <f>SUMIF('On The Board'!G$5:G$219,"&lt;="&amp;$B302,'On The Board'!$M$5:$M$219)-SUM(F302:I302)</f>
        <v>0</v>
      </c>
      <c r="F302" s="12">
        <f>SUMIF('On The Board'!H$5:H$219,"&lt;="&amp;$B302,'On The Board'!$M$5:$M$219)-SUM(G302:I302)</f>
        <v>5</v>
      </c>
      <c r="G302" s="12">
        <f>SUMIF('On The Board'!I$5:I$219,"&lt;="&amp;$B302,'On The Board'!$M$5:$M$219)-SUM(H302,I302)</f>
        <v>2</v>
      </c>
      <c r="H302" s="12">
        <f>SUMIF('On The Board'!J$5:J$219,"&lt;="&amp;$B302,'On The Board'!$M$5:$M$219)-SUM(I302)</f>
        <v>0</v>
      </c>
      <c r="I302" s="12">
        <f>SUMIF('On The Board'!K$5:K$219,"&lt;="&amp;$B302,'On The Board'!$M$5:$M$219)</f>
        <v>70</v>
      </c>
      <c r="J302" s="10">
        <f t="shared" si="41"/>
        <v>77</v>
      </c>
      <c r="K302" s="10" t="e">
        <f t="shared" ca="1" si="42"/>
        <v>#N/A</v>
      </c>
      <c r="L302" s="44" t="e">
        <f t="shared" ca="1" si="46"/>
        <v>#N/A</v>
      </c>
      <c r="M302" s="44" t="e">
        <f t="shared" ca="1" si="45"/>
        <v>#N/A</v>
      </c>
      <c r="N302" s="44" t="e">
        <f t="shared" ca="1" si="44"/>
        <v>#N/A</v>
      </c>
      <c r="O302" s="53" t="e">
        <f t="shared" ca="1" si="47"/>
        <v>#N/A</v>
      </c>
      <c r="P302" s="53" t="str">
        <f ca="1">IFERROR(DayByDayTable[[#This Row],[Lead Time]],"")</f>
        <v/>
      </c>
      <c r="Q302" s="44" t="e">
        <f t="shared" ca="1" si="48"/>
        <v>#N/A</v>
      </c>
      <c r="R302" s="44">
        <f ca="1">ROUND(PERCENTILE(DayByDayTable[[#Data],[BlankLeadTime]],0.8),0)</f>
        <v>8</v>
      </c>
    </row>
    <row r="303" spans="1:18">
      <c r="A303" s="51">
        <f t="shared" si="40"/>
        <v>42843</v>
      </c>
      <c r="B303" s="11">
        <f t="shared" si="43"/>
        <v>42843</v>
      </c>
      <c r="C303" s="47">
        <f>SUMIFS('On The Board'!$M$5:$M$219,'On The Board'!F$5:F$219,"&lt;="&amp;$B303,'On The Board'!E$5:E$219,"="&amp;FutureWork)</f>
        <v>43</v>
      </c>
      <c r="D303" s="12">
        <f ca="1">IF(TodaysDate&gt;=B303,SUMIF('On The Board'!F$5:F$219,"&lt;="&amp;$B303,'On The Board'!$M$5:$M$219)-SUM(E303:I303),D302)</f>
        <v>47</v>
      </c>
      <c r="E303" s="12">
        <f>SUMIF('On The Board'!G$5:G$219,"&lt;="&amp;$B303,'On The Board'!$M$5:$M$219)-SUM(F303:I303)</f>
        <v>0</v>
      </c>
      <c r="F303" s="12">
        <f>SUMIF('On The Board'!H$5:H$219,"&lt;="&amp;$B303,'On The Board'!$M$5:$M$219)-SUM(G303:I303)</f>
        <v>5</v>
      </c>
      <c r="G303" s="12">
        <f>SUMIF('On The Board'!I$5:I$219,"&lt;="&amp;$B303,'On The Board'!$M$5:$M$219)-SUM(H303,I303)</f>
        <v>2</v>
      </c>
      <c r="H303" s="12">
        <f>SUMIF('On The Board'!J$5:J$219,"&lt;="&amp;$B303,'On The Board'!$M$5:$M$219)-SUM(I303)</f>
        <v>0</v>
      </c>
      <c r="I303" s="12">
        <f>SUMIF('On The Board'!K$5:K$219,"&lt;="&amp;$B303,'On The Board'!$M$5:$M$219)</f>
        <v>70</v>
      </c>
      <c r="J303" s="10">
        <f t="shared" si="41"/>
        <v>77</v>
      </c>
      <c r="K303" s="10" t="e">
        <f t="shared" ca="1" si="42"/>
        <v>#N/A</v>
      </c>
      <c r="L303" s="44" t="e">
        <f t="shared" ca="1" si="46"/>
        <v>#N/A</v>
      </c>
      <c r="M303" s="44" t="e">
        <f t="shared" ca="1" si="45"/>
        <v>#N/A</v>
      </c>
      <c r="N303" s="44" t="e">
        <f t="shared" ca="1" si="44"/>
        <v>#N/A</v>
      </c>
      <c r="O303" s="53" t="e">
        <f t="shared" ca="1" si="47"/>
        <v>#N/A</v>
      </c>
      <c r="P303" s="53" t="str">
        <f ca="1">IFERROR(DayByDayTable[[#This Row],[Lead Time]],"")</f>
        <v/>
      </c>
      <c r="Q303" s="44" t="e">
        <f t="shared" ca="1" si="48"/>
        <v>#N/A</v>
      </c>
      <c r="R303" s="44">
        <f ca="1">ROUND(PERCENTILE(DayByDayTable[[#Data],[BlankLeadTime]],0.8),0)</f>
        <v>8</v>
      </c>
    </row>
    <row r="304" spans="1:18">
      <c r="A304" s="51">
        <f t="shared" si="40"/>
        <v>42844</v>
      </c>
      <c r="B304" s="11">
        <f t="shared" si="43"/>
        <v>42844</v>
      </c>
      <c r="C304" s="47">
        <f>SUMIFS('On The Board'!$M$5:$M$219,'On The Board'!F$5:F$219,"&lt;="&amp;$B304,'On The Board'!E$5:E$219,"="&amp;FutureWork)</f>
        <v>43</v>
      </c>
      <c r="D304" s="12">
        <f ca="1">IF(TodaysDate&gt;=B304,SUMIF('On The Board'!F$5:F$219,"&lt;="&amp;$B304,'On The Board'!$M$5:$M$219)-SUM(E304:I304),D303)</f>
        <v>47</v>
      </c>
      <c r="E304" s="12">
        <f>SUMIF('On The Board'!G$5:G$219,"&lt;="&amp;$B304,'On The Board'!$M$5:$M$219)-SUM(F304:I304)</f>
        <v>0</v>
      </c>
      <c r="F304" s="12">
        <f>SUMIF('On The Board'!H$5:H$219,"&lt;="&amp;$B304,'On The Board'!$M$5:$M$219)-SUM(G304:I304)</f>
        <v>5</v>
      </c>
      <c r="G304" s="12">
        <f>SUMIF('On The Board'!I$5:I$219,"&lt;="&amp;$B304,'On The Board'!$M$5:$M$219)-SUM(H304,I304)</f>
        <v>2</v>
      </c>
      <c r="H304" s="12">
        <f>SUMIF('On The Board'!J$5:J$219,"&lt;="&amp;$B304,'On The Board'!$M$5:$M$219)-SUM(I304)</f>
        <v>0</v>
      </c>
      <c r="I304" s="12">
        <f>SUMIF('On The Board'!K$5:K$219,"&lt;="&amp;$B304,'On The Board'!$M$5:$M$219)</f>
        <v>70</v>
      </c>
      <c r="J304" s="10">
        <f t="shared" si="41"/>
        <v>77</v>
      </c>
      <c r="K304" s="10" t="e">
        <f t="shared" ca="1" si="42"/>
        <v>#N/A</v>
      </c>
      <c r="L304" s="44" t="e">
        <f t="shared" ca="1" si="46"/>
        <v>#N/A</v>
      </c>
      <c r="M304" s="44" t="e">
        <f t="shared" ca="1" si="45"/>
        <v>#N/A</v>
      </c>
      <c r="N304" s="44" t="e">
        <f t="shared" ca="1" si="44"/>
        <v>#N/A</v>
      </c>
      <c r="O304" s="53" t="e">
        <f t="shared" ca="1" si="47"/>
        <v>#N/A</v>
      </c>
      <c r="P304" s="53" t="str">
        <f ca="1">IFERROR(DayByDayTable[[#This Row],[Lead Time]],"")</f>
        <v/>
      </c>
      <c r="Q304" s="44" t="e">
        <f t="shared" ca="1" si="48"/>
        <v>#N/A</v>
      </c>
      <c r="R304" s="44">
        <f ca="1">ROUND(PERCENTILE(DayByDayTable[[#Data],[BlankLeadTime]],0.8),0)</f>
        <v>8</v>
      </c>
    </row>
    <row r="305" spans="1:18">
      <c r="A305" s="51">
        <f t="shared" si="40"/>
        <v>42845</v>
      </c>
      <c r="B305" s="11">
        <f t="shared" si="43"/>
        <v>42845</v>
      </c>
      <c r="C305" s="47">
        <f>SUMIFS('On The Board'!$M$5:$M$219,'On The Board'!F$5:F$219,"&lt;="&amp;$B305,'On The Board'!E$5:E$219,"="&amp;FutureWork)</f>
        <v>43</v>
      </c>
      <c r="D305" s="12">
        <f ca="1">IF(TodaysDate&gt;=B305,SUMIF('On The Board'!F$5:F$219,"&lt;="&amp;$B305,'On The Board'!$M$5:$M$219)-SUM(E305:I305),D304)</f>
        <v>47</v>
      </c>
      <c r="E305" s="12">
        <f>SUMIF('On The Board'!G$5:G$219,"&lt;="&amp;$B305,'On The Board'!$M$5:$M$219)-SUM(F305:I305)</f>
        <v>0</v>
      </c>
      <c r="F305" s="12">
        <f>SUMIF('On The Board'!H$5:H$219,"&lt;="&amp;$B305,'On The Board'!$M$5:$M$219)-SUM(G305:I305)</f>
        <v>5</v>
      </c>
      <c r="G305" s="12">
        <f>SUMIF('On The Board'!I$5:I$219,"&lt;="&amp;$B305,'On The Board'!$M$5:$M$219)-SUM(H305,I305)</f>
        <v>2</v>
      </c>
      <c r="H305" s="12">
        <f>SUMIF('On The Board'!J$5:J$219,"&lt;="&amp;$B305,'On The Board'!$M$5:$M$219)-SUM(I305)</f>
        <v>0</v>
      </c>
      <c r="I305" s="12">
        <f>SUMIF('On The Board'!K$5:K$219,"&lt;="&amp;$B305,'On The Board'!$M$5:$M$219)</f>
        <v>70</v>
      </c>
      <c r="J305" s="10">
        <f t="shared" si="41"/>
        <v>77</v>
      </c>
      <c r="K305" s="10" t="e">
        <f t="shared" ca="1" si="42"/>
        <v>#N/A</v>
      </c>
      <c r="L305" s="44" t="e">
        <f t="shared" ca="1" si="46"/>
        <v>#N/A</v>
      </c>
      <c r="M305" s="44" t="e">
        <f t="shared" ca="1" si="45"/>
        <v>#N/A</v>
      </c>
      <c r="N305" s="44" t="e">
        <f t="shared" ca="1" si="44"/>
        <v>#N/A</v>
      </c>
      <c r="O305" s="53" t="e">
        <f t="shared" ca="1" si="47"/>
        <v>#N/A</v>
      </c>
      <c r="P305" s="53" t="str">
        <f ca="1">IFERROR(DayByDayTable[[#This Row],[Lead Time]],"")</f>
        <v/>
      </c>
      <c r="Q305" s="44" t="e">
        <f t="shared" ca="1" si="48"/>
        <v>#N/A</v>
      </c>
      <c r="R305" s="44">
        <f ca="1">ROUND(PERCENTILE(DayByDayTable[[#Data],[BlankLeadTime]],0.8),0)</f>
        <v>8</v>
      </c>
    </row>
    <row r="306" spans="1:18">
      <c r="A306" s="51">
        <f t="shared" si="40"/>
        <v>42846</v>
      </c>
      <c r="B306" s="11">
        <f t="shared" si="43"/>
        <v>42846</v>
      </c>
      <c r="C306" s="47">
        <f>SUMIFS('On The Board'!$M$5:$M$219,'On The Board'!F$5:F$219,"&lt;="&amp;$B306,'On The Board'!E$5:E$219,"="&amp;FutureWork)</f>
        <v>43</v>
      </c>
      <c r="D306" s="12">
        <f ca="1">IF(TodaysDate&gt;=B306,SUMIF('On The Board'!F$5:F$219,"&lt;="&amp;$B306,'On The Board'!$M$5:$M$219)-SUM(E306:I306),D305)</f>
        <v>47</v>
      </c>
      <c r="E306" s="12">
        <f>SUMIF('On The Board'!G$5:G$219,"&lt;="&amp;$B306,'On The Board'!$M$5:$M$219)-SUM(F306:I306)</f>
        <v>0</v>
      </c>
      <c r="F306" s="12">
        <f>SUMIF('On The Board'!H$5:H$219,"&lt;="&amp;$B306,'On The Board'!$M$5:$M$219)-SUM(G306:I306)</f>
        <v>5</v>
      </c>
      <c r="G306" s="12">
        <f>SUMIF('On The Board'!I$5:I$219,"&lt;="&amp;$B306,'On The Board'!$M$5:$M$219)-SUM(H306,I306)</f>
        <v>2</v>
      </c>
      <c r="H306" s="12">
        <f>SUMIF('On The Board'!J$5:J$219,"&lt;="&amp;$B306,'On The Board'!$M$5:$M$219)-SUM(I306)</f>
        <v>0</v>
      </c>
      <c r="I306" s="12">
        <f>SUMIF('On The Board'!K$5:K$219,"&lt;="&amp;$B306,'On The Board'!$M$5:$M$219)</f>
        <v>70</v>
      </c>
      <c r="J306" s="10">
        <f t="shared" si="41"/>
        <v>77</v>
      </c>
      <c r="K306" s="10" t="e">
        <f t="shared" ca="1" si="42"/>
        <v>#N/A</v>
      </c>
      <c r="L306" s="44" t="e">
        <f t="shared" ca="1" si="46"/>
        <v>#N/A</v>
      </c>
      <c r="M306" s="44" t="e">
        <f t="shared" ca="1" si="45"/>
        <v>#N/A</v>
      </c>
      <c r="N306" s="44" t="e">
        <f t="shared" ca="1" si="44"/>
        <v>#N/A</v>
      </c>
      <c r="O306" s="53" t="e">
        <f t="shared" ca="1" si="47"/>
        <v>#N/A</v>
      </c>
      <c r="P306" s="53" t="str">
        <f ca="1">IFERROR(DayByDayTable[[#This Row],[Lead Time]],"")</f>
        <v/>
      </c>
      <c r="Q306" s="44" t="e">
        <f t="shared" ca="1" si="48"/>
        <v>#N/A</v>
      </c>
      <c r="R306" s="44">
        <f ca="1">ROUND(PERCENTILE(DayByDayTable[[#Data],[BlankLeadTime]],0.8),0)</f>
        <v>8</v>
      </c>
    </row>
    <row r="307" spans="1:18">
      <c r="A307" s="51">
        <f t="shared" si="40"/>
        <v>42849</v>
      </c>
      <c r="B307" s="11">
        <f t="shared" si="43"/>
        <v>42849</v>
      </c>
      <c r="C307" s="47">
        <f>SUMIFS('On The Board'!$M$5:$M$219,'On The Board'!F$5:F$219,"&lt;="&amp;$B307,'On The Board'!E$5:E$219,"="&amp;FutureWork)</f>
        <v>43</v>
      </c>
      <c r="D307" s="12">
        <f ca="1">IF(TodaysDate&gt;=B307,SUMIF('On The Board'!F$5:F$219,"&lt;="&amp;$B307,'On The Board'!$M$5:$M$219)-SUM(E307:I307),D306)</f>
        <v>47</v>
      </c>
      <c r="E307" s="12">
        <f>SUMIF('On The Board'!G$5:G$219,"&lt;="&amp;$B307,'On The Board'!$M$5:$M$219)-SUM(F307:I307)</f>
        <v>0</v>
      </c>
      <c r="F307" s="12">
        <f>SUMIF('On The Board'!H$5:H$219,"&lt;="&amp;$B307,'On The Board'!$M$5:$M$219)-SUM(G307:I307)</f>
        <v>5</v>
      </c>
      <c r="G307" s="12">
        <f>SUMIF('On The Board'!I$5:I$219,"&lt;="&amp;$B307,'On The Board'!$M$5:$M$219)-SUM(H307,I307)</f>
        <v>2</v>
      </c>
      <c r="H307" s="12">
        <f>SUMIF('On The Board'!J$5:J$219,"&lt;="&amp;$B307,'On The Board'!$M$5:$M$219)-SUM(I307)</f>
        <v>0</v>
      </c>
      <c r="I307" s="12">
        <f>SUMIF('On The Board'!K$5:K$219,"&lt;="&amp;$B307,'On The Board'!$M$5:$M$219)</f>
        <v>70</v>
      </c>
      <c r="J307" s="10">
        <f t="shared" si="41"/>
        <v>77</v>
      </c>
      <c r="K307" s="10" t="e">
        <f t="shared" ca="1" si="42"/>
        <v>#N/A</v>
      </c>
      <c r="L307" s="44" t="e">
        <f t="shared" ca="1" si="46"/>
        <v>#N/A</v>
      </c>
      <c r="M307" s="44" t="e">
        <f t="shared" ca="1" si="45"/>
        <v>#N/A</v>
      </c>
      <c r="N307" s="44" t="e">
        <f t="shared" ca="1" si="44"/>
        <v>#N/A</v>
      </c>
      <c r="O307" s="53" t="e">
        <f t="shared" ca="1" si="47"/>
        <v>#N/A</v>
      </c>
      <c r="P307" s="53" t="str">
        <f ca="1">IFERROR(DayByDayTable[[#This Row],[Lead Time]],"")</f>
        <v/>
      </c>
      <c r="Q307" s="44" t="e">
        <f t="shared" ca="1" si="48"/>
        <v>#N/A</v>
      </c>
      <c r="R307" s="44">
        <f ca="1">ROUND(PERCENTILE(DayByDayTable[[#Data],[BlankLeadTime]],0.8),0)</f>
        <v>8</v>
      </c>
    </row>
    <row r="308" spans="1:18">
      <c r="A308" s="51">
        <f t="shared" si="40"/>
        <v>42850</v>
      </c>
      <c r="B308" s="11">
        <f t="shared" si="43"/>
        <v>42850</v>
      </c>
      <c r="C308" s="47">
        <f>SUMIFS('On The Board'!$M$5:$M$219,'On The Board'!F$5:F$219,"&lt;="&amp;$B308,'On The Board'!E$5:E$219,"="&amp;FutureWork)</f>
        <v>43</v>
      </c>
      <c r="D308" s="12">
        <f ca="1">IF(TodaysDate&gt;=B308,SUMIF('On The Board'!F$5:F$219,"&lt;="&amp;$B308,'On The Board'!$M$5:$M$219)-SUM(E308:I308),D307)</f>
        <v>47</v>
      </c>
      <c r="E308" s="12">
        <f>SUMIF('On The Board'!G$5:G$219,"&lt;="&amp;$B308,'On The Board'!$M$5:$M$219)-SUM(F308:I308)</f>
        <v>0</v>
      </c>
      <c r="F308" s="12">
        <f>SUMIF('On The Board'!H$5:H$219,"&lt;="&amp;$B308,'On The Board'!$M$5:$M$219)-SUM(G308:I308)</f>
        <v>5</v>
      </c>
      <c r="G308" s="12">
        <f>SUMIF('On The Board'!I$5:I$219,"&lt;="&amp;$B308,'On The Board'!$M$5:$M$219)-SUM(H308,I308)</f>
        <v>2</v>
      </c>
      <c r="H308" s="12">
        <f>SUMIF('On The Board'!J$5:J$219,"&lt;="&amp;$B308,'On The Board'!$M$5:$M$219)-SUM(I308)</f>
        <v>0</v>
      </c>
      <c r="I308" s="12">
        <f>SUMIF('On The Board'!K$5:K$219,"&lt;="&amp;$B308,'On The Board'!$M$5:$M$219)</f>
        <v>70</v>
      </c>
      <c r="J308" s="10">
        <f t="shared" si="41"/>
        <v>77</v>
      </c>
      <c r="K308" s="10" t="e">
        <f t="shared" ca="1" si="42"/>
        <v>#N/A</v>
      </c>
      <c r="L308" s="44" t="e">
        <f t="shared" ca="1" si="46"/>
        <v>#N/A</v>
      </c>
      <c r="M308" s="44" t="e">
        <f t="shared" ca="1" si="45"/>
        <v>#N/A</v>
      </c>
      <c r="N308" s="44" t="e">
        <f t="shared" ca="1" si="44"/>
        <v>#N/A</v>
      </c>
      <c r="O308" s="53" t="e">
        <f t="shared" ca="1" si="47"/>
        <v>#N/A</v>
      </c>
      <c r="P308" s="53" t="str">
        <f ca="1">IFERROR(DayByDayTable[[#This Row],[Lead Time]],"")</f>
        <v/>
      </c>
      <c r="Q308" s="44" t="e">
        <f t="shared" ca="1" si="48"/>
        <v>#N/A</v>
      </c>
      <c r="R308" s="44">
        <f ca="1">ROUND(PERCENTILE(DayByDayTable[[#Data],[BlankLeadTime]],0.8),0)</f>
        <v>8</v>
      </c>
    </row>
    <row r="309" spans="1:18">
      <c r="A309" s="51">
        <f t="shared" si="40"/>
        <v>42851</v>
      </c>
      <c r="B309" s="11">
        <f t="shared" si="43"/>
        <v>42851</v>
      </c>
      <c r="C309" s="47">
        <f>SUMIFS('On The Board'!$M$5:$M$219,'On The Board'!F$5:F$219,"&lt;="&amp;$B309,'On The Board'!E$5:E$219,"="&amp;FutureWork)</f>
        <v>43</v>
      </c>
      <c r="D309" s="12">
        <f ca="1">IF(TodaysDate&gt;=B309,SUMIF('On The Board'!F$5:F$219,"&lt;="&amp;$B309,'On The Board'!$M$5:$M$219)-SUM(E309:I309),D308)</f>
        <v>47</v>
      </c>
      <c r="E309" s="12">
        <f>SUMIF('On The Board'!G$5:G$219,"&lt;="&amp;$B309,'On The Board'!$M$5:$M$219)-SUM(F309:I309)</f>
        <v>0</v>
      </c>
      <c r="F309" s="12">
        <f>SUMIF('On The Board'!H$5:H$219,"&lt;="&amp;$B309,'On The Board'!$M$5:$M$219)-SUM(G309:I309)</f>
        <v>5</v>
      </c>
      <c r="G309" s="12">
        <f>SUMIF('On The Board'!I$5:I$219,"&lt;="&amp;$B309,'On The Board'!$M$5:$M$219)-SUM(H309,I309)</f>
        <v>2</v>
      </c>
      <c r="H309" s="12">
        <f>SUMIF('On The Board'!J$5:J$219,"&lt;="&amp;$B309,'On The Board'!$M$5:$M$219)-SUM(I309)</f>
        <v>0</v>
      </c>
      <c r="I309" s="12">
        <f>SUMIF('On The Board'!K$5:K$219,"&lt;="&amp;$B309,'On The Board'!$M$5:$M$219)</f>
        <v>70</v>
      </c>
      <c r="J309" s="10">
        <f t="shared" si="41"/>
        <v>77</v>
      </c>
      <c r="K309" s="10" t="e">
        <f t="shared" ca="1" si="42"/>
        <v>#N/A</v>
      </c>
      <c r="L309" s="44" t="e">
        <f t="shared" ca="1" si="46"/>
        <v>#N/A</v>
      </c>
      <c r="M309" s="44" t="e">
        <f t="shared" ca="1" si="45"/>
        <v>#N/A</v>
      </c>
      <c r="N309" s="44" t="e">
        <f t="shared" ca="1" si="44"/>
        <v>#N/A</v>
      </c>
      <c r="O309" s="53" t="e">
        <f t="shared" ca="1" si="47"/>
        <v>#N/A</v>
      </c>
      <c r="P309" s="53" t="str">
        <f ca="1">IFERROR(DayByDayTable[[#This Row],[Lead Time]],"")</f>
        <v/>
      </c>
      <c r="Q309" s="44" t="e">
        <f t="shared" ca="1" si="48"/>
        <v>#N/A</v>
      </c>
      <c r="R309" s="44">
        <f ca="1">ROUND(PERCENTILE(DayByDayTable[[#Data],[BlankLeadTime]],0.8),0)</f>
        <v>8</v>
      </c>
    </row>
    <row r="310" spans="1:18">
      <c r="A310" s="51">
        <f t="shared" si="40"/>
        <v>42852</v>
      </c>
      <c r="B310" s="11">
        <f t="shared" si="43"/>
        <v>42852</v>
      </c>
      <c r="C310" s="47">
        <f>SUMIFS('On The Board'!$M$5:$M$219,'On The Board'!F$5:F$219,"&lt;="&amp;$B310,'On The Board'!E$5:E$219,"="&amp;FutureWork)</f>
        <v>43</v>
      </c>
      <c r="D310" s="12">
        <f ca="1">IF(TodaysDate&gt;=B310,SUMIF('On The Board'!F$5:F$219,"&lt;="&amp;$B310,'On The Board'!$M$5:$M$219)-SUM(E310:I310),D309)</f>
        <v>47</v>
      </c>
      <c r="E310" s="12">
        <f>SUMIF('On The Board'!G$5:G$219,"&lt;="&amp;$B310,'On The Board'!$M$5:$M$219)-SUM(F310:I310)</f>
        <v>0</v>
      </c>
      <c r="F310" s="12">
        <f>SUMIF('On The Board'!H$5:H$219,"&lt;="&amp;$B310,'On The Board'!$M$5:$M$219)-SUM(G310:I310)</f>
        <v>5</v>
      </c>
      <c r="G310" s="12">
        <f>SUMIF('On The Board'!I$5:I$219,"&lt;="&amp;$B310,'On The Board'!$M$5:$M$219)-SUM(H310,I310)</f>
        <v>2</v>
      </c>
      <c r="H310" s="12">
        <f>SUMIF('On The Board'!J$5:J$219,"&lt;="&amp;$B310,'On The Board'!$M$5:$M$219)-SUM(I310)</f>
        <v>0</v>
      </c>
      <c r="I310" s="12">
        <f>SUMIF('On The Board'!K$5:K$219,"&lt;="&amp;$B310,'On The Board'!$M$5:$M$219)</f>
        <v>70</v>
      </c>
      <c r="J310" s="10">
        <f t="shared" si="41"/>
        <v>77</v>
      </c>
      <c r="K310" s="10" t="e">
        <f t="shared" ca="1" si="42"/>
        <v>#N/A</v>
      </c>
      <c r="L310" s="44" t="e">
        <f t="shared" ca="1" si="46"/>
        <v>#N/A</v>
      </c>
      <c r="M310" s="44" t="e">
        <f t="shared" ca="1" si="45"/>
        <v>#N/A</v>
      </c>
      <c r="N310" s="44" t="e">
        <f t="shared" ca="1" si="44"/>
        <v>#N/A</v>
      </c>
      <c r="O310" s="53" t="e">
        <f t="shared" ca="1" si="47"/>
        <v>#N/A</v>
      </c>
      <c r="P310" s="53" t="str">
        <f ca="1">IFERROR(DayByDayTable[[#This Row],[Lead Time]],"")</f>
        <v/>
      </c>
      <c r="Q310" s="44" t="e">
        <f t="shared" ca="1" si="48"/>
        <v>#N/A</v>
      </c>
      <c r="R310" s="44">
        <f ca="1">ROUND(PERCENTILE(DayByDayTable[[#Data],[BlankLeadTime]],0.8),0)</f>
        <v>8</v>
      </c>
    </row>
    <row r="311" spans="1:18">
      <c r="A311" s="51">
        <f t="shared" si="40"/>
        <v>42853</v>
      </c>
      <c r="B311" s="11">
        <f t="shared" si="43"/>
        <v>42853</v>
      </c>
      <c r="C311" s="47">
        <f>SUMIFS('On The Board'!$M$5:$M$219,'On The Board'!F$5:F$219,"&lt;="&amp;$B311,'On The Board'!E$5:E$219,"="&amp;FutureWork)</f>
        <v>43</v>
      </c>
      <c r="D311" s="12">
        <f ca="1">IF(TodaysDate&gt;=B311,SUMIF('On The Board'!F$5:F$219,"&lt;="&amp;$B311,'On The Board'!$M$5:$M$219)-SUM(E311:I311),D310)</f>
        <v>47</v>
      </c>
      <c r="E311" s="12">
        <f>SUMIF('On The Board'!G$5:G$219,"&lt;="&amp;$B311,'On The Board'!$M$5:$M$219)-SUM(F311:I311)</f>
        <v>0</v>
      </c>
      <c r="F311" s="12">
        <f>SUMIF('On The Board'!H$5:H$219,"&lt;="&amp;$B311,'On The Board'!$M$5:$M$219)-SUM(G311:I311)</f>
        <v>5</v>
      </c>
      <c r="G311" s="12">
        <f>SUMIF('On The Board'!I$5:I$219,"&lt;="&amp;$B311,'On The Board'!$M$5:$M$219)-SUM(H311,I311)</f>
        <v>2</v>
      </c>
      <c r="H311" s="12">
        <f>SUMIF('On The Board'!J$5:J$219,"&lt;="&amp;$B311,'On The Board'!$M$5:$M$219)-SUM(I311)</f>
        <v>0</v>
      </c>
      <c r="I311" s="12">
        <f>SUMIF('On The Board'!K$5:K$219,"&lt;="&amp;$B311,'On The Board'!$M$5:$M$219)</f>
        <v>70</v>
      </c>
      <c r="J311" s="10">
        <f t="shared" si="41"/>
        <v>77</v>
      </c>
      <c r="K311" s="10" t="e">
        <f t="shared" ca="1" si="42"/>
        <v>#N/A</v>
      </c>
      <c r="L311" s="44" t="e">
        <f t="shared" ca="1" si="46"/>
        <v>#N/A</v>
      </c>
      <c r="M311" s="44" t="e">
        <f t="shared" ca="1" si="45"/>
        <v>#N/A</v>
      </c>
      <c r="N311" s="44" t="e">
        <f t="shared" ca="1" si="44"/>
        <v>#N/A</v>
      </c>
      <c r="O311" s="53" t="e">
        <f t="shared" ca="1" si="47"/>
        <v>#N/A</v>
      </c>
      <c r="P311" s="53" t="str">
        <f ca="1">IFERROR(DayByDayTable[[#This Row],[Lead Time]],"")</f>
        <v/>
      </c>
      <c r="Q311" s="44" t="e">
        <f t="shared" ca="1" si="48"/>
        <v>#N/A</v>
      </c>
      <c r="R311" s="44">
        <f ca="1">ROUND(PERCENTILE(DayByDayTable[[#Data],[BlankLeadTime]],0.8),0)</f>
        <v>8</v>
      </c>
    </row>
    <row r="312" spans="1:18">
      <c r="A312" s="51">
        <f t="shared" si="40"/>
        <v>42857</v>
      </c>
      <c r="B312" s="11">
        <f t="shared" si="43"/>
        <v>42857</v>
      </c>
      <c r="C312" s="47">
        <f>SUMIFS('On The Board'!$M$5:$M$219,'On The Board'!F$5:F$219,"&lt;="&amp;$B312,'On The Board'!E$5:E$219,"="&amp;FutureWork)</f>
        <v>43</v>
      </c>
      <c r="D312" s="12">
        <f ca="1">IF(TodaysDate&gt;=B312,SUMIF('On The Board'!F$5:F$219,"&lt;="&amp;$B312,'On The Board'!$M$5:$M$219)-SUM(E312:I312),D311)</f>
        <v>47</v>
      </c>
      <c r="E312" s="12">
        <f>SUMIF('On The Board'!G$5:G$219,"&lt;="&amp;$B312,'On The Board'!$M$5:$M$219)-SUM(F312:I312)</f>
        <v>0</v>
      </c>
      <c r="F312" s="12">
        <f>SUMIF('On The Board'!H$5:H$219,"&lt;="&amp;$B312,'On The Board'!$M$5:$M$219)-SUM(G312:I312)</f>
        <v>5</v>
      </c>
      <c r="G312" s="12">
        <f>SUMIF('On The Board'!I$5:I$219,"&lt;="&amp;$B312,'On The Board'!$M$5:$M$219)-SUM(H312,I312)</f>
        <v>2</v>
      </c>
      <c r="H312" s="12">
        <f>SUMIF('On The Board'!J$5:J$219,"&lt;="&amp;$B312,'On The Board'!$M$5:$M$219)-SUM(I312)</f>
        <v>0</v>
      </c>
      <c r="I312" s="12">
        <f>SUMIF('On The Board'!K$5:K$219,"&lt;="&amp;$B312,'On The Board'!$M$5:$M$219)</f>
        <v>70</v>
      </c>
      <c r="J312" s="10">
        <f t="shared" si="41"/>
        <v>77</v>
      </c>
      <c r="K312" s="10" t="e">
        <f t="shared" ca="1" si="42"/>
        <v>#N/A</v>
      </c>
      <c r="L312" s="44" t="e">
        <f t="shared" ca="1" si="46"/>
        <v>#N/A</v>
      </c>
      <c r="M312" s="44" t="e">
        <f t="shared" ca="1" si="45"/>
        <v>#N/A</v>
      </c>
      <c r="N312" s="44" t="e">
        <f t="shared" ca="1" si="44"/>
        <v>#N/A</v>
      </c>
      <c r="O312" s="53" t="e">
        <f t="shared" ca="1" si="47"/>
        <v>#N/A</v>
      </c>
      <c r="P312" s="53" t="str">
        <f ca="1">IFERROR(DayByDayTable[[#This Row],[Lead Time]],"")</f>
        <v/>
      </c>
      <c r="Q312" s="44" t="e">
        <f t="shared" ca="1" si="48"/>
        <v>#N/A</v>
      </c>
      <c r="R312" s="44">
        <f ca="1">ROUND(PERCENTILE(DayByDayTable[[#Data],[BlankLeadTime]],0.8),0)</f>
        <v>8</v>
      </c>
    </row>
    <row r="313" spans="1:18">
      <c r="A313" s="51">
        <f t="shared" si="40"/>
        <v>42858</v>
      </c>
      <c r="B313" s="11">
        <f t="shared" si="43"/>
        <v>42858</v>
      </c>
      <c r="C313" s="47">
        <f>SUMIFS('On The Board'!$M$5:$M$219,'On The Board'!F$5:F$219,"&lt;="&amp;$B313,'On The Board'!E$5:E$219,"="&amp;FutureWork)</f>
        <v>43</v>
      </c>
      <c r="D313" s="12">
        <f ca="1">IF(TodaysDate&gt;=B313,SUMIF('On The Board'!F$5:F$219,"&lt;="&amp;$B313,'On The Board'!$M$5:$M$219)-SUM(E313:I313),D312)</f>
        <v>47</v>
      </c>
      <c r="E313" s="12">
        <f>SUMIF('On The Board'!G$5:G$219,"&lt;="&amp;$B313,'On The Board'!$M$5:$M$219)-SUM(F313:I313)</f>
        <v>0</v>
      </c>
      <c r="F313" s="12">
        <f>SUMIF('On The Board'!H$5:H$219,"&lt;="&amp;$B313,'On The Board'!$M$5:$M$219)-SUM(G313:I313)</f>
        <v>5</v>
      </c>
      <c r="G313" s="12">
        <f>SUMIF('On The Board'!I$5:I$219,"&lt;="&amp;$B313,'On The Board'!$M$5:$M$219)-SUM(H313,I313)</f>
        <v>2</v>
      </c>
      <c r="H313" s="12">
        <f>SUMIF('On The Board'!J$5:J$219,"&lt;="&amp;$B313,'On The Board'!$M$5:$M$219)-SUM(I313)</f>
        <v>0</v>
      </c>
      <c r="I313" s="12">
        <f>SUMIF('On The Board'!K$5:K$219,"&lt;="&amp;$B313,'On The Board'!$M$5:$M$219)</f>
        <v>70</v>
      </c>
      <c r="J313" s="10">
        <f t="shared" si="41"/>
        <v>77</v>
      </c>
      <c r="K313" s="10" t="e">
        <f t="shared" ca="1" si="42"/>
        <v>#N/A</v>
      </c>
      <c r="L313" s="44" t="e">
        <f t="shared" ca="1" si="46"/>
        <v>#N/A</v>
      </c>
      <c r="M313" s="44" t="e">
        <f t="shared" ca="1" si="45"/>
        <v>#N/A</v>
      </c>
      <c r="N313" s="44" t="e">
        <f t="shared" ca="1" si="44"/>
        <v>#N/A</v>
      </c>
      <c r="O313" s="53" t="e">
        <f t="shared" ca="1" si="47"/>
        <v>#N/A</v>
      </c>
      <c r="P313" s="53" t="str">
        <f ca="1">IFERROR(DayByDayTable[[#This Row],[Lead Time]],"")</f>
        <v/>
      </c>
      <c r="Q313" s="44" t="e">
        <f t="shared" ca="1" si="48"/>
        <v>#N/A</v>
      </c>
      <c r="R313" s="44">
        <f ca="1">ROUND(PERCENTILE(DayByDayTable[[#Data],[BlankLeadTime]],0.8),0)</f>
        <v>8</v>
      </c>
    </row>
    <row r="314" spans="1:18">
      <c r="A314" s="51">
        <f t="shared" si="40"/>
        <v>42859</v>
      </c>
      <c r="B314" s="11">
        <f t="shared" si="43"/>
        <v>42859</v>
      </c>
      <c r="C314" s="47">
        <f>SUMIFS('On The Board'!$M$5:$M$219,'On The Board'!F$5:F$219,"&lt;="&amp;$B314,'On The Board'!E$5:E$219,"="&amp;FutureWork)</f>
        <v>43</v>
      </c>
      <c r="D314" s="12">
        <f ca="1">IF(TodaysDate&gt;=B314,SUMIF('On The Board'!F$5:F$219,"&lt;="&amp;$B314,'On The Board'!$M$5:$M$219)-SUM(E314:I314),D313)</f>
        <v>47</v>
      </c>
      <c r="E314" s="12">
        <f>SUMIF('On The Board'!G$5:G$219,"&lt;="&amp;$B314,'On The Board'!$M$5:$M$219)-SUM(F314:I314)</f>
        <v>0</v>
      </c>
      <c r="F314" s="12">
        <f>SUMIF('On The Board'!H$5:H$219,"&lt;="&amp;$B314,'On The Board'!$M$5:$M$219)-SUM(G314:I314)</f>
        <v>5</v>
      </c>
      <c r="G314" s="12">
        <f>SUMIF('On The Board'!I$5:I$219,"&lt;="&amp;$B314,'On The Board'!$M$5:$M$219)-SUM(H314,I314)</f>
        <v>2</v>
      </c>
      <c r="H314" s="12">
        <f>SUMIF('On The Board'!J$5:J$219,"&lt;="&amp;$B314,'On The Board'!$M$5:$M$219)-SUM(I314)</f>
        <v>0</v>
      </c>
      <c r="I314" s="12">
        <f>SUMIF('On The Board'!K$5:K$219,"&lt;="&amp;$B314,'On The Board'!$M$5:$M$219)</f>
        <v>70</v>
      </c>
      <c r="J314" s="10">
        <f t="shared" si="41"/>
        <v>77</v>
      </c>
      <c r="K314" s="10" t="e">
        <f t="shared" ca="1" si="42"/>
        <v>#N/A</v>
      </c>
      <c r="L314" s="44" t="e">
        <f t="shared" ca="1" si="46"/>
        <v>#N/A</v>
      </c>
      <c r="M314" s="44" t="e">
        <f t="shared" ca="1" si="45"/>
        <v>#N/A</v>
      </c>
      <c r="N314" s="44" t="e">
        <f t="shared" ca="1" si="44"/>
        <v>#N/A</v>
      </c>
      <c r="O314" s="53" t="e">
        <f t="shared" ca="1" si="47"/>
        <v>#N/A</v>
      </c>
      <c r="P314" s="53" t="str">
        <f ca="1">IFERROR(DayByDayTable[[#This Row],[Lead Time]],"")</f>
        <v/>
      </c>
      <c r="Q314" s="44" t="e">
        <f t="shared" ca="1" si="48"/>
        <v>#N/A</v>
      </c>
      <c r="R314" s="44">
        <f ca="1">ROUND(PERCENTILE(DayByDayTable[[#Data],[BlankLeadTime]],0.8),0)</f>
        <v>8</v>
      </c>
    </row>
    <row r="315" spans="1:18">
      <c r="A315" s="51">
        <f t="shared" si="40"/>
        <v>42860</v>
      </c>
      <c r="B315" s="11">
        <f t="shared" si="43"/>
        <v>42860</v>
      </c>
      <c r="C315" s="47">
        <f>SUMIFS('On The Board'!$M$5:$M$219,'On The Board'!F$5:F$219,"&lt;="&amp;$B315,'On The Board'!E$5:E$219,"="&amp;FutureWork)</f>
        <v>43</v>
      </c>
      <c r="D315" s="12">
        <f ca="1">IF(TodaysDate&gt;=B315,SUMIF('On The Board'!F$5:F$219,"&lt;="&amp;$B315,'On The Board'!$M$5:$M$219)-SUM(E315:I315),D314)</f>
        <v>47</v>
      </c>
      <c r="E315" s="12">
        <f>SUMIF('On The Board'!G$5:G$219,"&lt;="&amp;$B315,'On The Board'!$M$5:$M$219)-SUM(F315:I315)</f>
        <v>0</v>
      </c>
      <c r="F315" s="12">
        <f>SUMIF('On The Board'!H$5:H$219,"&lt;="&amp;$B315,'On The Board'!$M$5:$M$219)-SUM(G315:I315)</f>
        <v>5</v>
      </c>
      <c r="G315" s="12">
        <f>SUMIF('On The Board'!I$5:I$219,"&lt;="&amp;$B315,'On The Board'!$M$5:$M$219)-SUM(H315,I315)</f>
        <v>2</v>
      </c>
      <c r="H315" s="12">
        <f>SUMIF('On The Board'!J$5:J$219,"&lt;="&amp;$B315,'On The Board'!$M$5:$M$219)-SUM(I315)</f>
        <v>0</v>
      </c>
      <c r="I315" s="12">
        <f>SUMIF('On The Board'!K$5:K$219,"&lt;="&amp;$B315,'On The Board'!$M$5:$M$219)</f>
        <v>70</v>
      </c>
      <c r="J315" s="10">
        <f t="shared" si="41"/>
        <v>77</v>
      </c>
      <c r="K315" s="10" t="e">
        <f t="shared" ca="1" si="42"/>
        <v>#N/A</v>
      </c>
      <c r="L315" s="44" t="e">
        <f t="shared" ca="1" si="46"/>
        <v>#N/A</v>
      </c>
      <c r="M315" s="44" t="e">
        <f t="shared" ca="1" si="45"/>
        <v>#N/A</v>
      </c>
      <c r="N315" s="44" t="e">
        <f t="shared" ca="1" si="44"/>
        <v>#N/A</v>
      </c>
      <c r="O315" s="53" t="e">
        <f t="shared" ca="1" si="47"/>
        <v>#N/A</v>
      </c>
      <c r="P315" s="53" t="str">
        <f ca="1">IFERROR(DayByDayTable[[#This Row],[Lead Time]],"")</f>
        <v/>
      </c>
      <c r="Q315" s="44" t="e">
        <f t="shared" ca="1" si="48"/>
        <v>#N/A</v>
      </c>
      <c r="R315" s="44">
        <f ca="1">ROUND(PERCENTILE(DayByDayTable[[#Data],[BlankLeadTime]],0.8),0)</f>
        <v>8</v>
      </c>
    </row>
    <row r="316" spans="1:18">
      <c r="A316" s="51">
        <f t="shared" si="40"/>
        <v>42863</v>
      </c>
      <c r="B316" s="11">
        <f t="shared" si="43"/>
        <v>42863</v>
      </c>
      <c r="C316" s="47">
        <f>SUMIFS('On The Board'!$M$5:$M$219,'On The Board'!F$5:F$219,"&lt;="&amp;$B316,'On The Board'!E$5:E$219,"="&amp;FutureWork)</f>
        <v>43</v>
      </c>
      <c r="D316" s="12">
        <f ca="1">IF(TodaysDate&gt;=B316,SUMIF('On The Board'!F$5:F$219,"&lt;="&amp;$B316,'On The Board'!$M$5:$M$219)-SUM(E316:I316),D315)</f>
        <v>47</v>
      </c>
      <c r="E316" s="12">
        <f>SUMIF('On The Board'!G$5:G$219,"&lt;="&amp;$B316,'On The Board'!$M$5:$M$219)-SUM(F316:I316)</f>
        <v>0</v>
      </c>
      <c r="F316" s="12">
        <f>SUMIF('On The Board'!H$5:H$219,"&lt;="&amp;$B316,'On The Board'!$M$5:$M$219)-SUM(G316:I316)</f>
        <v>5</v>
      </c>
      <c r="G316" s="12">
        <f>SUMIF('On The Board'!I$5:I$219,"&lt;="&amp;$B316,'On The Board'!$M$5:$M$219)-SUM(H316,I316)</f>
        <v>2</v>
      </c>
      <c r="H316" s="12">
        <f>SUMIF('On The Board'!J$5:J$219,"&lt;="&amp;$B316,'On The Board'!$M$5:$M$219)-SUM(I316)</f>
        <v>0</v>
      </c>
      <c r="I316" s="12">
        <f>SUMIF('On The Board'!K$5:K$219,"&lt;="&amp;$B316,'On The Board'!$M$5:$M$219)</f>
        <v>70</v>
      </c>
      <c r="J316" s="10">
        <f t="shared" si="41"/>
        <v>77</v>
      </c>
      <c r="K316" s="10" t="e">
        <f t="shared" ca="1" si="42"/>
        <v>#N/A</v>
      </c>
      <c r="L316" s="44" t="e">
        <f t="shared" ca="1" si="46"/>
        <v>#N/A</v>
      </c>
      <c r="M316" s="44" t="e">
        <f t="shared" ca="1" si="45"/>
        <v>#N/A</v>
      </c>
      <c r="N316" s="44" t="e">
        <f t="shared" ca="1" si="44"/>
        <v>#N/A</v>
      </c>
      <c r="O316" s="53" t="e">
        <f t="shared" ca="1" si="47"/>
        <v>#N/A</v>
      </c>
      <c r="P316" s="53" t="str">
        <f ca="1">IFERROR(DayByDayTable[[#This Row],[Lead Time]],"")</f>
        <v/>
      </c>
      <c r="Q316" s="44" t="e">
        <f t="shared" ca="1" si="48"/>
        <v>#N/A</v>
      </c>
      <c r="R316" s="44">
        <f ca="1">ROUND(PERCENTILE(DayByDayTable[[#Data],[BlankLeadTime]],0.8),0)</f>
        <v>8</v>
      </c>
    </row>
    <row r="317" spans="1:18">
      <c r="A317" s="51">
        <f t="shared" si="40"/>
        <v>42864</v>
      </c>
      <c r="B317" s="11">
        <f t="shared" si="43"/>
        <v>42864</v>
      </c>
      <c r="C317" s="47">
        <f>SUMIFS('On The Board'!$M$5:$M$219,'On The Board'!F$5:F$219,"&lt;="&amp;$B317,'On The Board'!E$5:E$219,"="&amp;FutureWork)</f>
        <v>43</v>
      </c>
      <c r="D317" s="12">
        <f ca="1">IF(TodaysDate&gt;=B317,SUMIF('On The Board'!F$5:F$219,"&lt;="&amp;$B317,'On The Board'!$M$5:$M$219)-SUM(E317:I317),D316)</f>
        <v>47</v>
      </c>
      <c r="E317" s="12">
        <f>SUMIF('On The Board'!G$5:G$219,"&lt;="&amp;$B317,'On The Board'!$M$5:$M$219)-SUM(F317:I317)</f>
        <v>0</v>
      </c>
      <c r="F317" s="12">
        <f>SUMIF('On The Board'!H$5:H$219,"&lt;="&amp;$B317,'On The Board'!$M$5:$M$219)-SUM(G317:I317)</f>
        <v>5</v>
      </c>
      <c r="G317" s="12">
        <f>SUMIF('On The Board'!I$5:I$219,"&lt;="&amp;$B317,'On The Board'!$M$5:$M$219)-SUM(H317,I317)</f>
        <v>2</v>
      </c>
      <c r="H317" s="12">
        <f>SUMIF('On The Board'!J$5:J$219,"&lt;="&amp;$B317,'On The Board'!$M$5:$M$219)-SUM(I317)</f>
        <v>0</v>
      </c>
      <c r="I317" s="12">
        <f>SUMIF('On The Board'!K$5:K$219,"&lt;="&amp;$B317,'On The Board'!$M$5:$M$219)</f>
        <v>70</v>
      </c>
      <c r="J317" s="10">
        <f t="shared" si="41"/>
        <v>77</v>
      </c>
      <c r="K317" s="10" t="e">
        <f t="shared" ca="1" si="42"/>
        <v>#N/A</v>
      </c>
      <c r="L317" s="44" t="e">
        <f t="shared" ca="1" si="46"/>
        <v>#N/A</v>
      </c>
      <c r="M317" s="44" t="e">
        <f t="shared" ca="1" si="45"/>
        <v>#N/A</v>
      </c>
      <c r="N317" s="44" t="e">
        <f t="shared" ca="1" si="44"/>
        <v>#N/A</v>
      </c>
      <c r="O317" s="53" t="e">
        <f t="shared" ca="1" si="47"/>
        <v>#N/A</v>
      </c>
      <c r="P317" s="53" t="str">
        <f ca="1">IFERROR(DayByDayTable[[#This Row],[Lead Time]],"")</f>
        <v/>
      </c>
      <c r="Q317" s="44" t="e">
        <f t="shared" ca="1" si="48"/>
        <v>#N/A</v>
      </c>
      <c r="R317" s="44">
        <f ca="1">ROUND(PERCENTILE(DayByDayTable[[#Data],[BlankLeadTime]],0.8),0)</f>
        <v>8</v>
      </c>
    </row>
    <row r="318" spans="1:18">
      <c r="A318" s="51">
        <f t="shared" si="40"/>
        <v>42865</v>
      </c>
      <c r="B318" s="11">
        <f t="shared" si="43"/>
        <v>42865</v>
      </c>
      <c r="C318" s="47">
        <f>SUMIFS('On The Board'!$M$5:$M$219,'On The Board'!F$5:F$219,"&lt;="&amp;$B318,'On The Board'!E$5:E$219,"="&amp;FutureWork)</f>
        <v>43</v>
      </c>
      <c r="D318" s="12">
        <f ca="1">IF(TodaysDate&gt;=B318,SUMIF('On The Board'!F$5:F$219,"&lt;="&amp;$B318,'On The Board'!$M$5:$M$219)-SUM(E318:I318),D317)</f>
        <v>47</v>
      </c>
      <c r="E318" s="12">
        <f>SUMIF('On The Board'!G$5:G$219,"&lt;="&amp;$B318,'On The Board'!$M$5:$M$219)-SUM(F318:I318)</f>
        <v>0</v>
      </c>
      <c r="F318" s="12">
        <f>SUMIF('On The Board'!H$5:H$219,"&lt;="&amp;$B318,'On The Board'!$M$5:$M$219)-SUM(G318:I318)</f>
        <v>5</v>
      </c>
      <c r="G318" s="12">
        <f>SUMIF('On The Board'!I$5:I$219,"&lt;="&amp;$B318,'On The Board'!$M$5:$M$219)-SUM(H318,I318)</f>
        <v>2</v>
      </c>
      <c r="H318" s="12">
        <f>SUMIF('On The Board'!J$5:J$219,"&lt;="&amp;$B318,'On The Board'!$M$5:$M$219)-SUM(I318)</f>
        <v>0</v>
      </c>
      <c r="I318" s="12">
        <f>SUMIF('On The Board'!K$5:K$219,"&lt;="&amp;$B318,'On The Board'!$M$5:$M$219)</f>
        <v>70</v>
      </c>
      <c r="J318" s="10">
        <f t="shared" si="41"/>
        <v>77</v>
      </c>
      <c r="K318" s="10" t="e">
        <f t="shared" ca="1" si="42"/>
        <v>#N/A</v>
      </c>
      <c r="L318" s="44" t="e">
        <f t="shared" ca="1" si="46"/>
        <v>#N/A</v>
      </c>
      <c r="M318" s="44" t="e">
        <f t="shared" ca="1" si="45"/>
        <v>#N/A</v>
      </c>
      <c r="N318" s="44" t="e">
        <f t="shared" ca="1" si="44"/>
        <v>#N/A</v>
      </c>
      <c r="O318" s="53" t="e">
        <f t="shared" ca="1" si="47"/>
        <v>#N/A</v>
      </c>
      <c r="P318" s="53" t="str">
        <f ca="1">IFERROR(DayByDayTable[[#This Row],[Lead Time]],"")</f>
        <v/>
      </c>
      <c r="Q318" s="44" t="e">
        <f t="shared" ca="1" si="48"/>
        <v>#N/A</v>
      </c>
      <c r="R318" s="44">
        <f ca="1">ROUND(PERCENTILE(DayByDayTable[[#Data],[BlankLeadTime]],0.8),0)</f>
        <v>8</v>
      </c>
    </row>
    <row r="319" spans="1:18">
      <c r="A319" s="51">
        <f t="shared" ref="A319:A382" si="49">B319</f>
        <v>42866</v>
      </c>
      <c r="B319" s="11">
        <f t="shared" si="43"/>
        <v>42866</v>
      </c>
      <c r="C319" s="47">
        <f>SUMIFS('On The Board'!$M$5:$M$219,'On The Board'!F$5:F$219,"&lt;="&amp;$B319,'On The Board'!E$5:E$219,"="&amp;FutureWork)</f>
        <v>43</v>
      </c>
      <c r="D319" s="12">
        <f ca="1">IF(TodaysDate&gt;=B319,SUMIF('On The Board'!F$5:F$219,"&lt;="&amp;$B319,'On The Board'!$M$5:$M$219)-SUM(E319:I319),D318)</f>
        <v>47</v>
      </c>
      <c r="E319" s="12">
        <f>SUMIF('On The Board'!G$5:G$219,"&lt;="&amp;$B319,'On The Board'!$M$5:$M$219)-SUM(F319:I319)</f>
        <v>0</v>
      </c>
      <c r="F319" s="12">
        <f>SUMIF('On The Board'!H$5:H$219,"&lt;="&amp;$B319,'On The Board'!$M$5:$M$219)-SUM(G319:I319)</f>
        <v>5</v>
      </c>
      <c r="G319" s="12">
        <f>SUMIF('On The Board'!I$5:I$219,"&lt;="&amp;$B319,'On The Board'!$M$5:$M$219)-SUM(H319,I319)</f>
        <v>2</v>
      </c>
      <c r="H319" s="12">
        <f>SUMIF('On The Board'!J$5:J$219,"&lt;="&amp;$B319,'On The Board'!$M$5:$M$219)-SUM(I319)</f>
        <v>0</v>
      </c>
      <c r="I319" s="12">
        <f>SUMIF('On The Board'!K$5:K$219,"&lt;="&amp;$B319,'On The Board'!$M$5:$M$219)</f>
        <v>70</v>
      </c>
      <c r="J319" s="10">
        <f t="shared" ref="J319:J382" si="50">SUM(E319:I319)</f>
        <v>77</v>
      </c>
      <c r="K319" s="10" t="e">
        <f t="shared" ca="1" si="42"/>
        <v>#N/A</v>
      </c>
      <c r="L319" s="44" t="e">
        <f t="shared" ca="1" si="46"/>
        <v>#N/A</v>
      </c>
      <c r="M319" s="44" t="e">
        <f t="shared" ca="1" si="45"/>
        <v>#N/A</v>
      </c>
      <c r="N319" s="44" t="e">
        <f t="shared" ca="1" si="44"/>
        <v>#N/A</v>
      </c>
      <c r="O319" s="53" t="e">
        <f t="shared" ca="1" si="47"/>
        <v>#N/A</v>
      </c>
      <c r="P319" s="53" t="str">
        <f ca="1">IFERROR(DayByDayTable[[#This Row],[Lead Time]],"")</f>
        <v/>
      </c>
      <c r="Q319" s="44" t="e">
        <f t="shared" ca="1" si="48"/>
        <v>#N/A</v>
      </c>
      <c r="R319" s="44">
        <f ca="1">ROUND(PERCENTILE(DayByDayTable[[#Data],[BlankLeadTime]],0.8),0)</f>
        <v>8</v>
      </c>
    </row>
    <row r="320" spans="1:18">
      <c r="A320" s="51">
        <f t="shared" si="49"/>
        <v>42867</v>
      </c>
      <c r="B320" s="11">
        <f t="shared" si="43"/>
        <v>42867</v>
      </c>
      <c r="C320" s="47">
        <f>SUMIFS('On The Board'!$M$5:$M$219,'On The Board'!F$5:F$219,"&lt;="&amp;$B320,'On The Board'!E$5:E$219,"="&amp;FutureWork)</f>
        <v>43</v>
      </c>
      <c r="D320" s="12">
        <f ca="1">IF(TodaysDate&gt;=B320,SUMIF('On The Board'!F$5:F$219,"&lt;="&amp;$B320,'On The Board'!$M$5:$M$219)-SUM(E320:I320),D319)</f>
        <v>47</v>
      </c>
      <c r="E320" s="12">
        <f>SUMIF('On The Board'!G$5:G$219,"&lt;="&amp;$B320,'On The Board'!$M$5:$M$219)-SUM(F320:I320)</f>
        <v>0</v>
      </c>
      <c r="F320" s="12">
        <f>SUMIF('On The Board'!H$5:H$219,"&lt;="&amp;$B320,'On The Board'!$M$5:$M$219)-SUM(G320:I320)</f>
        <v>5</v>
      </c>
      <c r="G320" s="12">
        <f>SUMIF('On The Board'!I$5:I$219,"&lt;="&amp;$B320,'On The Board'!$M$5:$M$219)-SUM(H320,I320)</f>
        <v>2</v>
      </c>
      <c r="H320" s="12">
        <f>SUMIF('On The Board'!J$5:J$219,"&lt;="&amp;$B320,'On The Board'!$M$5:$M$219)-SUM(I320)</f>
        <v>0</v>
      </c>
      <c r="I320" s="12">
        <f>SUMIF('On The Board'!K$5:K$219,"&lt;="&amp;$B320,'On The Board'!$M$5:$M$219)</f>
        <v>70</v>
      </c>
      <c r="J320" s="10">
        <f t="shared" si="50"/>
        <v>77</v>
      </c>
      <c r="K320" s="10" t="e">
        <f t="shared" ca="1" si="42"/>
        <v>#N/A</v>
      </c>
      <c r="L320" s="44" t="e">
        <f t="shared" ca="1" si="46"/>
        <v>#N/A</v>
      </c>
      <c r="M320" s="44" t="e">
        <f t="shared" ca="1" si="45"/>
        <v>#N/A</v>
      </c>
      <c r="N320" s="44" t="e">
        <f t="shared" ca="1" si="44"/>
        <v>#N/A</v>
      </c>
      <c r="O320" s="53" t="e">
        <f t="shared" ca="1" si="47"/>
        <v>#N/A</v>
      </c>
      <c r="P320" s="53" t="str">
        <f ca="1">IFERROR(DayByDayTable[[#This Row],[Lead Time]],"")</f>
        <v/>
      </c>
      <c r="Q320" s="44" t="e">
        <f t="shared" ca="1" si="48"/>
        <v>#N/A</v>
      </c>
      <c r="R320" s="44">
        <f ca="1">ROUND(PERCENTILE(DayByDayTable[[#Data],[BlankLeadTime]],0.8),0)</f>
        <v>8</v>
      </c>
    </row>
    <row r="321" spans="1:18">
      <c r="A321" s="51">
        <f t="shared" si="49"/>
        <v>42870</v>
      </c>
      <c r="B321" s="11">
        <f t="shared" si="43"/>
        <v>42870</v>
      </c>
      <c r="C321" s="47">
        <f>SUMIFS('On The Board'!$M$5:$M$219,'On The Board'!F$5:F$219,"&lt;="&amp;$B321,'On The Board'!E$5:E$219,"="&amp;FutureWork)</f>
        <v>43</v>
      </c>
      <c r="D321" s="12">
        <f ca="1">IF(TodaysDate&gt;=B321,SUMIF('On The Board'!F$5:F$219,"&lt;="&amp;$B321,'On The Board'!$M$5:$M$219)-SUM(E321:I321),D320)</f>
        <v>47</v>
      </c>
      <c r="E321" s="12">
        <f>SUMIF('On The Board'!G$5:G$219,"&lt;="&amp;$B321,'On The Board'!$M$5:$M$219)-SUM(F321:I321)</f>
        <v>0</v>
      </c>
      <c r="F321" s="12">
        <f>SUMIF('On The Board'!H$5:H$219,"&lt;="&amp;$B321,'On The Board'!$M$5:$M$219)-SUM(G321:I321)</f>
        <v>5</v>
      </c>
      <c r="G321" s="12">
        <f>SUMIF('On The Board'!I$5:I$219,"&lt;="&amp;$B321,'On The Board'!$M$5:$M$219)-SUM(H321,I321)</f>
        <v>2</v>
      </c>
      <c r="H321" s="12">
        <f>SUMIF('On The Board'!J$5:J$219,"&lt;="&amp;$B321,'On The Board'!$M$5:$M$219)-SUM(I321)</f>
        <v>0</v>
      </c>
      <c r="I321" s="12">
        <f>SUMIF('On The Board'!K$5:K$219,"&lt;="&amp;$B321,'On The Board'!$M$5:$M$219)</f>
        <v>70</v>
      </c>
      <c r="J321" s="10">
        <f t="shared" si="50"/>
        <v>77</v>
      </c>
      <c r="K321" s="10" t="e">
        <f t="shared" ca="1" si="42"/>
        <v>#N/A</v>
      </c>
      <c r="L321" s="44" t="e">
        <f t="shared" ca="1" si="46"/>
        <v>#N/A</v>
      </c>
      <c r="M321" s="44" t="e">
        <f t="shared" ca="1" si="45"/>
        <v>#N/A</v>
      </c>
      <c r="N321" s="44" t="e">
        <f t="shared" ca="1" si="44"/>
        <v>#N/A</v>
      </c>
      <c r="O321" s="53" t="e">
        <f t="shared" ca="1" si="47"/>
        <v>#N/A</v>
      </c>
      <c r="P321" s="53" t="str">
        <f ca="1">IFERROR(DayByDayTable[[#This Row],[Lead Time]],"")</f>
        <v/>
      </c>
      <c r="Q321" s="44" t="e">
        <f t="shared" ca="1" si="48"/>
        <v>#N/A</v>
      </c>
      <c r="R321" s="44">
        <f ca="1">ROUND(PERCENTILE(DayByDayTable[[#Data],[BlankLeadTime]],0.8),0)</f>
        <v>8</v>
      </c>
    </row>
    <row r="322" spans="1:18">
      <c r="A322" s="51">
        <f t="shared" si="49"/>
        <v>42871</v>
      </c>
      <c r="B322" s="11">
        <f t="shared" si="43"/>
        <v>42871</v>
      </c>
      <c r="C322" s="47">
        <f>SUMIFS('On The Board'!$M$5:$M$219,'On The Board'!F$5:F$219,"&lt;="&amp;$B322,'On The Board'!E$5:E$219,"="&amp;FutureWork)</f>
        <v>43</v>
      </c>
      <c r="D322" s="12">
        <f ca="1">IF(TodaysDate&gt;=B322,SUMIF('On The Board'!F$5:F$219,"&lt;="&amp;$B322,'On The Board'!$M$5:$M$219)-SUM(E322:I322),D321)</f>
        <v>47</v>
      </c>
      <c r="E322" s="12">
        <f>SUMIF('On The Board'!G$5:G$219,"&lt;="&amp;$B322,'On The Board'!$M$5:$M$219)-SUM(F322:I322)</f>
        <v>0</v>
      </c>
      <c r="F322" s="12">
        <f>SUMIF('On The Board'!H$5:H$219,"&lt;="&amp;$B322,'On The Board'!$M$5:$M$219)-SUM(G322:I322)</f>
        <v>5</v>
      </c>
      <c r="G322" s="12">
        <f>SUMIF('On The Board'!I$5:I$219,"&lt;="&amp;$B322,'On The Board'!$M$5:$M$219)-SUM(H322,I322)</f>
        <v>2</v>
      </c>
      <c r="H322" s="12">
        <f>SUMIF('On The Board'!J$5:J$219,"&lt;="&amp;$B322,'On The Board'!$M$5:$M$219)-SUM(I322)</f>
        <v>0</v>
      </c>
      <c r="I322" s="12">
        <f>SUMIF('On The Board'!K$5:K$219,"&lt;="&amp;$B322,'On The Board'!$M$5:$M$219)</f>
        <v>70</v>
      </c>
      <c r="J322" s="10">
        <f t="shared" si="50"/>
        <v>77</v>
      </c>
      <c r="K322" s="10" t="e">
        <f t="shared" ref="K322:K385" ca="1" si="51">IF(TodaysDate&gt;=B322,SUM(E322:H322),NA())</f>
        <v>#N/A</v>
      </c>
      <c r="L322" s="44" t="e">
        <f t="shared" ca="1" si="46"/>
        <v>#N/A</v>
      </c>
      <c r="M322" s="44" t="e">
        <f t="shared" ca="1" si="45"/>
        <v>#N/A</v>
      </c>
      <c r="N322" s="44" t="e">
        <f t="shared" ca="1" si="44"/>
        <v>#N/A</v>
      </c>
      <c r="O322" s="53" t="e">
        <f t="shared" ca="1" si="47"/>
        <v>#N/A</v>
      </c>
      <c r="P322" s="53" t="str">
        <f ca="1">IFERROR(DayByDayTable[[#This Row],[Lead Time]],"")</f>
        <v/>
      </c>
      <c r="Q322" s="44" t="e">
        <f t="shared" ca="1" si="48"/>
        <v>#N/A</v>
      </c>
      <c r="R322" s="44">
        <f ca="1">ROUND(PERCENTILE(DayByDayTable[[#Data],[BlankLeadTime]],0.8),0)</f>
        <v>8</v>
      </c>
    </row>
    <row r="323" spans="1:18">
      <c r="A323" s="51">
        <f t="shared" si="49"/>
        <v>42872</v>
      </c>
      <c r="B323" s="11">
        <f t="shared" ref="B323:B386" si="52">IF(NETWORKDAYS(B322,B322+1,BankHolidays)=2,B322+1,IF(NETWORKDAYS(B322,B322+2,BankHolidays)=2,B322+2,IF(NETWORKDAYS(B322,B322+3,BankHolidays)=2,B322+3,IF(NETWORKDAYS(B322,B322+4,BankHolidays)=2,B322+4,IF(NETWORKDAYS(B322,B322+5,BankHolidays)=2,B322+5,NA())))))</f>
        <v>42872</v>
      </c>
      <c r="C323" s="47">
        <f>SUMIFS('On The Board'!$M$5:$M$219,'On The Board'!F$5:F$219,"&lt;="&amp;$B323,'On The Board'!E$5:E$219,"="&amp;FutureWork)</f>
        <v>43</v>
      </c>
      <c r="D323" s="12">
        <f ca="1">IF(TodaysDate&gt;=B323,SUMIF('On The Board'!F$5:F$219,"&lt;="&amp;$B323,'On The Board'!$M$5:$M$219)-SUM(E323:I323),D322)</f>
        <v>47</v>
      </c>
      <c r="E323" s="12">
        <f>SUMIF('On The Board'!G$5:G$219,"&lt;="&amp;$B323,'On The Board'!$M$5:$M$219)-SUM(F323:I323)</f>
        <v>0</v>
      </c>
      <c r="F323" s="12">
        <f>SUMIF('On The Board'!H$5:H$219,"&lt;="&amp;$B323,'On The Board'!$M$5:$M$219)-SUM(G323:I323)</f>
        <v>5</v>
      </c>
      <c r="G323" s="12">
        <f>SUMIF('On The Board'!I$5:I$219,"&lt;="&amp;$B323,'On The Board'!$M$5:$M$219)-SUM(H323,I323)</f>
        <v>2</v>
      </c>
      <c r="H323" s="12">
        <f>SUMIF('On The Board'!J$5:J$219,"&lt;="&amp;$B323,'On The Board'!$M$5:$M$219)-SUM(I323)</f>
        <v>0</v>
      </c>
      <c r="I323" s="12">
        <f>SUMIF('On The Board'!K$5:K$219,"&lt;="&amp;$B323,'On The Board'!$M$5:$M$219)</f>
        <v>70</v>
      </c>
      <c r="J323" s="10">
        <f t="shared" si="50"/>
        <v>77</v>
      </c>
      <c r="K323" s="10" t="e">
        <f t="shared" ca="1" si="51"/>
        <v>#N/A</v>
      </c>
      <c r="L323" s="44" t="e">
        <f t="shared" ca="1" si="46"/>
        <v>#N/A</v>
      </c>
      <c r="M323" s="44" t="e">
        <f t="shared" ca="1" si="45"/>
        <v>#N/A</v>
      </c>
      <c r="N323" s="44" t="e">
        <f t="shared" ref="N323:N386" ca="1" si="53">IF(M323&gt;0,L323/M323,NA())</f>
        <v>#N/A</v>
      </c>
      <c r="O323" s="53" t="e">
        <f t="shared" ca="1" si="47"/>
        <v>#N/A</v>
      </c>
      <c r="P323" s="53" t="str">
        <f ca="1">IFERROR(DayByDayTable[[#This Row],[Lead Time]],"")</f>
        <v/>
      </c>
      <c r="Q323" s="44" t="e">
        <f t="shared" ca="1" si="48"/>
        <v>#N/A</v>
      </c>
      <c r="R323" s="44">
        <f ca="1">ROUND(PERCENTILE(DayByDayTable[[#Data],[BlankLeadTime]],0.8),0)</f>
        <v>8</v>
      </c>
    </row>
    <row r="324" spans="1:18">
      <c r="A324" s="51">
        <f t="shared" si="49"/>
        <v>42873</v>
      </c>
      <c r="B324" s="11">
        <f t="shared" si="52"/>
        <v>42873</v>
      </c>
      <c r="C324" s="47">
        <f>SUMIFS('On The Board'!$M$5:$M$219,'On The Board'!F$5:F$219,"&lt;="&amp;$B324,'On The Board'!E$5:E$219,"="&amp;FutureWork)</f>
        <v>43</v>
      </c>
      <c r="D324" s="12">
        <f ca="1">IF(TodaysDate&gt;=B324,SUMIF('On The Board'!F$5:F$219,"&lt;="&amp;$B324,'On The Board'!$M$5:$M$219)-SUM(E324:I324),D323)</f>
        <v>47</v>
      </c>
      <c r="E324" s="12">
        <f>SUMIF('On The Board'!G$5:G$219,"&lt;="&amp;$B324,'On The Board'!$M$5:$M$219)-SUM(F324:I324)</f>
        <v>0</v>
      </c>
      <c r="F324" s="12">
        <f>SUMIF('On The Board'!H$5:H$219,"&lt;="&amp;$B324,'On The Board'!$M$5:$M$219)-SUM(G324:I324)</f>
        <v>5</v>
      </c>
      <c r="G324" s="12">
        <f>SUMIF('On The Board'!I$5:I$219,"&lt;="&amp;$B324,'On The Board'!$M$5:$M$219)-SUM(H324,I324)</f>
        <v>2</v>
      </c>
      <c r="H324" s="12">
        <f>SUMIF('On The Board'!J$5:J$219,"&lt;="&amp;$B324,'On The Board'!$M$5:$M$219)-SUM(I324)</f>
        <v>0</v>
      </c>
      <c r="I324" s="12">
        <f>SUMIF('On The Board'!K$5:K$219,"&lt;="&amp;$B324,'On The Board'!$M$5:$M$219)</f>
        <v>70</v>
      </c>
      <c r="J324" s="10">
        <f t="shared" si="50"/>
        <v>77</v>
      </c>
      <c r="K324" s="10" t="e">
        <f t="shared" ca="1" si="51"/>
        <v>#N/A</v>
      </c>
      <c r="L324" s="44" t="e">
        <f t="shared" ca="1" si="46"/>
        <v>#N/A</v>
      </c>
      <c r="M324" s="44" t="e">
        <f t="shared" ca="1" si="45"/>
        <v>#N/A</v>
      </c>
      <c r="N324" s="44" t="e">
        <f t="shared" ca="1" si="53"/>
        <v>#N/A</v>
      </c>
      <c r="O324" s="53" t="e">
        <f t="shared" ca="1" si="47"/>
        <v>#N/A</v>
      </c>
      <c r="P324" s="53" t="str">
        <f ca="1">IFERROR(DayByDayTable[[#This Row],[Lead Time]],"")</f>
        <v/>
      </c>
      <c r="Q324" s="44" t="e">
        <f t="shared" ca="1" si="48"/>
        <v>#N/A</v>
      </c>
      <c r="R324" s="44">
        <f ca="1">ROUND(PERCENTILE(DayByDayTable[[#Data],[BlankLeadTime]],0.8),0)</f>
        <v>8</v>
      </c>
    </row>
    <row r="325" spans="1:18">
      <c r="A325" s="51">
        <f t="shared" si="49"/>
        <v>42874</v>
      </c>
      <c r="B325" s="11">
        <f t="shared" si="52"/>
        <v>42874</v>
      </c>
      <c r="C325" s="47">
        <f>SUMIFS('On The Board'!$M$5:$M$219,'On The Board'!F$5:F$219,"&lt;="&amp;$B325,'On The Board'!E$5:E$219,"="&amp;FutureWork)</f>
        <v>43</v>
      </c>
      <c r="D325" s="12">
        <f ca="1">IF(TodaysDate&gt;=B325,SUMIF('On The Board'!F$5:F$219,"&lt;="&amp;$B325,'On The Board'!$M$5:$M$219)-SUM(E325:I325),D324)</f>
        <v>47</v>
      </c>
      <c r="E325" s="12">
        <f>SUMIF('On The Board'!G$5:G$219,"&lt;="&amp;$B325,'On The Board'!$M$5:$M$219)-SUM(F325:I325)</f>
        <v>0</v>
      </c>
      <c r="F325" s="12">
        <f>SUMIF('On The Board'!H$5:H$219,"&lt;="&amp;$B325,'On The Board'!$M$5:$M$219)-SUM(G325:I325)</f>
        <v>5</v>
      </c>
      <c r="G325" s="12">
        <f>SUMIF('On The Board'!I$5:I$219,"&lt;="&amp;$B325,'On The Board'!$M$5:$M$219)-SUM(H325,I325)</f>
        <v>2</v>
      </c>
      <c r="H325" s="12">
        <f>SUMIF('On The Board'!J$5:J$219,"&lt;="&amp;$B325,'On The Board'!$M$5:$M$219)-SUM(I325)</f>
        <v>0</v>
      </c>
      <c r="I325" s="12">
        <f>SUMIF('On The Board'!K$5:K$219,"&lt;="&amp;$B325,'On The Board'!$M$5:$M$219)</f>
        <v>70</v>
      </c>
      <c r="J325" s="10">
        <f t="shared" si="50"/>
        <v>77</v>
      </c>
      <c r="K325" s="10" t="e">
        <f t="shared" ca="1" si="51"/>
        <v>#N/A</v>
      </c>
      <c r="L325" s="44" t="e">
        <f t="shared" ca="1" si="46"/>
        <v>#N/A</v>
      </c>
      <c r="M325" s="44" t="e">
        <f t="shared" ca="1" si="45"/>
        <v>#N/A</v>
      </c>
      <c r="N325" s="44" t="e">
        <f t="shared" ca="1" si="53"/>
        <v>#N/A</v>
      </c>
      <c r="O325" s="53" t="e">
        <f t="shared" ca="1" si="47"/>
        <v>#N/A</v>
      </c>
      <c r="P325" s="53" t="str">
        <f ca="1">IFERROR(DayByDayTable[[#This Row],[Lead Time]],"")</f>
        <v/>
      </c>
      <c r="Q325" s="44" t="e">
        <f t="shared" ca="1" si="48"/>
        <v>#N/A</v>
      </c>
      <c r="R325" s="44">
        <f ca="1">ROUND(PERCENTILE(DayByDayTable[[#Data],[BlankLeadTime]],0.8),0)</f>
        <v>8</v>
      </c>
    </row>
    <row r="326" spans="1:18">
      <c r="A326" s="51">
        <f t="shared" si="49"/>
        <v>42877</v>
      </c>
      <c r="B326" s="11">
        <f t="shared" si="52"/>
        <v>42877</v>
      </c>
      <c r="C326" s="47">
        <f>SUMIFS('On The Board'!$M$5:$M$219,'On The Board'!F$5:F$219,"&lt;="&amp;$B326,'On The Board'!E$5:E$219,"="&amp;FutureWork)</f>
        <v>43</v>
      </c>
      <c r="D326" s="12">
        <f ca="1">IF(TodaysDate&gt;=B326,SUMIF('On The Board'!F$5:F$219,"&lt;="&amp;$B326,'On The Board'!$M$5:$M$219)-SUM(E326:I326),D325)</f>
        <v>47</v>
      </c>
      <c r="E326" s="12">
        <f>SUMIF('On The Board'!G$5:G$219,"&lt;="&amp;$B326,'On The Board'!$M$5:$M$219)-SUM(F326:I326)</f>
        <v>0</v>
      </c>
      <c r="F326" s="12">
        <f>SUMIF('On The Board'!H$5:H$219,"&lt;="&amp;$B326,'On The Board'!$M$5:$M$219)-SUM(G326:I326)</f>
        <v>5</v>
      </c>
      <c r="G326" s="12">
        <f>SUMIF('On The Board'!I$5:I$219,"&lt;="&amp;$B326,'On The Board'!$M$5:$M$219)-SUM(H326,I326)</f>
        <v>2</v>
      </c>
      <c r="H326" s="12">
        <f>SUMIF('On The Board'!J$5:J$219,"&lt;="&amp;$B326,'On The Board'!$M$5:$M$219)-SUM(I326)</f>
        <v>0</v>
      </c>
      <c r="I326" s="12">
        <f>SUMIF('On The Board'!K$5:K$219,"&lt;="&amp;$B326,'On The Board'!$M$5:$M$219)</f>
        <v>70</v>
      </c>
      <c r="J326" s="10">
        <f t="shared" si="50"/>
        <v>77</v>
      </c>
      <c r="K326" s="10" t="e">
        <f t="shared" ca="1" si="51"/>
        <v>#N/A</v>
      </c>
      <c r="L326" s="44" t="e">
        <f t="shared" ca="1" si="46"/>
        <v>#N/A</v>
      </c>
      <c r="M326" s="44" t="e">
        <f t="shared" ca="1" si="45"/>
        <v>#N/A</v>
      </c>
      <c r="N326" s="44" t="e">
        <f t="shared" ca="1" si="53"/>
        <v>#N/A</v>
      </c>
      <c r="O326" s="53" t="e">
        <f t="shared" ca="1" si="47"/>
        <v>#N/A</v>
      </c>
      <c r="P326" s="53" t="str">
        <f ca="1">IFERROR(DayByDayTable[[#This Row],[Lead Time]],"")</f>
        <v/>
      </c>
      <c r="Q326" s="44" t="e">
        <f t="shared" ca="1" si="48"/>
        <v>#N/A</v>
      </c>
      <c r="R326" s="44">
        <f ca="1">ROUND(PERCENTILE(DayByDayTable[[#Data],[BlankLeadTime]],0.8),0)</f>
        <v>8</v>
      </c>
    </row>
    <row r="327" spans="1:18">
      <c r="A327" s="51">
        <f t="shared" si="49"/>
        <v>42878</v>
      </c>
      <c r="B327" s="11">
        <f t="shared" si="52"/>
        <v>42878</v>
      </c>
      <c r="C327" s="47">
        <f>SUMIFS('On The Board'!$M$5:$M$219,'On The Board'!F$5:F$219,"&lt;="&amp;$B327,'On The Board'!E$5:E$219,"="&amp;FutureWork)</f>
        <v>43</v>
      </c>
      <c r="D327" s="12">
        <f ca="1">IF(TodaysDate&gt;=B327,SUMIF('On The Board'!F$5:F$219,"&lt;="&amp;$B327,'On The Board'!$M$5:$M$219)-SUM(E327:I327),D326)</f>
        <v>47</v>
      </c>
      <c r="E327" s="12">
        <f>SUMIF('On The Board'!G$5:G$219,"&lt;="&amp;$B327,'On The Board'!$M$5:$M$219)-SUM(F327:I327)</f>
        <v>0</v>
      </c>
      <c r="F327" s="12">
        <f>SUMIF('On The Board'!H$5:H$219,"&lt;="&amp;$B327,'On The Board'!$M$5:$M$219)-SUM(G327:I327)</f>
        <v>5</v>
      </c>
      <c r="G327" s="12">
        <f>SUMIF('On The Board'!I$5:I$219,"&lt;="&amp;$B327,'On The Board'!$M$5:$M$219)-SUM(H327,I327)</f>
        <v>2</v>
      </c>
      <c r="H327" s="12">
        <f>SUMIF('On The Board'!J$5:J$219,"&lt;="&amp;$B327,'On The Board'!$M$5:$M$219)-SUM(I327)</f>
        <v>0</v>
      </c>
      <c r="I327" s="12">
        <f>SUMIF('On The Board'!K$5:K$219,"&lt;="&amp;$B327,'On The Board'!$M$5:$M$219)</f>
        <v>70</v>
      </c>
      <c r="J327" s="10">
        <f t="shared" si="50"/>
        <v>77</v>
      </c>
      <c r="K327" s="10" t="e">
        <f t="shared" ca="1" si="51"/>
        <v>#N/A</v>
      </c>
      <c r="L327" s="44" t="e">
        <f t="shared" ca="1" si="46"/>
        <v>#N/A</v>
      </c>
      <c r="M327" s="44" t="e">
        <f t="shared" ca="1" si="45"/>
        <v>#N/A</v>
      </c>
      <c r="N327" s="44" t="e">
        <f t="shared" ca="1" si="53"/>
        <v>#N/A</v>
      </c>
      <c r="O327" s="53" t="e">
        <f t="shared" ca="1" si="47"/>
        <v>#N/A</v>
      </c>
      <c r="P327" s="53" t="str">
        <f ca="1">IFERROR(DayByDayTable[[#This Row],[Lead Time]],"")</f>
        <v/>
      </c>
      <c r="Q327" s="44" t="e">
        <f t="shared" ca="1" si="48"/>
        <v>#N/A</v>
      </c>
      <c r="R327" s="44">
        <f ca="1">ROUND(PERCENTILE(DayByDayTable[[#Data],[BlankLeadTime]],0.8),0)</f>
        <v>8</v>
      </c>
    </row>
    <row r="328" spans="1:18">
      <c r="A328" s="51">
        <f t="shared" si="49"/>
        <v>42879</v>
      </c>
      <c r="B328" s="11">
        <f t="shared" si="52"/>
        <v>42879</v>
      </c>
      <c r="C328" s="47">
        <f>SUMIFS('On The Board'!$M$5:$M$219,'On The Board'!F$5:F$219,"&lt;="&amp;$B328,'On The Board'!E$5:E$219,"="&amp;FutureWork)</f>
        <v>43</v>
      </c>
      <c r="D328" s="12">
        <f ca="1">IF(TodaysDate&gt;=B328,SUMIF('On The Board'!F$5:F$219,"&lt;="&amp;$B328,'On The Board'!$M$5:$M$219)-SUM(E328:I328),D327)</f>
        <v>47</v>
      </c>
      <c r="E328" s="12">
        <f>SUMIF('On The Board'!G$5:G$219,"&lt;="&amp;$B328,'On The Board'!$M$5:$M$219)-SUM(F328:I328)</f>
        <v>0</v>
      </c>
      <c r="F328" s="12">
        <f>SUMIF('On The Board'!H$5:H$219,"&lt;="&amp;$B328,'On The Board'!$M$5:$M$219)-SUM(G328:I328)</f>
        <v>5</v>
      </c>
      <c r="G328" s="12">
        <f>SUMIF('On The Board'!I$5:I$219,"&lt;="&amp;$B328,'On The Board'!$M$5:$M$219)-SUM(H328,I328)</f>
        <v>2</v>
      </c>
      <c r="H328" s="12">
        <f>SUMIF('On The Board'!J$5:J$219,"&lt;="&amp;$B328,'On The Board'!$M$5:$M$219)-SUM(I328)</f>
        <v>0</v>
      </c>
      <c r="I328" s="12">
        <f>SUMIF('On The Board'!K$5:K$219,"&lt;="&amp;$B328,'On The Board'!$M$5:$M$219)</f>
        <v>70</v>
      </c>
      <c r="J328" s="10">
        <f t="shared" si="50"/>
        <v>77</v>
      </c>
      <c r="K328" s="10" t="e">
        <f t="shared" ca="1" si="51"/>
        <v>#N/A</v>
      </c>
      <c r="L328" s="44" t="e">
        <f t="shared" ca="1" si="46"/>
        <v>#N/A</v>
      </c>
      <c r="M328" s="44" t="e">
        <f t="shared" ca="1" si="45"/>
        <v>#N/A</v>
      </c>
      <c r="N328" s="44" t="e">
        <f t="shared" ca="1" si="53"/>
        <v>#N/A</v>
      </c>
      <c r="O328" s="53" t="e">
        <f t="shared" ca="1" si="47"/>
        <v>#N/A</v>
      </c>
      <c r="P328" s="53" t="str">
        <f ca="1">IFERROR(DayByDayTable[[#This Row],[Lead Time]],"")</f>
        <v/>
      </c>
      <c r="Q328" s="44" t="e">
        <f t="shared" ca="1" si="48"/>
        <v>#N/A</v>
      </c>
      <c r="R328" s="44">
        <f ca="1">ROUND(PERCENTILE(DayByDayTable[[#Data],[BlankLeadTime]],0.8),0)</f>
        <v>8</v>
      </c>
    </row>
    <row r="329" spans="1:18">
      <c r="A329" s="51">
        <f t="shared" si="49"/>
        <v>42880</v>
      </c>
      <c r="B329" s="11">
        <f t="shared" si="52"/>
        <v>42880</v>
      </c>
      <c r="C329" s="47">
        <f>SUMIFS('On The Board'!$M$5:$M$219,'On The Board'!F$5:F$219,"&lt;="&amp;$B329,'On The Board'!E$5:E$219,"="&amp;FutureWork)</f>
        <v>43</v>
      </c>
      <c r="D329" s="12">
        <f ca="1">IF(TodaysDate&gt;=B329,SUMIF('On The Board'!F$5:F$219,"&lt;="&amp;$B329,'On The Board'!$M$5:$M$219)-SUM(E329:I329),D328)</f>
        <v>47</v>
      </c>
      <c r="E329" s="12">
        <f>SUMIF('On The Board'!G$5:G$219,"&lt;="&amp;$B329,'On The Board'!$M$5:$M$219)-SUM(F329:I329)</f>
        <v>0</v>
      </c>
      <c r="F329" s="12">
        <f>SUMIF('On The Board'!H$5:H$219,"&lt;="&amp;$B329,'On The Board'!$M$5:$M$219)-SUM(G329:I329)</f>
        <v>5</v>
      </c>
      <c r="G329" s="12">
        <f>SUMIF('On The Board'!I$5:I$219,"&lt;="&amp;$B329,'On The Board'!$M$5:$M$219)-SUM(H329,I329)</f>
        <v>2</v>
      </c>
      <c r="H329" s="12">
        <f>SUMIF('On The Board'!J$5:J$219,"&lt;="&amp;$B329,'On The Board'!$M$5:$M$219)-SUM(I329)</f>
        <v>0</v>
      </c>
      <c r="I329" s="12">
        <f>SUMIF('On The Board'!K$5:K$219,"&lt;="&amp;$B329,'On The Board'!$M$5:$M$219)</f>
        <v>70</v>
      </c>
      <c r="J329" s="10">
        <f t="shared" si="50"/>
        <v>77</v>
      </c>
      <c r="K329" s="10" t="e">
        <f t="shared" ca="1" si="51"/>
        <v>#N/A</v>
      </c>
      <c r="L329" s="44" t="e">
        <f t="shared" ca="1" si="46"/>
        <v>#N/A</v>
      </c>
      <c r="M329" s="44" t="e">
        <f t="shared" ca="1" si="45"/>
        <v>#N/A</v>
      </c>
      <c r="N329" s="44" t="e">
        <f t="shared" ca="1" si="53"/>
        <v>#N/A</v>
      </c>
      <c r="O329" s="53" t="e">
        <f t="shared" ca="1" si="47"/>
        <v>#N/A</v>
      </c>
      <c r="P329" s="53" t="str">
        <f ca="1">IFERROR(DayByDayTable[[#This Row],[Lead Time]],"")</f>
        <v/>
      </c>
      <c r="Q329" s="44" t="e">
        <f t="shared" ca="1" si="48"/>
        <v>#N/A</v>
      </c>
      <c r="R329" s="44">
        <f ca="1">ROUND(PERCENTILE(DayByDayTable[[#Data],[BlankLeadTime]],0.8),0)</f>
        <v>8</v>
      </c>
    </row>
    <row r="330" spans="1:18">
      <c r="A330" s="51">
        <f t="shared" si="49"/>
        <v>42881</v>
      </c>
      <c r="B330" s="11">
        <f t="shared" si="52"/>
        <v>42881</v>
      </c>
      <c r="C330" s="47">
        <f>SUMIFS('On The Board'!$M$5:$M$219,'On The Board'!F$5:F$219,"&lt;="&amp;$B330,'On The Board'!E$5:E$219,"="&amp;FutureWork)</f>
        <v>43</v>
      </c>
      <c r="D330" s="12">
        <f ca="1">IF(TodaysDate&gt;=B330,SUMIF('On The Board'!F$5:F$219,"&lt;="&amp;$B330,'On The Board'!$M$5:$M$219)-SUM(E330:I330),D329)</f>
        <v>47</v>
      </c>
      <c r="E330" s="12">
        <f>SUMIF('On The Board'!G$5:G$219,"&lt;="&amp;$B330,'On The Board'!$M$5:$M$219)-SUM(F330:I330)</f>
        <v>0</v>
      </c>
      <c r="F330" s="12">
        <f>SUMIF('On The Board'!H$5:H$219,"&lt;="&amp;$B330,'On The Board'!$M$5:$M$219)-SUM(G330:I330)</f>
        <v>5</v>
      </c>
      <c r="G330" s="12">
        <f>SUMIF('On The Board'!I$5:I$219,"&lt;="&amp;$B330,'On The Board'!$M$5:$M$219)-SUM(H330,I330)</f>
        <v>2</v>
      </c>
      <c r="H330" s="12">
        <f>SUMIF('On The Board'!J$5:J$219,"&lt;="&amp;$B330,'On The Board'!$M$5:$M$219)-SUM(I330)</f>
        <v>0</v>
      </c>
      <c r="I330" s="12">
        <f>SUMIF('On The Board'!K$5:K$219,"&lt;="&amp;$B330,'On The Board'!$M$5:$M$219)</f>
        <v>70</v>
      </c>
      <c r="J330" s="10">
        <f t="shared" si="50"/>
        <v>77</v>
      </c>
      <c r="K330" s="10" t="e">
        <f t="shared" ca="1" si="51"/>
        <v>#N/A</v>
      </c>
      <c r="L330" s="44" t="e">
        <f t="shared" ca="1" si="46"/>
        <v>#N/A</v>
      </c>
      <c r="M330" s="44" t="e">
        <f t="shared" ca="1" si="45"/>
        <v>#N/A</v>
      </c>
      <c r="N330" s="44" t="e">
        <f t="shared" ca="1" si="53"/>
        <v>#N/A</v>
      </c>
      <c r="O330" s="53" t="e">
        <f t="shared" ca="1" si="47"/>
        <v>#N/A</v>
      </c>
      <c r="P330" s="53" t="str">
        <f ca="1">IFERROR(DayByDayTable[[#This Row],[Lead Time]],"")</f>
        <v/>
      </c>
      <c r="Q330" s="44" t="e">
        <f t="shared" ca="1" si="48"/>
        <v>#N/A</v>
      </c>
      <c r="R330" s="44">
        <f ca="1">ROUND(PERCENTILE(DayByDayTable[[#Data],[BlankLeadTime]],0.8),0)</f>
        <v>8</v>
      </c>
    </row>
    <row r="331" spans="1:18">
      <c r="A331" s="51">
        <f t="shared" si="49"/>
        <v>42885</v>
      </c>
      <c r="B331" s="11">
        <f t="shared" si="52"/>
        <v>42885</v>
      </c>
      <c r="C331" s="47">
        <f>SUMIFS('On The Board'!$M$5:$M$219,'On The Board'!F$5:F$219,"&lt;="&amp;$B331,'On The Board'!E$5:E$219,"="&amp;FutureWork)</f>
        <v>43</v>
      </c>
      <c r="D331" s="12">
        <f ca="1">IF(TodaysDate&gt;=B331,SUMIF('On The Board'!F$5:F$219,"&lt;="&amp;$B331,'On The Board'!$M$5:$M$219)-SUM(E331:I331),D330)</f>
        <v>47</v>
      </c>
      <c r="E331" s="12">
        <f>SUMIF('On The Board'!G$5:G$219,"&lt;="&amp;$B331,'On The Board'!$M$5:$M$219)-SUM(F331:I331)</f>
        <v>0</v>
      </c>
      <c r="F331" s="12">
        <f>SUMIF('On The Board'!H$5:H$219,"&lt;="&amp;$B331,'On The Board'!$M$5:$M$219)-SUM(G331:I331)</f>
        <v>5</v>
      </c>
      <c r="G331" s="12">
        <f>SUMIF('On The Board'!I$5:I$219,"&lt;="&amp;$B331,'On The Board'!$M$5:$M$219)-SUM(H331,I331)</f>
        <v>2</v>
      </c>
      <c r="H331" s="12">
        <f>SUMIF('On The Board'!J$5:J$219,"&lt;="&amp;$B331,'On The Board'!$M$5:$M$219)-SUM(I331)</f>
        <v>0</v>
      </c>
      <c r="I331" s="12">
        <f>SUMIF('On The Board'!K$5:K$219,"&lt;="&amp;$B331,'On The Board'!$M$5:$M$219)</f>
        <v>70</v>
      </c>
      <c r="J331" s="10">
        <f t="shared" si="50"/>
        <v>77</v>
      </c>
      <c r="K331" s="10" t="e">
        <f t="shared" ca="1" si="51"/>
        <v>#N/A</v>
      </c>
      <c r="L331" s="44" t="e">
        <f t="shared" ca="1" si="46"/>
        <v>#N/A</v>
      </c>
      <c r="M331" s="44" t="e">
        <f t="shared" ca="1" si="45"/>
        <v>#N/A</v>
      </c>
      <c r="N331" s="44" t="e">
        <f t="shared" ca="1" si="53"/>
        <v>#N/A</v>
      </c>
      <c r="O331" s="53" t="e">
        <f t="shared" ca="1" si="47"/>
        <v>#N/A</v>
      </c>
      <c r="P331" s="53" t="str">
        <f ca="1">IFERROR(DayByDayTable[[#This Row],[Lead Time]],"")</f>
        <v/>
      </c>
      <c r="Q331" s="44" t="e">
        <f t="shared" ca="1" si="48"/>
        <v>#N/A</v>
      </c>
      <c r="R331" s="44">
        <f ca="1">ROUND(PERCENTILE(DayByDayTable[[#Data],[BlankLeadTime]],0.8),0)</f>
        <v>8</v>
      </c>
    </row>
    <row r="332" spans="1:18">
      <c r="A332" s="51">
        <f t="shared" si="49"/>
        <v>42886</v>
      </c>
      <c r="B332" s="11">
        <f t="shared" si="52"/>
        <v>42886</v>
      </c>
      <c r="C332" s="47">
        <f>SUMIFS('On The Board'!$M$5:$M$219,'On The Board'!F$5:F$219,"&lt;="&amp;$B332,'On The Board'!E$5:E$219,"="&amp;FutureWork)</f>
        <v>43</v>
      </c>
      <c r="D332" s="12">
        <f ca="1">IF(TodaysDate&gt;=B332,SUMIF('On The Board'!F$5:F$219,"&lt;="&amp;$B332,'On The Board'!$M$5:$M$219)-SUM(E332:I332),D331)</f>
        <v>47</v>
      </c>
      <c r="E332" s="12">
        <f>SUMIF('On The Board'!G$5:G$219,"&lt;="&amp;$B332,'On The Board'!$M$5:$M$219)-SUM(F332:I332)</f>
        <v>0</v>
      </c>
      <c r="F332" s="12">
        <f>SUMIF('On The Board'!H$5:H$219,"&lt;="&amp;$B332,'On The Board'!$M$5:$M$219)-SUM(G332:I332)</f>
        <v>5</v>
      </c>
      <c r="G332" s="12">
        <f>SUMIF('On The Board'!I$5:I$219,"&lt;="&amp;$B332,'On The Board'!$M$5:$M$219)-SUM(H332,I332)</f>
        <v>2</v>
      </c>
      <c r="H332" s="12">
        <f>SUMIF('On The Board'!J$5:J$219,"&lt;="&amp;$B332,'On The Board'!$M$5:$M$219)-SUM(I332)</f>
        <v>0</v>
      </c>
      <c r="I332" s="12">
        <f>SUMIF('On The Board'!K$5:K$219,"&lt;="&amp;$B332,'On The Board'!$M$5:$M$219)</f>
        <v>70</v>
      </c>
      <c r="J332" s="10">
        <f t="shared" si="50"/>
        <v>77</v>
      </c>
      <c r="K332" s="10" t="e">
        <f t="shared" ca="1" si="51"/>
        <v>#N/A</v>
      </c>
      <c r="L332" s="44" t="e">
        <f t="shared" ca="1" si="46"/>
        <v>#N/A</v>
      </c>
      <c r="M332" s="44" t="e">
        <f t="shared" ref="M332:M395" ca="1" si="54">IF(ISNUMBER(L332),(I332-I322)/NETWORKDAYS(B322,B332,BankHolidays),NA())</f>
        <v>#N/A</v>
      </c>
      <c r="N332" s="44" t="e">
        <f t="shared" ca="1" si="53"/>
        <v>#N/A</v>
      </c>
      <c r="O332" s="53" t="e">
        <f t="shared" ca="1" si="47"/>
        <v>#N/A</v>
      </c>
      <c r="P332" s="53" t="str">
        <f ca="1">IFERROR(DayByDayTable[[#This Row],[Lead Time]],"")</f>
        <v/>
      </c>
      <c r="Q332" s="44" t="e">
        <f t="shared" ca="1" si="48"/>
        <v>#N/A</v>
      </c>
      <c r="R332" s="44">
        <f ca="1">ROUND(PERCENTILE(DayByDayTable[[#Data],[BlankLeadTime]],0.8),0)</f>
        <v>8</v>
      </c>
    </row>
    <row r="333" spans="1:18">
      <c r="A333" s="51">
        <f t="shared" si="49"/>
        <v>42887</v>
      </c>
      <c r="B333" s="11">
        <f t="shared" si="52"/>
        <v>42887</v>
      </c>
      <c r="C333" s="47">
        <f>SUMIFS('On The Board'!$M$5:$M$219,'On The Board'!F$5:F$219,"&lt;="&amp;$B333,'On The Board'!E$5:E$219,"="&amp;FutureWork)</f>
        <v>43</v>
      </c>
      <c r="D333" s="12">
        <f ca="1">IF(TodaysDate&gt;=B333,SUMIF('On The Board'!F$5:F$219,"&lt;="&amp;$B333,'On The Board'!$M$5:$M$219)-SUM(E333:I333),D332)</f>
        <v>47</v>
      </c>
      <c r="E333" s="12">
        <f>SUMIF('On The Board'!G$5:G$219,"&lt;="&amp;$B333,'On The Board'!$M$5:$M$219)-SUM(F333:I333)</f>
        <v>0</v>
      </c>
      <c r="F333" s="12">
        <f>SUMIF('On The Board'!H$5:H$219,"&lt;="&amp;$B333,'On The Board'!$M$5:$M$219)-SUM(G333:I333)</f>
        <v>5</v>
      </c>
      <c r="G333" s="12">
        <f>SUMIF('On The Board'!I$5:I$219,"&lt;="&amp;$B333,'On The Board'!$M$5:$M$219)-SUM(H333,I333)</f>
        <v>2</v>
      </c>
      <c r="H333" s="12">
        <f>SUMIF('On The Board'!J$5:J$219,"&lt;="&amp;$B333,'On The Board'!$M$5:$M$219)-SUM(I333)</f>
        <v>0</v>
      </c>
      <c r="I333" s="12">
        <f>SUMIF('On The Board'!K$5:K$219,"&lt;="&amp;$B333,'On The Board'!$M$5:$M$219)</f>
        <v>70</v>
      </c>
      <c r="J333" s="10">
        <f t="shared" si="50"/>
        <v>77</v>
      </c>
      <c r="K333" s="10" t="e">
        <f t="shared" ca="1" si="51"/>
        <v>#N/A</v>
      </c>
      <c r="L333" s="44" t="e">
        <f t="shared" ref="L333:L396" ca="1" si="55">AVERAGE(K323:K333)</f>
        <v>#N/A</v>
      </c>
      <c r="M333" s="44" t="e">
        <f t="shared" ca="1" si="54"/>
        <v>#N/A</v>
      </c>
      <c r="N333" s="44" t="e">
        <f t="shared" ca="1" si="53"/>
        <v>#N/A</v>
      </c>
      <c r="O333" s="53" t="e">
        <f t="shared" ref="O333:O396" ca="1" si="56">AVERAGE(N323:N333)</f>
        <v>#N/A</v>
      </c>
      <c r="P333" s="53" t="str">
        <f ca="1">IFERROR(DayByDayTable[[#This Row],[Lead Time]],"")</f>
        <v/>
      </c>
      <c r="Q333" s="44" t="e">
        <f t="shared" ca="1" si="48"/>
        <v>#N/A</v>
      </c>
      <c r="R333" s="44">
        <f ca="1">ROUND(PERCENTILE(DayByDayTable[[#Data],[BlankLeadTime]],0.8),0)</f>
        <v>8</v>
      </c>
    </row>
    <row r="334" spans="1:18">
      <c r="A334" s="51">
        <f t="shared" si="49"/>
        <v>42888</v>
      </c>
      <c r="B334" s="11">
        <f t="shared" si="52"/>
        <v>42888</v>
      </c>
      <c r="C334" s="47">
        <f>SUMIFS('On The Board'!$M$5:$M$219,'On The Board'!F$5:F$219,"&lt;="&amp;$B334,'On The Board'!E$5:E$219,"="&amp;FutureWork)</f>
        <v>43</v>
      </c>
      <c r="D334" s="12">
        <f ca="1">IF(TodaysDate&gt;=B334,SUMIF('On The Board'!F$5:F$219,"&lt;="&amp;$B334,'On The Board'!$M$5:$M$219)-SUM(E334:I334),D333)</f>
        <v>47</v>
      </c>
      <c r="E334" s="12">
        <f>SUMIF('On The Board'!G$5:G$219,"&lt;="&amp;$B334,'On The Board'!$M$5:$M$219)-SUM(F334:I334)</f>
        <v>0</v>
      </c>
      <c r="F334" s="12">
        <f>SUMIF('On The Board'!H$5:H$219,"&lt;="&amp;$B334,'On The Board'!$M$5:$M$219)-SUM(G334:I334)</f>
        <v>5</v>
      </c>
      <c r="G334" s="12">
        <f>SUMIF('On The Board'!I$5:I$219,"&lt;="&amp;$B334,'On The Board'!$M$5:$M$219)-SUM(H334,I334)</f>
        <v>2</v>
      </c>
      <c r="H334" s="12">
        <f>SUMIF('On The Board'!J$5:J$219,"&lt;="&amp;$B334,'On The Board'!$M$5:$M$219)-SUM(I334)</f>
        <v>0</v>
      </c>
      <c r="I334" s="12">
        <f>SUMIF('On The Board'!K$5:K$219,"&lt;="&amp;$B334,'On The Board'!$M$5:$M$219)</f>
        <v>70</v>
      </c>
      <c r="J334" s="10">
        <f t="shared" si="50"/>
        <v>77</v>
      </c>
      <c r="K334" s="10" t="e">
        <f t="shared" ca="1" si="51"/>
        <v>#N/A</v>
      </c>
      <c r="L334" s="44" t="e">
        <f t="shared" ca="1" si="55"/>
        <v>#N/A</v>
      </c>
      <c r="M334" s="44" t="e">
        <f t="shared" ca="1" si="54"/>
        <v>#N/A</v>
      </c>
      <c r="N334" s="44" t="e">
        <f t="shared" ca="1" si="53"/>
        <v>#N/A</v>
      </c>
      <c r="O334" s="53" t="e">
        <f t="shared" ca="1" si="56"/>
        <v>#N/A</v>
      </c>
      <c r="P334" s="53" t="str">
        <f ca="1">IFERROR(DayByDayTable[[#This Row],[Lead Time]],"")</f>
        <v/>
      </c>
      <c r="Q334" s="44" t="e">
        <f t="shared" ca="1" si="48"/>
        <v>#N/A</v>
      </c>
      <c r="R334" s="44">
        <f ca="1">ROUND(PERCENTILE(DayByDayTable[[#Data],[BlankLeadTime]],0.8),0)</f>
        <v>8</v>
      </c>
    </row>
    <row r="335" spans="1:18">
      <c r="A335" s="51">
        <f t="shared" si="49"/>
        <v>42891</v>
      </c>
      <c r="B335" s="11">
        <f t="shared" si="52"/>
        <v>42891</v>
      </c>
      <c r="C335" s="47">
        <f>SUMIFS('On The Board'!$M$5:$M$219,'On The Board'!F$5:F$219,"&lt;="&amp;$B335,'On The Board'!E$5:E$219,"="&amp;FutureWork)</f>
        <v>43</v>
      </c>
      <c r="D335" s="12">
        <f ca="1">IF(TodaysDate&gt;=B335,SUMIF('On The Board'!F$5:F$219,"&lt;="&amp;$B335,'On The Board'!$M$5:$M$219)-SUM(E335:I335),D334)</f>
        <v>47</v>
      </c>
      <c r="E335" s="12">
        <f>SUMIF('On The Board'!G$5:G$219,"&lt;="&amp;$B335,'On The Board'!$M$5:$M$219)-SUM(F335:I335)</f>
        <v>0</v>
      </c>
      <c r="F335" s="12">
        <f>SUMIF('On The Board'!H$5:H$219,"&lt;="&amp;$B335,'On The Board'!$M$5:$M$219)-SUM(G335:I335)</f>
        <v>5</v>
      </c>
      <c r="G335" s="12">
        <f>SUMIF('On The Board'!I$5:I$219,"&lt;="&amp;$B335,'On The Board'!$M$5:$M$219)-SUM(H335,I335)</f>
        <v>2</v>
      </c>
      <c r="H335" s="12">
        <f>SUMIF('On The Board'!J$5:J$219,"&lt;="&amp;$B335,'On The Board'!$M$5:$M$219)-SUM(I335)</f>
        <v>0</v>
      </c>
      <c r="I335" s="12">
        <f>SUMIF('On The Board'!K$5:K$219,"&lt;="&amp;$B335,'On The Board'!$M$5:$M$219)</f>
        <v>70</v>
      </c>
      <c r="J335" s="10">
        <f t="shared" si="50"/>
        <v>77</v>
      </c>
      <c r="K335" s="10" t="e">
        <f t="shared" ca="1" si="51"/>
        <v>#N/A</v>
      </c>
      <c r="L335" s="44" t="e">
        <f t="shared" ca="1" si="55"/>
        <v>#N/A</v>
      </c>
      <c r="M335" s="44" t="e">
        <f t="shared" ca="1" si="54"/>
        <v>#N/A</v>
      </c>
      <c r="N335" s="44" t="e">
        <f t="shared" ca="1" si="53"/>
        <v>#N/A</v>
      </c>
      <c r="O335" s="53" t="e">
        <f t="shared" ca="1" si="56"/>
        <v>#N/A</v>
      </c>
      <c r="P335" s="53" t="str">
        <f ca="1">IFERROR(DayByDayTable[[#This Row],[Lead Time]],"")</f>
        <v/>
      </c>
      <c r="Q335" s="44" t="e">
        <f t="shared" ca="1" si="48"/>
        <v>#N/A</v>
      </c>
      <c r="R335" s="44">
        <f ca="1">ROUND(PERCENTILE(DayByDayTable[[#Data],[BlankLeadTime]],0.8),0)</f>
        <v>8</v>
      </c>
    </row>
    <row r="336" spans="1:18">
      <c r="A336" s="51">
        <f t="shared" si="49"/>
        <v>42892</v>
      </c>
      <c r="B336" s="11">
        <f t="shared" si="52"/>
        <v>42892</v>
      </c>
      <c r="C336" s="47">
        <f>SUMIFS('On The Board'!$M$5:$M$219,'On The Board'!F$5:F$219,"&lt;="&amp;$B336,'On The Board'!E$5:E$219,"="&amp;FutureWork)</f>
        <v>43</v>
      </c>
      <c r="D336" s="12">
        <f ca="1">IF(TodaysDate&gt;=B336,SUMIF('On The Board'!F$5:F$219,"&lt;="&amp;$B336,'On The Board'!$M$5:$M$219)-SUM(E336:I336),D335)</f>
        <v>47</v>
      </c>
      <c r="E336" s="12">
        <f>SUMIF('On The Board'!G$5:G$219,"&lt;="&amp;$B336,'On The Board'!$M$5:$M$219)-SUM(F336:I336)</f>
        <v>0</v>
      </c>
      <c r="F336" s="12">
        <f>SUMIF('On The Board'!H$5:H$219,"&lt;="&amp;$B336,'On The Board'!$M$5:$M$219)-SUM(G336:I336)</f>
        <v>5</v>
      </c>
      <c r="G336" s="12">
        <f>SUMIF('On The Board'!I$5:I$219,"&lt;="&amp;$B336,'On The Board'!$M$5:$M$219)-SUM(H336,I336)</f>
        <v>2</v>
      </c>
      <c r="H336" s="12">
        <f>SUMIF('On The Board'!J$5:J$219,"&lt;="&amp;$B336,'On The Board'!$M$5:$M$219)-SUM(I336)</f>
        <v>0</v>
      </c>
      <c r="I336" s="12">
        <f>SUMIF('On The Board'!K$5:K$219,"&lt;="&amp;$B336,'On The Board'!$M$5:$M$219)</f>
        <v>70</v>
      </c>
      <c r="J336" s="10">
        <f t="shared" si="50"/>
        <v>77</v>
      </c>
      <c r="K336" s="10" t="e">
        <f t="shared" ca="1" si="51"/>
        <v>#N/A</v>
      </c>
      <c r="L336" s="44" t="e">
        <f t="shared" ca="1" si="55"/>
        <v>#N/A</v>
      </c>
      <c r="M336" s="44" t="e">
        <f t="shared" ca="1" si="54"/>
        <v>#N/A</v>
      </c>
      <c r="N336" s="44" t="e">
        <f t="shared" ca="1" si="53"/>
        <v>#N/A</v>
      </c>
      <c r="O336" s="53" t="e">
        <f t="shared" ca="1" si="56"/>
        <v>#N/A</v>
      </c>
      <c r="P336" s="53" t="str">
        <f ca="1">IFERROR(DayByDayTable[[#This Row],[Lead Time]],"")</f>
        <v/>
      </c>
      <c r="Q336" s="44" t="e">
        <f t="shared" ref="Q336:Q399" ca="1" si="57">PERCENTILE(N325:N336,0.8)</f>
        <v>#N/A</v>
      </c>
      <c r="R336" s="44">
        <f ca="1">ROUND(PERCENTILE(DayByDayTable[[#Data],[BlankLeadTime]],0.8),0)</f>
        <v>8</v>
      </c>
    </row>
    <row r="337" spans="1:18">
      <c r="A337" s="51">
        <f t="shared" si="49"/>
        <v>42893</v>
      </c>
      <c r="B337" s="11">
        <f t="shared" si="52"/>
        <v>42893</v>
      </c>
      <c r="C337" s="47">
        <f>SUMIFS('On The Board'!$M$5:$M$219,'On The Board'!F$5:F$219,"&lt;="&amp;$B337,'On The Board'!E$5:E$219,"="&amp;FutureWork)</f>
        <v>43</v>
      </c>
      <c r="D337" s="12">
        <f ca="1">IF(TodaysDate&gt;=B337,SUMIF('On The Board'!F$5:F$219,"&lt;="&amp;$B337,'On The Board'!$M$5:$M$219)-SUM(E337:I337),D336)</f>
        <v>47</v>
      </c>
      <c r="E337" s="12">
        <f>SUMIF('On The Board'!G$5:G$219,"&lt;="&amp;$B337,'On The Board'!$M$5:$M$219)-SUM(F337:I337)</f>
        <v>0</v>
      </c>
      <c r="F337" s="12">
        <f>SUMIF('On The Board'!H$5:H$219,"&lt;="&amp;$B337,'On The Board'!$M$5:$M$219)-SUM(G337:I337)</f>
        <v>5</v>
      </c>
      <c r="G337" s="12">
        <f>SUMIF('On The Board'!I$5:I$219,"&lt;="&amp;$B337,'On The Board'!$M$5:$M$219)-SUM(H337,I337)</f>
        <v>2</v>
      </c>
      <c r="H337" s="12">
        <f>SUMIF('On The Board'!J$5:J$219,"&lt;="&amp;$B337,'On The Board'!$M$5:$M$219)-SUM(I337)</f>
        <v>0</v>
      </c>
      <c r="I337" s="12">
        <f>SUMIF('On The Board'!K$5:K$219,"&lt;="&amp;$B337,'On The Board'!$M$5:$M$219)</f>
        <v>70</v>
      </c>
      <c r="J337" s="10">
        <f t="shared" si="50"/>
        <v>77</v>
      </c>
      <c r="K337" s="10" t="e">
        <f t="shared" ca="1" si="51"/>
        <v>#N/A</v>
      </c>
      <c r="L337" s="44" t="e">
        <f t="shared" ca="1" si="55"/>
        <v>#N/A</v>
      </c>
      <c r="M337" s="44" t="e">
        <f t="shared" ca="1" si="54"/>
        <v>#N/A</v>
      </c>
      <c r="N337" s="44" t="e">
        <f t="shared" ca="1" si="53"/>
        <v>#N/A</v>
      </c>
      <c r="O337" s="53" t="e">
        <f t="shared" ca="1" si="56"/>
        <v>#N/A</v>
      </c>
      <c r="P337" s="53" t="str">
        <f ca="1">IFERROR(DayByDayTable[[#This Row],[Lead Time]],"")</f>
        <v/>
      </c>
      <c r="Q337" s="44" t="e">
        <f t="shared" ca="1" si="57"/>
        <v>#N/A</v>
      </c>
      <c r="R337" s="44">
        <f ca="1">ROUND(PERCENTILE(DayByDayTable[[#Data],[BlankLeadTime]],0.8),0)</f>
        <v>8</v>
      </c>
    </row>
    <row r="338" spans="1:18">
      <c r="A338" s="51">
        <f t="shared" si="49"/>
        <v>42894</v>
      </c>
      <c r="B338" s="11">
        <f t="shared" si="52"/>
        <v>42894</v>
      </c>
      <c r="C338" s="47">
        <f>SUMIFS('On The Board'!$M$5:$M$219,'On The Board'!F$5:F$219,"&lt;="&amp;$B338,'On The Board'!E$5:E$219,"="&amp;FutureWork)</f>
        <v>43</v>
      </c>
      <c r="D338" s="12">
        <f ca="1">IF(TodaysDate&gt;=B338,SUMIF('On The Board'!F$5:F$219,"&lt;="&amp;$B338,'On The Board'!$M$5:$M$219)-SUM(E338:I338),D337)</f>
        <v>47</v>
      </c>
      <c r="E338" s="12">
        <f>SUMIF('On The Board'!G$5:G$219,"&lt;="&amp;$B338,'On The Board'!$M$5:$M$219)-SUM(F338:I338)</f>
        <v>0</v>
      </c>
      <c r="F338" s="12">
        <f>SUMIF('On The Board'!H$5:H$219,"&lt;="&amp;$B338,'On The Board'!$M$5:$M$219)-SUM(G338:I338)</f>
        <v>5</v>
      </c>
      <c r="G338" s="12">
        <f>SUMIF('On The Board'!I$5:I$219,"&lt;="&amp;$B338,'On The Board'!$M$5:$M$219)-SUM(H338,I338)</f>
        <v>2</v>
      </c>
      <c r="H338" s="12">
        <f>SUMIF('On The Board'!J$5:J$219,"&lt;="&amp;$B338,'On The Board'!$M$5:$M$219)-SUM(I338)</f>
        <v>0</v>
      </c>
      <c r="I338" s="12">
        <f>SUMIF('On The Board'!K$5:K$219,"&lt;="&amp;$B338,'On The Board'!$M$5:$M$219)</f>
        <v>70</v>
      </c>
      <c r="J338" s="10">
        <f t="shared" si="50"/>
        <v>77</v>
      </c>
      <c r="K338" s="10" t="e">
        <f t="shared" ca="1" si="51"/>
        <v>#N/A</v>
      </c>
      <c r="L338" s="44" t="e">
        <f t="shared" ca="1" si="55"/>
        <v>#N/A</v>
      </c>
      <c r="M338" s="44" t="e">
        <f t="shared" ca="1" si="54"/>
        <v>#N/A</v>
      </c>
      <c r="N338" s="44" t="e">
        <f t="shared" ca="1" si="53"/>
        <v>#N/A</v>
      </c>
      <c r="O338" s="53" t="e">
        <f t="shared" ca="1" si="56"/>
        <v>#N/A</v>
      </c>
      <c r="P338" s="53" t="str">
        <f ca="1">IFERROR(DayByDayTable[[#This Row],[Lead Time]],"")</f>
        <v/>
      </c>
      <c r="Q338" s="44" t="e">
        <f t="shared" ca="1" si="57"/>
        <v>#N/A</v>
      </c>
      <c r="R338" s="44">
        <f ca="1">ROUND(PERCENTILE(DayByDayTable[[#Data],[BlankLeadTime]],0.8),0)</f>
        <v>8</v>
      </c>
    </row>
    <row r="339" spans="1:18">
      <c r="A339" s="51">
        <f t="shared" si="49"/>
        <v>42895</v>
      </c>
      <c r="B339" s="11">
        <f t="shared" si="52"/>
        <v>42895</v>
      </c>
      <c r="C339" s="47">
        <f>SUMIFS('On The Board'!$M$5:$M$219,'On The Board'!F$5:F$219,"&lt;="&amp;$B339,'On The Board'!E$5:E$219,"="&amp;FutureWork)</f>
        <v>43</v>
      </c>
      <c r="D339" s="12">
        <f ca="1">IF(TodaysDate&gt;=B339,SUMIF('On The Board'!F$5:F$219,"&lt;="&amp;$B339,'On The Board'!$M$5:$M$219)-SUM(E339:I339),D338)</f>
        <v>47</v>
      </c>
      <c r="E339" s="12">
        <f>SUMIF('On The Board'!G$5:G$219,"&lt;="&amp;$B339,'On The Board'!$M$5:$M$219)-SUM(F339:I339)</f>
        <v>0</v>
      </c>
      <c r="F339" s="12">
        <f>SUMIF('On The Board'!H$5:H$219,"&lt;="&amp;$B339,'On The Board'!$M$5:$M$219)-SUM(G339:I339)</f>
        <v>5</v>
      </c>
      <c r="G339" s="12">
        <f>SUMIF('On The Board'!I$5:I$219,"&lt;="&amp;$B339,'On The Board'!$M$5:$M$219)-SUM(H339,I339)</f>
        <v>2</v>
      </c>
      <c r="H339" s="12">
        <f>SUMIF('On The Board'!J$5:J$219,"&lt;="&amp;$B339,'On The Board'!$M$5:$M$219)-SUM(I339)</f>
        <v>0</v>
      </c>
      <c r="I339" s="12">
        <f>SUMIF('On The Board'!K$5:K$219,"&lt;="&amp;$B339,'On The Board'!$M$5:$M$219)</f>
        <v>70</v>
      </c>
      <c r="J339" s="10">
        <f t="shared" si="50"/>
        <v>77</v>
      </c>
      <c r="K339" s="10" t="e">
        <f t="shared" ca="1" si="51"/>
        <v>#N/A</v>
      </c>
      <c r="L339" s="44" t="e">
        <f t="shared" ca="1" si="55"/>
        <v>#N/A</v>
      </c>
      <c r="M339" s="44" t="e">
        <f t="shared" ca="1" si="54"/>
        <v>#N/A</v>
      </c>
      <c r="N339" s="44" t="e">
        <f t="shared" ca="1" si="53"/>
        <v>#N/A</v>
      </c>
      <c r="O339" s="53" t="e">
        <f t="shared" ca="1" si="56"/>
        <v>#N/A</v>
      </c>
      <c r="P339" s="53" t="str">
        <f ca="1">IFERROR(DayByDayTable[[#This Row],[Lead Time]],"")</f>
        <v/>
      </c>
      <c r="Q339" s="44" t="e">
        <f t="shared" ca="1" si="57"/>
        <v>#N/A</v>
      </c>
      <c r="R339" s="44">
        <f ca="1">ROUND(PERCENTILE(DayByDayTable[[#Data],[BlankLeadTime]],0.8),0)</f>
        <v>8</v>
      </c>
    </row>
    <row r="340" spans="1:18">
      <c r="A340" s="51">
        <f t="shared" si="49"/>
        <v>42898</v>
      </c>
      <c r="B340" s="11">
        <f t="shared" si="52"/>
        <v>42898</v>
      </c>
      <c r="C340" s="47">
        <f>SUMIFS('On The Board'!$M$5:$M$219,'On The Board'!F$5:F$219,"&lt;="&amp;$B340,'On The Board'!E$5:E$219,"="&amp;FutureWork)</f>
        <v>43</v>
      </c>
      <c r="D340" s="12">
        <f ca="1">IF(TodaysDate&gt;=B340,SUMIF('On The Board'!F$5:F$219,"&lt;="&amp;$B340,'On The Board'!$M$5:$M$219)-SUM(E340:I340),D339)</f>
        <v>47</v>
      </c>
      <c r="E340" s="12">
        <f>SUMIF('On The Board'!G$5:G$219,"&lt;="&amp;$B340,'On The Board'!$M$5:$M$219)-SUM(F340:I340)</f>
        <v>0</v>
      </c>
      <c r="F340" s="12">
        <f>SUMIF('On The Board'!H$5:H$219,"&lt;="&amp;$B340,'On The Board'!$M$5:$M$219)-SUM(G340:I340)</f>
        <v>5</v>
      </c>
      <c r="G340" s="12">
        <f>SUMIF('On The Board'!I$5:I$219,"&lt;="&amp;$B340,'On The Board'!$M$5:$M$219)-SUM(H340,I340)</f>
        <v>2</v>
      </c>
      <c r="H340" s="12">
        <f>SUMIF('On The Board'!J$5:J$219,"&lt;="&amp;$B340,'On The Board'!$M$5:$M$219)-SUM(I340)</f>
        <v>0</v>
      </c>
      <c r="I340" s="12">
        <f>SUMIF('On The Board'!K$5:K$219,"&lt;="&amp;$B340,'On The Board'!$M$5:$M$219)</f>
        <v>70</v>
      </c>
      <c r="J340" s="10">
        <f t="shared" si="50"/>
        <v>77</v>
      </c>
      <c r="K340" s="10" t="e">
        <f t="shared" ca="1" si="51"/>
        <v>#N/A</v>
      </c>
      <c r="L340" s="44" t="e">
        <f t="shared" ca="1" si="55"/>
        <v>#N/A</v>
      </c>
      <c r="M340" s="44" t="e">
        <f t="shared" ca="1" si="54"/>
        <v>#N/A</v>
      </c>
      <c r="N340" s="44" t="e">
        <f t="shared" ca="1" si="53"/>
        <v>#N/A</v>
      </c>
      <c r="O340" s="53" t="e">
        <f t="shared" ca="1" si="56"/>
        <v>#N/A</v>
      </c>
      <c r="P340" s="53" t="str">
        <f ca="1">IFERROR(DayByDayTable[[#This Row],[Lead Time]],"")</f>
        <v/>
      </c>
      <c r="Q340" s="44" t="e">
        <f t="shared" ca="1" si="57"/>
        <v>#N/A</v>
      </c>
      <c r="R340" s="44">
        <f ca="1">ROUND(PERCENTILE(DayByDayTable[[#Data],[BlankLeadTime]],0.8),0)</f>
        <v>8</v>
      </c>
    </row>
    <row r="341" spans="1:18">
      <c r="A341" s="51">
        <f t="shared" si="49"/>
        <v>42899</v>
      </c>
      <c r="B341" s="11">
        <f t="shared" si="52"/>
        <v>42899</v>
      </c>
      <c r="C341" s="47">
        <f>SUMIFS('On The Board'!$M$5:$M$219,'On The Board'!F$5:F$219,"&lt;="&amp;$B341,'On The Board'!E$5:E$219,"="&amp;FutureWork)</f>
        <v>43</v>
      </c>
      <c r="D341" s="12">
        <f ca="1">IF(TodaysDate&gt;=B341,SUMIF('On The Board'!F$5:F$219,"&lt;="&amp;$B341,'On The Board'!$M$5:$M$219)-SUM(E341:I341),D340)</f>
        <v>47</v>
      </c>
      <c r="E341" s="12">
        <f>SUMIF('On The Board'!G$5:G$219,"&lt;="&amp;$B341,'On The Board'!$M$5:$M$219)-SUM(F341:I341)</f>
        <v>0</v>
      </c>
      <c r="F341" s="12">
        <f>SUMIF('On The Board'!H$5:H$219,"&lt;="&amp;$B341,'On The Board'!$M$5:$M$219)-SUM(G341:I341)</f>
        <v>5</v>
      </c>
      <c r="G341" s="12">
        <f>SUMIF('On The Board'!I$5:I$219,"&lt;="&amp;$B341,'On The Board'!$M$5:$M$219)-SUM(H341,I341)</f>
        <v>2</v>
      </c>
      <c r="H341" s="12">
        <f>SUMIF('On The Board'!J$5:J$219,"&lt;="&amp;$B341,'On The Board'!$M$5:$M$219)-SUM(I341)</f>
        <v>0</v>
      </c>
      <c r="I341" s="12">
        <f>SUMIF('On The Board'!K$5:K$219,"&lt;="&amp;$B341,'On The Board'!$M$5:$M$219)</f>
        <v>70</v>
      </c>
      <c r="J341" s="10">
        <f t="shared" si="50"/>
        <v>77</v>
      </c>
      <c r="K341" s="10" t="e">
        <f t="shared" ca="1" si="51"/>
        <v>#N/A</v>
      </c>
      <c r="L341" s="44" t="e">
        <f t="shared" ca="1" si="55"/>
        <v>#N/A</v>
      </c>
      <c r="M341" s="44" t="e">
        <f t="shared" ca="1" si="54"/>
        <v>#N/A</v>
      </c>
      <c r="N341" s="44" t="e">
        <f t="shared" ca="1" si="53"/>
        <v>#N/A</v>
      </c>
      <c r="O341" s="53" t="e">
        <f t="shared" ca="1" si="56"/>
        <v>#N/A</v>
      </c>
      <c r="P341" s="53" t="str">
        <f ca="1">IFERROR(DayByDayTable[[#This Row],[Lead Time]],"")</f>
        <v/>
      </c>
      <c r="Q341" s="44" t="e">
        <f t="shared" ca="1" si="57"/>
        <v>#N/A</v>
      </c>
      <c r="R341" s="44">
        <f ca="1">ROUND(PERCENTILE(DayByDayTable[[#Data],[BlankLeadTime]],0.8),0)</f>
        <v>8</v>
      </c>
    </row>
    <row r="342" spans="1:18">
      <c r="A342" s="51">
        <f t="shared" si="49"/>
        <v>42900</v>
      </c>
      <c r="B342" s="11">
        <f t="shared" si="52"/>
        <v>42900</v>
      </c>
      <c r="C342" s="47">
        <f>SUMIFS('On The Board'!$M$5:$M$219,'On The Board'!F$5:F$219,"&lt;="&amp;$B342,'On The Board'!E$5:E$219,"="&amp;FutureWork)</f>
        <v>43</v>
      </c>
      <c r="D342" s="12">
        <f ca="1">IF(TodaysDate&gt;=B342,SUMIF('On The Board'!F$5:F$219,"&lt;="&amp;$B342,'On The Board'!$M$5:$M$219)-SUM(E342:I342),D341)</f>
        <v>47</v>
      </c>
      <c r="E342" s="12">
        <f>SUMIF('On The Board'!G$5:G$219,"&lt;="&amp;$B342,'On The Board'!$M$5:$M$219)-SUM(F342:I342)</f>
        <v>0</v>
      </c>
      <c r="F342" s="12">
        <f>SUMIF('On The Board'!H$5:H$219,"&lt;="&amp;$B342,'On The Board'!$M$5:$M$219)-SUM(G342:I342)</f>
        <v>5</v>
      </c>
      <c r="G342" s="12">
        <f>SUMIF('On The Board'!I$5:I$219,"&lt;="&amp;$B342,'On The Board'!$M$5:$M$219)-SUM(H342,I342)</f>
        <v>2</v>
      </c>
      <c r="H342" s="12">
        <f>SUMIF('On The Board'!J$5:J$219,"&lt;="&amp;$B342,'On The Board'!$M$5:$M$219)-SUM(I342)</f>
        <v>0</v>
      </c>
      <c r="I342" s="12">
        <f>SUMIF('On The Board'!K$5:K$219,"&lt;="&amp;$B342,'On The Board'!$M$5:$M$219)</f>
        <v>70</v>
      </c>
      <c r="J342" s="10">
        <f t="shared" si="50"/>
        <v>77</v>
      </c>
      <c r="K342" s="10" t="e">
        <f t="shared" ca="1" si="51"/>
        <v>#N/A</v>
      </c>
      <c r="L342" s="44" t="e">
        <f t="shared" ca="1" si="55"/>
        <v>#N/A</v>
      </c>
      <c r="M342" s="44" t="e">
        <f t="shared" ca="1" si="54"/>
        <v>#N/A</v>
      </c>
      <c r="N342" s="44" t="e">
        <f t="shared" ca="1" si="53"/>
        <v>#N/A</v>
      </c>
      <c r="O342" s="53" t="e">
        <f t="shared" ca="1" si="56"/>
        <v>#N/A</v>
      </c>
      <c r="P342" s="53" t="str">
        <f ca="1">IFERROR(DayByDayTable[[#This Row],[Lead Time]],"")</f>
        <v/>
      </c>
      <c r="Q342" s="44" t="e">
        <f t="shared" ca="1" si="57"/>
        <v>#N/A</v>
      </c>
      <c r="R342" s="44">
        <f ca="1">ROUND(PERCENTILE(DayByDayTable[[#Data],[BlankLeadTime]],0.8),0)</f>
        <v>8</v>
      </c>
    </row>
    <row r="343" spans="1:18">
      <c r="A343" s="51">
        <f t="shared" si="49"/>
        <v>42901</v>
      </c>
      <c r="B343" s="11">
        <f t="shared" si="52"/>
        <v>42901</v>
      </c>
      <c r="C343" s="47">
        <f>SUMIFS('On The Board'!$M$5:$M$219,'On The Board'!F$5:F$219,"&lt;="&amp;$B343,'On The Board'!E$5:E$219,"="&amp;FutureWork)</f>
        <v>43</v>
      </c>
      <c r="D343" s="12">
        <f ca="1">IF(TodaysDate&gt;=B343,SUMIF('On The Board'!F$5:F$219,"&lt;="&amp;$B343,'On The Board'!$M$5:$M$219)-SUM(E343:I343),D342)</f>
        <v>47</v>
      </c>
      <c r="E343" s="12">
        <f>SUMIF('On The Board'!G$5:G$219,"&lt;="&amp;$B343,'On The Board'!$M$5:$M$219)-SUM(F343:I343)</f>
        <v>0</v>
      </c>
      <c r="F343" s="12">
        <f>SUMIF('On The Board'!H$5:H$219,"&lt;="&amp;$B343,'On The Board'!$M$5:$M$219)-SUM(G343:I343)</f>
        <v>5</v>
      </c>
      <c r="G343" s="12">
        <f>SUMIF('On The Board'!I$5:I$219,"&lt;="&amp;$B343,'On The Board'!$M$5:$M$219)-SUM(H343,I343)</f>
        <v>2</v>
      </c>
      <c r="H343" s="12">
        <f>SUMIF('On The Board'!J$5:J$219,"&lt;="&amp;$B343,'On The Board'!$M$5:$M$219)-SUM(I343)</f>
        <v>0</v>
      </c>
      <c r="I343" s="12">
        <f>SUMIF('On The Board'!K$5:K$219,"&lt;="&amp;$B343,'On The Board'!$M$5:$M$219)</f>
        <v>70</v>
      </c>
      <c r="J343" s="10">
        <f t="shared" si="50"/>
        <v>77</v>
      </c>
      <c r="K343" s="10" t="e">
        <f t="shared" ca="1" si="51"/>
        <v>#N/A</v>
      </c>
      <c r="L343" s="44" t="e">
        <f t="shared" ca="1" si="55"/>
        <v>#N/A</v>
      </c>
      <c r="M343" s="44" t="e">
        <f t="shared" ca="1" si="54"/>
        <v>#N/A</v>
      </c>
      <c r="N343" s="44" t="e">
        <f t="shared" ca="1" si="53"/>
        <v>#N/A</v>
      </c>
      <c r="O343" s="53" t="e">
        <f t="shared" ca="1" si="56"/>
        <v>#N/A</v>
      </c>
      <c r="P343" s="53" t="str">
        <f ca="1">IFERROR(DayByDayTable[[#This Row],[Lead Time]],"")</f>
        <v/>
      </c>
      <c r="Q343" s="44" t="e">
        <f t="shared" ca="1" si="57"/>
        <v>#N/A</v>
      </c>
      <c r="R343" s="44">
        <f ca="1">ROUND(PERCENTILE(DayByDayTable[[#Data],[BlankLeadTime]],0.8),0)</f>
        <v>8</v>
      </c>
    </row>
    <row r="344" spans="1:18">
      <c r="A344" s="51">
        <f t="shared" si="49"/>
        <v>42902</v>
      </c>
      <c r="B344" s="11">
        <f t="shared" si="52"/>
        <v>42902</v>
      </c>
      <c r="C344" s="47">
        <f>SUMIFS('On The Board'!$M$5:$M$219,'On The Board'!F$5:F$219,"&lt;="&amp;$B344,'On The Board'!E$5:E$219,"="&amp;FutureWork)</f>
        <v>43</v>
      </c>
      <c r="D344" s="12">
        <f ca="1">IF(TodaysDate&gt;=B344,SUMIF('On The Board'!F$5:F$219,"&lt;="&amp;$B344,'On The Board'!$M$5:$M$219)-SUM(E344:I344),D343)</f>
        <v>47</v>
      </c>
      <c r="E344" s="12">
        <f>SUMIF('On The Board'!G$5:G$219,"&lt;="&amp;$B344,'On The Board'!$M$5:$M$219)-SUM(F344:I344)</f>
        <v>0</v>
      </c>
      <c r="F344" s="12">
        <f>SUMIF('On The Board'!H$5:H$219,"&lt;="&amp;$B344,'On The Board'!$M$5:$M$219)-SUM(G344:I344)</f>
        <v>5</v>
      </c>
      <c r="G344" s="12">
        <f>SUMIF('On The Board'!I$5:I$219,"&lt;="&amp;$B344,'On The Board'!$M$5:$M$219)-SUM(H344,I344)</f>
        <v>2</v>
      </c>
      <c r="H344" s="12">
        <f>SUMIF('On The Board'!J$5:J$219,"&lt;="&amp;$B344,'On The Board'!$M$5:$M$219)-SUM(I344)</f>
        <v>0</v>
      </c>
      <c r="I344" s="12">
        <f>SUMIF('On The Board'!K$5:K$219,"&lt;="&amp;$B344,'On The Board'!$M$5:$M$219)</f>
        <v>70</v>
      </c>
      <c r="J344" s="10">
        <f t="shared" si="50"/>
        <v>77</v>
      </c>
      <c r="K344" s="10" t="e">
        <f t="shared" ca="1" si="51"/>
        <v>#N/A</v>
      </c>
      <c r="L344" s="44" t="e">
        <f t="shared" ca="1" si="55"/>
        <v>#N/A</v>
      </c>
      <c r="M344" s="44" t="e">
        <f t="shared" ca="1" si="54"/>
        <v>#N/A</v>
      </c>
      <c r="N344" s="44" t="e">
        <f t="shared" ca="1" si="53"/>
        <v>#N/A</v>
      </c>
      <c r="O344" s="53" t="e">
        <f t="shared" ca="1" si="56"/>
        <v>#N/A</v>
      </c>
      <c r="P344" s="53" t="str">
        <f ca="1">IFERROR(DayByDayTable[[#This Row],[Lead Time]],"")</f>
        <v/>
      </c>
      <c r="Q344" s="44" t="e">
        <f t="shared" ca="1" si="57"/>
        <v>#N/A</v>
      </c>
      <c r="R344" s="44">
        <f ca="1">ROUND(PERCENTILE(DayByDayTable[[#Data],[BlankLeadTime]],0.8),0)</f>
        <v>8</v>
      </c>
    </row>
    <row r="345" spans="1:18">
      <c r="A345" s="51">
        <f t="shared" si="49"/>
        <v>42905</v>
      </c>
      <c r="B345" s="11">
        <f t="shared" si="52"/>
        <v>42905</v>
      </c>
      <c r="C345" s="47">
        <f>SUMIFS('On The Board'!$M$5:$M$219,'On The Board'!F$5:F$219,"&lt;="&amp;$B345,'On The Board'!E$5:E$219,"="&amp;FutureWork)</f>
        <v>43</v>
      </c>
      <c r="D345" s="12">
        <f ca="1">IF(TodaysDate&gt;=B345,SUMIF('On The Board'!F$5:F$219,"&lt;="&amp;$B345,'On The Board'!$M$5:$M$219)-SUM(E345:I345),D344)</f>
        <v>47</v>
      </c>
      <c r="E345" s="12">
        <f>SUMIF('On The Board'!G$5:G$219,"&lt;="&amp;$B345,'On The Board'!$M$5:$M$219)-SUM(F345:I345)</f>
        <v>0</v>
      </c>
      <c r="F345" s="12">
        <f>SUMIF('On The Board'!H$5:H$219,"&lt;="&amp;$B345,'On The Board'!$M$5:$M$219)-SUM(G345:I345)</f>
        <v>5</v>
      </c>
      <c r="G345" s="12">
        <f>SUMIF('On The Board'!I$5:I$219,"&lt;="&amp;$B345,'On The Board'!$M$5:$M$219)-SUM(H345,I345)</f>
        <v>2</v>
      </c>
      <c r="H345" s="12">
        <f>SUMIF('On The Board'!J$5:J$219,"&lt;="&amp;$B345,'On The Board'!$M$5:$M$219)-SUM(I345)</f>
        <v>0</v>
      </c>
      <c r="I345" s="12">
        <f>SUMIF('On The Board'!K$5:K$219,"&lt;="&amp;$B345,'On The Board'!$M$5:$M$219)</f>
        <v>70</v>
      </c>
      <c r="J345" s="10">
        <f t="shared" si="50"/>
        <v>77</v>
      </c>
      <c r="K345" s="10" t="e">
        <f t="shared" ca="1" si="51"/>
        <v>#N/A</v>
      </c>
      <c r="L345" s="44" t="e">
        <f t="shared" ca="1" si="55"/>
        <v>#N/A</v>
      </c>
      <c r="M345" s="44" t="e">
        <f t="shared" ca="1" si="54"/>
        <v>#N/A</v>
      </c>
      <c r="N345" s="44" t="e">
        <f t="shared" ca="1" si="53"/>
        <v>#N/A</v>
      </c>
      <c r="O345" s="53" t="e">
        <f t="shared" ca="1" si="56"/>
        <v>#N/A</v>
      </c>
      <c r="P345" s="53" t="str">
        <f ca="1">IFERROR(DayByDayTable[[#This Row],[Lead Time]],"")</f>
        <v/>
      </c>
      <c r="Q345" s="44" t="e">
        <f t="shared" ca="1" si="57"/>
        <v>#N/A</v>
      </c>
      <c r="R345" s="44">
        <f ca="1">ROUND(PERCENTILE(DayByDayTable[[#Data],[BlankLeadTime]],0.8),0)</f>
        <v>8</v>
      </c>
    </row>
    <row r="346" spans="1:18">
      <c r="A346" s="51">
        <f t="shared" si="49"/>
        <v>42906</v>
      </c>
      <c r="B346" s="11">
        <f t="shared" si="52"/>
        <v>42906</v>
      </c>
      <c r="C346" s="47">
        <f>SUMIFS('On The Board'!$M$5:$M$219,'On The Board'!F$5:F$219,"&lt;="&amp;$B346,'On The Board'!E$5:E$219,"="&amp;FutureWork)</f>
        <v>43</v>
      </c>
      <c r="D346" s="12">
        <f ca="1">IF(TodaysDate&gt;=B346,SUMIF('On The Board'!F$5:F$219,"&lt;="&amp;$B346,'On The Board'!$M$5:$M$219)-SUM(E346:I346),D345)</f>
        <v>47</v>
      </c>
      <c r="E346" s="12">
        <f>SUMIF('On The Board'!G$5:G$219,"&lt;="&amp;$B346,'On The Board'!$M$5:$M$219)-SUM(F346:I346)</f>
        <v>0</v>
      </c>
      <c r="F346" s="12">
        <f>SUMIF('On The Board'!H$5:H$219,"&lt;="&amp;$B346,'On The Board'!$M$5:$M$219)-SUM(G346:I346)</f>
        <v>5</v>
      </c>
      <c r="G346" s="12">
        <f>SUMIF('On The Board'!I$5:I$219,"&lt;="&amp;$B346,'On The Board'!$M$5:$M$219)-SUM(H346,I346)</f>
        <v>2</v>
      </c>
      <c r="H346" s="12">
        <f>SUMIF('On The Board'!J$5:J$219,"&lt;="&amp;$B346,'On The Board'!$M$5:$M$219)-SUM(I346)</f>
        <v>0</v>
      </c>
      <c r="I346" s="12">
        <f>SUMIF('On The Board'!K$5:K$219,"&lt;="&amp;$B346,'On The Board'!$M$5:$M$219)</f>
        <v>70</v>
      </c>
      <c r="J346" s="10">
        <f t="shared" si="50"/>
        <v>77</v>
      </c>
      <c r="K346" s="10" t="e">
        <f t="shared" ca="1" si="51"/>
        <v>#N/A</v>
      </c>
      <c r="L346" s="44" t="e">
        <f t="shared" ca="1" si="55"/>
        <v>#N/A</v>
      </c>
      <c r="M346" s="44" t="e">
        <f t="shared" ca="1" si="54"/>
        <v>#N/A</v>
      </c>
      <c r="N346" s="44" t="e">
        <f t="shared" ca="1" si="53"/>
        <v>#N/A</v>
      </c>
      <c r="O346" s="53" t="e">
        <f t="shared" ca="1" si="56"/>
        <v>#N/A</v>
      </c>
      <c r="P346" s="53" t="str">
        <f ca="1">IFERROR(DayByDayTable[[#This Row],[Lead Time]],"")</f>
        <v/>
      </c>
      <c r="Q346" s="44" t="e">
        <f t="shared" ca="1" si="57"/>
        <v>#N/A</v>
      </c>
      <c r="R346" s="44">
        <f ca="1">ROUND(PERCENTILE(DayByDayTable[[#Data],[BlankLeadTime]],0.8),0)</f>
        <v>8</v>
      </c>
    </row>
    <row r="347" spans="1:18">
      <c r="A347" s="51">
        <f t="shared" si="49"/>
        <v>42907</v>
      </c>
      <c r="B347" s="11">
        <f t="shared" si="52"/>
        <v>42907</v>
      </c>
      <c r="C347" s="47">
        <f>SUMIFS('On The Board'!$M$5:$M$219,'On The Board'!F$5:F$219,"&lt;="&amp;$B347,'On The Board'!E$5:E$219,"="&amp;FutureWork)</f>
        <v>43</v>
      </c>
      <c r="D347" s="12">
        <f ca="1">IF(TodaysDate&gt;=B347,SUMIF('On The Board'!F$5:F$219,"&lt;="&amp;$B347,'On The Board'!$M$5:$M$219)-SUM(E347:I347),D346)</f>
        <v>47</v>
      </c>
      <c r="E347" s="12">
        <f>SUMIF('On The Board'!G$5:G$219,"&lt;="&amp;$B347,'On The Board'!$M$5:$M$219)-SUM(F347:I347)</f>
        <v>0</v>
      </c>
      <c r="F347" s="12">
        <f>SUMIF('On The Board'!H$5:H$219,"&lt;="&amp;$B347,'On The Board'!$M$5:$M$219)-SUM(G347:I347)</f>
        <v>5</v>
      </c>
      <c r="G347" s="12">
        <f>SUMIF('On The Board'!I$5:I$219,"&lt;="&amp;$B347,'On The Board'!$M$5:$M$219)-SUM(H347,I347)</f>
        <v>2</v>
      </c>
      <c r="H347" s="12">
        <f>SUMIF('On The Board'!J$5:J$219,"&lt;="&amp;$B347,'On The Board'!$M$5:$M$219)-SUM(I347)</f>
        <v>0</v>
      </c>
      <c r="I347" s="12">
        <f>SUMIF('On The Board'!K$5:K$219,"&lt;="&amp;$B347,'On The Board'!$M$5:$M$219)</f>
        <v>70</v>
      </c>
      <c r="J347" s="10">
        <f t="shared" si="50"/>
        <v>77</v>
      </c>
      <c r="K347" s="10" t="e">
        <f t="shared" ca="1" si="51"/>
        <v>#N/A</v>
      </c>
      <c r="L347" s="44" t="e">
        <f t="shared" ca="1" si="55"/>
        <v>#N/A</v>
      </c>
      <c r="M347" s="44" t="e">
        <f t="shared" ca="1" si="54"/>
        <v>#N/A</v>
      </c>
      <c r="N347" s="44" t="e">
        <f t="shared" ca="1" si="53"/>
        <v>#N/A</v>
      </c>
      <c r="O347" s="53" t="e">
        <f t="shared" ca="1" si="56"/>
        <v>#N/A</v>
      </c>
      <c r="P347" s="53" t="str">
        <f ca="1">IFERROR(DayByDayTable[[#This Row],[Lead Time]],"")</f>
        <v/>
      </c>
      <c r="Q347" s="44" t="e">
        <f t="shared" ca="1" si="57"/>
        <v>#N/A</v>
      </c>
      <c r="R347" s="44">
        <f ca="1">ROUND(PERCENTILE(DayByDayTable[[#Data],[BlankLeadTime]],0.8),0)</f>
        <v>8</v>
      </c>
    </row>
    <row r="348" spans="1:18">
      <c r="A348" s="51">
        <f t="shared" si="49"/>
        <v>42908</v>
      </c>
      <c r="B348" s="11">
        <f t="shared" si="52"/>
        <v>42908</v>
      </c>
      <c r="C348" s="47">
        <f>SUMIFS('On The Board'!$M$5:$M$219,'On The Board'!F$5:F$219,"&lt;="&amp;$B348,'On The Board'!E$5:E$219,"="&amp;FutureWork)</f>
        <v>43</v>
      </c>
      <c r="D348" s="12">
        <f ca="1">IF(TodaysDate&gt;=B348,SUMIF('On The Board'!F$5:F$219,"&lt;="&amp;$B348,'On The Board'!$M$5:$M$219)-SUM(E348:I348),D347)</f>
        <v>47</v>
      </c>
      <c r="E348" s="12">
        <f>SUMIF('On The Board'!G$5:G$219,"&lt;="&amp;$B348,'On The Board'!$M$5:$M$219)-SUM(F348:I348)</f>
        <v>0</v>
      </c>
      <c r="F348" s="12">
        <f>SUMIF('On The Board'!H$5:H$219,"&lt;="&amp;$B348,'On The Board'!$M$5:$M$219)-SUM(G348:I348)</f>
        <v>5</v>
      </c>
      <c r="G348" s="12">
        <f>SUMIF('On The Board'!I$5:I$219,"&lt;="&amp;$B348,'On The Board'!$M$5:$M$219)-SUM(H348,I348)</f>
        <v>2</v>
      </c>
      <c r="H348" s="12">
        <f>SUMIF('On The Board'!J$5:J$219,"&lt;="&amp;$B348,'On The Board'!$M$5:$M$219)-SUM(I348)</f>
        <v>0</v>
      </c>
      <c r="I348" s="12">
        <f>SUMIF('On The Board'!K$5:K$219,"&lt;="&amp;$B348,'On The Board'!$M$5:$M$219)</f>
        <v>70</v>
      </c>
      <c r="J348" s="10">
        <f t="shared" si="50"/>
        <v>77</v>
      </c>
      <c r="K348" s="10" t="e">
        <f t="shared" ca="1" si="51"/>
        <v>#N/A</v>
      </c>
      <c r="L348" s="44" t="e">
        <f t="shared" ca="1" si="55"/>
        <v>#N/A</v>
      </c>
      <c r="M348" s="44" t="e">
        <f t="shared" ca="1" si="54"/>
        <v>#N/A</v>
      </c>
      <c r="N348" s="44" t="e">
        <f t="shared" ca="1" si="53"/>
        <v>#N/A</v>
      </c>
      <c r="O348" s="53" t="e">
        <f t="shared" ca="1" si="56"/>
        <v>#N/A</v>
      </c>
      <c r="P348" s="53" t="str">
        <f ca="1">IFERROR(DayByDayTable[[#This Row],[Lead Time]],"")</f>
        <v/>
      </c>
      <c r="Q348" s="44" t="e">
        <f t="shared" ca="1" si="57"/>
        <v>#N/A</v>
      </c>
      <c r="R348" s="44">
        <f ca="1">ROUND(PERCENTILE(DayByDayTable[[#Data],[BlankLeadTime]],0.8),0)</f>
        <v>8</v>
      </c>
    </row>
    <row r="349" spans="1:18">
      <c r="A349" s="51">
        <f t="shared" si="49"/>
        <v>42909</v>
      </c>
      <c r="B349" s="11">
        <f t="shared" si="52"/>
        <v>42909</v>
      </c>
      <c r="C349" s="47">
        <f>SUMIFS('On The Board'!$M$5:$M$219,'On The Board'!F$5:F$219,"&lt;="&amp;$B349,'On The Board'!E$5:E$219,"="&amp;FutureWork)</f>
        <v>43</v>
      </c>
      <c r="D349" s="12">
        <f ca="1">IF(TodaysDate&gt;=B349,SUMIF('On The Board'!F$5:F$219,"&lt;="&amp;$B349,'On The Board'!$M$5:$M$219)-SUM(E349:I349),D348)</f>
        <v>47</v>
      </c>
      <c r="E349" s="12">
        <f>SUMIF('On The Board'!G$5:G$219,"&lt;="&amp;$B349,'On The Board'!$M$5:$M$219)-SUM(F349:I349)</f>
        <v>0</v>
      </c>
      <c r="F349" s="12">
        <f>SUMIF('On The Board'!H$5:H$219,"&lt;="&amp;$B349,'On The Board'!$M$5:$M$219)-SUM(G349:I349)</f>
        <v>5</v>
      </c>
      <c r="G349" s="12">
        <f>SUMIF('On The Board'!I$5:I$219,"&lt;="&amp;$B349,'On The Board'!$M$5:$M$219)-SUM(H349,I349)</f>
        <v>2</v>
      </c>
      <c r="H349" s="12">
        <f>SUMIF('On The Board'!J$5:J$219,"&lt;="&amp;$B349,'On The Board'!$M$5:$M$219)-SUM(I349)</f>
        <v>0</v>
      </c>
      <c r="I349" s="12">
        <f>SUMIF('On The Board'!K$5:K$219,"&lt;="&amp;$B349,'On The Board'!$M$5:$M$219)</f>
        <v>70</v>
      </c>
      <c r="J349" s="10">
        <f t="shared" si="50"/>
        <v>77</v>
      </c>
      <c r="K349" s="10" t="e">
        <f t="shared" ca="1" si="51"/>
        <v>#N/A</v>
      </c>
      <c r="L349" s="44" t="e">
        <f t="shared" ca="1" si="55"/>
        <v>#N/A</v>
      </c>
      <c r="M349" s="44" t="e">
        <f t="shared" ca="1" si="54"/>
        <v>#N/A</v>
      </c>
      <c r="N349" s="44" t="e">
        <f t="shared" ca="1" si="53"/>
        <v>#N/A</v>
      </c>
      <c r="O349" s="53" t="e">
        <f t="shared" ca="1" si="56"/>
        <v>#N/A</v>
      </c>
      <c r="P349" s="53" t="str">
        <f ca="1">IFERROR(DayByDayTable[[#This Row],[Lead Time]],"")</f>
        <v/>
      </c>
      <c r="Q349" s="44" t="e">
        <f t="shared" ca="1" si="57"/>
        <v>#N/A</v>
      </c>
      <c r="R349" s="44">
        <f ca="1">ROUND(PERCENTILE(DayByDayTable[[#Data],[BlankLeadTime]],0.8),0)</f>
        <v>8</v>
      </c>
    </row>
    <row r="350" spans="1:18">
      <c r="A350" s="51">
        <f t="shared" si="49"/>
        <v>42912</v>
      </c>
      <c r="B350" s="11">
        <f t="shared" si="52"/>
        <v>42912</v>
      </c>
      <c r="C350" s="47">
        <f>SUMIFS('On The Board'!$M$5:$M$219,'On The Board'!F$5:F$219,"&lt;="&amp;$B350,'On The Board'!E$5:E$219,"="&amp;FutureWork)</f>
        <v>43</v>
      </c>
      <c r="D350" s="12">
        <f ca="1">IF(TodaysDate&gt;=B350,SUMIF('On The Board'!F$5:F$219,"&lt;="&amp;$B350,'On The Board'!$M$5:$M$219)-SUM(E350:I350),D349)</f>
        <v>47</v>
      </c>
      <c r="E350" s="12">
        <f>SUMIF('On The Board'!G$5:G$219,"&lt;="&amp;$B350,'On The Board'!$M$5:$M$219)-SUM(F350:I350)</f>
        <v>0</v>
      </c>
      <c r="F350" s="12">
        <f>SUMIF('On The Board'!H$5:H$219,"&lt;="&amp;$B350,'On The Board'!$M$5:$M$219)-SUM(G350:I350)</f>
        <v>5</v>
      </c>
      <c r="G350" s="12">
        <f>SUMIF('On The Board'!I$5:I$219,"&lt;="&amp;$B350,'On The Board'!$M$5:$M$219)-SUM(H350,I350)</f>
        <v>2</v>
      </c>
      <c r="H350" s="12">
        <f>SUMIF('On The Board'!J$5:J$219,"&lt;="&amp;$B350,'On The Board'!$M$5:$M$219)-SUM(I350)</f>
        <v>0</v>
      </c>
      <c r="I350" s="12">
        <f>SUMIF('On The Board'!K$5:K$219,"&lt;="&amp;$B350,'On The Board'!$M$5:$M$219)</f>
        <v>70</v>
      </c>
      <c r="J350" s="10">
        <f t="shared" si="50"/>
        <v>77</v>
      </c>
      <c r="K350" s="10" t="e">
        <f t="shared" ca="1" si="51"/>
        <v>#N/A</v>
      </c>
      <c r="L350" s="44" t="e">
        <f t="shared" ca="1" si="55"/>
        <v>#N/A</v>
      </c>
      <c r="M350" s="44" t="e">
        <f t="shared" ca="1" si="54"/>
        <v>#N/A</v>
      </c>
      <c r="N350" s="44" t="e">
        <f t="shared" ca="1" si="53"/>
        <v>#N/A</v>
      </c>
      <c r="O350" s="53" t="e">
        <f t="shared" ca="1" si="56"/>
        <v>#N/A</v>
      </c>
      <c r="P350" s="53" t="str">
        <f ca="1">IFERROR(DayByDayTable[[#This Row],[Lead Time]],"")</f>
        <v/>
      </c>
      <c r="Q350" s="44" t="e">
        <f t="shared" ca="1" si="57"/>
        <v>#N/A</v>
      </c>
      <c r="R350" s="44">
        <f ca="1">ROUND(PERCENTILE(DayByDayTable[[#Data],[BlankLeadTime]],0.8),0)</f>
        <v>8</v>
      </c>
    </row>
    <row r="351" spans="1:18">
      <c r="A351" s="51">
        <f t="shared" si="49"/>
        <v>42913</v>
      </c>
      <c r="B351" s="11">
        <f t="shared" si="52"/>
        <v>42913</v>
      </c>
      <c r="C351" s="47">
        <f>SUMIFS('On The Board'!$M$5:$M$219,'On The Board'!F$5:F$219,"&lt;="&amp;$B351,'On The Board'!E$5:E$219,"="&amp;FutureWork)</f>
        <v>43</v>
      </c>
      <c r="D351" s="12">
        <f ca="1">IF(TodaysDate&gt;=B351,SUMIF('On The Board'!F$5:F$219,"&lt;="&amp;$B351,'On The Board'!$M$5:$M$219)-SUM(E351:I351),D350)</f>
        <v>47</v>
      </c>
      <c r="E351" s="12">
        <f>SUMIF('On The Board'!G$5:G$219,"&lt;="&amp;$B351,'On The Board'!$M$5:$M$219)-SUM(F351:I351)</f>
        <v>0</v>
      </c>
      <c r="F351" s="12">
        <f>SUMIF('On The Board'!H$5:H$219,"&lt;="&amp;$B351,'On The Board'!$M$5:$M$219)-SUM(G351:I351)</f>
        <v>5</v>
      </c>
      <c r="G351" s="12">
        <f>SUMIF('On The Board'!I$5:I$219,"&lt;="&amp;$B351,'On The Board'!$M$5:$M$219)-SUM(H351,I351)</f>
        <v>2</v>
      </c>
      <c r="H351" s="12">
        <f>SUMIF('On The Board'!J$5:J$219,"&lt;="&amp;$B351,'On The Board'!$M$5:$M$219)-SUM(I351)</f>
        <v>0</v>
      </c>
      <c r="I351" s="12">
        <f>SUMIF('On The Board'!K$5:K$219,"&lt;="&amp;$B351,'On The Board'!$M$5:$M$219)</f>
        <v>70</v>
      </c>
      <c r="J351" s="10">
        <f t="shared" si="50"/>
        <v>77</v>
      </c>
      <c r="K351" s="10" t="e">
        <f t="shared" ca="1" si="51"/>
        <v>#N/A</v>
      </c>
      <c r="L351" s="44" t="e">
        <f t="shared" ca="1" si="55"/>
        <v>#N/A</v>
      </c>
      <c r="M351" s="44" t="e">
        <f t="shared" ca="1" si="54"/>
        <v>#N/A</v>
      </c>
      <c r="N351" s="44" t="e">
        <f t="shared" ca="1" si="53"/>
        <v>#N/A</v>
      </c>
      <c r="O351" s="53" t="e">
        <f t="shared" ca="1" si="56"/>
        <v>#N/A</v>
      </c>
      <c r="P351" s="53" t="str">
        <f ca="1">IFERROR(DayByDayTable[[#This Row],[Lead Time]],"")</f>
        <v/>
      </c>
      <c r="Q351" s="44" t="e">
        <f t="shared" ca="1" si="57"/>
        <v>#N/A</v>
      </c>
      <c r="R351" s="44">
        <f ca="1">ROUND(PERCENTILE(DayByDayTable[[#Data],[BlankLeadTime]],0.8),0)</f>
        <v>8</v>
      </c>
    </row>
    <row r="352" spans="1:18">
      <c r="A352" s="51">
        <f t="shared" si="49"/>
        <v>42914</v>
      </c>
      <c r="B352" s="11">
        <f t="shared" si="52"/>
        <v>42914</v>
      </c>
      <c r="C352" s="47">
        <f>SUMIFS('On The Board'!$M$5:$M$219,'On The Board'!F$5:F$219,"&lt;="&amp;$B352,'On The Board'!E$5:E$219,"="&amp;FutureWork)</f>
        <v>43</v>
      </c>
      <c r="D352" s="12">
        <f ca="1">IF(TodaysDate&gt;=B352,SUMIF('On The Board'!F$5:F$219,"&lt;="&amp;$B352,'On The Board'!$M$5:$M$219)-SUM(E352:I352),D351)</f>
        <v>47</v>
      </c>
      <c r="E352" s="12">
        <f>SUMIF('On The Board'!G$5:G$219,"&lt;="&amp;$B352,'On The Board'!$M$5:$M$219)-SUM(F352:I352)</f>
        <v>0</v>
      </c>
      <c r="F352" s="12">
        <f>SUMIF('On The Board'!H$5:H$219,"&lt;="&amp;$B352,'On The Board'!$M$5:$M$219)-SUM(G352:I352)</f>
        <v>5</v>
      </c>
      <c r="G352" s="12">
        <f>SUMIF('On The Board'!I$5:I$219,"&lt;="&amp;$B352,'On The Board'!$M$5:$M$219)-SUM(H352,I352)</f>
        <v>2</v>
      </c>
      <c r="H352" s="12">
        <f>SUMIF('On The Board'!J$5:J$219,"&lt;="&amp;$B352,'On The Board'!$M$5:$M$219)-SUM(I352)</f>
        <v>0</v>
      </c>
      <c r="I352" s="12">
        <f>SUMIF('On The Board'!K$5:K$219,"&lt;="&amp;$B352,'On The Board'!$M$5:$M$219)</f>
        <v>70</v>
      </c>
      <c r="J352" s="10">
        <f t="shared" si="50"/>
        <v>77</v>
      </c>
      <c r="K352" s="10" t="e">
        <f t="shared" ca="1" si="51"/>
        <v>#N/A</v>
      </c>
      <c r="L352" s="44" t="e">
        <f t="shared" ca="1" si="55"/>
        <v>#N/A</v>
      </c>
      <c r="M352" s="44" t="e">
        <f t="shared" ca="1" si="54"/>
        <v>#N/A</v>
      </c>
      <c r="N352" s="44" t="e">
        <f t="shared" ca="1" si="53"/>
        <v>#N/A</v>
      </c>
      <c r="O352" s="53" t="e">
        <f t="shared" ca="1" si="56"/>
        <v>#N/A</v>
      </c>
      <c r="P352" s="53" t="str">
        <f ca="1">IFERROR(DayByDayTable[[#This Row],[Lead Time]],"")</f>
        <v/>
      </c>
      <c r="Q352" s="44" t="e">
        <f t="shared" ca="1" si="57"/>
        <v>#N/A</v>
      </c>
      <c r="R352" s="44">
        <f ca="1">ROUND(PERCENTILE(DayByDayTable[[#Data],[BlankLeadTime]],0.8),0)</f>
        <v>8</v>
      </c>
    </row>
    <row r="353" spans="1:18">
      <c r="A353" s="51">
        <f t="shared" si="49"/>
        <v>42915</v>
      </c>
      <c r="B353" s="11">
        <f t="shared" si="52"/>
        <v>42915</v>
      </c>
      <c r="C353" s="47">
        <f>SUMIFS('On The Board'!$M$5:$M$219,'On The Board'!F$5:F$219,"&lt;="&amp;$B353,'On The Board'!E$5:E$219,"="&amp;FutureWork)</f>
        <v>43</v>
      </c>
      <c r="D353" s="12">
        <f ca="1">IF(TodaysDate&gt;=B353,SUMIF('On The Board'!F$5:F$219,"&lt;="&amp;$B353,'On The Board'!$M$5:$M$219)-SUM(E353:I353),D352)</f>
        <v>47</v>
      </c>
      <c r="E353" s="12">
        <f>SUMIF('On The Board'!G$5:G$219,"&lt;="&amp;$B353,'On The Board'!$M$5:$M$219)-SUM(F353:I353)</f>
        <v>0</v>
      </c>
      <c r="F353" s="12">
        <f>SUMIF('On The Board'!H$5:H$219,"&lt;="&amp;$B353,'On The Board'!$M$5:$M$219)-SUM(G353:I353)</f>
        <v>5</v>
      </c>
      <c r="G353" s="12">
        <f>SUMIF('On The Board'!I$5:I$219,"&lt;="&amp;$B353,'On The Board'!$M$5:$M$219)-SUM(H353,I353)</f>
        <v>2</v>
      </c>
      <c r="H353" s="12">
        <f>SUMIF('On The Board'!J$5:J$219,"&lt;="&amp;$B353,'On The Board'!$M$5:$M$219)-SUM(I353)</f>
        <v>0</v>
      </c>
      <c r="I353" s="12">
        <f>SUMIF('On The Board'!K$5:K$219,"&lt;="&amp;$B353,'On The Board'!$M$5:$M$219)</f>
        <v>70</v>
      </c>
      <c r="J353" s="10">
        <f t="shared" si="50"/>
        <v>77</v>
      </c>
      <c r="K353" s="10" t="e">
        <f t="shared" ca="1" si="51"/>
        <v>#N/A</v>
      </c>
      <c r="L353" s="44" t="e">
        <f t="shared" ca="1" si="55"/>
        <v>#N/A</v>
      </c>
      <c r="M353" s="44" t="e">
        <f t="shared" ca="1" si="54"/>
        <v>#N/A</v>
      </c>
      <c r="N353" s="44" t="e">
        <f t="shared" ca="1" si="53"/>
        <v>#N/A</v>
      </c>
      <c r="O353" s="53" t="e">
        <f t="shared" ca="1" si="56"/>
        <v>#N/A</v>
      </c>
      <c r="P353" s="53" t="str">
        <f ca="1">IFERROR(DayByDayTable[[#This Row],[Lead Time]],"")</f>
        <v/>
      </c>
      <c r="Q353" s="44" t="e">
        <f t="shared" ca="1" si="57"/>
        <v>#N/A</v>
      </c>
      <c r="R353" s="44">
        <f ca="1">ROUND(PERCENTILE(DayByDayTable[[#Data],[BlankLeadTime]],0.8),0)</f>
        <v>8</v>
      </c>
    </row>
    <row r="354" spans="1:18">
      <c r="A354" s="51">
        <f t="shared" si="49"/>
        <v>42916</v>
      </c>
      <c r="B354" s="11">
        <f t="shared" si="52"/>
        <v>42916</v>
      </c>
      <c r="C354" s="47">
        <f>SUMIFS('On The Board'!$M$5:$M$219,'On The Board'!F$5:F$219,"&lt;="&amp;$B354,'On The Board'!E$5:E$219,"="&amp;FutureWork)</f>
        <v>43</v>
      </c>
      <c r="D354" s="12">
        <f ca="1">IF(TodaysDate&gt;=B354,SUMIF('On The Board'!F$5:F$219,"&lt;="&amp;$B354,'On The Board'!$M$5:$M$219)-SUM(E354:I354),D353)</f>
        <v>47</v>
      </c>
      <c r="E354" s="12">
        <f>SUMIF('On The Board'!G$5:G$219,"&lt;="&amp;$B354,'On The Board'!$M$5:$M$219)-SUM(F354:I354)</f>
        <v>0</v>
      </c>
      <c r="F354" s="12">
        <f>SUMIF('On The Board'!H$5:H$219,"&lt;="&amp;$B354,'On The Board'!$M$5:$M$219)-SUM(G354:I354)</f>
        <v>5</v>
      </c>
      <c r="G354" s="12">
        <f>SUMIF('On The Board'!I$5:I$219,"&lt;="&amp;$B354,'On The Board'!$M$5:$M$219)-SUM(H354,I354)</f>
        <v>2</v>
      </c>
      <c r="H354" s="12">
        <f>SUMIF('On The Board'!J$5:J$219,"&lt;="&amp;$B354,'On The Board'!$M$5:$M$219)-SUM(I354)</f>
        <v>0</v>
      </c>
      <c r="I354" s="12">
        <f>SUMIF('On The Board'!K$5:K$219,"&lt;="&amp;$B354,'On The Board'!$M$5:$M$219)</f>
        <v>70</v>
      </c>
      <c r="J354" s="10">
        <f t="shared" si="50"/>
        <v>77</v>
      </c>
      <c r="K354" s="10" t="e">
        <f t="shared" ca="1" si="51"/>
        <v>#N/A</v>
      </c>
      <c r="L354" s="44" t="e">
        <f t="shared" ca="1" si="55"/>
        <v>#N/A</v>
      </c>
      <c r="M354" s="44" t="e">
        <f t="shared" ca="1" si="54"/>
        <v>#N/A</v>
      </c>
      <c r="N354" s="44" t="e">
        <f t="shared" ca="1" si="53"/>
        <v>#N/A</v>
      </c>
      <c r="O354" s="53" t="e">
        <f t="shared" ca="1" si="56"/>
        <v>#N/A</v>
      </c>
      <c r="P354" s="53" t="str">
        <f ca="1">IFERROR(DayByDayTable[[#This Row],[Lead Time]],"")</f>
        <v/>
      </c>
      <c r="Q354" s="44" t="e">
        <f t="shared" ca="1" si="57"/>
        <v>#N/A</v>
      </c>
      <c r="R354" s="44">
        <f ca="1">ROUND(PERCENTILE(DayByDayTable[[#Data],[BlankLeadTime]],0.8),0)</f>
        <v>8</v>
      </c>
    </row>
    <row r="355" spans="1:18">
      <c r="A355" s="51">
        <f t="shared" si="49"/>
        <v>42919</v>
      </c>
      <c r="B355" s="11">
        <f t="shared" si="52"/>
        <v>42919</v>
      </c>
      <c r="C355" s="47">
        <f>SUMIFS('On The Board'!$M$5:$M$219,'On The Board'!F$5:F$219,"&lt;="&amp;$B355,'On The Board'!E$5:E$219,"="&amp;FutureWork)</f>
        <v>43</v>
      </c>
      <c r="D355" s="12">
        <f ca="1">IF(TodaysDate&gt;=B355,SUMIF('On The Board'!F$5:F$219,"&lt;="&amp;$B355,'On The Board'!$M$5:$M$219)-SUM(E355:I355),D354)</f>
        <v>47</v>
      </c>
      <c r="E355" s="12">
        <f>SUMIF('On The Board'!G$5:G$219,"&lt;="&amp;$B355,'On The Board'!$M$5:$M$219)-SUM(F355:I355)</f>
        <v>0</v>
      </c>
      <c r="F355" s="12">
        <f>SUMIF('On The Board'!H$5:H$219,"&lt;="&amp;$B355,'On The Board'!$M$5:$M$219)-SUM(G355:I355)</f>
        <v>5</v>
      </c>
      <c r="G355" s="12">
        <f>SUMIF('On The Board'!I$5:I$219,"&lt;="&amp;$B355,'On The Board'!$M$5:$M$219)-SUM(H355,I355)</f>
        <v>2</v>
      </c>
      <c r="H355" s="12">
        <f>SUMIF('On The Board'!J$5:J$219,"&lt;="&amp;$B355,'On The Board'!$M$5:$M$219)-SUM(I355)</f>
        <v>0</v>
      </c>
      <c r="I355" s="12">
        <f>SUMIF('On The Board'!K$5:K$219,"&lt;="&amp;$B355,'On The Board'!$M$5:$M$219)</f>
        <v>70</v>
      </c>
      <c r="J355" s="10">
        <f t="shared" si="50"/>
        <v>77</v>
      </c>
      <c r="K355" s="10" t="e">
        <f t="shared" ca="1" si="51"/>
        <v>#N/A</v>
      </c>
      <c r="L355" s="44" t="e">
        <f t="shared" ca="1" si="55"/>
        <v>#N/A</v>
      </c>
      <c r="M355" s="44" t="e">
        <f t="shared" ca="1" si="54"/>
        <v>#N/A</v>
      </c>
      <c r="N355" s="44" t="e">
        <f t="shared" ca="1" si="53"/>
        <v>#N/A</v>
      </c>
      <c r="O355" s="53" t="e">
        <f t="shared" ca="1" si="56"/>
        <v>#N/A</v>
      </c>
      <c r="P355" s="53" t="str">
        <f ca="1">IFERROR(DayByDayTable[[#This Row],[Lead Time]],"")</f>
        <v/>
      </c>
      <c r="Q355" s="44" t="e">
        <f t="shared" ca="1" si="57"/>
        <v>#N/A</v>
      </c>
      <c r="R355" s="44">
        <f ca="1">ROUND(PERCENTILE(DayByDayTable[[#Data],[BlankLeadTime]],0.8),0)</f>
        <v>8</v>
      </c>
    </row>
    <row r="356" spans="1:18">
      <c r="A356" s="51">
        <f t="shared" si="49"/>
        <v>42920</v>
      </c>
      <c r="B356" s="11">
        <f t="shared" si="52"/>
        <v>42920</v>
      </c>
      <c r="C356" s="47">
        <f>SUMIFS('On The Board'!$M$5:$M$219,'On The Board'!F$5:F$219,"&lt;="&amp;$B356,'On The Board'!E$5:E$219,"="&amp;FutureWork)</f>
        <v>43</v>
      </c>
      <c r="D356" s="12">
        <f ca="1">IF(TodaysDate&gt;=B356,SUMIF('On The Board'!F$5:F$219,"&lt;="&amp;$B356,'On The Board'!$M$5:$M$219)-SUM(E356:I356),D355)</f>
        <v>47</v>
      </c>
      <c r="E356" s="12">
        <f>SUMIF('On The Board'!G$5:G$219,"&lt;="&amp;$B356,'On The Board'!$M$5:$M$219)-SUM(F356:I356)</f>
        <v>0</v>
      </c>
      <c r="F356" s="12">
        <f>SUMIF('On The Board'!H$5:H$219,"&lt;="&amp;$B356,'On The Board'!$M$5:$M$219)-SUM(G356:I356)</f>
        <v>5</v>
      </c>
      <c r="G356" s="12">
        <f>SUMIF('On The Board'!I$5:I$219,"&lt;="&amp;$B356,'On The Board'!$M$5:$M$219)-SUM(H356,I356)</f>
        <v>2</v>
      </c>
      <c r="H356" s="12">
        <f>SUMIF('On The Board'!J$5:J$219,"&lt;="&amp;$B356,'On The Board'!$M$5:$M$219)-SUM(I356)</f>
        <v>0</v>
      </c>
      <c r="I356" s="12">
        <f>SUMIF('On The Board'!K$5:K$219,"&lt;="&amp;$B356,'On The Board'!$M$5:$M$219)</f>
        <v>70</v>
      </c>
      <c r="J356" s="10">
        <f t="shared" si="50"/>
        <v>77</v>
      </c>
      <c r="K356" s="10" t="e">
        <f t="shared" ca="1" si="51"/>
        <v>#N/A</v>
      </c>
      <c r="L356" s="44" t="e">
        <f t="shared" ca="1" si="55"/>
        <v>#N/A</v>
      </c>
      <c r="M356" s="44" t="e">
        <f t="shared" ca="1" si="54"/>
        <v>#N/A</v>
      </c>
      <c r="N356" s="44" t="e">
        <f t="shared" ca="1" si="53"/>
        <v>#N/A</v>
      </c>
      <c r="O356" s="53" t="e">
        <f t="shared" ca="1" si="56"/>
        <v>#N/A</v>
      </c>
      <c r="P356" s="53" t="str">
        <f ca="1">IFERROR(DayByDayTable[[#This Row],[Lead Time]],"")</f>
        <v/>
      </c>
      <c r="Q356" s="44" t="e">
        <f t="shared" ca="1" si="57"/>
        <v>#N/A</v>
      </c>
      <c r="R356" s="44">
        <f ca="1">ROUND(PERCENTILE(DayByDayTable[[#Data],[BlankLeadTime]],0.8),0)</f>
        <v>8</v>
      </c>
    </row>
    <row r="357" spans="1:18">
      <c r="A357" s="51">
        <f t="shared" si="49"/>
        <v>42921</v>
      </c>
      <c r="B357" s="11">
        <f t="shared" si="52"/>
        <v>42921</v>
      </c>
      <c r="C357" s="47">
        <f>SUMIFS('On The Board'!$M$5:$M$219,'On The Board'!F$5:F$219,"&lt;="&amp;$B357,'On The Board'!E$5:E$219,"="&amp;FutureWork)</f>
        <v>43</v>
      </c>
      <c r="D357" s="12">
        <f ca="1">IF(TodaysDate&gt;=B357,SUMIF('On The Board'!F$5:F$219,"&lt;="&amp;$B357,'On The Board'!$M$5:$M$219)-SUM(E357:I357),D356)</f>
        <v>47</v>
      </c>
      <c r="E357" s="12">
        <f>SUMIF('On The Board'!G$5:G$219,"&lt;="&amp;$B357,'On The Board'!$M$5:$M$219)-SUM(F357:I357)</f>
        <v>0</v>
      </c>
      <c r="F357" s="12">
        <f>SUMIF('On The Board'!H$5:H$219,"&lt;="&amp;$B357,'On The Board'!$M$5:$M$219)-SUM(G357:I357)</f>
        <v>5</v>
      </c>
      <c r="G357" s="12">
        <f>SUMIF('On The Board'!I$5:I$219,"&lt;="&amp;$B357,'On The Board'!$M$5:$M$219)-SUM(H357,I357)</f>
        <v>2</v>
      </c>
      <c r="H357" s="12">
        <f>SUMIF('On The Board'!J$5:J$219,"&lt;="&amp;$B357,'On The Board'!$M$5:$M$219)-SUM(I357)</f>
        <v>0</v>
      </c>
      <c r="I357" s="12">
        <f>SUMIF('On The Board'!K$5:K$219,"&lt;="&amp;$B357,'On The Board'!$M$5:$M$219)</f>
        <v>70</v>
      </c>
      <c r="J357" s="10">
        <f t="shared" si="50"/>
        <v>77</v>
      </c>
      <c r="K357" s="10" t="e">
        <f t="shared" ca="1" si="51"/>
        <v>#N/A</v>
      </c>
      <c r="L357" s="44" t="e">
        <f t="shared" ca="1" si="55"/>
        <v>#N/A</v>
      </c>
      <c r="M357" s="44" t="e">
        <f t="shared" ca="1" si="54"/>
        <v>#N/A</v>
      </c>
      <c r="N357" s="44" t="e">
        <f t="shared" ca="1" si="53"/>
        <v>#N/A</v>
      </c>
      <c r="O357" s="53" t="e">
        <f t="shared" ca="1" si="56"/>
        <v>#N/A</v>
      </c>
      <c r="P357" s="53" t="str">
        <f ca="1">IFERROR(DayByDayTable[[#This Row],[Lead Time]],"")</f>
        <v/>
      </c>
      <c r="Q357" s="44" t="e">
        <f t="shared" ca="1" si="57"/>
        <v>#N/A</v>
      </c>
      <c r="R357" s="44">
        <f ca="1">ROUND(PERCENTILE(DayByDayTable[[#Data],[BlankLeadTime]],0.8),0)</f>
        <v>8</v>
      </c>
    </row>
    <row r="358" spans="1:18">
      <c r="A358" s="51">
        <f t="shared" si="49"/>
        <v>42922</v>
      </c>
      <c r="B358" s="11">
        <f t="shared" si="52"/>
        <v>42922</v>
      </c>
      <c r="C358" s="47">
        <f>SUMIFS('On The Board'!$M$5:$M$219,'On The Board'!F$5:F$219,"&lt;="&amp;$B358,'On The Board'!E$5:E$219,"="&amp;FutureWork)</f>
        <v>43</v>
      </c>
      <c r="D358" s="12">
        <f ca="1">IF(TodaysDate&gt;=B358,SUMIF('On The Board'!F$5:F$219,"&lt;="&amp;$B358,'On The Board'!$M$5:$M$219)-SUM(E358:I358),D357)</f>
        <v>47</v>
      </c>
      <c r="E358" s="12">
        <f>SUMIF('On The Board'!G$5:G$219,"&lt;="&amp;$B358,'On The Board'!$M$5:$M$219)-SUM(F358:I358)</f>
        <v>0</v>
      </c>
      <c r="F358" s="12">
        <f>SUMIF('On The Board'!H$5:H$219,"&lt;="&amp;$B358,'On The Board'!$M$5:$M$219)-SUM(G358:I358)</f>
        <v>5</v>
      </c>
      <c r="G358" s="12">
        <f>SUMIF('On The Board'!I$5:I$219,"&lt;="&amp;$B358,'On The Board'!$M$5:$M$219)-SUM(H358,I358)</f>
        <v>2</v>
      </c>
      <c r="H358" s="12">
        <f>SUMIF('On The Board'!J$5:J$219,"&lt;="&amp;$B358,'On The Board'!$M$5:$M$219)-SUM(I358)</f>
        <v>0</v>
      </c>
      <c r="I358" s="12">
        <f>SUMIF('On The Board'!K$5:K$219,"&lt;="&amp;$B358,'On The Board'!$M$5:$M$219)</f>
        <v>70</v>
      </c>
      <c r="J358" s="10">
        <f t="shared" si="50"/>
        <v>77</v>
      </c>
      <c r="K358" s="10" t="e">
        <f t="shared" ca="1" si="51"/>
        <v>#N/A</v>
      </c>
      <c r="L358" s="44" t="e">
        <f t="shared" ca="1" si="55"/>
        <v>#N/A</v>
      </c>
      <c r="M358" s="44" t="e">
        <f t="shared" ca="1" si="54"/>
        <v>#N/A</v>
      </c>
      <c r="N358" s="44" t="e">
        <f t="shared" ca="1" si="53"/>
        <v>#N/A</v>
      </c>
      <c r="O358" s="53" t="e">
        <f t="shared" ca="1" si="56"/>
        <v>#N/A</v>
      </c>
      <c r="P358" s="53" t="str">
        <f ca="1">IFERROR(DayByDayTable[[#This Row],[Lead Time]],"")</f>
        <v/>
      </c>
      <c r="Q358" s="44" t="e">
        <f t="shared" ca="1" si="57"/>
        <v>#N/A</v>
      </c>
      <c r="R358" s="44">
        <f ca="1">ROUND(PERCENTILE(DayByDayTable[[#Data],[BlankLeadTime]],0.8),0)</f>
        <v>8</v>
      </c>
    </row>
    <row r="359" spans="1:18">
      <c r="A359" s="51">
        <f t="shared" si="49"/>
        <v>42923</v>
      </c>
      <c r="B359" s="11">
        <f t="shared" si="52"/>
        <v>42923</v>
      </c>
      <c r="C359" s="47">
        <f>SUMIFS('On The Board'!$M$5:$M$219,'On The Board'!F$5:F$219,"&lt;="&amp;$B359,'On The Board'!E$5:E$219,"="&amp;FutureWork)</f>
        <v>43</v>
      </c>
      <c r="D359" s="12">
        <f ca="1">IF(TodaysDate&gt;=B359,SUMIF('On The Board'!F$5:F$219,"&lt;="&amp;$B359,'On The Board'!$M$5:$M$219)-SUM(E359:I359),D358)</f>
        <v>47</v>
      </c>
      <c r="E359" s="12">
        <f>SUMIF('On The Board'!G$5:G$219,"&lt;="&amp;$B359,'On The Board'!$M$5:$M$219)-SUM(F359:I359)</f>
        <v>0</v>
      </c>
      <c r="F359" s="12">
        <f>SUMIF('On The Board'!H$5:H$219,"&lt;="&amp;$B359,'On The Board'!$M$5:$M$219)-SUM(G359:I359)</f>
        <v>5</v>
      </c>
      <c r="G359" s="12">
        <f>SUMIF('On The Board'!I$5:I$219,"&lt;="&amp;$B359,'On The Board'!$M$5:$M$219)-SUM(H359,I359)</f>
        <v>2</v>
      </c>
      <c r="H359" s="12">
        <f>SUMIF('On The Board'!J$5:J$219,"&lt;="&amp;$B359,'On The Board'!$M$5:$M$219)-SUM(I359)</f>
        <v>0</v>
      </c>
      <c r="I359" s="12">
        <f>SUMIF('On The Board'!K$5:K$219,"&lt;="&amp;$B359,'On The Board'!$M$5:$M$219)</f>
        <v>70</v>
      </c>
      <c r="J359" s="10">
        <f t="shared" si="50"/>
        <v>77</v>
      </c>
      <c r="K359" s="10" t="e">
        <f t="shared" ca="1" si="51"/>
        <v>#N/A</v>
      </c>
      <c r="L359" s="44" t="e">
        <f t="shared" ca="1" si="55"/>
        <v>#N/A</v>
      </c>
      <c r="M359" s="44" t="e">
        <f t="shared" ca="1" si="54"/>
        <v>#N/A</v>
      </c>
      <c r="N359" s="44" t="e">
        <f t="shared" ca="1" si="53"/>
        <v>#N/A</v>
      </c>
      <c r="O359" s="53" t="e">
        <f t="shared" ca="1" si="56"/>
        <v>#N/A</v>
      </c>
      <c r="P359" s="53" t="str">
        <f ca="1">IFERROR(DayByDayTable[[#This Row],[Lead Time]],"")</f>
        <v/>
      </c>
      <c r="Q359" s="44" t="e">
        <f t="shared" ca="1" si="57"/>
        <v>#N/A</v>
      </c>
      <c r="R359" s="44">
        <f ca="1">ROUND(PERCENTILE(DayByDayTable[[#Data],[BlankLeadTime]],0.8),0)</f>
        <v>8</v>
      </c>
    </row>
    <row r="360" spans="1:18">
      <c r="A360" s="51">
        <f t="shared" si="49"/>
        <v>42926</v>
      </c>
      <c r="B360" s="11">
        <f t="shared" si="52"/>
        <v>42926</v>
      </c>
      <c r="C360" s="47">
        <f>SUMIFS('On The Board'!$M$5:$M$219,'On The Board'!F$5:F$219,"&lt;="&amp;$B360,'On The Board'!E$5:E$219,"="&amp;FutureWork)</f>
        <v>43</v>
      </c>
      <c r="D360" s="12">
        <f ca="1">IF(TodaysDate&gt;=B360,SUMIF('On The Board'!F$5:F$219,"&lt;="&amp;$B360,'On The Board'!$M$5:$M$219)-SUM(E360:I360),D359)</f>
        <v>47</v>
      </c>
      <c r="E360" s="12">
        <f>SUMIF('On The Board'!G$5:G$219,"&lt;="&amp;$B360,'On The Board'!$M$5:$M$219)-SUM(F360:I360)</f>
        <v>0</v>
      </c>
      <c r="F360" s="12">
        <f>SUMIF('On The Board'!H$5:H$219,"&lt;="&amp;$B360,'On The Board'!$M$5:$M$219)-SUM(G360:I360)</f>
        <v>5</v>
      </c>
      <c r="G360" s="12">
        <f>SUMIF('On The Board'!I$5:I$219,"&lt;="&amp;$B360,'On The Board'!$M$5:$M$219)-SUM(H360,I360)</f>
        <v>2</v>
      </c>
      <c r="H360" s="12">
        <f>SUMIF('On The Board'!J$5:J$219,"&lt;="&amp;$B360,'On The Board'!$M$5:$M$219)-SUM(I360)</f>
        <v>0</v>
      </c>
      <c r="I360" s="12">
        <f>SUMIF('On The Board'!K$5:K$219,"&lt;="&amp;$B360,'On The Board'!$M$5:$M$219)</f>
        <v>70</v>
      </c>
      <c r="J360" s="10">
        <f t="shared" si="50"/>
        <v>77</v>
      </c>
      <c r="K360" s="10" t="e">
        <f t="shared" ca="1" si="51"/>
        <v>#N/A</v>
      </c>
      <c r="L360" s="44" t="e">
        <f t="shared" ca="1" si="55"/>
        <v>#N/A</v>
      </c>
      <c r="M360" s="44" t="e">
        <f t="shared" ca="1" si="54"/>
        <v>#N/A</v>
      </c>
      <c r="N360" s="44" t="e">
        <f t="shared" ca="1" si="53"/>
        <v>#N/A</v>
      </c>
      <c r="O360" s="53" t="e">
        <f t="shared" ca="1" si="56"/>
        <v>#N/A</v>
      </c>
      <c r="P360" s="53" t="str">
        <f ca="1">IFERROR(DayByDayTable[[#This Row],[Lead Time]],"")</f>
        <v/>
      </c>
      <c r="Q360" s="44" t="e">
        <f t="shared" ca="1" si="57"/>
        <v>#N/A</v>
      </c>
      <c r="R360" s="44">
        <f ca="1">ROUND(PERCENTILE(DayByDayTable[[#Data],[BlankLeadTime]],0.8),0)</f>
        <v>8</v>
      </c>
    </row>
    <row r="361" spans="1:18">
      <c r="A361" s="51">
        <f t="shared" si="49"/>
        <v>42927</v>
      </c>
      <c r="B361" s="11">
        <f t="shared" si="52"/>
        <v>42927</v>
      </c>
      <c r="C361" s="47">
        <f>SUMIFS('On The Board'!$M$5:$M$219,'On The Board'!F$5:F$219,"&lt;="&amp;$B361,'On The Board'!E$5:E$219,"="&amp;FutureWork)</f>
        <v>43</v>
      </c>
      <c r="D361" s="12">
        <f ca="1">IF(TodaysDate&gt;=B361,SUMIF('On The Board'!F$5:F$219,"&lt;="&amp;$B361,'On The Board'!$M$5:$M$219)-SUM(E361:I361),D360)</f>
        <v>47</v>
      </c>
      <c r="E361" s="12">
        <f>SUMIF('On The Board'!G$5:G$219,"&lt;="&amp;$B361,'On The Board'!$M$5:$M$219)-SUM(F361:I361)</f>
        <v>0</v>
      </c>
      <c r="F361" s="12">
        <f>SUMIF('On The Board'!H$5:H$219,"&lt;="&amp;$B361,'On The Board'!$M$5:$M$219)-SUM(G361:I361)</f>
        <v>5</v>
      </c>
      <c r="G361" s="12">
        <f>SUMIF('On The Board'!I$5:I$219,"&lt;="&amp;$B361,'On The Board'!$M$5:$M$219)-SUM(H361,I361)</f>
        <v>2</v>
      </c>
      <c r="H361" s="12">
        <f>SUMIF('On The Board'!J$5:J$219,"&lt;="&amp;$B361,'On The Board'!$M$5:$M$219)-SUM(I361)</f>
        <v>0</v>
      </c>
      <c r="I361" s="12">
        <f>SUMIF('On The Board'!K$5:K$219,"&lt;="&amp;$B361,'On The Board'!$M$5:$M$219)</f>
        <v>70</v>
      </c>
      <c r="J361" s="10">
        <f t="shared" si="50"/>
        <v>77</v>
      </c>
      <c r="K361" s="10" t="e">
        <f t="shared" ca="1" si="51"/>
        <v>#N/A</v>
      </c>
      <c r="L361" s="44" t="e">
        <f t="shared" ca="1" si="55"/>
        <v>#N/A</v>
      </c>
      <c r="M361" s="44" t="e">
        <f t="shared" ca="1" si="54"/>
        <v>#N/A</v>
      </c>
      <c r="N361" s="44" t="e">
        <f t="shared" ca="1" si="53"/>
        <v>#N/A</v>
      </c>
      <c r="O361" s="53" t="e">
        <f t="shared" ca="1" si="56"/>
        <v>#N/A</v>
      </c>
      <c r="P361" s="53" t="str">
        <f ca="1">IFERROR(DayByDayTable[[#This Row],[Lead Time]],"")</f>
        <v/>
      </c>
      <c r="Q361" s="44" t="e">
        <f t="shared" ca="1" si="57"/>
        <v>#N/A</v>
      </c>
      <c r="R361" s="44">
        <f ca="1">ROUND(PERCENTILE(DayByDayTable[[#Data],[BlankLeadTime]],0.8),0)</f>
        <v>8</v>
      </c>
    </row>
    <row r="362" spans="1:18">
      <c r="A362" s="51">
        <f t="shared" si="49"/>
        <v>42928</v>
      </c>
      <c r="B362" s="11">
        <f t="shared" si="52"/>
        <v>42928</v>
      </c>
      <c r="C362" s="47">
        <f>SUMIFS('On The Board'!$M$5:$M$219,'On The Board'!F$5:F$219,"&lt;="&amp;$B362,'On The Board'!E$5:E$219,"="&amp;FutureWork)</f>
        <v>43</v>
      </c>
      <c r="D362" s="12">
        <f ca="1">IF(TodaysDate&gt;=B362,SUMIF('On The Board'!F$5:F$219,"&lt;="&amp;$B362,'On The Board'!$M$5:$M$219)-SUM(E362:I362),D361)</f>
        <v>47</v>
      </c>
      <c r="E362" s="12">
        <f>SUMIF('On The Board'!G$5:G$219,"&lt;="&amp;$B362,'On The Board'!$M$5:$M$219)-SUM(F362:I362)</f>
        <v>0</v>
      </c>
      <c r="F362" s="12">
        <f>SUMIF('On The Board'!H$5:H$219,"&lt;="&amp;$B362,'On The Board'!$M$5:$M$219)-SUM(G362:I362)</f>
        <v>5</v>
      </c>
      <c r="G362" s="12">
        <f>SUMIF('On The Board'!I$5:I$219,"&lt;="&amp;$B362,'On The Board'!$M$5:$M$219)-SUM(H362,I362)</f>
        <v>2</v>
      </c>
      <c r="H362" s="12">
        <f>SUMIF('On The Board'!J$5:J$219,"&lt;="&amp;$B362,'On The Board'!$M$5:$M$219)-SUM(I362)</f>
        <v>0</v>
      </c>
      <c r="I362" s="12">
        <f>SUMIF('On The Board'!K$5:K$219,"&lt;="&amp;$B362,'On The Board'!$M$5:$M$219)</f>
        <v>70</v>
      </c>
      <c r="J362" s="10">
        <f t="shared" si="50"/>
        <v>77</v>
      </c>
      <c r="K362" s="10" t="e">
        <f t="shared" ca="1" si="51"/>
        <v>#N/A</v>
      </c>
      <c r="L362" s="44" t="e">
        <f t="shared" ca="1" si="55"/>
        <v>#N/A</v>
      </c>
      <c r="M362" s="44" t="e">
        <f t="shared" ca="1" si="54"/>
        <v>#N/A</v>
      </c>
      <c r="N362" s="44" t="e">
        <f t="shared" ca="1" si="53"/>
        <v>#N/A</v>
      </c>
      <c r="O362" s="53" t="e">
        <f t="shared" ca="1" si="56"/>
        <v>#N/A</v>
      </c>
      <c r="P362" s="53" t="str">
        <f ca="1">IFERROR(DayByDayTable[[#This Row],[Lead Time]],"")</f>
        <v/>
      </c>
      <c r="Q362" s="44" t="e">
        <f t="shared" ca="1" si="57"/>
        <v>#N/A</v>
      </c>
      <c r="R362" s="44">
        <f ca="1">ROUND(PERCENTILE(DayByDayTable[[#Data],[BlankLeadTime]],0.8),0)</f>
        <v>8</v>
      </c>
    </row>
    <row r="363" spans="1:18">
      <c r="A363" s="51">
        <f t="shared" si="49"/>
        <v>42929</v>
      </c>
      <c r="B363" s="11">
        <f t="shared" si="52"/>
        <v>42929</v>
      </c>
      <c r="C363" s="47">
        <f>SUMIFS('On The Board'!$M$5:$M$219,'On The Board'!F$5:F$219,"&lt;="&amp;$B363,'On The Board'!E$5:E$219,"="&amp;FutureWork)</f>
        <v>43</v>
      </c>
      <c r="D363" s="12">
        <f ca="1">IF(TodaysDate&gt;=B363,SUMIF('On The Board'!F$5:F$219,"&lt;="&amp;$B363,'On The Board'!$M$5:$M$219)-SUM(E363:I363),D362)</f>
        <v>47</v>
      </c>
      <c r="E363" s="12">
        <f>SUMIF('On The Board'!G$5:G$219,"&lt;="&amp;$B363,'On The Board'!$M$5:$M$219)-SUM(F363:I363)</f>
        <v>0</v>
      </c>
      <c r="F363" s="12">
        <f>SUMIF('On The Board'!H$5:H$219,"&lt;="&amp;$B363,'On The Board'!$M$5:$M$219)-SUM(G363:I363)</f>
        <v>5</v>
      </c>
      <c r="G363" s="12">
        <f>SUMIF('On The Board'!I$5:I$219,"&lt;="&amp;$B363,'On The Board'!$M$5:$M$219)-SUM(H363,I363)</f>
        <v>2</v>
      </c>
      <c r="H363" s="12">
        <f>SUMIF('On The Board'!J$5:J$219,"&lt;="&amp;$B363,'On The Board'!$M$5:$M$219)-SUM(I363)</f>
        <v>0</v>
      </c>
      <c r="I363" s="12">
        <f>SUMIF('On The Board'!K$5:K$219,"&lt;="&amp;$B363,'On The Board'!$M$5:$M$219)</f>
        <v>70</v>
      </c>
      <c r="J363" s="10">
        <f t="shared" si="50"/>
        <v>77</v>
      </c>
      <c r="K363" s="10" t="e">
        <f t="shared" ca="1" si="51"/>
        <v>#N/A</v>
      </c>
      <c r="L363" s="44" t="e">
        <f t="shared" ca="1" si="55"/>
        <v>#N/A</v>
      </c>
      <c r="M363" s="44" t="e">
        <f t="shared" ca="1" si="54"/>
        <v>#N/A</v>
      </c>
      <c r="N363" s="44" t="e">
        <f t="shared" ca="1" si="53"/>
        <v>#N/A</v>
      </c>
      <c r="O363" s="53" t="e">
        <f t="shared" ca="1" si="56"/>
        <v>#N/A</v>
      </c>
      <c r="P363" s="53" t="str">
        <f ca="1">IFERROR(DayByDayTable[[#This Row],[Lead Time]],"")</f>
        <v/>
      </c>
      <c r="Q363" s="44" t="e">
        <f t="shared" ca="1" si="57"/>
        <v>#N/A</v>
      </c>
      <c r="R363" s="44">
        <f ca="1">ROUND(PERCENTILE(DayByDayTable[[#Data],[BlankLeadTime]],0.8),0)</f>
        <v>8</v>
      </c>
    </row>
    <row r="364" spans="1:18">
      <c r="A364" s="51">
        <f t="shared" si="49"/>
        <v>42930</v>
      </c>
      <c r="B364" s="11">
        <f t="shared" si="52"/>
        <v>42930</v>
      </c>
      <c r="C364" s="47">
        <f>SUMIFS('On The Board'!$M$5:$M$219,'On The Board'!F$5:F$219,"&lt;="&amp;$B364,'On The Board'!E$5:E$219,"="&amp;FutureWork)</f>
        <v>43</v>
      </c>
      <c r="D364" s="12">
        <f ca="1">IF(TodaysDate&gt;=B364,SUMIF('On The Board'!F$5:F$219,"&lt;="&amp;$B364,'On The Board'!$M$5:$M$219)-SUM(E364:I364),D363)</f>
        <v>47</v>
      </c>
      <c r="E364" s="12">
        <f>SUMIF('On The Board'!G$5:G$219,"&lt;="&amp;$B364,'On The Board'!$M$5:$M$219)-SUM(F364:I364)</f>
        <v>0</v>
      </c>
      <c r="F364" s="12">
        <f>SUMIF('On The Board'!H$5:H$219,"&lt;="&amp;$B364,'On The Board'!$M$5:$M$219)-SUM(G364:I364)</f>
        <v>5</v>
      </c>
      <c r="G364" s="12">
        <f>SUMIF('On The Board'!I$5:I$219,"&lt;="&amp;$B364,'On The Board'!$M$5:$M$219)-SUM(H364,I364)</f>
        <v>2</v>
      </c>
      <c r="H364" s="12">
        <f>SUMIF('On The Board'!J$5:J$219,"&lt;="&amp;$B364,'On The Board'!$M$5:$M$219)-SUM(I364)</f>
        <v>0</v>
      </c>
      <c r="I364" s="12">
        <f>SUMIF('On The Board'!K$5:K$219,"&lt;="&amp;$B364,'On The Board'!$M$5:$M$219)</f>
        <v>70</v>
      </c>
      <c r="J364" s="10">
        <f t="shared" si="50"/>
        <v>77</v>
      </c>
      <c r="K364" s="10" t="e">
        <f t="shared" ca="1" si="51"/>
        <v>#N/A</v>
      </c>
      <c r="L364" s="44" t="e">
        <f t="shared" ca="1" si="55"/>
        <v>#N/A</v>
      </c>
      <c r="M364" s="44" t="e">
        <f t="shared" ca="1" si="54"/>
        <v>#N/A</v>
      </c>
      <c r="N364" s="44" t="e">
        <f t="shared" ca="1" si="53"/>
        <v>#N/A</v>
      </c>
      <c r="O364" s="53" t="e">
        <f t="shared" ca="1" si="56"/>
        <v>#N/A</v>
      </c>
      <c r="P364" s="53" t="str">
        <f ca="1">IFERROR(DayByDayTable[[#This Row],[Lead Time]],"")</f>
        <v/>
      </c>
      <c r="Q364" s="44" t="e">
        <f t="shared" ca="1" si="57"/>
        <v>#N/A</v>
      </c>
      <c r="R364" s="44">
        <f ca="1">ROUND(PERCENTILE(DayByDayTable[[#Data],[BlankLeadTime]],0.8),0)</f>
        <v>8</v>
      </c>
    </row>
    <row r="365" spans="1:18">
      <c r="A365" s="51">
        <f t="shared" si="49"/>
        <v>42933</v>
      </c>
      <c r="B365" s="11">
        <f t="shared" si="52"/>
        <v>42933</v>
      </c>
      <c r="C365" s="47">
        <f>SUMIFS('On The Board'!$M$5:$M$219,'On The Board'!F$5:F$219,"&lt;="&amp;$B365,'On The Board'!E$5:E$219,"="&amp;FutureWork)</f>
        <v>43</v>
      </c>
      <c r="D365" s="12">
        <f ca="1">IF(TodaysDate&gt;=B365,SUMIF('On The Board'!F$5:F$219,"&lt;="&amp;$B365,'On The Board'!$M$5:$M$219)-SUM(E365:I365),D364)</f>
        <v>47</v>
      </c>
      <c r="E365" s="12">
        <f>SUMIF('On The Board'!G$5:G$219,"&lt;="&amp;$B365,'On The Board'!$M$5:$M$219)-SUM(F365:I365)</f>
        <v>0</v>
      </c>
      <c r="F365" s="12">
        <f>SUMIF('On The Board'!H$5:H$219,"&lt;="&amp;$B365,'On The Board'!$M$5:$M$219)-SUM(G365:I365)</f>
        <v>5</v>
      </c>
      <c r="G365" s="12">
        <f>SUMIF('On The Board'!I$5:I$219,"&lt;="&amp;$B365,'On The Board'!$M$5:$M$219)-SUM(H365,I365)</f>
        <v>2</v>
      </c>
      <c r="H365" s="12">
        <f>SUMIF('On The Board'!J$5:J$219,"&lt;="&amp;$B365,'On The Board'!$M$5:$M$219)-SUM(I365)</f>
        <v>0</v>
      </c>
      <c r="I365" s="12">
        <f>SUMIF('On The Board'!K$5:K$219,"&lt;="&amp;$B365,'On The Board'!$M$5:$M$219)</f>
        <v>70</v>
      </c>
      <c r="J365" s="10">
        <f t="shared" si="50"/>
        <v>77</v>
      </c>
      <c r="K365" s="10" t="e">
        <f t="shared" ca="1" si="51"/>
        <v>#N/A</v>
      </c>
      <c r="L365" s="44" t="e">
        <f t="shared" ca="1" si="55"/>
        <v>#N/A</v>
      </c>
      <c r="M365" s="44" t="e">
        <f t="shared" ca="1" si="54"/>
        <v>#N/A</v>
      </c>
      <c r="N365" s="44" t="e">
        <f t="shared" ca="1" si="53"/>
        <v>#N/A</v>
      </c>
      <c r="O365" s="53" t="e">
        <f t="shared" ca="1" si="56"/>
        <v>#N/A</v>
      </c>
      <c r="P365" s="53" t="str">
        <f ca="1">IFERROR(DayByDayTable[[#This Row],[Lead Time]],"")</f>
        <v/>
      </c>
      <c r="Q365" s="44" t="e">
        <f t="shared" ca="1" si="57"/>
        <v>#N/A</v>
      </c>
      <c r="R365" s="44">
        <f ca="1">ROUND(PERCENTILE(DayByDayTable[[#Data],[BlankLeadTime]],0.8),0)</f>
        <v>8</v>
      </c>
    </row>
    <row r="366" spans="1:18">
      <c r="A366" s="51">
        <f t="shared" si="49"/>
        <v>42934</v>
      </c>
      <c r="B366" s="11">
        <f t="shared" si="52"/>
        <v>42934</v>
      </c>
      <c r="C366" s="47">
        <f>SUMIFS('On The Board'!$M$5:$M$219,'On The Board'!F$5:F$219,"&lt;="&amp;$B366,'On The Board'!E$5:E$219,"="&amp;FutureWork)</f>
        <v>43</v>
      </c>
      <c r="D366" s="12">
        <f ca="1">IF(TodaysDate&gt;=B366,SUMIF('On The Board'!F$5:F$219,"&lt;="&amp;$B366,'On The Board'!$M$5:$M$219)-SUM(E366:I366),D365)</f>
        <v>47</v>
      </c>
      <c r="E366" s="12">
        <f>SUMIF('On The Board'!G$5:G$219,"&lt;="&amp;$B366,'On The Board'!$M$5:$M$219)-SUM(F366:I366)</f>
        <v>0</v>
      </c>
      <c r="F366" s="12">
        <f>SUMIF('On The Board'!H$5:H$219,"&lt;="&amp;$B366,'On The Board'!$M$5:$M$219)-SUM(G366:I366)</f>
        <v>5</v>
      </c>
      <c r="G366" s="12">
        <f>SUMIF('On The Board'!I$5:I$219,"&lt;="&amp;$B366,'On The Board'!$M$5:$M$219)-SUM(H366,I366)</f>
        <v>2</v>
      </c>
      <c r="H366" s="12">
        <f>SUMIF('On The Board'!J$5:J$219,"&lt;="&amp;$B366,'On The Board'!$M$5:$M$219)-SUM(I366)</f>
        <v>0</v>
      </c>
      <c r="I366" s="12">
        <f>SUMIF('On The Board'!K$5:K$219,"&lt;="&amp;$B366,'On The Board'!$M$5:$M$219)</f>
        <v>70</v>
      </c>
      <c r="J366" s="10">
        <f t="shared" si="50"/>
        <v>77</v>
      </c>
      <c r="K366" s="10" t="e">
        <f t="shared" ca="1" si="51"/>
        <v>#N/A</v>
      </c>
      <c r="L366" s="44" t="e">
        <f t="shared" ca="1" si="55"/>
        <v>#N/A</v>
      </c>
      <c r="M366" s="44" t="e">
        <f t="shared" ca="1" si="54"/>
        <v>#N/A</v>
      </c>
      <c r="N366" s="44" t="e">
        <f t="shared" ca="1" si="53"/>
        <v>#N/A</v>
      </c>
      <c r="O366" s="53" t="e">
        <f t="shared" ca="1" si="56"/>
        <v>#N/A</v>
      </c>
      <c r="P366" s="53" t="str">
        <f ca="1">IFERROR(DayByDayTable[[#This Row],[Lead Time]],"")</f>
        <v/>
      </c>
      <c r="Q366" s="44" t="e">
        <f t="shared" ca="1" si="57"/>
        <v>#N/A</v>
      </c>
      <c r="R366" s="44">
        <f ca="1">ROUND(PERCENTILE(DayByDayTable[[#Data],[BlankLeadTime]],0.8),0)</f>
        <v>8</v>
      </c>
    </row>
    <row r="367" spans="1:18">
      <c r="A367" s="51">
        <f t="shared" si="49"/>
        <v>42935</v>
      </c>
      <c r="B367" s="11">
        <f t="shared" si="52"/>
        <v>42935</v>
      </c>
      <c r="C367" s="47">
        <f>SUMIFS('On The Board'!$M$5:$M$219,'On The Board'!F$5:F$219,"&lt;="&amp;$B367,'On The Board'!E$5:E$219,"="&amp;FutureWork)</f>
        <v>43</v>
      </c>
      <c r="D367" s="12">
        <f ca="1">IF(TodaysDate&gt;=B367,SUMIF('On The Board'!F$5:F$219,"&lt;="&amp;$B367,'On The Board'!$M$5:$M$219)-SUM(E367:I367),D366)</f>
        <v>47</v>
      </c>
      <c r="E367" s="12">
        <f>SUMIF('On The Board'!G$5:G$219,"&lt;="&amp;$B367,'On The Board'!$M$5:$M$219)-SUM(F367:I367)</f>
        <v>0</v>
      </c>
      <c r="F367" s="12">
        <f>SUMIF('On The Board'!H$5:H$219,"&lt;="&amp;$B367,'On The Board'!$M$5:$M$219)-SUM(G367:I367)</f>
        <v>5</v>
      </c>
      <c r="G367" s="12">
        <f>SUMIF('On The Board'!I$5:I$219,"&lt;="&amp;$B367,'On The Board'!$M$5:$M$219)-SUM(H367,I367)</f>
        <v>2</v>
      </c>
      <c r="H367" s="12">
        <f>SUMIF('On The Board'!J$5:J$219,"&lt;="&amp;$B367,'On The Board'!$M$5:$M$219)-SUM(I367)</f>
        <v>0</v>
      </c>
      <c r="I367" s="12">
        <f>SUMIF('On The Board'!K$5:K$219,"&lt;="&amp;$B367,'On The Board'!$M$5:$M$219)</f>
        <v>70</v>
      </c>
      <c r="J367" s="10">
        <f t="shared" si="50"/>
        <v>77</v>
      </c>
      <c r="K367" s="10" t="e">
        <f t="shared" ca="1" si="51"/>
        <v>#N/A</v>
      </c>
      <c r="L367" s="44" t="e">
        <f t="shared" ca="1" si="55"/>
        <v>#N/A</v>
      </c>
      <c r="M367" s="44" t="e">
        <f t="shared" ca="1" si="54"/>
        <v>#N/A</v>
      </c>
      <c r="N367" s="44" t="e">
        <f t="shared" ca="1" si="53"/>
        <v>#N/A</v>
      </c>
      <c r="O367" s="53" t="e">
        <f t="shared" ca="1" si="56"/>
        <v>#N/A</v>
      </c>
      <c r="P367" s="53" t="str">
        <f ca="1">IFERROR(DayByDayTable[[#This Row],[Lead Time]],"")</f>
        <v/>
      </c>
      <c r="Q367" s="44" t="e">
        <f t="shared" ca="1" si="57"/>
        <v>#N/A</v>
      </c>
      <c r="R367" s="44">
        <f ca="1">ROUND(PERCENTILE(DayByDayTable[[#Data],[BlankLeadTime]],0.8),0)</f>
        <v>8</v>
      </c>
    </row>
    <row r="368" spans="1:18">
      <c r="A368" s="51">
        <f t="shared" si="49"/>
        <v>42936</v>
      </c>
      <c r="B368" s="11">
        <f t="shared" si="52"/>
        <v>42936</v>
      </c>
      <c r="C368" s="47">
        <f>SUMIFS('On The Board'!$M$5:$M$219,'On The Board'!F$5:F$219,"&lt;="&amp;$B368,'On The Board'!E$5:E$219,"="&amp;FutureWork)</f>
        <v>43</v>
      </c>
      <c r="D368" s="12">
        <f ca="1">IF(TodaysDate&gt;=B368,SUMIF('On The Board'!F$5:F$219,"&lt;="&amp;$B368,'On The Board'!$M$5:$M$219)-SUM(E368:I368),D367)</f>
        <v>47</v>
      </c>
      <c r="E368" s="12">
        <f>SUMIF('On The Board'!G$5:G$219,"&lt;="&amp;$B368,'On The Board'!$M$5:$M$219)-SUM(F368:I368)</f>
        <v>0</v>
      </c>
      <c r="F368" s="12">
        <f>SUMIF('On The Board'!H$5:H$219,"&lt;="&amp;$B368,'On The Board'!$M$5:$M$219)-SUM(G368:I368)</f>
        <v>5</v>
      </c>
      <c r="G368" s="12">
        <f>SUMIF('On The Board'!I$5:I$219,"&lt;="&amp;$B368,'On The Board'!$M$5:$M$219)-SUM(H368,I368)</f>
        <v>2</v>
      </c>
      <c r="H368" s="12">
        <f>SUMIF('On The Board'!J$5:J$219,"&lt;="&amp;$B368,'On The Board'!$M$5:$M$219)-SUM(I368)</f>
        <v>0</v>
      </c>
      <c r="I368" s="12">
        <f>SUMIF('On The Board'!K$5:K$219,"&lt;="&amp;$B368,'On The Board'!$M$5:$M$219)</f>
        <v>70</v>
      </c>
      <c r="J368" s="10">
        <f t="shared" si="50"/>
        <v>77</v>
      </c>
      <c r="K368" s="10" t="e">
        <f t="shared" ca="1" si="51"/>
        <v>#N/A</v>
      </c>
      <c r="L368" s="44" t="e">
        <f t="shared" ca="1" si="55"/>
        <v>#N/A</v>
      </c>
      <c r="M368" s="44" t="e">
        <f t="shared" ca="1" si="54"/>
        <v>#N/A</v>
      </c>
      <c r="N368" s="44" t="e">
        <f t="shared" ca="1" si="53"/>
        <v>#N/A</v>
      </c>
      <c r="O368" s="53" t="e">
        <f t="shared" ca="1" si="56"/>
        <v>#N/A</v>
      </c>
      <c r="P368" s="53" t="str">
        <f ca="1">IFERROR(DayByDayTable[[#This Row],[Lead Time]],"")</f>
        <v/>
      </c>
      <c r="Q368" s="44" t="e">
        <f t="shared" ca="1" si="57"/>
        <v>#N/A</v>
      </c>
      <c r="R368" s="44">
        <f ca="1">ROUND(PERCENTILE(DayByDayTable[[#Data],[BlankLeadTime]],0.8),0)</f>
        <v>8</v>
      </c>
    </row>
    <row r="369" spans="1:18">
      <c r="A369" s="51">
        <f t="shared" si="49"/>
        <v>42937</v>
      </c>
      <c r="B369" s="11">
        <f t="shared" si="52"/>
        <v>42937</v>
      </c>
      <c r="C369" s="47">
        <f>SUMIFS('On The Board'!$M$5:$M$219,'On The Board'!F$5:F$219,"&lt;="&amp;$B369,'On The Board'!E$5:E$219,"="&amp;FutureWork)</f>
        <v>43</v>
      </c>
      <c r="D369" s="12">
        <f ca="1">IF(TodaysDate&gt;=B369,SUMIF('On The Board'!F$5:F$219,"&lt;="&amp;$B369,'On The Board'!$M$5:$M$219)-SUM(E369:I369),D368)</f>
        <v>47</v>
      </c>
      <c r="E369" s="12">
        <f>SUMIF('On The Board'!G$5:G$219,"&lt;="&amp;$B369,'On The Board'!$M$5:$M$219)-SUM(F369:I369)</f>
        <v>0</v>
      </c>
      <c r="F369" s="12">
        <f>SUMIF('On The Board'!H$5:H$219,"&lt;="&amp;$B369,'On The Board'!$M$5:$M$219)-SUM(G369:I369)</f>
        <v>5</v>
      </c>
      <c r="G369" s="12">
        <f>SUMIF('On The Board'!I$5:I$219,"&lt;="&amp;$B369,'On The Board'!$M$5:$M$219)-SUM(H369,I369)</f>
        <v>2</v>
      </c>
      <c r="H369" s="12">
        <f>SUMIF('On The Board'!J$5:J$219,"&lt;="&amp;$B369,'On The Board'!$M$5:$M$219)-SUM(I369)</f>
        <v>0</v>
      </c>
      <c r="I369" s="12">
        <f>SUMIF('On The Board'!K$5:K$219,"&lt;="&amp;$B369,'On The Board'!$M$5:$M$219)</f>
        <v>70</v>
      </c>
      <c r="J369" s="10">
        <f t="shared" si="50"/>
        <v>77</v>
      </c>
      <c r="K369" s="10" t="e">
        <f t="shared" ca="1" si="51"/>
        <v>#N/A</v>
      </c>
      <c r="L369" s="44" t="e">
        <f t="shared" ca="1" si="55"/>
        <v>#N/A</v>
      </c>
      <c r="M369" s="44" t="e">
        <f t="shared" ca="1" si="54"/>
        <v>#N/A</v>
      </c>
      <c r="N369" s="44" t="e">
        <f t="shared" ca="1" si="53"/>
        <v>#N/A</v>
      </c>
      <c r="O369" s="53" t="e">
        <f t="shared" ca="1" si="56"/>
        <v>#N/A</v>
      </c>
      <c r="P369" s="53" t="str">
        <f ca="1">IFERROR(DayByDayTable[[#This Row],[Lead Time]],"")</f>
        <v/>
      </c>
      <c r="Q369" s="44" t="e">
        <f t="shared" ca="1" si="57"/>
        <v>#N/A</v>
      </c>
      <c r="R369" s="44">
        <f ca="1">ROUND(PERCENTILE(DayByDayTable[[#Data],[BlankLeadTime]],0.8),0)</f>
        <v>8</v>
      </c>
    </row>
    <row r="370" spans="1:18">
      <c r="A370" s="51">
        <f t="shared" si="49"/>
        <v>42940</v>
      </c>
      <c r="B370" s="11">
        <f t="shared" si="52"/>
        <v>42940</v>
      </c>
      <c r="C370" s="47">
        <f>SUMIFS('On The Board'!$M$5:$M$219,'On The Board'!F$5:F$219,"&lt;="&amp;$B370,'On The Board'!E$5:E$219,"="&amp;FutureWork)</f>
        <v>43</v>
      </c>
      <c r="D370" s="12">
        <f ca="1">IF(TodaysDate&gt;=B370,SUMIF('On The Board'!F$5:F$219,"&lt;="&amp;$B370,'On The Board'!$M$5:$M$219)-SUM(E370:I370),D369)</f>
        <v>47</v>
      </c>
      <c r="E370" s="12">
        <f>SUMIF('On The Board'!G$5:G$219,"&lt;="&amp;$B370,'On The Board'!$M$5:$M$219)-SUM(F370:I370)</f>
        <v>0</v>
      </c>
      <c r="F370" s="12">
        <f>SUMIF('On The Board'!H$5:H$219,"&lt;="&amp;$B370,'On The Board'!$M$5:$M$219)-SUM(G370:I370)</f>
        <v>5</v>
      </c>
      <c r="G370" s="12">
        <f>SUMIF('On The Board'!I$5:I$219,"&lt;="&amp;$B370,'On The Board'!$M$5:$M$219)-SUM(H370,I370)</f>
        <v>2</v>
      </c>
      <c r="H370" s="12">
        <f>SUMIF('On The Board'!J$5:J$219,"&lt;="&amp;$B370,'On The Board'!$M$5:$M$219)-SUM(I370)</f>
        <v>0</v>
      </c>
      <c r="I370" s="12">
        <f>SUMIF('On The Board'!K$5:K$219,"&lt;="&amp;$B370,'On The Board'!$M$5:$M$219)</f>
        <v>70</v>
      </c>
      <c r="J370" s="10">
        <f t="shared" si="50"/>
        <v>77</v>
      </c>
      <c r="K370" s="10" t="e">
        <f t="shared" ca="1" si="51"/>
        <v>#N/A</v>
      </c>
      <c r="L370" s="44" t="e">
        <f t="shared" ca="1" si="55"/>
        <v>#N/A</v>
      </c>
      <c r="M370" s="44" t="e">
        <f t="shared" ca="1" si="54"/>
        <v>#N/A</v>
      </c>
      <c r="N370" s="44" t="e">
        <f t="shared" ca="1" si="53"/>
        <v>#N/A</v>
      </c>
      <c r="O370" s="53" t="e">
        <f t="shared" ca="1" si="56"/>
        <v>#N/A</v>
      </c>
      <c r="P370" s="53" t="str">
        <f ca="1">IFERROR(DayByDayTable[[#This Row],[Lead Time]],"")</f>
        <v/>
      </c>
      <c r="Q370" s="44" t="e">
        <f t="shared" ca="1" si="57"/>
        <v>#N/A</v>
      </c>
      <c r="R370" s="44">
        <f ca="1">ROUND(PERCENTILE(DayByDayTable[[#Data],[BlankLeadTime]],0.8),0)</f>
        <v>8</v>
      </c>
    </row>
    <row r="371" spans="1:18">
      <c r="A371" s="51">
        <f t="shared" si="49"/>
        <v>42941</v>
      </c>
      <c r="B371" s="11">
        <f t="shared" si="52"/>
        <v>42941</v>
      </c>
      <c r="C371" s="47">
        <f>SUMIFS('On The Board'!$M$5:$M$219,'On The Board'!F$5:F$219,"&lt;="&amp;$B371,'On The Board'!E$5:E$219,"="&amp;FutureWork)</f>
        <v>43</v>
      </c>
      <c r="D371" s="12">
        <f ca="1">IF(TodaysDate&gt;=B371,SUMIF('On The Board'!F$5:F$219,"&lt;="&amp;$B371,'On The Board'!$M$5:$M$219)-SUM(E371:I371),D370)</f>
        <v>47</v>
      </c>
      <c r="E371" s="12">
        <f>SUMIF('On The Board'!G$5:G$219,"&lt;="&amp;$B371,'On The Board'!$M$5:$M$219)-SUM(F371:I371)</f>
        <v>0</v>
      </c>
      <c r="F371" s="12">
        <f>SUMIF('On The Board'!H$5:H$219,"&lt;="&amp;$B371,'On The Board'!$M$5:$M$219)-SUM(G371:I371)</f>
        <v>5</v>
      </c>
      <c r="G371" s="12">
        <f>SUMIF('On The Board'!I$5:I$219,"&lt;="&amp;$B371,'On The Board'!$M$5:$M$219)-SUM(H371,I371)</f>
        <v>2</v>
      </c>
      <c r="H371" s="12">
        <f>SUMIF('On The Board'!J$5:J$219,"&lt;="&amp;$B371,'On The Board'!$M$5:$M$219)-SUM(I371)</f>
        <v>0</v>
      </c>
      <c r="I371" s="12">
        <f>SUMIF('On The Board'!K$5:K$219,"&lt;="&amp;$B371,'On The Board'!$M$5:$M$219)</f>
        <v>70</v>
      </c>
      <c r="J371" s="10">
        <f t="shared" si="50"/>
        <v>77</v>
      </c>
      <c r="K371" s="10" t="e">
        <f t="shared" ca="1" si="51"/>
        <v>#N/A</v>
      </c>
      <c r="L371" s="44" t="e">
        <f t="shared" ca="1" si="55"/>
        <v>#N/A</v>
      </c>
      <c r="M371" s="44" t="e">
        <f t="shared" ca="1" si="54"/>
        <v>#N/A</v>
      </c>
      <c r="N371" s="44" t="e">
        <f t="shared" ca="1" si="53"/>
        <v>#N/A</v>
      </c>
      <c r="O371" s="53" t="e">
        <f t="shared" ca="1" si="56"/>
        <v>#N/A</v>
      </c>
      <c r="P371" s="53" t="str">
        <f ca="1">IFERROR(DayByDayTable[[#This Row],[Lead Time]],"")</f>
        <v/>
      </c>
      <c r="Q371" s="44" t="e">
        <f t="shared" ca="1" si="57"/>
        <v>#N/A</v>
      </c>
      <c r="R371" s="44">
        <f ca="1">ROUND(PERCENTILE(DayByDayTable[[#Data],[BlankLeadTime]],0.8),0)</f>
        <v>8</v>
      </c>
    </row>
    <row r="372" spans="1:18">
      <c r="A372" s="51">
        <f t="shared" si="49"/>
        <v>42942</v>
      </c>
      <c r="B372" s="11">
        <f t="shared" si="52"/>
        <v>42942</v>
      </c>
      <c r="C372" s="47">
        <f>SUMIFS('On The Board'!$M$5:$M$219,'On The Board'!F$5:F$219,"&lt;="&amp;$B372,'On The Board'!E$5:E$219,"="&amp;FutureWork)</f>
        <v>43</v>
      </c>
      <c r="D372" s="12">
        <f ca="1">IF(TodaysDate&gt;=B372,SUMIF('On The Board'!F$5:F$219,"&lt;="&amp;$B372,'On The Board'!$M$5:$M$219)-SUM(E372:I372),D371)</f>
        <v>47</v>
      </c>
      <c r="E372" s="12">
        <f>SUMIF('On The Board'!G$5:G$219,"&lt;="&amp;$B372,'On The Board'!$M$5:$M$219)-SUM(F372:I372)</f>
        <v>0</v>
      </c>
      <c r="F372" s="12">
        <f>SUMIF('On The Board'!H$5:H$219,"&lt;="&amp;$B372,'On The Board'!$M$5:$M$219)-SUM(G372:I372)</f>
        <v>5</v>
      </c>
      <c r="G372" s="12">
        <f>SUMIF('On The Board'!I$5:I$219,"&lt;="&amp;$B372,'On The Board'!$M$5:$M$219)-SUM(H372,I372)</f>
        <v>2</v>
      </c>
      <c r="H372" s="12">
        <f>SUMIF('On The Board'!J$5:J$219,"&lt;="&amp;$B372,'On The Board'!$M$5:$M$219)-SUM(I372)</f>
        <v>0</v>
      </c>
      <c r="I372" s="12">
        <f>SUMIF('On The Board'!K$5:K$219,"&lt;="&amp;$B372,'On The Board'!$M$5:$M$219)</f>
        <v>70</v>
      </c>
      <c r="J372" s="10">
        <f t="shared" si="50"/>
        <v>77</v>
      </c>
      <c r="K372" s="10" t="e">
        <f t="shared" ca="1" si="51"/>
        <v>#N/A</v>
      </c>
      <c r="L372" s="44" t="e">
        <f t="shared" ca="1" si="55"/>
        <v>#N/A</v>
      </c>
      <c r="M372" s="44" t="e">
        <f t="shared" ca="1" si="54"/>
        <v>#N/A</v>
      </c>
      <c r="N372" s="44" t="e">
        <f t="shared" ca="1" si="53"/>
        <v>#N/A</v>
      </c>
      <c r="O372" s="53" t="e">
        <f t="shared" ca="1" si="56"/>
        <v>#N/A</v>
      </c>
      <c r="P372" s="53" t="str">
        <f ca="1">IFERROR(DayByDayTable[[#This Row],[Lead Time]],"")</f>
        <v/>
      </c>
      <c r="Q372" s="44" t="e">
        <f t="shared" ca="1" si="57"/>
        <v>#N/A</v>
      </c>
      <c r="R372" s="44">
        <f ca="1">ROUND(PERCENTILE(DayByDayTable[[#Data],[BlankLeadTime]],0.8),0)</f>
        <v>8</v>
      </c>
    </row>
    <row r="373" spans="1:18">
      <c r="A373" s="51">
        <f t="shared" si="49"/>
        <v>42943</v>
      </c>
      <c r="B373" s="11">
        <f t="shared" si="52"/>
        <v>42943</v>
      </c>
      <c r="C373" s="47">
        <f>SUMIFS('On The Board'!$M$5:$M$219,'On The Board'!F$5:F$219,"&lt;="&amp;$B373,'On The Board'!E$5:E$219,"="&amp;FutureWork)</f>
        <v>43</v>
      </c>
      <c r="D373" s="12">
        <f ca="1">IF(TodaysDate&gt;=B373,SUMIF('On The Board'!F$5:F$219,"&lt;="&amp;$B373,'On The Board'!$M$5:$M$219)-SUM(E373:I373),D372)</f>
        <v>47</v>
      </c>
      <c r="E373" s="12">
        <f>SUMIF('On The Board'!G$5:G$219,"&lt;="&amp;$B373,'On The Board'!$M$5:$M$219)-SUM(F373:I373)</f>
        <v>0</v>
      </c>
      <c r="F373" s="12">
        <f>SUMIF('On The Board'!H$5:H$219,"&lt;="&amp;$B373,'On The Board'!$M$5:$M$219)-SUM(G373:I373)</f>
        <v>5</v>
      </c>
      <c r="G373" s="12">
        <f>SUMIF('On The Board'!I$5:I$219,"&lt;="&amp;$B373,'On The Board'!$M$5:$M$219)-SUM(H373,I373)</f>
        <v>2</v>
      </c>
      <c r="H373" s="12">
        <f>SUMIF('On The Board'!J$5:J$219,"&lt;="&amp;$B373,'On The Board'!$M$5:$M$219)-SUM(I373)</f>
        <v>0</v>
      </c>
      <c r="I373" s="12">
        <f>SUMIF('On The Board'!K$5:K$219,"&lt;="&amp;$B373,'On The Board'!$M$5:$M$219)</f>
        <v>70</v>
      </c>
      <c r="J373" s="10">
        <f t="shared" si="50"/>
        <v>77</v>
      </c>
      <c r="K373" s="10" t="e">
        <f t="shared" ca="1" si="51"/>
        <v>#N/A</v>
      </c>
      <c r="L373" s="44" t="e">
        <f t="shared" ca="1" si="55"/>
        <v>#N/A</v>
      </c>
      <c r="M373" s="44" t="e">
        <f t="shared" ca="1" si="54"/>
        <v>#N/A</v>
      </c>
      <c r="N373" s="44" t="e">
        <f t="shared" ca="1" si="53"/>
        <v>#N/A</v>
      </c>
      <c r="O373" s="53" t="e">
        <f t="shared" ca="1" si="56"/>
        <v>#N/A</v>
      </c>
      <c r="P373" s="53" t="str">
        <f ca="1">IFERROR(DayByDayTable[[#This Row],[Lead Time]],"")</f>
        <v/>
      </c>
      <c r="Q373" s="44" t="e">
        <f t="shared" ca="1" si="57"/>
        <v>#N/A</v>
      </c>
      <c r="R373" s="44">
        <f ca="1">ROUND(PERCENTILE(DayByDayTable[[#Data],[BlankLeadTime]],0.8),0)</f>
        <v>8</v>
      </c>
    </row>
    <row r="374" spans="1:18">
      <c r="A374" s="51">
        <f t="shared" si="49"/>
        <v>42944</v>
      </c>
      <c r="B374" s="11">
        <f t="shared" si="52"/>
        <v>42944</v>
      </c>
      <c r="C374" s="47">
        <f>SUMIFS('On The Board'!$M$5:$M$219,'On The Board'!F$5:F$219,"&lt;="&amp;$B374,'On The Board'!E$5:E$219,"="&amp;FutureWork)</f>
        <v>43</v>
      </c>
      <c r="D374" s="12">
        <f ca="1">IF(TodaysDate&gt;=B374,SUMIF('On The Board'!F$5:F$219,"&lt;="&amp;$B374,'On The Board'!$M$5:$M$219)-SUM(E374:I374),D373)</f>
        <v>47</v>
      </c>
      <c r="E374" s="12">
        <f>SUMIF('On The Board'!G$5:G$219,"&lt;="&amp;$B374,'On The Board'!$M$5:$M$219)-SUM(F374:I374)</f>
        <v>0</v>
      </c>
      <c r="F374" s="12">
        <f>SUMIF('On The Board'!H$5:H$219,"&lt;="&amp;$B374,'On The Board'!$M$5:$M$219)-SUM(G374:I374)</f>
        <v>5</v>
      </c>
      <c r="G374" s="12">
        <f>SUMIF('On The Board'!I$5:I$219,"&lt;="&amp;$B374,'On The Board'!$M$5:$M$219)-SUM(H374,I374)</f>
        <v>2</v>
      </c>
      <c r="H374" s="12">
        <f>SUMIF('On The Board'!J$5:J$219,"&lt;="&amp;$B374,'On The Board'!$M$5:$M$219)-SUM(I374)</f>
        <v>0</v>
      </c>
      <c r="I374" s="12">
        <f>SUMIF('On The Board'!K$5:K$219,"&lt;="&amp;$B374,'On The Board'!$M$5:$M$219)</f>
        <v>70</v>
      </c>
      <c r="J374" s="10">
        <f t="shared" si="50"/>
        <v>77</v>
      </c>
      <c r="K374" s="10" t="e">
        <f t="shared" ca="1" si="51"/>
        <v>#N/A</v>
      </c>
      <c r="L374" s="44" t="e">
        <f t="shared" ca="1" si="55"/>
        <v>#N/A</v>
      </c>
      <c r="M374" s="44" t="e">
        <f t="shared" ca="1" si="54"/>
        <v>#N/A</v>
      </c>
      <c r="N374" s="44" t="e">
        <f t="shared" ca="1" si="53"/>
        <v>#N/A</v>
      </c>
      <c r="O374" s="53" t="e">
        <f t="shared" ca="1" si="56"/>
        <v>#N/A</v>
      </c>
      <c r="P374" s="53" t="str">
        <f ca="1">IFERROR(DayByDayTable[[#This Row],[Lead Time]],"")</f>
        <v/>
      </c>
      <c r="Q374" s="44" t="e">
        <f t="shared" ca="1" si="57"/>
        <v>#N/A</v>
      </c>
      <c r="R374" s="44">
        <f ca="1">ROUND(PERCENTILE(DayByDayTable[[#Data],[BlankLeadTime]],0.8),0)</f>
        <v>8</v>
      </c>
    </row>
    <row r="375" spans="1:18">
      <c r="A375" s="51">
        <f t="shared" si="49"/>
        <v>42947</v>
      </c>
      <c r="B375" s="11">
        <f t="shared" si="52"/>
        <v>42947</v>
      </c>
      <c r="C375" s="47">
        <f>SUMIFS('On The Board'!$M$5:$M$219,'On The Board'!F$5:F$219,"&lt;="&amp;$B375,'On The Board'!E$5:E$219,"="&amp;FutureWork)</f>
        <v>43</v>
      </c>
      <c r="D375" s="12">
        <f ca="1">IF(TodaysDate&gt;=B375,SUMIF('On The Board'!F$5:F$219,"&lt;="&amp;$B375,'On The Board'!$M$5:$M$219)-SUM(E375:I375),D374)</f>
        <v>47</v>
      </c>
      <c r="E375" s="12">
        <f>SUMIF('On The Board'!G$5:G$219,"&lt;="&amp;$B375,'On The Board'!$M$5:$M$219)-SUM(F375:I375)</f>
        <v>0</v>
      </c>
      <c r="F375" s="12">
        <f>SUMIF('On The Board'!H$5:H$219,"&lt;="&amp;$B375,'On The Board'!$M$5:$M$219)-SUM(G375:I375)</f>
        <v>5</v>
      </c>
      <c r="G375" s="12">
        <f>SUMIF('On The Board'!I$5:I$219,"&lt;="&amp;$B375,'On The Board'!$M$5:$M$219)-SUM(H375,I375)</f>
        <v>2</v>
      </c>
      <c r="H375" s="12">
        <f>SUMIF('On The Board'!J$5:J$219,"&lt;="&amp;$B375,'On The Board'!$M$5:$M$219)-SUM(I375)</f>
        <v>0</v>
      </c>
      <c r="I375" s="12">
        <f>SUMIF('On The Board'!K$5:K$219,"&lt;="&amp;$B375,'On The Board'!$M$5:$M$219)</f>
        <v>70</v>
      </c>
      <c r="J375" s="10">
        <f t="shared" si="50"/>
        <v>77</v>
      </c>
      <c r="K375" s="10" t="e">
        <f t="shared" ca="1" si="51"/>
        <v>#N/A</v>
      </c>
      <c r="L375" s="44" t="e">
        <f t="shared" ca="1" si="55"/>
        <v>#N/A</v>
      </c>
      <c r="M375" s="44" t="e">
        <f t="shared" ca="1" si="54"/>
        <v>#N/A</v>
      </c>
      <c r="N375" s="44" t="e">
        <f t="shared" ca="1" si="53"/>
        <v>#N/A</v>
      </c>
      <c r="O375" s="53" t="e">
        <f t="shared" ca="1" si="56"/>
        <v>#N/A</v>
      </c>
      <c r="P375" s="53" t="str">
        <f ca="1">IFERROR(DayByDayTable[[#This Row],[Lead Time]],"")</f>
        <v/>
      </c>
      <c r="Q375" s="44" t="e">
        <f t="shared" ca="1" si="57"/>
        <v>#N/A</v>
      </c>
      <c r="R375" s="44">
        <f ca="1">ROUND(PERCENTILE(DayByDayTable[[#Data],[BlankLeadTime]],0.8),0)</f>
        <v>8</v>
      </c>
    </row>
    <row r="376" spans="1:18">
      <c r="A376" s="51">
        <f t="shared" si="49"/>
        <v>42948</v>
      </c>
      <c r="B376" s="11">
        <f t="shared" si="52"/>
        <v>42948</v>
      </c>
      <c r="C376" s="47">
        <f>SUMIFS('On The Board'!$M$5:$M$219,'On The Board'!F$5:F$219,"&lt;="&amp;$B376,'On The Board'!E$5:E$219,"="&amp;FutureWork)</f>
        <v>43</v>
      </c>
      <c r="D376" s="12">
        <f ca="1">IF(TodaysDate&gt;=B376,SUMIF('On The Board'!F$5:F$219,"&lt;="&amp;$B376,'On The Board'!$M$5:$M$219)-SUM(E376:I376),D375)</f>
        <v>47</v>
      </c>
      <c r="E376" s="12">
        <f>SUMIF('On The Board'!G$5:G$219,"&lt;="&amp;$B376,'On The Board'!$M$5:$M$219)-SUM(F376:I376)</f>
        <v>0</v>
      </c>
      <c r="F376" s="12">
        <f>SUMIF('On The Board'!H$5:H$219,"&lt;="&amp;$B376,'On The Board'!$M$5:$M$219)-SUM(G376:I376)</f>
        <v>5</v>
      </c>
      <c r="G376" s="12">
        <f>SUMIF('On The Board'!I$5:I$219,"&lt;="&amp;$B376,'On The Board'!$M$5:$M$219)-SUM(H376,I376)</f>
        <v>2</v>
      </c>
      <c r="H376" s="12">
        <f>SUMIF('On The Board'!J$5:J$219,"&lt;="&amp;$B376,'On The Board'!$M$5:$M$219)-SUM(I376)</f>
        <v>0</v>
      </c>
      <c r="I376" s="12">
        <f>SUMIF('On The Board'!K$5:K$219,"&lt;="&amp;$B376,'On The Board'!$M$5:$M$219)</f>
        <v>70</v>
      </c>
      <c r="J376" s="10">
        <f t="shared" si="50"/>
        <v>77</v>
      </c>
      <c r="K376" s="10" t="e">
        <f t="shared" ca="1" si="51"/>
        <v>#N/A</v>
      </c>
      <c r="L376" s="44" t="e">
        <f t="shared" ca="1" si="55"/>
        <v>#N/A</v>
      </c>
      <c r="M376" s="44" t="e">
        <f t="shared" ca="1" si="54"/>
        <v>#N/A</v>
      </c>
      <c r="N376" s="44" t="e">
        <f t="shared" ca="1" si="53"/>
        <v>#N/A</v>
      </c>
      <c r="O376" s="53" t="e">
        <f t="shared" ca="1" si="56"/>
        <v>#N/A</v>
      </c>
      <c r="P376" s="53" t="str">
        <f ca="1">IFERROR(DayByDayTable[[#This Row],[Lead Time]],"")</f>
        <v/>
      </c>
      <c r="Q376" s="44" t="e">
        <f t="shared" ca="1" si="57"/>
        <v>#N/A</v>
      </c>
      <c r="R376" s="44">
        <f ca="1">ROUND(PERCENTILE(DayByDayTable[[#Data],[BlankLeadTime]],0.8),0)</f>
        <v>8</v>
      </c>
    </row>
    <row r="377" spans="1:18">
      <c r="A377" s="51">
        <f t="shared" si="49"/>
        <v>42949</v>
      </c>
      <c r="B377" s="11">
        <f t="shared" si="52"/>
        <v>42949</v>
      </c>
      <c r="C377" s="47">
        <f>SUMIFS('On The Board'!$M$5:$M$219,'On The Board'!F$5:F$219,"&lt;="&amp;$B377,'On The Board'!E$5:E$219,"="&amp;FutureWork)</f>
        <v>43</v>
      </c>
      <c r="D377" s="12">
        <f ca="1">IF(TodaysDate&gt;=B377,SUMIF('On The Board'!F$5:F$219,"&lt;="&amp;$B377,'On The Board'!$M$5:$M$219)-SUM(E377:I377),D376)</f>
        <v>47</v>
      </c>
      <c r="E377" s="12">
        <f>SUMIF('On The Board'!G$5:G$219,"&lt;="&amp;$B377,'On The Board'!$M$5:$M$219)-SUM(F377:I377)</f>
        <v>0</v>
      </c>
      <c r="F377" s="12">
        <f>SUMIF('On The Board'!H$5:H$219,"&lt;="&amp;$B377,'On The Board'!$M$5:$M$219)-SUM(G377:I377)</f>
        <v>5</v>
      </c>
      <c r="G377" s="12">
        <f>SUMIF('On The Board'!I$5:I$219,"&lt;="&amp;$B377,'On The Board'!$M$5:$M$219)-SUM(H377,I377)</f>
        <v>2</v>
      </c>
      <c r="H377" s="12">
        <f>SUMIF('On The Board'!J$5:J$219,"&lt;="&amp;$B377,'On The Board'!$M$5:$M$219)-SUM(I377)</f>
        <v>0</v>
      </c>
      <c r="I377" s="12">
        <f>SUMIF('On The Board'!K$5:K$219,"&lt;="&amp;$B377,'On The Board'!$M$5:$M$219)</f>
        <v>70</v>
      </c>
      <c r="J377" s="10">
        <f t="shared" si="50"/>
        <v>77</v>
      </c>
      <c r="K377" s="10" t="e">
        <f t="shared" ca="1" si="51"/>
        <v>#N/A</v>
      </c>
      <c r="L377" s="44" t="e">
        <f t="shared" ca="1" si="55"/>
        <v>#N/A</v>
      </c>
      <c r="M377" s="44" t="e">
        <f t="shared" ca="1" si="54"/>
        <v>#N/A</v>
      </c>
      <c r="N377" s="44" t="e">
        <f t="shared" ca="1" si="53"/>
        <v>#N/A</v>
      </c>
      <c r="O377" s="53" t="e">
        <f t="shared" ca="1" si="56"/>
        <v>#N/A</v>
      </c>
      <c r="P377" s="53" t="str">
        <f ca="1">IFERROR(DayByDayTable[[#This Row],[Lead Time]],"")</f>
        <v/>
      </c>
      <c r="Q377" s="44" t="e">
        <f t="shared" ca="1" si="57"/>
        <v>#N/A</v>
      </c>
      <c r="R377" s="44">
        <f ca="1">ROUND(PERCENTILE(DayByDayTable[[#Data],[BlankLeadTime]],0.8),0)</f>
        <v>8</v>
      </c>
    </row>
    <row r="378" spans="1:18">
      <c r="A378" s="51">
        <f t="shared" si="49"/>
        <v>42950</v>
      </c>
      <c r="B378" s="11">
        <f t="shared" si="52"/>
        <v>42950</v>
      </c>
      <c r="C378" s="47">
        <f>SUMIFS('On The Board'!$M$5:$M$219,'On The Board'!F$5:F$219,"&lt;="&amp;$B378,'On The Board'!E$5:E$219,"="&amp;FutureWork)</f>
        <v>43</v>
      </c>
      <c r="D378" s="12">
        <f ca="1">IF(TodaysDate&gt;=B378,SUMIF('On The Board'!F$5:F$219,"&lt;="&amp;$B378,'On The Board'!$M$5:$M$219)-SUM(E378:I378),D377)</f>
        <v>47</v>
      </c>
      <c r="E378" s="12">
        <f>SUMIF('On The Board'!G$5:G$219,"&lt;="&amp;$B378,'On The Board'!$M$5:$M$219)-SUM(F378:I378)</f>
        <v>0</v>
      </c>
      <c r="F378" s="12">
        <f>SUMIF('On The Board'!H$5:H$219,"&lt;="&amp;$B378,'On The Board'!$M$5:$M$219)-SUM(G378:I378)</f>
        <v>5</v>
      </c>
      <c r="G378" s="12">
        <f>SUMIF('On The Board'!I$5:I$219,"&lt;="&amp;$B378,'On The Board'!$M$5:$M$219)-SUM(H378,I378)</f>
        <v>2</v>
      </c>
      <c r="H378" s="12">
        <f>SUMIF('On The Board'!J$5:J$219,"&lt;="&amp;$B378,'On The Board'!$M$5:$M$219)-SUM(I378)</f>
        <v>0</v>
      </c>
      <c r="I378" s="12">
        <f>SUMIF('On The Board'!K$5:K$219,"&lt;="&amp;$B378,'On The Board'!$M$5:$M$219)</f>
        <v>70</v>
      </c>
      <c r="J378" s="10">
        <f t="shared" si="50"/>
        <v>77</v>
      </c>
      <c r="K378" s="10" t="e">
        <f t="shared" ca="1" si="51"/>
        <v>#N/A</v>
      </c>
      <c r="L378" s="44" t="e">
        <f t="shared" ca="1" si="55"/>
        <v>#N/A</v>
      </c>
      <c r="M378" s="44" t="e">
        <f t="shared" ca="1" si="54"/>
        <v>#N/A</v>
      </c>
      <c r="N378" s="44" t="e">
        <f t="shared" ca="1" si="53"/>
        <v>#N/A</v>
      </c>
      <c r="O378" s="53" t="e">
        <f t="shared" ca="1" si="56"/>
        <v>#N/A</v>
      </c>
      <c r="P378" s="53" t="str">
        <f ca="1">IFERROR(DayByDayTable[[#This Row],[Lead Time]],"")</f>
        <v/>
      </c>
      <c r="Q378" s="44" t="e">
        <f t="shared" ca="1" si="57"/>
        <v>#N/A</v>
      </c>
      <c r="R378" s="44">
        <f ca="1">ROUND(PERCENTILE(DayByDayTable[[#Data],[BlankLeadTime]],0.8),0)</f>
        <v>8</v>
      </c>
    </row>
    <row r="379" spans="1:18">
      <c r="A379" s="51">
        <f t="shared" si="49"/>
        <v>42951</v>
      </c>
      <c r="B379" s="11">
        <f t="shared" si="52"/>
        <v>42951</v>
      </c>
      <c r="C379" s="47">
        <f>SUMIFS('On The Board'!$M$5:$M$219,'On The Board'!F$5:F$219,"&lt;="&amp;$B379,'On The Board'!E$5:E$219,"="&amp;FutureWork)</f>
        <v>43</v>
      </c>
      <c r="D379" s="12">
        <f ca="1">IF(TodaysDate&gt;=B379,SUMIF('On The Board'!F$5:F$219,"&lt;="&amp;$B379,'On The Board'!$M$5:$M$219)-SUM(E379:I379),D378)</f>
        <v>47</v>
      </c>
      <c r="E379" s="12">
        <f>SUMIF('On The Board'!G$5:G$219,"&lt;="&amp;$B379,'On The Board'!$M$5:$M$219)-SUM(F379:I379)</f>
        <v>0</v>
      </c>
      <c r="F379" s="12">
        <f>SUMIF('On The Board'!H$5:H$219,"&lt;="&amp;$B379,'On The Board'!$M$5:$M$219)-SUM(G379:I379)</f>
        <v>5</v>
      </c>
      <c r="G379" s="12">
        <f>SUMIF('On The Board'!I$5:I$219,"&lt;="&amp;$B379,'On The Board'!$M$5:$M$219)-SUM(H379,I379)</f>
        <v>2</v>
      </c>
      <c r="H379" s="12">
        <f>SUMIF('On The Board'!J$5:J$219,"&lt;="&amp;$B379,'On The Board'!$M$5:$M$219)-SUM(I379)</f>
        <v>0</v>
      </c>
      <c r="I379" s="12">
        <f>SUMIF('On The Board'!K$5:K$219,"&lt;="&amp;$B379,'On The Board'!$M$5:$M$219)</f>
        <v>70</v>
      </c>
      <c r="J379" s="10">
        <f t="shared" si="50"/>
        <v>77</v>
      </c>
      <c r="K379" s="10" t="e">
        <f t="shared" ca="1" si="51"/>
        <v>#N/A</v>
      </c>
      <c r="L379" s="44" t="e">
        <f t="shared" ca="1" si="55"/>
        <v>#N/A</v>
      </c>
      <c r="M379" s="44" t="e">
        <f t="shared" ca="1" si="54"/>
        <v>#N/A</v>
      </c>
      <c r="N379" s="44" t="e">
        <f t="shared" ca="1" si="53"/>
        <v>#N/A</v>
      </c>
      <c r="O379" s="53" t="e">
        <f t="shared" ca="1" si="56"/>
        <v>#N/A</v>
      </c>
      <c r="P379" s="53" t="str">
        <f ca="1">IFERROR(DayByDayTable[[#This Row],[Lead Time]],"")</f>
        <v/>
      </c>
      <c r="Q379" s="44" t="e">
        <f t="shared" ca="1" si="57"/>
        <v>#N/A</v>
      </c>
      <c r="R379" s="44">
        <f ca="1">ROUND(PERCENTILE(DayByDayTable[[#Data],[BlankLeadTime]],0.8),0)</f>
        <v>8</v>
      </c>
    </row>
    <row r="380" spans="1:18">
      <c r="A380" s="51">
        <f t="shared" si="49"/>
        <v>42954</v>
      </c>
      <c r="B380" s="11">
        <f t="shared" si="52"/>
        <v>42954</v>
      </c>
      <c r="C380" s="47">
        <f>SUMIFS('On The Board'!$M$5:$M$219,'On The Board'!F$5:F$219,"&lt;="&amp;$B380,'On The Board'!E$5:E$219,"="&amp;FutureWork)</f>
        <v>43</v>
      </c>
      <c r="D380" s="12">
        <f ca="1">IF(TodaysDate&gt;=B380,SUMIF('On The Board'!F$5:F$219,"&lt;="&amp;$B380,'On The Board'!$M$5:$M$219)-SUM(E380:I380),D379)</f>
        <v>47</v>
      </c>
      <c r="E380" s="12">
        <f>SUMIF('On The Board'!G$5:G$219,"&lt;="&amp;$B380,'On The Board'!$M$5:$M$219)-SUM(F380:I380)</f>
        <v>0</v>
      </c>
      <c r="F380" s="12">
        <f>SUMIF('On The Board'!H$5:H$219,"&lt;="&amp;$B380,'On The Board'!$M$5:$M$219)-SUM(G380:I380)</f>
        <v>5</v>
      </c>
      <c r="G380" s="12">
        <f>SUMIF('On The Board'!I$5:I$219,"&lt;="&amp;$B380,'On The Board'!$M$5:$M$219)-SUM(H380,I380)</f>
        <v>2</v>
      </c>
      <c r="H380" s="12">
        <f>SUMIF('On The Board'!J$5:J$219,"&lt;="&amp;$B380,'On The Board'!$M$5:$M$219)-SUM(I380)</f>
        <v>0</v>
      </c>
      <c r="I380" s="12">
        <f>SUMIF('On The Board'!K$5:K$219,"&lt;="&amp;$B380,'On The Board'!$M$5:$M$219)</f>
        <v>70</v>
      </c>
      <c r="J380" s="10">
        <f t="shared" si="50"/>
        <v>77</v>
      </c>
      <c r="K380" s="10" t="e">
        <f t="shared" ca="1" si="51"/>
        <v>#N/A</v>
      </c>
      <c r="L380" s="44" t="e">
        <f t="shared" ca="1" si="55"/>
        <v>#N/A</v>
      </c>
      <c r="M380" s="44" t="e">
        <f t="shared" ca="1" si="54"/>
        <v>#N/A</v>
      </c>
      <c r="N380" s="44" t="e">
        <f t="shared" ca="1" si="53"/>
        <v>#N/A</v>
      </c>
      <c r="O380" s="53" t="e">
        <f t="shared" ca="1" si="56"/>
        <v>#N/A</v>
      </c>
      <c r="P380" s="53" t="str">
        <f ca="1">IFERROR(DayByDayTable[[#This Row],[Lead Time]],"")</f>
        <v/>
      </c>
      <c r="Q380" s="44" t="e">
        <f t="shared" ca="1" si="57"/>
        <v>#N/A</v>
      </c>
      <c r="R380" s="44">
        <f ca="1">ROUND(PERCENTILE(DayByDayTable[[#Data],[BlankLeadTime]],0.8),0)</f>
        <v>8</v>
      </c>
    </row>
    <row r="381" spans="1:18">
      <c r="A381" s="51">
        <f t="shared" si="49"/>
        <v>42955</v>
      </c>
      <c r="B381" s="11">
        <f t="shared" si="52"/>
        <v>42955</v>
      </c>
      <c r="C381" s="47">
        <f>SUMIFS('On The Board'!$M$5:$M$219,'On The Board'!F$5:F$219,"&lt;="&amp;$B381,'On The Board'!E$5:E$219,"="&amp;FutureWork)</f>
        <v>43</v>
      </c>
      <c r="D381" s="12">
        <f ca="1">IF(TodaysDate&gt;=B381,SUMIF('On The Board'!F$5:F$219,"&lt;="&amp;$B381,'On The Board'!$M$5:$M$219)-SUM(E381:I381),D380)</f>
        <v>47</v>
      </c>
      <c r="E381" s="12">
        <f>SUMIF('On The Board'!G$5:G$219,"&lt;="&amp;$B381,'On The Board'!$M$5:$M$219)-SUM(F381:I381)</f>
        <v>0</v>
      </c>
      <c r="F381" s="12">
        <f>SUMIF('On The Board'!H$5:H$219,"&lt;="&amp;$B381,'On The Board'!$M$5:$M$219)-SUM(G381:I381)</f>
        <v>5</v>
      </c>
      <c r="G381" s="12">
        <f>SUMIF('On The Board'!I$5:I$219,"&lt;="&amp;$B381,'On The Board'!$M$5:$M$219)-SUM(H381,I381)</f>
        <v>2</v>
      </c>
      <c r="H381" s="12">
        <f>SUMIF('On The Board'!J$5:J$219,"&lt;="&amp;$B381,'On The Board'!$M$5:$M$219)-SUM(I381)</f>
        <v>0</v>
      </c>
      <c r="I381" s="12">
        <f>SUMIF('On The Board'!K$5:K$219,"&lt;="&amp;$B381,'On The Board'!$M$5:$M$219)</f>
        <v>70</v>
      </c>
      <c r="J381" s="10">
        <f t="shared" si="50"/>
        <v>77</v>
      </c>
      <c r="K381" s="10" t="e">
        <f t="shared" ca="1" si="51"/>
        <v>#N/A</v>
      </c>
      <c r="L381" s="44" t="e">
        <f t="shared" ca="1" si="55"/>
        <v>#N/A</v>
      </c>
      <c r="M381" s="44" t="e">
        <f t="shared" ca="1" si="54"/>
        <v>#N/A</v>
      </c>
      <c r="N381" s="44" t="e">
        <f t="shared" ca="1" si="53"/>
        <v>#N/A</v>
      </c>
      <c r="O381" s="53" t="e">
        <f t="shared" ca="1" si="56"/>
        <v>#N/A</v>
      </c>
      <c r="P381" s="53" t="str">
        <f ca="1">IFERROR(DayByDayTable[[#This Row],[Lead Time]],"")</f>
        <v/>
      </c>
      <c r="Q381" s="44" t="e">
        <f t="shared" ca="1" si="57"/>
        <v>#N/A</v>
      </c>
      <c r="R381" s="44">
        <f ca="1">ROUND(PERCENTILE(DayByDayTable[[#Data],[BlankLeadTime]],0.8),0)</f>
        <v>8</v>
      </c>
    </row>
    <row r="382" spans="1:18">
      <c r="A382" s="51">
        <f t="shared" si="49"/>
        <v>42956</v>
      </c>
      <c r="B382" s="11">
        <f t="shared" si="52"/>
        <v>42956</v>
      </c>
      <c r="C382" s="47">
        <f>SUMIFS('On The Board'!$M$5:$M$219,'On The Board'!F$5:F$219,"&lt;="&amp;$B382,'On The Board'!E$5:E$219,"="&amp;FutureWork)</f>
        <v>43</v>
      </c>
      <c r="D382" s="12">
        <f ca="1">IF(TodaysDate&gt;=B382,SUMIF('On The Board'!F$5:F$219,"&lt;="&amp;$B382,'On The Board'!$M$5:$M$219)-SUM(E382:I382),D381)</f>
        <v>47</v>
      </c>
      <c r="E382" s="12">
        <f>SUMIF('On The Board'!G$5:G$219,"&lt;="&amp;$B382,'On The Board'!$M$5:$M$219)-SUM(F382:I382)</f>
        <v>0</v>
      </c>
      <c r="F382" s="12">
        <f>SUMIF('On The Board'!H$5:H$219,"&lt;="&amp;$B382,'On The Board'!$M$5:$M$219)-SUM(G382:I382)</f>
        <v>5</v>
      </c>
      <c r="G382" s="12">
        <f>SUMIF('On The Board'!I$5:I$219,"&lt;="&amp;$B382,'On The Board'!$M$5:$M$219)-SUM(H382,I382)</f>
        <v>2</v>
      </c>
      <c r="H382" s="12">
        <f>SUMIF('On The Board'!J$5:J$219,"&lt;="&amp;$B382,'On The Board'!$M$5:$M$219)-SUM(I382)</f>
        <v>0</v>
      </c>
      <c r="I382" s="12">
        <f>SUMIF('On The Board'!K$5:K$219,"&lt;="&amp;$B382,'On The Board'!$M$5:$M$219)</f>
        <v>70</v>
      </c>
      <c r="J382" s="10">
        <f t="shared" si="50"/>
        <v>77</v>
      </c>
      <c r="K382" s="10" t="e">
        <f t="shared" ca="1" si="51"/>
        <v>#N/A</v>
      </c>
      <c r="L382" s="44" t="e">
        <f t="shared" ca="1" si="55"/>
        <v>#N/A</v>
      </c>
      <c r="M382" s="44" t="e">
        <f t="shared" ca="1" si="54"/>
        <v>#N/A</v>
      </c>
      <c r="N382" s="44" t="e">
        <f t="shared" ca="1" si="53"/>
        <v>#N/A</v>
      </c>
      <c r="O382" s="53" t="e">
        <f t="shared" ca="1" si="56"/>
        <v>#N/A</v>
      </c>
      <c r="P382" s="53" t="str">
        <f ca="1">IFERROR(DayByDayTable[[#This Row],[Lead Time]],"")</f>
        <v/>
      </c>
      <c r="Q382" s="44" t="e">
        <f t="shared" ca="1" si="57"/>
        <v>#N/A</v>
      </c>
      <c r="R382" s="44">
        <f ca="1">ROUND(PERCENTILE(DayByDayTable[[#Data],[BlankLeadTime]],0.8),0)</f>
        <v>8</v>
      </c>
    </row>
    <row r="383" spans="1:18">
      <c r="A383" s="51">
        <f t="shared" ref="A383:A446" si="58">B383</f>
        <v>42957</v>
      </c>
      <c r="B383" s="11">
        <f t="shared" si="52"/>
        <v>42957</v>
      </c>
      <c r="C383" s="47">
        <f>SUMIFS('On The Board'!$M$5:$M$219,'On The Board'!F$5:F$219,"&lt;="&amp;$B383,'On The Board'!E$5:E$219,"="&amp;FutureWork)</f>
        <v>43</v>
      </c>
      <c r="D383" s="12">
        <f ca="1">IF(TodaysDate&gt;=B383,SUMIF('On The Board'!F$5:F$219,"&lt;="&amp;$B383,'On The Board'!$M$5:$M$219)-SUM(E383:I383),D382)</f>
        <v>47</v>
      </c>
      <c r="E383" s="12">
        <f>SUMIF('On The Board'!G$5:G$219,"&lt;="&amp;$B383,'On The Board'!$M$5:$M$219)-SUM(F383:I383)</f>
        <v>0</v>
      </c>
      <c r="F383" s="12">
        <f>SUMIF('On The Board'!H$5:H$219,"&lt;="&amp;$B383,'On The Board'!$M$5:$M$219)-SUM(G383:I383)</f>
        <v>5</v>
      </c>
      <c r="G383" s="12">
        <f>SUMIF('On The Board'!I$5:I$219,"&lt;="&amp;$B383,'On The Board'!$M$5:$M$219)-SUM(H383,I383)</f>
        <v>2</v>
      </c>
      <c r="H383" s="12">
        <f>SUMIF('On The Board'!J$5:J$219,"&lt;="&amp;$B383,'On The Board'!$M$5:$M$219)-SUM(I383)</f>
        <v>0</v>
      </c>
      <c r="I383" s="12">
        <f>SUMIF('On The Board'!K$5:K$219,"&lt;="&amp;$B383,'On The Board'!$M$5:$M$219)</f>
        <v>70</v>
      </c>
      <c r="J383" s="10">
        <f t="shared" ref="J383:J446" si="59">SUM(E383:I383)</f>
        <v>77</v>
      </c>
      <c r="K383" s="10" t="e">
        <f t="shared" ca="1" si="51"/>
        <v>#N/A</v>
      </c>
      <c r="L383" s="44" t="e">
        <f t="shared" ca="1" si="55"/>
        <v>#N/A</v>
      </c>
      <c r="M383" s="44" t="e">
        <f t="shared" ca="1" si="54"/>
        <v>#N/A</v>
      </c>
      <c r="N383" s="44" t="e">
        <f t="shared" ca="1" si="53"/>
        <v>#N/A</v>
      </c>
      <c r="O383" s="53" t="e">
        <f t="shared" ca="1" si="56"/>
        <v>#N/A</v>
      </c>
      <c r="P383" s="53" t="str">
        <f ca="1">IFERROR(DayByDayTable[[#This Row],[Lead Time]],"")</f>
        <v/>
      </c>
      <c r="Q383" s="44" t="e">
        <f t="shared" ca="1" si="57"/>
        <v>#N/A</v>
      </c>
      <c r="R383" s="44">
        <f ca="1">ROUND(PERCENTILE(DayByDayTable[[#Data],[BlankLeadTime]],0.8),0)</f>
        <v>8</v>
      </c>
    </row>
    <row r="384" spans="1:18">
      <c r="A384" s="51">
        <f t="shared" si="58"/>
        <v>42958</v>
      </c>
      <c r="B384" s="11">
        <f t="shared" si="52"/>
        <v>42958</v>
      </c>
      <c r="C384" s="47">
        <f>SUMIFS('On The Board'!$M$5:$M$219,'On The Board'!F$5:F$219,"&lt;="&amp;$B384,'On The Board'!E$5:E$219,"="&amp;FutureWork)</f>
        <v>43</v>
      </c>
      <c r="D384" s="12">
        <f ca="1">IF(TodaysDate&gt;=B384,SUMIF('On The Board'!F$5:F$219,"&lt;="&amp;$B384,'On The Board'!$M$5:$M$219)-SUM(E384:I384),D383)</f>
        <v>47</v>
      </c>
      <c r="E384" s="12">
        <f>SUMIF('On The Board'!G$5:G$219,"&lt;="&amp;$B384,'On The Board'!$M$5:$M$219)-SUM(F384:I384)</f>
        <v>0</v>
      </c>
      <c r="F384" s="12">
        <f>SUMIF('On The Board'!H$5:H$219,"&lt;="&amp;$B384,'On The Board'!$M$5:$M$219)-SUM(G384:I384)</f>
        <v>5</v>
      </c>
      <c r="G384" s="12">
        <f>SUMIF('On The Board'!I$5:I$219,"&lt;="&amp;$B384,'On The Board'!$M$5:$M$219)-SUM(H384,I384)</f>
        <v>2</v>
      </c>
      <c r="H384" s="12">
        <f>SUMIF('On The Board'!J$5:J$219,"&lt;="&amp;$B384,'On The Board'!$M$5:$M$219)-SUM(I384)</f>
        <v>0</v>
      </c>
      <c r="I384" s="12">
        <f>SUMIF('On The Board'!K$5:K$219,"&lt;="&amp;$B384,'On The Board'!$M$5:$M$219)</f>
        <v>70</v>
      </c>
      <c r="J384" s="10">
        <f t="shared" si="59"/>
        <v>77</v>
      </c>
      <c r="K384" s="10" t="e">
        <f t="shared" ca="1" si="51"/>
        <v>#N/A</v>
      </c>
      <c r="L384" s="44" t="e">
        <f t="shared" ca="1" si="55"/>
        <v>#N/A</v>
      </c>
      <c r="M384" s="44" t="e">
        <f t="shared" ca="1" si="54"/>
        <v>#N/A</v>
      </c>
      <c r="N384" s="44" t="e">
        <f t="shared" ca="1" si="53"/>
        <v>#N/A</v>
      </c>
      <c r="O384" s="53" t="e">
        <f t="shared" ca="1" si="56"/>
        <v>#N/A</v>
      </c>
      <c r="P384" s="53" t="str">
        <f ca="1">IFERROR(DayByDayTable[[#This Row],[Lead Time]],"")</f>
        <v/>
      </c>
      <c r="Q384" s="44" t="e">
        <f t="shared" ca="1" si="57"/>
        <v>#N/A</v>
      </c>
      <c r="R384" s="44">
        <f ca="1">ROUND(PERCENTILE(DayByDayTable[[#Data],[BlankLeadTime]],0.8),0)</f>
        <v>8</v>
      </c>
    </row>
    <row r="385" spans="1:18">
      <c r="A385" s="51">
        <f t="shared" si="58"/>
        <v>42961</v>
      </c>
      <c r="B385" s="11">
        <f t="shared" si="52"/>
        <v>42961</v>
      </c>
      <c r="C385" s="47">
        <f>SUMIFS('On The Board'!$M$5:$M$219,'On The Board'!F$5:F$219,"&lt;="&amp;$B385,'On The Board'!E$5:E$219,"="&amp;FutureWork)</f>
        <v>43</v>
      </c>
      <c r="D385" s="12">
        <f ca="1">IF(TodaysDate&gt;=B385,SUMIF('On The Board'!F$5:F$219,"&lt;="&amp;$B385,'On The Board'!$M$5:$M$219)-SUM(E385:I385),D384)</f>
        <v>47</v>
      </c>
      <c r="E385" s="12">
        <f>SUMIF('On The Board'!G$5:G$219,"&lt;="&amp;$B385,'On The Board'!$M$5:$M$219)-SUM(F385:I385)</f>
        <v>0</v>
      </c>
      <c r="F385" s="12">
        <f>SUMIF('On The Board'!H$5:H$219,"&lt;="&amp;$B385,'On The Board'!$M$5:$M$219)-SUM(G385:I385)</f>
        <v>5</v>
      </c>
      <c r="G385" s="12">
        <f>SUMIF('On The Board'!I$5:I$219,"&lt;="&amp;$B385,'On The Board'!$M$5:$M$219)-SUM(H385,I385)</f>
        <v>2</v>
      </c>
      <c r="H385" s="12">
        <f>SUMIF('On The Board'!J$5:J$219,"&lt;="&amp;$B385,'On The Board'!$M$5:$M$219)-SUM(I385)</f>
        <v>0</v>
      </c>
      <c r="I385" s="12">
        <f>SUMIF('On The Board'!K$5:K$219,"&lt;="&amp;$B385,'On The Board'!$M$5:$M$219)</f>
        <v>70</v>
      </c>
      <c r="J385" s="10">
        <f t="shared" si="59"/>
        <v>77</v>
      </c>
      <c r="K385" s="10" t="e">
        <f t="shared" ca="1" si="51"/>
        <v>#N/A</v>
      </c>
      <c r="L385" s="44" t="e">
        <f t="shared" ca="1" si="55"/>
        <v>#N/A</v>
      </c>
      <c r="M385" s="44" t="e">
        <f t="shared" ca="1" si="54"/>
        <v>#N/A</v>
      </c>
      <c r="N385" s="44" t="e">
        <f t="shared" ca="1" si="53"/>
        <v>#N/A</v>
      </c>
      <c r="O385" s="53" t="e">
        <f t="shared" ca="1" si="56"/>
        <v>#N/A</v>
      </c>
      <c r="P385" s="53" t="str">
        <f ca="1">IFERROR(DayByDayTable[[#This Row],[Lead Time]],"")</f>
        <v/>
      </c>
      <c r="Q385" s="44" t="e">
        <f t="shared" ca="1" si="57"/>
        <v>#N/A</v>
      </c>
      <c r="R385" s="44">
        <f ca="1">ROUND(PERCENTILE(DayByDayTable[[#Data],[BlankLeadTime]],0.8),0)</f>
        <v>8</v>
      </c>
    </row>
    <row r="386" spans="1:18">
      <c r="A386" s="51">
        <f t="shared" si="58"/>
        <v>42962</v>
      </c>
      <c r="B386" s="11">
        <f t="shared" si="52"/>
        <v>42962</v>
      </c>
      <c r="C386" s="47">
        <f>SUMIFS('On The Board'!$M$5:$M$219,'On The Board'!F$5:F$219,"&lt;="&amp;$B386,'On The Board'!E$5:E$219,"="&amp;FutureWork)</f>
        <v>43</v>
      </c>
      <c r="D386" s="12">
        <f ca="1">IF(TodaysDate&gt;=B386,SUMIF('On The Board'!F$5:F$219,"&lt;="&amp;$B386,'On The Board'!$M$5:$M$219)-SUM(E386:I386),D385)</f>
        <v>47</v>
      </c>
      <c r="E386" s="12">
        <f>SUMIF('On The Board'!G$5:G$219,"&lt;="&amp;$B386,'On The Board'!$M$5:$M$219)-SUM(F386:I386)</f>
        <v>0</v>
      </c>
      <c r="F386" s="12">
        <f>SUMIF('On The Board'!H$5:H$219,"&lt;="&amp;$B386,'On The Board'!$M$5:$M$219)-SUM(G386:I386)</f>
        <v>5</v>
      </c>
      <c r="G386" s="12">
        <f>SUMIF('On The Board'!I$5:I$219,"&lt;="&amp;$B386,'On The Board'!$M$5:$M$219)-SUM(H386,I386)</f>
        <v>2</v>
      </c>
      <c r="H386" s="12">
        <f>SUMIF('On The Board'!J$5:J$219,"&lt;="&amp;$B386,'On The Board'!$M$5:$M$219)-SUM(I386)</f>
        <v>0</v>
      </c>
      <c r="I386" s="12">
        <f>SUMIF('On The Board'!K$5:K$219,"&lt;="&amp;$B386,'On The Board'!$M$5:$M$219)</f>
        <v>70</v>
      </c>
      <c r="J386" s="10">
        <f t="shared" si="59"/>
        <v>77</v>
      </c>
      <c r="K386" s="10" t="e">
        <f t="shared" ref="K386:K449" ca="1" si="60">IF(TodaysDate&gt;=B386,SUM(E386:H386),NA())</f>
        <v>#N/A</v>
      </c>
      <c r="L386" s="44" t="e">
        <f t="shared" ca="1" si="55"/>
        <v>#N/A</v>
      </c>
      <c r="M386" s="44" t="e">
        <f t="shared" ca="1" si="54"/>
        <v>#N/A</v>
      </c>
      <c r="N386" s="44" t="e">
        <f t="shared" ca="1" si="53"/>
        <v>#N/A</v>
      </c>
      <c r="O386" s="53" t="e">
        <f t="shared" ca="1" si="56"/>
        <v>#N/A</v>
      </c>
      <c r="P386" s="53" t="str">
        <f ca="1">IFERROR(DayByDayTable[[#This Row],[Lead Time]],"")</f>
        <v/>
      </c>
      <c r="Q386" s="44" t="e">
        <f t="shared" ca="1" si="57"/>
        <v>#N/A</v>
      </c>
      <c r="R386" s="44">
        <f ca="1">ROUND(PERCENTILE(DayByDayTable[[#Data],[BlankLeadTime]],0.8),0)</f>
        <v>8</v>
      </c>
    </row>
    <row r="387" spans="1:18">
      <c r="A387" s="51">
        <f t="shared" si="58"/>
        <v>42963</v>
      </c>
      <c r="B387" s="11">
        <f t="shared" ref="B387:B450" si="61">IF(NETWORKDAYS(B386,B386+1,BankHolidays)=2,B386+1,IF(NETWORKDAYS(B386,B386+2,BankHolidays)=2,B386+2,IF(NETWORKDAYS(B386,B386+3,BankHolidays)=2,B386+3,IF(NETWORKDAYS(B386,B386+4,BankHolidays)=2,B386+4,IF(NETWORKDAYS(B386,B386+5,BankHolidays)=2,B386+5,NA())))))</f>
        <v>42963</v>
      </c>
      <c r="C387" s="47">
        <f>SUMIFS('On The Board'!$M$5:$M$219,'On The Board'!F$5:F$219,"&lt;="&amp;$B387,'On The Board'!E$5:E$219,"="&amp;FutureWork)</f>
        <v>43</v>
      </c>
      <c r="D387" s="12">
        <f ca="1">IF(TodaysDate&gt;=B387,SUMIF('On The Board'!F$5:F$219,"&lt;="&amp;$B387,'On The Board'!$M$5:$M$219)-SUM(E387:I387),D386)</f>
        <v>47</v>
      </c>
      <c r="E387" s="12">
        <f>SUMIF('On The Board'!G$5:G$219,"&lt;="&amp;$B387,'On The Board'!$M$5:$M$219)-SUM(F387:I387)</f>
        <v>0</v>
      </c>
      <c r="F387" s="12">
        <f>SUMIF('On The Board'!H$5:H$219,"&lt;="&amp;$B387,'On The Board'!$M$5:$M$219)-SUM(G387:I387)</f>
        <v>5</v>
      </c>
      <c r="G387" s="12">
        <f>SUMIF('On The Board'!I$5:I$219,"&lt;="&amp;$B387,'On The Board'!$M$5:$M$219)-SUM(H387,I387)</f>
        <v>2</v>
      </c>
      <c r="H387" s="12">
        <f>SUMIF('On The Board'!J$5:J$219,"&lt;="&amp;$B387,'On The Board'!$M$5:$M$219)-SUM(I387)</f>
        <v>0</v>
      </c>
      <c r="I387" s="12">
        <f>SUMIF('On The Board'!K$5:K$219,"&lt;="&amp;$B387,'On The Board'!$M$5:$M$219)</f>
        <v>70</v>
      </c>
      <c r="J387" s="10">
        <f t="shared" si="59"/>
        <v>77</v>
      </c>
      <c r="K387" s="10" t="e">
        <f t="shared" ca="1" si="60"/>
        <v>#N/A</v>
      </c>
      <c r="L387" s="44" t="e">
        <f t="shared" ca="1" si="55"/>
        <v>#N/A</v>
      </c>
      <c r="M387" s="44" t="e">
        <f t="shared" ca="1" si="54"/>
        <v>#N/A</v>
      </c>
      <c r="N387" s="44" t="e">
        <f t="shared" ref="N387:N450" ca="1" si="62">IF(M387&gt;0,L387/M387,NA())</f>
        <v>#N/A</v>
      </c>
      <c r="O387" s="53" t="e">
        <f t="shared" ca="1" si="56"/>
        <v>#N/A</v>
      </c>
      <c r="P387" s="53" t="str">
        <f ca="1">IFERROR(DayByDayTable[[#This Row],[Lead Time]],"")</f>
        <v/>
      </c>
      <c r="Q387" s="44" t="e">
        <f t="shared" ca="1" si="57"/>
        <v>#N/A</v>
      </c>
      <c r="R387" s="44">
        <f ca="1">ROUND(PERCENTILE(DayByDayTable[[#Data],[BlankLeadTime]],0.8),0)</f>
        <v>8</v>
      </c>
    </row>
    <row r="388" spans="1:18">
      <c r="A388" s="51">
        <f t="shared" si="58"/>
        <v>42964</v>
      </c>
      <c r="B388" s="11">
        <f t="shared" si="61"/>
        <v>42964</v>
      </c>
      <c r="C388" s="47">
        <f>SUMIFS('On The Board'!$M$5:$M$219,'On The Board'!F$5:F$219,"&lt;="&amp;$B388,'On The Board'!E$5:E$219,"="&amp;FutureWork)</f>
        <v>43</v>
      </c>
      <c r="D388" s="12">
        <f ca="1">IF(TodaysDate&gt;=B388,SUMIF('On The Board'!F$5:F$219,"&lt;="&amp;$B388,'On The Board'!$M$5:$M$219)-SUM(E388:I388),D387)</f>
        <v>47</v>
      </c>
      <c r="E388" s="12">
        <f>SUMIF('On The Board'!G$5:G$219,"&lt;="&amp;$B388,'On The Board'!$M$5:$M$219)-SUM(F388:I388)</f>
        <v>0</v>
      </c>
      <c r="F388" s="12">
        <f>SUMIF('On The Board'!H$5:H$219,"&lt;="&amp;$B388,'On The Board'!$M$5:$M$219)-SUM(G388:I388)</f>
        <v>5</v>
      </c>
      <c r="G388" s="12">
        <f>SUMIF('On The Board'!I$5:I$219,"&lt;="&amp;$B388,'On The Board'!$M$5:$M$219)-SUM(H388,I388)</f>
        <v>2</v>
      </c>
      <c r="H388" s="12">
        <f>SUMIF('On The Board'!J$5:J$219,"&lt;="&amp;$B388,'On The Board'!$M$5:$M$219)-SUM(I388)</f>
        <v>0</v>
      </c>
      <c r="I388" s="12">
        <f>SUMIF('On The Board'!K$5:K$219,"&lt;="&amp;$B388,'On The Board'!$M$5:$M$219)</f>
        <v>70</v>
      </c>
      <c r="J388" s="10">
        <f t="shared" si="59"/>
        <v>77</v>
      </c>
      <c r="K388" s="10" t="e">
        <f t="shared" ca="1" si="60"/>
        <v>#N/A</v>
      </c>
      <c r="L388" s="44" t="e">
        <f t="shared" ca="1" si="55"/>
        <v>#N/A</v>
      </c>
      <c r="M388" s="44" t="e">
        <f t="shared" ca="1" si="54"/>
        <v>#N/A</v>
      </c>
      <c r="N388" s="44" t="e">
        <f t="shared" ca="1" si="62"/>
        <v>#N/A</v>
      </c>
      <c r="O388" s="53" t="e">
        <f t="shared" ca="1" si="56"/>
        <v>#N/A</v>
      </c>
      <c r="P388" s="53" t="str">
        <f ca="1">IFERROR(DayByDayTable[[#This Row],[Lead Time]],"")</f>
        <v/>
      </c>
      <c r="Q388" s="44" t="e">
        <f t="shared" ca="1" si="57"/>
        <v>#N/A</v>
      </c>
      <c r="R388" s="44">
        <f ca="1">ROUND(PERCENTILE(DayByDayTable[[#Data],[BlankLeadTime]],0.8),0)</f>
        <v>8</v>
      </c>
    </row>
    <row r="389" spans="1:18">
      <c r="A389" s="51">
        <f t="shared" si="58"/>
        <v>42965</v>
      </c>
      <c r="B389" s="11">
        <f t="shared" si="61"/>
        <v>42965</v>
      </c>
      <c r="C389" s="47">
        <f>SUMIFS('On The Board'!$M$5:$M$219,'On The Board'!F$5:F$219,"&lt;="&amp;$B389,'On The Board'!E$5:E$219,"="&amp;FutureWork)</f>
        <v>43</v>
      </c>
      <c r="D389" s="12">
        <f ca="1">IF(TodaysDate&gt;=B389,SUMIF('On The Board'!F$5:F$219,"&lt;="&amp;$B389,'On The Board'!$M$5:$M$219)-SUM(E389:I389),D388)</f>
        <v>47</v>
      </c>
      <c r="E389" s="12">
        <f>SUMIF('On The Board'!G$5:G$219,"&lt;="&amp;$B389,'On The Board'!$M$5:$M$219)-SUM(F389:I389)</f>
        <v>0</v>
      </c>
      <c r="F389" s="12">
        <f>SUMIF('On The Board'!H$5:H$219,"&lt;="&amp;$B389,'On The Board'!$M$5:$M$219)-SUM(G389:I389)</f>
        <v>5</v>
      </c>
      <c r="G389" s="12">
        <f>SUMIF('On The Board'!I$5:I$219,"&lt;="&amp;$B389,'On The Board'!$M$5:$M$219)-SUM(H389,I389)</f>
        <v>2</v>
      </c>
      <c r="H389" s="12">
        <f>SUMIF('On The Board'!J$5:J$219,"&lt;="&amp;$B389,'On The Board'!$M$5:$M$219)-SUM(I389)</f>
        <v>0</v>
      </c>
      <c r="I389" s="12">
        <f>SUMIF('On The Board'!K$5:K$219,"&lt;="&amp;$B389,'On The Board'!$M$5:$M$219)</f>
        <v>70</v>
      </c>
      <c r="J389" s="10">
        <f t="shared" si="59"/>
        <v>77</v>
      </c>
      <c r="K389" s="10" t="e">
        <f t="shared" ca="1" si="60"/>
        <v>#N/A</v>
      </c>
      <c r="L389" s="44" t="e">
        <f t="shared" ca="1" si="55"/>
        <v>#N/A</v>
      </c>
      <c r="M389" s="44" t="e">
        <f t="shared" ca="1" si="54"/>
        <v>#N/A</v>
      </c>
      <c r="N389" s="44" t="e">
        <f t="shared" ca="1" si="62"/>
        <v>#N/A</v>
      </c>
      <c r="O389" s="53" t="e">
        <f t="shared" ca="1" si="56"/>
        <v>#N/A</v>
      </c>
      <c r="P389" s="53" t="str">
        <f ca="1">IFERROR(DayByDayTable[[#This Row],[Lead Time]],"")</f>
        <v/>
      </c>
      <c r="Q389" s="44" t="e">
        <f t="shared" ca="1" si="57"/>
        <v>#N/A</v>
      </c>
      <c r="R389" s="44">
        <f ca="1">ROUND(PERCENTILE(DayByDayTable[[#Data],[BlankLeadTime]],0.8),0)</f>
        <v>8</v>
      </c>
    </row>
    <row r="390" spans="1:18">
      <c r="A390" s="51">
        <f t="shared" si="58"/>
        <v>42968</v>
      </c>
      <c r="B390" s="11">
        <f t="shared" si="61"/>
        <v>42968</v>
      </c>
      <c r="C390" s="47">
        <f>SUMIFS('On The Board'!$M$5:$M$219,'On The Board'!F$5:F$219,"&lt;="&amp;$B390,'On The Board'!E$5:E$219,"="&amp;FutureWork)</f>
        <v>43</v>
      </c>
      <c r="D390" s="12">
        <f ca="1">IF(TodaysDate&gt;=B390,SUMIF('On The Board'!F$5:F$219,"&lt;="&amp;$B390,'On The Board'!$M$5:$M$219)-SUM(E390:I390),D389)</f>
        <v>47</v>
      </c>
      <c r="E390" s="12">
        <f>SUMIF('On The Board'!G$5:G$219,"&lt;="&amp;$B390,'On The Board'!$M$5:$M$219)-SUM(F390:I390)</f>
        <v>0</v>
      </c>
      <c r="F390" s="12">
        <f>SUMIF('On The Board'!H$5:H$219,"&lt;="&amp;$B390,'On The Board'!$M$5:$M$219)-SUM(G390:I390)</f>
        <v>5</v>
      </c>
      <c r="G390" s="12">
        <f>SUMIF('On The Board'!I$5:I$219,"&lt;="&amp;$B390,'On The Board'!$M$5:$M$219)-SUM(H390,I390)</f>
        <v>2</v>
      </c>
      <c r="H390" s="12">
        <f>SUMIF('On The Board'!J$5:J$219,"&lt;="&amp;$B390,'On The Board'!$M$5:$M$219)-SUM(I390)</f>
        <v>0</v>
      </c>
      <c r="I390" s="12">
        <f>SUMIF('On The Board'!K$5:K$219,"&lt;="&amp;$B390,'On The Board'!$M$5:$M$219)</f>
        <v>70</v>
      </c>
      <c r="J390" s="10">
        <f t="shared" si="59"/>
        <v>77</v>
      </c>
      <c r="K390" s="10" t="e">
        <f t="shared" ca="1" si="60"/>
        <v>#N/A</v>
      </c>
      <c r="L390" s="44" t="e">
        <f t="shared" ca="1" si="55"/>
        <v>#N/A</v>
      </c>
      <c r="M390" s="44" t="e">
        <f t="shared" ca="1" si="54"/>
        <v>#N/A</v>
      </c>
      <c r="N390" s="44" t="e">
        <f t="shared" ca="1" si="62"/>
        <v>#N/A</v>
      </c>
      <c r="O390" s="53" t="e">
        <f t="shared" ca="1" si="56"/>
        <v>#N/A</v>
      </c>
      <c r="P390" s="53" t="str">
        <f ca="1">IFERROR(DayByDayTable[[#This Row],[Lead Time]],"")</f>
        <v/>
      </c>
      <c r="Q390" s="44" t="e">
        <f t="shared" ca="1" si="57"/>
        <v>#N/A</v>
      </c>
      <c r="R390" s="44">
        <f ca="1">ROUND(PERCENTILE(DayByDayTable[[#Data],[BlankLeadTime]],0.8),0)</f>
        <v>8</v>
      </c>
    </row>
    <row r="391" spans="1:18">
      <c r="A391" s="51">
        <f t="shared" si="58"/>
        <v>42969</v>
      </c>
      <c r="B391" s="11">
        <f t="shared" si="61"/>
        <v>42969</v>
      </c>
      <c r="C391" s="47">
        <f>SUMIFS('On The Board'!$M$5:$M$219,'On The Board'!F$5:F$219,"&lt;="&amp;$B391,'On The Board'!E$5:E$219,"="&amp;FutureWork)</f>
        <v>43</v>
      </c>
      <c r="D391" s="12">
        <f ca="1">IF(TodaysDate&gt;=B391,SUMIF('On The Board'!F$5:F$219,"&lt;="&amp;$B391,'On The Board'!$M$5:$M$219)-SUM(E391:I391),D390)</f>
        <v>47</v>
      </c>
      <c r="E391" s="12">
        <f>SUMIF('On The Board'!G$5:G$219,"&lt;="&amp;$B391,'On The Board'!$M$5:$M$219)-SUM(F391:I391)</f>
        <v>0</v>
      </c>
      <c r="F391" s="12">
        <f>SUMIF('On The Board'!H$5:H$219,"&lt;="&amp;$B391,'On The Board'!$M$5:$M$219)-SUM(G391:I391)</f>
        <v>5</v>
      </c>
      <c r="G391" s="12">
        <f>SUMIF('On The Board'!I$5:I$219,"&lt;="&amp;$B391,'On The Board'!$M$5:$M$219)-SUM(H391,I391)</f>
        <v>2</v>
      </c>
      <c r="H391" s="12">
        <f>SUMIF('On The Board'!J$5:J$219,"&lt;="&amp;$B391,'On The Board'!$M$5:$M$219)-SUM(I391)</f>
        <v>0</v>
      </c>
      <c r="I391" s="12">
        <f>SUMIF('On The Board'!K$5:K$219,"&lt;="&amp;$B391,'On The Board'!$M$5:$M$219)</f>
        <v>70</v>
      </c>
      <c r="J391" s="10">
        <f t="shared" si="59"/>
        <v>77</v>
      </c>
      <c r="K391" s="10" t="e">
        <f t="shared" ca="1" si="60"/>
        <v>#N/A</v>
      </c>
      <c r="L391" s="44" t="e">
        <f t="shared" ca="1" si="55"/>
        <v>#N/A</v>
      </c>
      <c r="M391" s="44" t="e">
        <f t="shared" ca="1" si="54"/>
        <v>#N/A</v>
      </c>
      <c r="N391" s="44" t="e">
        <f t="shared" ca="1" si="62"/>
        <v>#N/A</v>
      </c>
      <c r="O391" s="53" t="e">
        <f t="shared" ca="1" si="56"/>
        <v>#N/A</v>
      </c>
      <c r="P391" s="53" t="str">
        <f ca="1">IFERROR(DayByDayTable[[#This Row],[Lead Time]],"")</f>
        <v/>
      </c>
      <c r="Q391" s="44" t="e">
        <f t="shared" ca="1" si="57"/>
        <v>#N/A</v>
      </c>
      <c r="R391" s="44">
        <f ca="1">ROUND(PERCENTILE(DayByDayTable[[#Data],[BlankLeadTime]],0.8),0)</f>
        <v>8</v>
      </c>
    </row>
    <row r="392" spans="1:18">
      <c r="A392" s="51">
        <f t="shared" si="58"/>
        <v>42970</v>
      </c>
      <c r="B392" s="11">
        <f t="shared" si="61"/>
        <v>42970</v>
      </c>
      <c r="C392" s="47">
        <f>SUMIFS('On The Board'!$M$5:$M$219,'On The Board'!F$5:F$219,"&lt;="&amp;$B392,'On The Board'!E$5:E$219,"="&amp;FutureWork)</f>
        <v>43</v>
      </c>
      <c r="D392" s="12">
        <f ca="1">IF(TodaysDate&gt;=B392,SUMIF('On The Board'!F$5:F$219,"&lt;="&amp;$B392,'On The Board'!$M$5:$M$219)-SUM(E392:I392),D391)</f>
        <v>47</v>
      </c>
      <c r="E392" s="12">
        <f>SUMIF('On The Board'!G$5:G$219,"&lt;="&amp;$B392,'On The Board'!$M$5:$M$219)-SUM(F392:I392)</f>
        <v>0</v>
      </c>
      <c r="F392" s="12">
        <f>SUMIF('On The Board'!H$5:H$219,"&lt;="&amp;$B392,'On The Board'!$M$5:$M$219)-SUM(G392:I392)</f>
        <v>5</v>
      </c>
      <c r="G392" s="12">
        <f>SUMIF('On The Board'!I$5:I$219,"&lt;="&amp;$B392,'On The Board'!$M$5:$M$219)-SUM(H392,I392)</f>
        <v>2</v>
      </c>
      <c r="H392" s="12">
        <f>SUMIF('On The Board'!J$5:J$219,"&lt;="&amp;$B392,'On The Board'!$M$5:$M$219)-SUM(I392)</f>
        <v>0</v>
      </c>
      <c r="I392" s="12">
        <f>SUMIF('On The Board'!K$5:K$219,"&lt;="&amp;$B392,'On The Board'!$M$5:$M$219)</f>
        <v>70</v>
      </c>
      <c r="J392" s="10">
        <f t="shared" si="59"/>
        <v>77</v>
      </c>
      <c r="K392" s="10" t="e">
        <f t="shared" ca="1" si="60"/>
        <v>#N/A</v>
      </c>
      <c r="L392" s="44" t="e">
        <f t="shared" ca="1" si="55"/>
        <v>#N/A</v>
      </c>
      <c r="M392" s="44" t="e">
        <f t="shared" ca="1" si="54"/>
        <v>#N/A</v>
      </c>
      <c r="N392" s="44" t="e">
        <f t="shared" ca="1" si="62"/>
        <v>#N/A</v>
      </c>
      <c r="O392" s="53" t="e">
        <f t="shared" ca="1" si="56"/>
        <v>#N/A</v>
      </c>
      <c r="P392" s="53" t="str">
        <f ca="1">IFERROR(DayByDayTable[[#This Row],[Lead Time]],"")</f>
        <v/>
      </c>
      <c r="Q392" s="44" t="e">
        <f t="shared" ca="1" si="57"/>
        <v>#N/A</v>
      </c>
      <c r="R392" s="44">
        <f ca="1">ROUND(PERCENTILE(DayByDayTable[[#Data],[BlankLeadTime]],0.8),0)</f>
        <v>8</v>
      </c>
    </row>
    <row r="393" spans="1:18">
      <c r="A393" s="51">
        <f t="shared" si="58"/>
        <v>42971</v>
      </c>
      <c r="B393" s="11">
        <f t="shared" si="61"/>
        <v>42971</v>
      </c>
      <c r="C393" s="47">
        <f>SUMIFS('On The Board'!$M$5:$M$219,'On The Board'!F$5:F$219,"&lt;="&amp;$B393,'On The Board'!E$5:E$219,"="&amp;FutureWork)</f>
        <v>43</v>
      </c>
      <c r="D393" s="12">
        <f ca="1">IF(TodaysDate&gt;=B393,SUMIF('On The Board'!F$5:F$219,"&lt;="&amp;$B393,'On The Board'!$M$5:$M$219)-SUM(E393:I393),D392)</f>
        <v>47</v>
      </c>
      <c r="E393" s="12">
        <f>SUMIF('On The Board'!G$5:G$219,"&lt;="&amp;$B393,'On The Board'!$M$5:$M$219)-SUM(F393:I393)</f>
        <v>0</v>
      </c>
      <c r="F393" s="12">
        <f>SUMIF('On The Board'!H$5:H$219,"&lt;="&amp;$B393,'On The Board'!$M$5:$M$219)-SUM(G393:I393)</f>
        <v>5</v>
      </c>
      <c r="G393" s="12">
        <f>SUMIF('On The Board'!I$5:I$219,"&lt;="&amp;$B393,'On The Board'!$M$5:$M$219)-SUM(H393,I393)</f>
        <v>2</v>
      </c>
      <c r="H393" s="12">
        <f>SUMIF('On The Board'!J$5:J$219,"&lt;="&amp;$B393,'On The Board'!$M$5:$M$219)-SUM(I393)</f>
        <v>0</v>
      </c>
      <c r="I393" s="12">
        <f>SUMIF('On The Board'!K$5:K$219,"&lt;="&amp;$B393,'On The Board'!$M$5:$M$219)</f>
        <v>70</v>
      </c>
      <c r="J393" s="10">
        <f t="shared" si="59"/>
        <v>77</v>
      </c>
      <c r="K393" s="10" t="e">
        <f t="shared" ca="1" si="60"/>
        <v>#N/A</v>
      </c>
      <c r="L393" s="44" t="e">
        <f t="shared" ca="1" si="55"/>
        <v>#N/A</v>
      </c>
      <c r="M393" s="44" t="e">
        <f t="shared" ca="1" si="54"/>
        <v>#N/A</v>
      </c>
      <c r="N393" s="44" t="e">
        <f t="shared" ca="1" si="62"/>
        <v>#N/A</v>
      </c>
      <c r="O393" s="53" t="e">
        <f t="shared" ca="1" si="56"/>
        <v>#N/A</v>
      </c>
      <c r="P393" s="53" t="str">
        <f ca="1">IFERROR(DayByDayTable[[#This Row],[Lead Time]],"")</f>
        <v/>
      </c>
      <c r="Q393" s="44" t="e">
        <f t="shared" ca="1" si="57"/>
        <v>#N/A</v>
      </c>
      <c r="R393" s="44">
        <f ca="1">ROUND(PERCENTILE(DayByDayTable[[#Data],[BlankLeadTime]],0.8),0)</f>
        <v>8</v>
      </c>
    </row>
    <row r="394" spans="1:18">
      <c r="A394" s="51">
        <f t="shared" si="58"/>
        <v>42972</v>
      </c>
      <c r="B394" s="11">
        <f t="shared" si="61"/>
        <v>42972</v>
      </c>
      <c r="C394" s="47">
        <f>SUMIFS('On The Board'!$M$5:$M$219,'On The Board'!F$5:F$219,"&lt;="&amp;$B394,'On The Board'!E$5:E$219,"="&amp;FutureWork)</f>
        <v>43</v>
      </c>
      <c r="D394" s="12">
        <f ca="1">IF(TodaysDate&gt;=B394,SUMIF('On The Board'!F$5:F$219,"&lt;="&amp;$B394,'On The Board'!$M$5:$M$219)-SUM(E394:I394),D393)</f>
        <v>47</v>
      </c>
      <c r="E394" s="12">
        <f>SUMIF('On The Board'!G$5:G$219,"&lt;="&amp;$B394,'On The Board'!$M$5:$M$219)-SUM(F394:I394)</f>
        <v>0</v>
      </c>
      <c r="F394" s="12">
        <f>SUMIF('On The Board'!H$5:H$219,"&lt;="&amp;$B394,'On The Board'!$M$5:$M$219)-SUM(G394:I394)</f>
        <v>5</v>
      </c>
      <c r="G394" s="12">
        <f>SUMIF('On The Board'!I$5:I$219,"&lt;="&amp;$B394,'On The Board'!$M$5:$M$219)-SUM(H394,I394)</f>
        <v>2</v>
      </c>
      <c r="H394" s="12">
        <f>SUMIF('On The Board'!J$5:J$219,"&lt;="&amp;$B394,'On The Board'!$M$5:$M$219)-SUM(I394)</f>
        <v>0</v>
      </c>
      <c r="I394" s="12">
        <f>SUMIF('On The Board'!K$5:K$219,"&lt;="&amp;$B394,'On The Board'!$M$5:$M$219)</f>
        <v>70</v>
      </c>
      <c r="J394" s="10">
        <f t="shared" si="59"/>
        <v>77</v>
      </c>
      <c r="K394" s="10" t="e">
        <f t="shared" ca="1" si="60"/>
        <v>#N/A</v>
      </c>
      <c r="L394" s="44" t="e">
        <f t="shared" ca="1" si="55"/>
        <v>#N/A</v>
      </c>
      <c r="M394" s="44" t="e">
        <f t="shared" ca="1" si="54"/>
        <v>#N/A</v>
      </c>
      <c r="N394" s="44" t="e">
        <f t="shared" ca="1" si="62"/>
        <v>#N/A</v>
      </c>
      <c r="O394" s="53" t="e">
        <f t="shared" ca="1" si="56"/>
        <v>#N/A</v>
      </c>
      <c r="P394" s="53" t="str">
        <f ca="1">IFERROR(DayByDayTable[[#This Row],[Lead Time]],"")</f>
        <v/>
      </c>
      <c r="Q394" s="44" t="e">
        <f t="shared" ca="1" si="57"/>
        <v>#N/A</v>
      </c>
      <c r="R394" s="44">
        <f ca="1">ROUND(PERCENTILE(DayByDayTable[[#Data],[BlankLeadTime]],0.8),0)</f>
        <v>8</v>
      </c>
    </row>
    <row r="395" spans="1:18">
      <c r="A395" s="51">
        <f t="shared" si="58"/>
        <v>42976</v>
      </c>
      <c r="B395" s="11">
        <f t="shared" si="61"/>
        <v>42976</v>
      </c>
      <c r="C395" s="47">
        <f>SUMIFS('On The Board'!$M$5:$M$219,'On The Board'!F$5:F$219,"&lt;="&amp;$B395,'On The Board'!E$5:E$219,"="&amp;FutureWork)</f>
        <v>43</v>
      </c>
      <c r="D395" s="12">
        <f ca="1">IF(TodaysDate&gt;=B395,SUMIF('On The Board'!F$5:F$219,"&lt;="&amp;$B395,'On The Board'!$M$5:$M$219)-SUM(E395:I395),D394)</f>
        <v>47</v>
      </c>
      <c r="E395" s="12">
        <f>SUMIF('On The Board'!G$5:G$219,"&lt;="&amp;$B395,'On The Board'!$M$5:$M$219)-SUM(F395:I395)</f>
        <v>0</v>
      </c>
      <c r="F395" s="12">
        <f>SUMIF('On The Board'!H$5:H$219,"&lt;="&amp;$B395,'On The Board'!$M$5:$M$219)-SUM(G395:I395)</f>
        <v>5</v>
      </c>
      <c r="G395" s="12">
        <f>SUMIF('On The Board'!I$5:I$219,"&lt;="&amp;$B395,'On The Board'!$M$5:$M$219)-SUM(H395,I395)</f>
        <v>2</v>
      </c>
      <c r="H395" s="12">
        <f>SUMIF('On The Board'!J$5:J$219,"&lt;="&amp;$B395,'On The Board'!$M$5:$M$219)-SUM(I395)</f>
        <v>0</v>
      </c>
      <c r="I395" s="12">
        <f>SUMIF('On The Board'!K$5:K$219,"&lt;="&amp;$B395,'On The Board'!$M$5:$M$219)</f>
        <v>70</v>
      </c>
      <c r="J395" s="10">
        <f t="shared" si="59"/>
        <v>77</v>
      </c>
      <c r="K395" s="10" t="e">
        <f t="shared" ca="1" si="60"/>
        <v>#N/A</v>
      </c>
      <c r="L395" s="44" t="e">
        <f t="shared" ca="1" si="55"/>
        <v>#N/A</v>
      </c>
      <c r="M395" s="44" t="e">
        <f t="shared" ca="1" si="54"/>
        <v>#N/A</v>
      </c>
      <c r="N395" s="44" t="e">
        <f t="shared" ca="1" si="62"/>
        <v>#N/A</v>
      </c>
      <c r="O395" s="53" t="e">
        <f t="shared" ca="1" si="56"/>
        <v>#N/A</v>
      </c>
      <c r="P395" s="53" t="str">
        <f ca="1">IFERROR(DayByDayTable[[#This Row],[Lead Time]],"")</f>
        <v/>
      </c>
      <c r="Q395" s="44" t="e">
        <f t="shared" ca="1" si="57"/>
        <v>#N/A</v>
      </c>
      <c r="R395" s="44">
        <f ca="1">ROUND(PERCENTILE(DayByDayTable[[#Data],[BlankLeadTime]],0.8),0)</f>
        <v>8</v>
      </c>
    </row>
    <row r="396" spans="1:18">
      <c r="A396" s="51">
        <f t="shared" si="58"/>
        <v>42977</v>
      </c>
      <c r="B396" s="11">
        <f t="shared" si="61"/>
        <v>42977</v>
      </c>
      <c r="C396" s="47">
        <f>SUMIFS('On The Board'!$M$5:$M$219,'On The Board'!F$5:F$219,"&lt;="&amp;$B396,'On The Board'!E$5:E$219,"="&amp;FutureWork)</f>
        <v>43</v>
      </c>
      <c r="D396" s="12">
        <f ca="1">IF(TodaysDate&gt;=B396,SUMIF('On The Board'!F$5:F$219,"&lt;="&amp;$B396,'On The Board'!$M$5:$M$219)-SUM(E396:I396),D395)</f>
        <v>47</v>
      </c>
      <c r="E396" s="12">
        <f>SUMIF('On The Board'!G$5:G$219,"&lt;="&amp;$B396,'On The Board'!$M$5:$M$219)-SUM(F396:I396)</f>
        <v>0</v>
      </c>
      <c r="F396" s="12">
        <f>SUMIF('On The Board'!H$5:H$219,"&lt;="&amp;$B396,'On The Board'!$M$5:$M$219)-SUM(G396:I396)</f>
        <v>5</v>
      </c>
      <c r="G396" s="12">
        <f>SUMIF('On The Board'!I$5:I$219,"&lt;="&amp;$B396,'On The Board'!$M$5:$M$219)-SUM(H396,I396)</f>
        <v>2</v>
      </c>
      <c r="H396" s="12">
        <f>SUMIF('On The Board'!J$5:J$219,"&lt;="&amp;$B396,'On The Board'!$M$5:$M$219)-SUM(I396)</f>
        <v>0</v>
      </c>
      <c r="I396" s="12">
        <f>SUMIF('On The Board'!K$5:K$219,"&lt;="&amp;$B396,'On The Board'!$M$5:$M$219)</f>
        <v>70</v>
      </c>
      <c r="J396" s="10">
        <f t="shared" si="59"/>
        <v>77</v>
      </c>
      <c r="K396" s="10" t="e">
        <f t="shared" ca="1" si="60"/>
        <v>#N/A</v>
      </c>
      <c r="L396" s="44" t="e">
        <f t="shared" ca="1" si="55"/>
        <v>#N/A</v>
      </c>
      <c r="M396" s="44" t="e">
        <f t="shared" ref="M396:M459" ca="1" si="63">IF(ISNUMBER(L396),(I396-I386)/NETWORKDAYS(B386,B396,BankHolidays),NA())</f>
        <v>#N/A</v>
      </c>
      <c r="N396" s="44" t="e">
        <f t="shared" ca="1" si="62"/>
        <v>#N/A</v>
      </c>
      <c r="O396" s="53" t="e">
        <f t="shared" ca="1" si="56"/>
        <v>#N/A</v>
      </c>
      <c r="P396" s="53" t="str">
        <f ca="1">IFERROR(DayByDayTable[[#This Row],[Lead Time]],"")</f>
        <v/>
      </c>
      <c r="Q396" s="44" t="e">
        <f t="shared" ca="1" si="57"/>
        <v>#N/A</v>
      </c>
      <c r="R396" s="44">
        <f ca="1">ROUND(PERCENTILE(DayByDayTable[[#Data],[BlankLeadTime]],0.8),0)</f>
        <v>8</v>
      </c>
    </row>
    <row r="397" spans="1:18">
      <c r="A397" s="51">
        <f t="shared" si="58"/>
        <v>42978</v>
      </c>
      <c r="B397" s="11">
        <f t="shared" si="61"/>
        <v>42978</v>
      </c>
      <c r="C397" s="47">
        <f>SUMIFS('On The Board'!$M$5:$M$219,'On The Board'!F$5:F$219,"&lt;="&amp;$B397,'On The Board'!E$5:E$219,"="&amp;FutureWork)</f>
        <v>43</v>
      </c>
      <c r="D397" s="12">
        <f ca="1">IF(TodaysDate&gt;=B397,SUMIF('On The Board'!F$5:F$219,"&lt;="&amp;$B397,'On The Board'!$M$5:$M$219)-SUM(E397:I397),D396)</f>
        <v>47</v>
      </c>
      <c r="E397" s="12">
        <f>SUMIF('On The Board'!G$5:G$219,"&lt;="&amp;$B397,'On The Board'!$M$5:$M$219)-SUM(F397:I397)</f>
        <v>0</v>
      </c>
      <c r="F397" s="12">
        <f>SUMIF('On The Board'!H$5:H$219,"&lt;="&amp;$B397,'On The Board'!$M$5:$M$219)-SUM(G397:I397)</f>
        <v>5</v>
      </c>
      <c r="G397" s="12">
        <f>SUMIF('On The Board'!I$5:I$219,"&lt;="&amp;$B397,'On The Board'!$M$5:$M$219)-SUM(H397,I397)</f>
        <v>2</v>
      </c>
      <c r="H397" s="12">
        <f>SUMIF('On The Board'!J$5:J$219,"&lt;="&amp;$B397,'On The Board'!$M$5:$M$219)-SUM(I397)</f>
        <v>0</v>
      </c>
      <c r="I397" s="12">
        <f>SUMIF('On The Board'!K$5:K$219,"&lt;="&amp;$B397,'On The Board'!$M$5:$M$219)</f>
        <v>70</v>
      </c>
      <c r="J397" s="10">
        <f t="shared" si="59"/>
        <v>77</v>
      </c>
      <c r="K397" s="10" t="e">
        <f t="shared" ca="1" si="60"/>
        <v>#N/A</v>
      </c>
      <c r="L397" s="44" t="e">
        <f t="shared" ref="L397:L460" ca="1" si="64">AVERAGE(K387:K397)</f>
        <v>#N/A</v>
      </c>
      <c r="M397" s="44" t="e">
        <f t="shared" ca="1" si="63"/>
        <v>#N/A</v>
      </c>
      <c r="N397" s="44" t="e">
        <f t="shared" ca="1" si="62"/>
        <v>#N/A</v>
      </c>
      <c r="O397" s="53" t="e">
        <f t="shared" ref="O397:O460" ca="1" si="65">AVERAGE(N387:N397)</f>
        <v>#N/A</v>
      </c>
      <c r="P397" s="53" t="str">
        <f ca="1">IFERROR(DayByDayTable[[#This Row],[Lead Time]],"")</f>
        <v/>
      </c>
      <c r="Q397" s="44" t="e">
        <f t="shared" ca="1" si="57"/>
        <v>#N/A</v>
      </c>
      <c r="R397" s="44">
        <f ca="1">ROUND(PERCENTILE(DayByDayTable[[#Data],[BlankLeadTime]],0.8),0)</f>
        <v>8</v>
      </c>
    </row>
    <row r="398" spans="1:18">
      <c r="A398" s="51">
        <f t="shared" si="58"/>
        <v>42979</v>
      </c>
      <c r="B398" s="11">
        <f t="shared" si="61"/>
        <v>42979</v>
      </c>
      <c r="C398" s="47">
        <f>SUMIFS('On The Board'!$M$5:$M$219,'On The Board'!F$5:F$219,"&lt;="&amp;$B398,'On The Board'!E$5:E$219,"="&amp;FutureWork)</f>
        <v>43</v>
      </c>
      <c r="D398" s="12">
        <f ca="1">IF(TodaysDate&gt;=B398,SUMIF('On The Board'!F$5:F$219,"&lt;="&amp;$B398,'On The Board'!$M$5:$M$219)-SUM(E398:I398),D397)</f>
        <v>47</v>
      </c>
      <c r="E398" s="12">
        <f>SUMIF('On The Board'!G$5:G$219,"&lt;="&amp;$B398,'On The Board'!$M$5:$M$219)-SUM(F398:I398)</f>
        <v>0</v>
      </c>
      <c r="F398" s="12">
        <f>SUMIF('On The Board'!H$5:H$219,"&lt;="&amp;$B398,'On The Board'!$M$5:$M$219)-SUM(G398:I398)</f>
        <v>5</v>
      </c>
      <c r="G398" s="12">
        <f>SUMIF('On The Board'!I$5:I$219,"&lt;="&amp;$B398,'On The Board'!$M$5:$M$219)-SUM(H398,I398)</f>
        <v>2</v>
      </c>
      <c r="H398" s="12">
        <f>SUMIF('On The Board'!J$5:J$219,"&lt;="&amp;$B398,'On The Board'!$M$5:$M$219)-SUM(I398)</f>
        <v>0</v>
      </c>
      <c r="I398" s="12">
        <f>SUMIF('On The Board'!K$5:K$219,"&lt;="&amp;$B398,'On The Board'!$M$5:$M$219)</f>
        <v>70</v>
      </c>
      <c r="J398" s="10">
        <f t="shared" si="59"/>
        <v>77</v>
      </c>
      <c r="K398" s="10" t="e">
        <f t="shared" ca="1" si="60"/>
        <v>#N/A</v>
      </c>
      <c r="L398" s="44" t="e">
        <f t="shared" ca="1" si="64"/>
        <v>#N/A</v>
      </c>
      <c r="M398" s="44" t="e">
        <f t="shared" ca="1" si="63"/>
        <v>#N/A</v>
      </c>
      <c r="N398" s="44" t="e">
        <f t="shared" ca="1" si="62"/>
        <v>#N/A</v>
      </c>
      <c r="O398" s="53" t="e">
        <f t="shared" ca="1" si="65"/>
        <v>#N/A</v>
      </c>
      <c r="P398" s="53" t="str">
        <f ca="1">IFERROR(DayByDayTable[[#This Row],[Lead Time]],"")</f>
        <v/>
      </c>
      <c r="Q398" s="44" t="e">
        <f t="shared" ca="1" si="57"/>
        <v>#N/A</v>
      </c>
      <c r="R398" s="44">
        <f ca="1">ROUND(PERCENTILE(DayByDayTable[[#Data],[BlankLeadTime]],0.8),0)</f>
        <v>8</v>
      </c>
    </row>
    <row r="399" spans="1:18">
      <c r="A399" s="51">
        <f t="shared" si="58"/>
        <v>42982</v>
      </c>
      <c r="B399" s="11">
        <f t="shared" si="61"/>
        <v>42982</v>
      </c>
      <c r="C399" s="47">
        <f>SUMIFS('On The Board'!$M$5:$M$219,'On The Board'!F$5:F$219,"&lt;="&amp;$B399,'On The Board'!E$5:E$219,"="&amp;FutureWork)</f>
        <v>43</v>
      </c>
      <c r="D399" s="12">
        <f ca="1">IF(TodaysDate&gt;=B399,SUMIF('On The Board'!F$5:F$219,"&lt;="&amp;$B399,'On The Board'!$M$5:$M$219)-SUM(E399:I399),D398)</f>
        <v>47</v>
      </c>
      <c r="E399" s="12">
        <f>SUMIF('On The Board'!G$5:G$219,"&lt;="&amp;$B399,'On The Board'!$M$5:$M$219)-SUM(F399:I399)</f>
        <v>0</v>
      </c>
      <c r="F399" s="12">
        <f>SUMIF('On The Board'!H$5:H$219,"&lt;="&amp;$B399,'On The Board'!$M$5:$M$219)-SUM(G399:I399)</f>
        <v>5</v>
      </c>
      <c r="G399" s="12">
        <f>SUMIF('On The Board'!I$5:I$219,"&lt;="&amp;$B399,'On The Board'!$M$5:$M$219)-SUM(H399,I399)</f>
        <v>2</v>
      </c>
      <c r="H399" s="12">
        <f>SUMIF('On The Board'!J$5:J$219,"&lt;="&amp;$B399,'On The Board'!$M$5:$M$219)-SUM(I399)</f>
        <v>0</v>
      </c>
      <c r="I399" s="12">
        <f>SUMIF('On The Board'!K$5:K$219,"&lt;="&amp;$B399,'On The Board'!$M$5:$M$219)</f>
        <v>70</v>
      </c>
      <c r="J399" s="10">
        <f t="shared" si="59"/>
        <v>77</v>
      </c>
      <c r="K399" s="10" t="e">
        <f t="shared" ca="1" si="60"/>
        <v>#N/A</v>
      </c>
      <c r="L399" s="44" t="e">
        <f t="shared" ca="1" si="64"/>
        <v>#N/A</v>
      </c>
      <c r="M399" s="44" t="e">
        <f t="shared" ca="1" si="63"/>
        <v>#N/A</v>
      </c>
      <c r="N399" s="44" t="e">
        <f t="shared" ca="1" si="62"/>
        <v>#N/A</v>
      </c>
      <c r="O399" s="53" t="e">
        <f t="shared" ca="1" si="65"/>
        <v>#N/A</v>
      </c>
      <c r="P399" s="53" t="str">
        <f ca="1">IFERROR(DayByDayTable[[#This Row],[Lead Time]],"")</f>
        <v/>
      </c>
      <c r="Q399" s="44" t="e">
        <f t="shared" ca="1" si="57"/>
        <v>#N/A</v>
      </c>
      <c r="R399" s="44">
        <f ca="1">ROUND(PERCENTILE(DayByDayTable[[#Data],[BlankLeadTime]],0.8),0)</f>
        <v>8</v>
      </c>
    </row>
    <row r="400" spans="1:18">
      <c r="A400" s="51">
        <f t="shared" si="58"/>
        <v>42983</v>
      </c>
      <c r="B400" s="11">
        <f t="shared" si="61"/>
        <v>42983</v>
      </c>
      <c r="C400" s="47">
        <f>SUMIFS('On The Board'!$M$5:$M$219,'On The Board'!F$5:F$219,"&lt;="&amp;$B400,'On The Board'!E$5:E$219,"="&amp;FutureWork)</f>
        <v>43</v>
      </c>
      <c r="D400" s="12">
        <f ca="1">IF(TodaysDate&gt;=B400,SUMIF('On The Board'!F$5:F$219,"&lt;="&amp;$B400,'On The Board'!$M$5:$M$219)-SUM(E400:I400),D399)</f>
        <v>47</v>
      </c>
      <c r="E400" s="12">
        <f>SUMIF('On The Board'!G$5:G$219,"&lt;="&amp;$B400,'On The Board'!$M$5:$M$219)-SUM(F400:I400)</f>
        <v>0</v>
      </c>
      <c r="F400" s="12">
        <f>SUMIF('On The Board'!H$5:H$219,"&lt;="&amp;$B400,'On The Board'!$M$5:$M$219)-SUM(G400:I400)</f>
        <v>5</v>
      </c>
      <c r="G400" s="12">
        <f>SUMIF('On The Board'!I$5:I$219,"&lt;="&amp;$B400,'On The Board'!$M$5:$M$219)-SUM(H400,I400)</f>
        <v>2</v>
      </c>
      <c r="H400" s="12">
        <f>SUMIF('On The Board'!J$5:J$219,"&lt;="&amp;$B400,'On The Board'!$M$5:$M$219)-SUM(I400)</f>
        <v>0</v>
      </c>
      <c r="I400" s="12">
        <f>SUMIF('On The Board'!K$5:K$219,"&lt;="&amp;$B400,'On The Board'!$M$5:$M$219)</f>
        <v>70</v>
      </c>
      <c r="J400" s="10">
        <f t="shared" si="59"/>
        <v>77</v>
      </c>
      <c r="K400" s="10" t="e">
        <f t="shared" ca="1" si="60"/>
        <v>#N/A</v>
      </c>
      <c r="L400" s="44" t="e">
        <f t="shared" ca="1" si="64"/>
        <v>#N/A</v>
      </c>
      <c r="M400" s="44" t="e">
        <f t="shared" ca="1" si="63"/>
        <v>#N/A</v>
      </c>
      <c r="N400" s="44" t="e">
        <f t="shared" ca="1" si="62"/>
        <v>#N/A</v>
      </c>
      <c r="O400" s="53" t="e">
        <f t="shared" ca="1" si="65"/>
        <v>#N/A</v>
      </c>
      <c r="P400" s="53" t="str">
        <f ca="1">IFERROR(DayByDayTable[[#This Row],[Lead Time]],"")</f>
        <v/>
      </c>
      <c r="Q400" s="44" t="e">
        <f t="shared" ref="Q400:Q463" ca="1" si="66">PERCENTILE(N389:N400,0.8)</f>
        <v>#N/A</v>
      </c>
      <c r="R400" s="44">
        <f ca="1">ROUND(PERCENTILE(DayByDayTable[[#Data],[BlankLeadTime]],0.8),0)</f>
        <v>8</v>
      </c>
    </row>
    <row r="401" spans="1:18">
      <c r="A401" s="51">
        <f t="shared" si="58"/>
        <v>42984</v>
      </c>
      <c r="B401" s="11">
        <f t="shared" si="61"/>
        <v>42984</v>
      </c>
      <c r="C401" s="47">
        <f>SUMIFS('On The Board'!$M$5:$M$219,'On The Board'!F$5:F$219,"&lt;="&amp;$B401,'On The Board'!E$5:E$219,"="&amp;FutureWork)</f>
        <v>43</v>
      </c>
      <c r="D401" s="12">
        <f ca="1">IF(TodaysDate&gt;=B401,SUMIF('On The Board'!F$5:F$219,"&lt;="&amp;$B401,'On The Board'!$M$5:$M$219)-SUM(E401:I401),D400)</f>
        <v>47</v>
      </c>
      <c r="E401" s="12">
        <f>SUMIF('On The Board'!G$5:G$219,"&lt;="&amp;$B401,'On The Board'!$M$5:$M$219)-SUM(F401:I401)</f>
        <v>0</v>
      </c>
      <c r="F401" s="12">
        <f>SUMIF('On The Board'!H$5:H$219,"&lt;="&amp;$B401,'On The Board'!$M$5:$M$219)-SUM(G401:I401)</f>
        <v>5</v>
      </c>
      <c r="G401" s="12">
        <f>SUMIF('On The Board'!I$5:I$219,"&lt;="&amp;$B401,'On The Board'!$M$5:$M$219)-SUM(H401,I401)</f>
        <v>2</v>
      </c>
      <c r="H401" s="12">
        <f>SUMIF('On The Board'!J$5:J$219,"&lt;="&amp;$B401,'On The Board'!$M$5:$M$219)-SUM(I401)</f>
        <v>0</v>
      </c>
      <c r="I401" s="12">
        <f>SUMIF('On The Board'!K$5:K$219,"&lt;="&amp;$B401,'On The Board'!$M$5:$M$219)</f>
        <v>70</v>
      </c>
      <c r="J401" s="10">
        <f t="shared" si="59"/>
        <v>77</v>
      </c>
      <c r="K401" s="10" t="e">
        <f t="shared" ca="1" si="60"/>
        <v>#N/A</v>
      </c>
      <c r="L401" s="44" t="e">
        <f t="shared" ca="1" si="64"/>
        <v>#N/A</v>
      </c>
      <c r="M401" s="44" t="e">
        <f t="shared" ca="1" si="63"/>
        <v>#N/A</v>
      </c>
      <c r="N401" s="44" t="e">
        <f t="shared" ca="1" si="62"/>
        <v>#N/A</v>
      </c>
      <c r="O401" s="53" t="e">
        <f t="shared" ca="1" si="65"/>
        <v>#N/A</v>
      </c>
      <c r="P401" s="53" t="str">
        <f ca="1">IFERROR(DayByDayTable[[#This Row],[Lead Time]],"")</f>
        <v/>
      </c>
      <c r="Q401" s="44" t="e">
        <f t="shared" ca="1" si="66"/>
        <v>#N/A</v>
      </c>
      <c r="R401" s="44">
        <f ca="1">ROUND(PERCENTILE(DayByDayTable[[#Data],[BlankLeadTime]],0.8),0)</f>
        <v>8</v>
      </c>
    </row>
    <row r="402" spans="1:18">
      <c r="A402" s="51">
        <f t="shared" si="58"/>
        <v>42985</v>
      </c>
      <c r="B402" s="11">
        <f t="shared" si="61"/>
        <v>42985</v>
      </c>
      <c r="C402" s="47">
        <f>SUMIFS('On The Board'!$M$5:$M$219,'On The Board'!F$5:F$219,"&lt;="&amp;$B402,'On The Board'!E$5:E$219,"="&amp;FutureWork)</f>
        <v>43</v>
      </c>
      <c r="D402" s="12">
        <f ca="1">IF(TodaysDate&gt;=B402,SUMIF('On The Board'!F$5:F$219,"&lt;="&amp;$B402,'On The Board'!$M$5:$M$219)-SUM(E402:I402),D401)</f>
        <v>47</v>
      </c>
      <c r="E402" s="12">
        <f>SUMIF('On The Board'!G$5:G$219,"&lt;="&amp;$B402,'On The Board'!$M$5:$M$219)-SUM(F402:I402)</f>
        <v>0</v>
      </c>
      <c r="F402" s="12">
        <f>SUMIF('On The Board'!H$5:H$219,"&lt;="&amp;$B402,'On The Board'!$M$5:$M$219)-SUM(G402:I402)</f>
        <v>5</v>
      </c>
      <c r="G402" s="12">
        <f>SUMIF('On The Board'!I$5:I$219,"&lt;="&amp;$B402,'On The Board'!$M$5:$M$219)-SUM(H402,I402)</f>
        <v>2</v>
      </c>
      <c r="H402" s="12">
        <f>SUMIF('On The Board'!J$5:J$219,"&lt;="&amp;$B402,'On The Board'!$M$5:$M$219)-SUM(I402)</f>
        <v>0</v>
      </c>
      <c r="I402" s="12">
        <f>SUMIF('On The Board'!K$5:K$219,"&lt;="&amp;$B402,'On The Board'!$M$5:$M$219)</f>
        <v>70</v>
      </c>
      <c r="J402" s="10">
        <f t="shared" si="59"/>
        <v>77</v>
      </c>
      <c r="K402" s="10" t="e">
        <f t="shared" ca="1" si="60"/>
        <v>#N/A</v>
      </c>
      <c r="L402" s="44" t="e">
        <f t="shared" ca="1" si="64"/>
        <v>#N/A</v>
      </c>
      <c r="M402" s="44" t="e">
        <f t="shared" ca="1" si="63"/>
        <v>#N/A</v>
      </c>
      <c r="N402" s="44" t="e">
        <f t="shared" ca="1" si="62"/>
        <v>#N/A</v>
      </c>
      <c r="O402" s="53" t="e">
        <f t="shared" ca="1" si="65"/>
        <v>#N/A</v>
      </c>
      <c r="P402" s="53" t="str">
        <f ca="1">IFERROR(DayByDayTable[[#This Row],[Lead Time]],"")</f>
        <v/>
      </c>
      <c r="Q402" s="44" t="e">
        <f t="shared" ca="1" si="66"/>
        <v>#N/A</v>
      </c>
      <c r="R402" s="44">
        <f ca="1">ROUND(PERCENTILE(DayByDayTable[[#Data],[BlankLeadTime]],0.8),0)</f>
        <v>8</v>
      </c>
    </row>
    <row r="403" spans="1:18">
      <c r="A403" s="51">
        <f t="shared" si="58"/>
        <v>42986</v>
      </c>
      <c r="B403" s="11">
        <f t="shared" si="61"/>
        <v>42986</v>
      </c>
      <c r="C403" s="47">
        <f>SUMIFS('On The Board'!$M$5:$M$219,'On The Board'!F$5:F$219,"&lt;="&amp;$B403,'On The Board'!E$5:E$219,"="&amp;FutureWork)</f>
        <v>43</v>
      </c>
      <c r="D403" s="12">
        <f ca="1">IF(TodaysDate&gt;=B403,SUMIF('On The Board'!F$5:F$219,"&lt;="&amp;$B403,'On The Board'!$M$5:$M$219)-SUM(E403:I403),D402)</f>
        <v>47</v>
      </c>
      <c r="E403" s="12">
        <f>SUMIF('On The Board'!G$5:G$219,"&lt;="&amp;$B403,'On The Board'!$M$5:$M$219)-SUM(F403:I403)</f>
        <v>0</v>
      </c>
      <c r="F403" s="12">
        <f>SUMIF('On The Board'!H$5:H$219,"&lt;="&amp;$B403,'On The Board'!$M$5:$M$219)-SUM(G403:I403)</f>
        <v>5</v>
      </c>
      <c r="G403" s="12">
        <f>SUMIF('On The Board'!I$5:I$219,"&lt;="&amp;$B403,'On The Board'!$M$5:$M$219)-SUM(H403,I403)</f>
        <v>2</v>
      </c>
      <c r="H403" s="12">
        <f>SUMIF('On The Board'!J$5:J$219,"&lt;="&amp;$B403,'On The Board'!$M$5:$M$219)-SUM(I403)</f>
        <v>0</v>
      </c>
      <c r="I403" s="12">
        <f>SUMIF('On The Board'!K$5:K$219,"&lt;="&amp;$B403,'On The Board'!$M$5:$M$219)</f>
        <v>70</v>
      </c>
      <c r="J403" s="10">
        <f t="shared" si="59"/>
        <v>77</v>
      </c>
      <c r="K403" s="10" t="e">
        <f t="shared" ca="1" si="60"/>
        <v>#N/A</v>
      </c>
      <c r="L403" s="44" t="e">
        <f t="shared" ca="1" si="64"/>
        <v>#N/A</v>
      </c>
      <c r="M403" s="44" t="e">
        <f t="shared" ca="1" si="63"/>
        <v>#N/A</v>
      </c>
      <c r="N403" s="44" t="e">
        <f t="shared" ca="1" si="62"/>
        <v>#N/A</v>
      </c>
      <c r="O403" s="53" t="e">
        <f t="shared" ca="1" si="65"/>
        <v>#N/A</v>
      </c>
      <c r="P403" s="53" t="str">
        <f ca="1">IFERROR(DayByDayTable[[#This Row],[Lead Time]],"")</f>
        <v/>
      </c>
      <c r="Q403" s="44" t="e">
        <f t="shared" ca="1" si="66"/>
        <v>#N/A</v>
      </c>
      <c r="R403" s="44">
        <f ca="1">ROUND(PERCENTILE(DayByDayTable[[#Data],[BlankLeadTime]],0.8),0)</f>
        <v>8</v>
      </c>
    </row>
    <row r="404" spans="1:18">
      <c r="A404" s="51">
        <f t="shared" si="58"/>
        <v>42989</v>
      </c>
      <c r="B404" s="11">
        <f t="shared" si="61"/>
        <v>42989</v>
      </c>
      <c r="C404" s="47">
        <f>SUMIFS('On The Board'!$M$5:$M$219,'On The Board'!F$5:F$219,"&lt;="&amp;$B404,'On The Board'!E$5:E$219,"="&amp;FutureWork)</f>
        <v>43</v>
      </c>
      <c r="D404" s="12">
        <f ca="1">IF(TodaysDate&gt;=B404,SUMIF('On The Board'!F$5:F$219,"&lt;="&amp;$B404,'On The Board'!$M$5:$M$219)-SUM(E404:I404),D403)</f>
        <v>47</v>
      </c>
      <c r="E404" s="12">
        <f>SUMIF('On The Board'!G$5:G$219,"&lt;="&amp;$B404,'On The Board'!$M$5:$M$219)-SUM(F404:I404)</f>
        <v>0</v>
      </c>
      <c r="F404" s="12">
        <f>SUMIF('On The Board'!H$5:H$219,"&lt;="&amp;$B404,'On The Board'!$M$5:$M$219)-SUM(G404:I404)</f>
        <v>5</v>
      </c>
      <c r="G404" s="12">
        <f>SUMIF('On The Board'!I$5:I$219,"&lt;="&amp;$B404,'On The Board'!$M$5:$M$219)-SUM(H404,I404)</f>
        <v>2</v>
      </c>
      <c r="H404" s="12">
        <f>SUMIF('On The Board'!J$5:J$219,"&lt;="&amp;$B404,'On The Board'!$M$5:$M$219)-SUM(I404)</f>
        <v>0</v>
      </c>
      <c r="I404" s="12">
        <f>SUMIF('On The Board'!K$5:K$219,"&lt;="&amp;$B404,'On The Board'!$M$5:$M$219)</f>
        <v>70</v>
      </c>
      <c r="J404" s="10">
        <f t="shared" si="59"/>
        <v>77</v>
      </c>
      <c r="K404" s="10" t="e">
        <f t="shared" ca="1" si="60"/>
        <v>#N/A</v>
      </c>
      <c r="L404" s="44" t="e">
        <f t="shared" ca="1" si="64"/>
        <v>#N/A</v>
      </c>
      <c r="M404" s="44" t="e">
        <f t="shared" ca="1" si="63"/>
        <v>#N/A</v>
      </c>
      <c r="N404" s="44" t="e">
        <f t="shared" ca="1" si="62"/>
        <v>#N/A</v>
      </c>
      <c r="O404" s="53" t="e">
        <f t="shared" ca="1" si="65"/>
        <v>#N/A</v>
      </c>
      <c r="P404" s="53" t="str">
        <f ca="1">IFERROR(DayByDayTable[[#This Row],[Lead Time]],"")</f>
        <v/>
      </c>
      <c r="Q404" s="44" t="e">
        <f t="shared" ca="1" si="66"/>
        <v>#N/A</v>
      </c>
      <c r="R404" s="44">
        <f ca="1">ROUND(PERCENTILE(DayByDayTable[[#Data],[BlankLeadTime]],0.8),0)</f>
        <v>8</v>
      </c>
    </row>
    <row r="405" spans="1:18">
      <c r="A405" s="51">
        <f t="shared" si="58"/>
        <v>42990</v>
      </c>
      <c r="B405" s="11">
        <f t="shared" si="61"/>
        <v>42990</v>
      </c>
      <c r="C405" s="47">
        <f>SUMIFS('On The Board'!$M$5:$M$219,'On The Board'!F$5:F$219,"&lt;="&amp;$B405,'On The Board'!E$5:E$219,"="&amp;FutureWork)</f>
        <v>43</v>
      </c>
      <c r="D405" s="12">
        <f ca="1">IF(TodaysDate&gt;=B405,SUMIF('On The Board'!F$5:F$219,"&lt;="&amp;$B405,'On The Board'!$M$5:$M$219)-SUM(E405:I405),D404)</f>
        <v>47</v>
      </c>
      <c r="E405" s="12">
        <f>SUMIF('On The Board'!G$5:G$219,"&lt;="&amp;$B405,'On The Board'!$M$5:$M$219)-SUM(F405:I405)</f>
        <v>0</v>
      </c>
      <c r="F405" s="12">
        <f>SUMIF('On The Board'!H$5:H$219,"&lt;="&amp;$B405,'On The Board'!$M$5:$M$219)-SUM(G405:I405)</f>
        <v>5</v>
      </c>
      <c r="G405" s="12">
        <f>SUMIF('On The Board'!I$5:I$219,"&lt;="&amp;$B405,'On The Board'!$M$5:$M$219)-SUM(H405,I405)</f>
        <v>2</v>
      </c>
      <c r="H405" s="12">
        <f>SUMIF('On The Board'!J$5:J$219,"&lt;="&amp;$B405,'On The Board'!$M$5:$M$219)-SUM(I405)</f>
        <v>0</v>
      </c>
      <c r="I405" s="12">
        <f>SUMIF('On The Board'!K$5:K$219,"&lt;="&amp;$B405,'On The Board'!$M$5:$M$219)</f>
        <v>70</v>
      </c>
      <c r="J405" s="10">
        <f t="shared" si="59"/>
        <v>77</v>
      </c>
      <c r="K405" s="10" t="e">
        <f t="shared" ca="1" si="60"/>
        <v>#N/A</v>
      </c>
      <c r="L405" s="44" t="e">
        <f t="shared" ca="1" si="64"/>
        <v>#N/A</v>
      </c>
      <c r="M405" s="44" t="e">
        <f t="shared" ca="1" si="63"/>
        <v>#N/A</v>
      </c>
      <c r="N405" s="44" t="e">
        <f t="shared" ca="1" si="62"/>
        <v>#N/A</v>
      </c>
      <c r="O405" s="53" t="e">
        <f t="shared" ca="1" si="65"/>
        <v>#N/A</v>
      </c>
      <c r="P405" s="53" t="str">
        <f ca="1">IFERROR(DayByDayTable[[#This Row],[Lead Time]],"")</f>
        <v/>
      </c>
      <c r="Q405" s="44" t="e">
        <f t="shared" ca="1" si="66"/>
        <v>#N/A</v>
      </c>
      <c r="R405" s="44">
        <f ca="1">ROUND(PERCENTILE(DayByDayTable[[#Data],[BlankLeadTime]],0.8),0)</f>
        <v>8</v>
      </c>
    </row>
    <row r="406" spans="1:18">
      <c r="A406" s="51">
        <f t="shared" si="58"/>
        <v>42991</v>
      </c>
      <c r="B406" s="11">
        <f t="shared" si="61"/>
        <v>42991</v>
      </c>
      <c r="C406" s="47">
        <f>SUMIFS('On The Board'!$M$5:$M$219,'On The Board'!F$5:F$219,"&lt;="&amp;$B406,'On The Board'!E$5:E$219,"="&amp;FutureWork)</f>
        <v>43</v>
      </c>
      <c r="D406" s="12">
        <f ca="1">IF(TodaysDate&gt;=B406,SUMIF('On The Board'!F$5:F$219,"&lt;="&amp;$B406,'On The Board'!$M$5:$M$219)-SUM(E406:I406),D405)</f>
        <v>47</v>
      </c>
      <c r="E406" s="12">
        <f>SUMIF('On The Board'!G$5:G$219,"&lt;="&amp;$B406,'On The Board'!$M$5:$M$219)-SUM(F406:I406)</f>
        <v>0</v>
      </c>
      <c r="F406" s="12">
        <f>SUMIF('On The Board'!H$5:H$219,"&lt;="&amp;$B406,'On The Board'!$M$5:$M$219)-SUM(G406:I406)</f>
        <v>5</v>
      </c>
      <c r="G406" s="12">
        <f>SUMIF('On The Board'!I$5:I$219,"&lt;="&amp;$B406,'On The Board'!$M$5:$M$219)-SUM(H406,I406)</f>
        <v>2</v>
      </c>
      <c r="H406" s="12">
        <f>SUMIF('On The Board'!J$5:J$219,"&lt;="&amp;$B406,'On The Board'!$M$5:$M$219)-SUM(I406)</f>
        <v>0</v>
      </c>
      <c r="I406" s="12">
        <f>SUMIF('On The Board'!K$5:K$219,"&lt;="&amp;$B406,'On The Board'!$M$5:$M$219)</f>
        <v>70</v>
      </c>
      <c r="J406" s="10">
        <f t="shared" si="59"/>
        <v>77</v>
      </c>
      <c r="K406" s="10" t="e">
        <f t="shared" ca="1" si="60"/>
        <v>#N/A</v>
      </c>
      <c r="L406" s="44" t="e">
        <f t="shared" ca="1" si="64"/>
        <v>#N/A</v>
      </c>
      <c r="M406" s="44" t="e">
        <f t="shared" ca="1" si="63"/>
        <v>#N/A</v>
      </c>
      <c r="N406" s="44" t="e">
        <f t="shared" ca="1" si="62"/>
        <v>#N/A</v>
      </c>
      <c r="O406" s="53" t="e">
        <f t="shared" ca="1" si="65"/>
        <v>#N/A</v>
      </c>
      <c r="P406" s="53" t="str">
        <f ca="1">IFERROR(DayByDayTable[[#This Row],[Lead Time]],"")</f>
        <v/>
      </c>
      <c r="Q406" s="44" t="e">
        <f t="shared" ca="1" si="66"/>
        <v>#N/A</v>
      </c>
      <c r="R406" s="44">
        <f ca="1">ROUND(PERCENTILE(DayByDayTable[[#Data],[BlankLeadTime]],0.8),0)</f>
        <v>8</v>
      </c>
    </row>
    <row r="407" spans="1:18">
      <c r="A407" s="51">
        <f t="shared" si="58"/>
        <v>42992</v>
      </c>
      <c r="B407" s="11">
        <f t="shared" si="61"/>
        <v>42992</v>
      </c>
      <c r="C407" s="47">
        <f>SUMIFS('On The Board'!$M$5:$M$219,'On The Board'!F$5:F$219,"&lt;="&amp;$B407,'On The Board'!E$5:E$219,"="&amp;FutureWork)</f>
        <v>43</v>
      </c>
      <c r="D407" s="12">
        <f ca="1">IF(TodaysDate&gt;=B407,SUMIF('On The Board'!F$5:F$219,"&lt;="&amp;$B407,'On The Board'!$M$5:$M$219)-SUM(E407:I407),D406)</f>
        <v>47</v>
      </c>
      <c r="E407" s="12">
        <f>SUMIF('On The Board'!G$5:G$219,"&lt;="&amp;$B407,'On The Board'!$M$5:$M$219)-SUM(F407:I407)</f>
        <v>0</v>
      </c>
      <c r="F407" s="12">
        <f>SUMIF('On The Board'!H$5:H$219,"&lt;="&amp;$B407,'On The Board'!$M$5:$M$219)-SUM(G407:I407)</f>
        <v>5</v>
      </c>
      <c r="G407" s="12">
        <f>SUMIF('On The Board'!I$5:I$219,"&lt;="&amp;$B407,'On The Board'!$M$5:$M$219)-SUM(H407,I407)</f>
        <v>2</v>
      </c>
      <c r="H407" s="12">
        <f>SUMIF('On The Board'!J$5:J$219,"&lt;="&amp;$B407,'On The Board'!$M$5:$M$219)-SUM(I407)</f>
        <v>0</v>
      </c>
      <c r="I407" s="12">
        <f>SUMIF('On The Board'!K$5:K$219,"&lt;="&amp;$B407,'On The Board'!$M$5:$M$219)</f>
        <v>70</v>
      </c>
      <c r="J407" s="10">
        <f t="shared" si="59"/>
        <v>77</v>
      </c>
      <c r="K407" s="10" t="e">
        <f t="shared" ca="1" si="60"/>
        <v>#N/A</v>
      </c>
      <c r="L407" s="44" t="e">
        <f t="shared" ca="1" si="64"/>
        <v>#N/A</v>
      </c>
      <c r="M407" s="44" t="e">
        <f t="shared" ca="1" si="63"/>
        <v>#N/A</v>
      </c>
      <c r="N407" s="44" t="e">
        <f t="shared" ca="1" si="62"/>
        <v>#N/A</v>
      </c>
      <c r="O407" s="53" t="e">
        <f t="shared" ca="1" si="65"/>
        <v>#N/A</v>
      </c>
      <c r="P407" s="53" t="str">
        <f ca="1">IFERROR(DayByDayTable[[#This Row],[Lead Time]],"")</f>
        <v/>
      </c>
      <c r="Q407" s="44" t="e">
        <f t="shared" ca="1" si="66"/>
        <v>#N/A</v>
      </c>
      <c r="R407" s="44">
        <f ca="1">ROUND(PERCENTILE(DayByDayTable[[#Data],[BlankLeadTime]],0.8),0)</f>
        <v>8</v>
      </c>
    </row>
    <row r="408" spans="1:18">
      <c r="A408" s="51">
        <f t="shared" si="58"/>
        <v>42993</v>
      </c>
      <c r="B408" s="11">
        <f t="shared" si="61"/>
        <v>42993</v>
      </c>
      <c r="C408" s="47">
        <f>SUMIFS('On The Board'!$M$5:$M$219,'On The Board'!F$5:F$219,"&lt;="&amp;$B408,'On The Board'!E$5:E$219,"="&amp;FutureWork)</f>
        <v>43</v>
      </c>
      <c r="D408" s="12">
        <f ca="1">IF(TodaysDate&gt;=B408,SUMIF('On The Board'!F$5:F$219,"&lt;="&amp;$B408,'On The Board'!$M$5:$M$219)-SUM(E408:I408),D407)</f>
        <v>47</v>
      </c>
      <c r="E408" s="12">
        <f>SUMIF('On The Board'!G$5:G$219,"&lt;="&amp;$B408,'On The Board'!$M$5:$M$219)-SUM(F408:I408)</f>
        <v>0</v>
      </c>
      <c r="F408" s="12">
        <f>SUMIF('On The Board'!H$5:H$219,"&lt;="&amp;$B408,'On The Board'!$M$5:$M$219)-SUM(G408:I408)</f>
        <v>5</v>
      </c>
      <c r="G408" s="12">
        <f>SUMIF('On The Board'!I$5:I$219,"&lt;="&amp;$B408,'On The Board'!$M$5:$M$219)-SUM(H408,I408)</f>
        <v>2</v>
      </c>
      <c r="H408" s="12">
        <f>SUMIF('On The Board'!J$5:J$219,"&lt;="&amp;$B408,'On The Board'!$M$5:$M$219)-SUM(I408)</f>
        <v>0</v>
      </c>
      <c r="I408" s="12">
        <f>SUMIF('On The Board'!K$5:K$219,"&lt;="&amp;$B408,'On The Board'!$M$5:$M$219)</f>
        <v>70</v>
      </c>
      <c r="J408" s="10">
        <f t="shared" si="59"/>
        <v>77</v>
      </c>
      <c r="K408" s="10" t="e">
        <f t="shared" ca="1" si="60"/>
        <v>#N/A</v>
      </c>
      <c r="L408" s="44" t="e">
        <f t="shared" ca="1" si="64"/>
        <v>#N/A</v>
      </c>
      <c r="M408" s="44" t="e">
        <f t="shared" ca="1" si="63"/>
        <v>#N/A</v>
      </c>
      <c r="N408" s="44" t="e">
        <f t="shared" ca="1" si="62"/>
        <v>#N/A</v>
      </c>
      <c r="O408" s="53" t="e">
        <f t="shared" ca="1" si="65"/>
        <v>#N/A</v>
      </c>
      <c r="P408" s="53" t="str">
        <f ca="1">IFERROR(DayByDayTable[[#This Row],[Lead Time]],"")</f>
        <v/>
      </c>
      <c r="Q408" s="44" t="e">
        <f t="shared" ca="1" si="66"/>
        <v>#N/A</v>
      </c>
      <c r="R408" s="44">
        <f ca="1">ROUND(PERCENTILE(DayByDayTable[[#Data],[BlankLeadTime]],0.8),0)</f>
        <v>8</v>
      </c>
    </row>
    <row r="409" spans="1:18">
      <c r="A409" s="51">
        <f t="shared" si="58"/>
        <v>42996</v>
      </c>
      <c r="B409" s="11">
        <f t="shared" si="61"/>
        <v>42996</v>
      </c>
      <c r="C409" s="47">
        <f>SUMIFS('On The Board'!$M$5:$M$219,'On The Board'!F$5:F$219,"&lt;="&amp;$B409,'On The Board'!E$5:E$219,"="&amp;FutureWork)</f>
        <v>43</v>
      </c>
      <c r="D409" s="12">
        <f ca="1">IF(TodaysDate&gt;=B409,SUMIF('On The Board'!F$5:F$219,"&lt;="&amp;$B409,'On The Board'!$M$5:$M$219)-SUM(E409:I409),D408)</f>
        <v>47</v>
      </c>
      <c r="E409" s="12">
        <f>SUMIF('On The Board'!G$5:G$219,"&lt;="&amp;$B409,'On The Board'!$M$5:$M$219)-SUM(F409:I409)</f>
        <v>0</v>
      </c>
      <c r="F409" s="12">
        <f>SUMIF('On The Board'!H$5:H$219,"&lt;="&amp;$B409,'On The Board'!$M$5:$M$219)-SUM(G409:I409)</f>
        <v>5</v>
      </c>
      <c r="G409" s="12">
        <f>SUMIF('On The Board'!I$5:I$219,"&lt;="&amp;$B409,'On The Board'!$M$5:$M$219)-SUM(H409,I409)</f>
        <v>2</v>
      </c>
      <c r="H409" s="12">
        <f>SUMIF('On The Board'!J$5:J$219,"&lt;="&amp;$B409,'On The Board'!$M$5:$M$219)-SUM(I409)</f>
        <v>0</v>
      </c>
      <c r="I409" s="12">
        <f>SUMIF('On The Board'!K$5:K$219,"&lt;="&amp;$B409,'On The Board'!$M$5:$M$219)</f>
        <v>70</v>
      </c>
      <c r="J409" s="10">
        <f t="shared" si="59"/>
        <v>77</v>
      </c>
      <c r="K409" s="10" t="e">
        <f t="shared" ca="1" si="60"/>
        <v>#N/A</v>
      </c>
      <c r="L409" s="44" t="e">
        <f t="shared" ca="1" si="64"/>
        <v>#N/A</v>
      </c>
      <c r="M409" s="44" t="e">
        <f t="shared" ca="1" si="63"/>
        <v>#N/A</v>
      </c>
      <c r="N409" s="44" t="e">
        <f t="shared" ca="1" si="62"/>
        <v>#N/A</v>
      </c>
      <c r="O409" s="53" t="e">
        <f t="shared" ca="1" si="65"/>
        <v>#N/A</v>
      </c>
      <c r="P409" s="53" t="str">
        <f ca="1">IFERROR(DayByDayTable[[#This Row],[Lead Time]],"")</f>
        <v/>
      </c>
      <c r="Q409" s="44" t="e">
        <f t="shared" ca="1" si="66"/>
        <v>#N/A</v>
      </c>
      <c r="R409" s="44">
        <f ca="1">ROUND(PERCENTILE(DayByDayTable[[#Data],[BlankLeadTime]],0.8),0)</f>
        <v>8</v>
      </c>
    </row>
    <row r="410" spans="1:18">
      <c r="A410" s="51">
        <f t="shared" si="58"/>
        <v>42997</v>
      </c>
      <c r="B410" s="11">
        <f t="shared" si="61"/>
        <v>42997</v>
      </c>
      <c r="C410" s="47">
        <f>SUMIFS('On The Board'!$M$5:$M$219,'On The Board'!F$5:F$219,"&lt;="&amp;$B410,'On The Board'!E$5:E$219,"="&amp;FutureWork)</f>
        <v>43</v>
      </c>
      <c r="D410" s="12">
        <f ca="1">IF(TodaysDate&gt;=B410,SUMIF('On The Board'!F$5:F$219,"&lt;="&amp;$B410,'On The Board'!$M$5:$M$219)-SUM(E410:I410),D409)</f>
        <v>47</v>
      </c>
      <c r="E410" s="12">
        <f>SUMIF('On The Board'!G$5:G$219,"&lt;="&amp;$B410,'On The Board'!$M$5:$M$219)-SUM(F410:I410)</f>
        <v>0</v>
      </c>
      <c r="F410" s="12">
        <f>SUMIF('On The Board'!H$5:H$219,"&lt;="&amp;$B410,'On The Board'!$M$5:$M$219)-SUM(G410:I410)</f>
        <v>5</v>
      </c>
      <c r="G410" s="12">
        <f>SUMIF('On The Board'!I$5:I$219,"&lt;="&amp;$B410,'On The Board'!$M$5:$M$219)-SUM(H410,I410)</f>
        <v>2</v>
      </c>
      <c r="H410" s="12">
        <f>SUMIF('On The Board'!J$5:J$219,"&lt;="&amp;$B410,'On The Board'!$M$5:$M$219)-SUM(I410)</f>
        <v>0</v>
      </c>
      <c r="I410" s="12">
        <f>SUMIF('On The Board'!K$5:K$219,"&lt;="&amp;$B410,'On The Board'!$M$5:$M$219)</f>
        <v>70</v>
      </c>
      <c r="J410" s="10">
        <f t="shared" si="59"/>
        <v>77</v>
      </c>
      <c r="K410" s="10" t="e">
        <f t="shared" ca="1" si="60"/>
        <v>#N/A</v>
      </c>
      <c r="L410" s="44" t="e">
        <f t="shared" ca="1" si="64"/>
        <v>#N/A</v>
      </c>
      <c r="M410" s="44" t="e">
        <f t="shared" ca="1" si="63"/>
        <v>#N/A</v>
      </c>
      <c r="N410" s="44" t="e">
        <f t="shared" ca="1" si="62"/>
        <v>#N/A</v>
      </c>
      <c r="O410" s="53" t="e">
        <f t="shared" ca="1" si="65"/>
        <v>#N/A</v>
      </c>
      <c r="P410" s="53" t="str">
        <f ca="1">IFERROR(DayByDayTable[[#This Row],[Lead Time]],"")</f>
        <v/>
      </c>
      <c r="Q410" s="44" t="e">
        <f t="shared" ca="1" si="66"/>
        <v>#N/A</v>
      </c>
      <c r="R410" s="44">
        <f ca="1">ROUND(PERCENTILE(DayByDayTable[[#Data],[BlankLeadTime]],0.8),0)</f>
        <v>8</v>
      </c>
    </row>
    <row r="411" spans="1:18">
      <c r="A411" s="51">
        <f t="shared" si="58"/>
        <v>42998</v>
      </c>
      <c r="B411" s="11">
        <f t="shared" si="61"/>
        <v>42998</v>
      </c>
      <c r="C411" s="47">
        <f>SUMIFS('On The Board'!$M$5:$M$219,'On The Board'!F$5:F$219,"&lt;="&amp;$B411,'On The Board'!E$5:E$219,"="&amp;FutureWork)</f>
        <v>43</v>
      </c>
      <c r="D411" s="12">
        <f ca="1">IF(TodaysDate&gt;=B411,SUMIF('On The Board'!F$5:F$219,"&lt;="&amp;$B411,'On The Board'!$M$5:$M$219)-SUM(E411:I411),D410)</f>
        <v>47</v>
      </c>
      <c r="E411" s="12">
        <f>SUMIF('On The Board'!G$5:G$219,"&lt;="&amp;$B411,'On The Board'!$M$5:$M$219)-SUM(F411:I411)</f>
        <v>0</v>
      </c>
      <c r="F411" s="12">
        <f>SUMIF('On The Board'!H$5:H$219,"&lt;="&amp;$B411,'On The Board'!$M$5:$M$219)-SUM(G411:I411)</f>
        <v>5</v>
      </c>
      <c r="G411" s="12">
        <f>SUMIF('On The Board'!I$5:I$219,"&lt;="&amp;$B411,'On The Board'!$M$5:$M$219)-SUM(H411,I411)</f>
        <v>2</v>
      </c>
      <c r="H411" s="12">
        <f>SUMIF('On The Board'!J$5:J$219,"&lt;="&amp;$B411,'On The Board'!$M$5:$M$219)-SUM(I411)</f>
        <v>0</v>
      </c>
      <c r="I411" s="12">
        <f>SUMIF('On The Board'!K$5:K$219,"&lt;="&amp;$B411,'On The Board'!$M$5:$M$219)</f>
        <v>70</v>
      </c>
      <c r="J411" s="10">
        <f t="shared" si="59"/>
        <v>77</v>
      </c>
      <c r="K411" s="10" t="e">
        <f t="shared" ca="1" si="60"/>
        <v>#N/A</v>
      </c>
      <c r="L411" s="44" t="e">
        <f t="shared" ca="1" si="64"/>
        <v>#N/A</v>
      </c>
      <c r="M411" s="44" t="e">
        <f t="shared" ca="1" si="63"/>
        <v>#N/A</v>
      </c>
      <c r="N411" s="44" t="e">
        <f t="shared" ca="1" si="62"/>
        <v>#N/A</v>
      </c>
      <c r="O411" s="53" t="e">
        <f t="shared" ca="1" si="65"/>
        <v>#N/A</v>
      </c>
      <c r="P411" s="53" t="str">
        <f ca="1">IFERROR(DayByDayTable[[#This Row],[Lead Time]],"")</f>
        <v/>
      </c>
      <c r="Q411" s="44" t="e">
        <f t="shared" ca="1" si="66"/>
        <v>#N/A</v>
      </c>
      <c r="R411" s="44">
        <f ca="1">ROUND(PERCENTILE(DayByDayTable[[#Data],[BlankLeadTime]],0.8),0)</f>
        <v>8</v>
      </c>
    </row>
    <row r="412" spans="1:18">
      <c r="A412" s="51">
        <f t="shared" si="58"/>
        <v>42999</v>
      </c>
      <c r="B412" s="11">
        <f t="shared" si="61"/>
        <v>42999</v>
      </c>
      <c r="C412" s="47">
        <f>SUMIFS('On The Board'!$M$5:$M$219,'On The Board'!F$5:F$219,"&lt;="&amp;$B412,'On The Board'!E$5:E$219,"="&amp;FutureWork)</f>
        <v>43</v>
      </c>
      <c r="D412" s="12">
        <f ca="1">IF(TodaysDate&gt;=B412,SUMIF('On The Board'!F$5:F$219,"&lt;="&amp;$B412,'On The Board'!$M$5:$M$219)-SUM(E412:I412),D411)</f>
        <v>47</v>
      </c>
      <c r="E412" s="12">
        <f>SUMIF('On The Board'!G$5:G$219,"&lt;="&amp;$B412,'On The Board'!$M$5:$M$219)-SUM(F412:I412)</f>
        <v>0</v>
      </c>
      <c r="F412" s="12">
        <f>SUMIF('On The Board'!H$5:H$219,"&lt;="&amp;$B412,'On The Board'!$M$5:$M$219)-SUM(G412:I412)</f>
        <v>5</v>
      </c>
      <c r="G412" s="12">
        <f>SUMIF('On The Board'!I$5:I$219,"&lt;="&amp;$B412,'On The Board'!$M$5:$M$219)-SUM(H412,I412)</f>
        <v>2</v>
      </c>
      <c r="H412" s="12">
        <f>SUMIF('On The Board'!J$5:J$219,"&lt;="&amp;$B412,'On The Board'!$M$5:$M$219)-SUM(I412)</f>
        <v>0</v>
      </c>
      <c r="I412" s="12">
        <f>SUMIF('On The Board'!K$5:K$219,"&lt;="&amp;$B412,'On The Board'!$M$5:$M$219)</f>
        <v>70</v>
      </c>
      <c r="J412" s="10">
        <f t="shared" si="59"/>
        <v>77</v>
      </c>
      <c r="K412" s="10" t="e">
        <f t="shared" ca="1" si="60"/>
        <v>#N/A</v>
      </c>
      <c r="L412" s="44" t="e">
        <f t="shared" ca="1" si="64"/>
        <v>#N/A</v>
      </c>
      <c r="M412" s="44" t="e">
        <f t="shared" ca="1" si="63"/>
        <v>#N/A</v>
      </c>
      <c r="N412" s="44" t="e">
        <f t="shared" ca="1" si="62"/>
        <v>#N/A</v>
      </c>
      <c r="O412" s="53" t="e">
        <f t="shared" ca="1" si="65"/>
        <v>#N/A</v>
      </c>
      <c r="P412" s="53" t="str">
        <f ca="1">IFERROR(DayByDayTable[[#This Row],[Lead Time]],"")</f>
        <v/>
      </c>
      <c r="Q412" s="44" t="e">
        <f t="shared" ca="1" si="66"/>
        <v>#N/A</v>
      </c>
      <c r="R412" s="44">
        <f ca="1">ROUND(PERCENTILE(DayByDayTable[[#Data],[BlankLeadTime]],0.8),0)</f>
        <v>8</v>
      </c>
    </row>
    <row r="413" spans="1:18">
      <c r="A413" s="51">
        <f t="shared" si="58"/>
        <v>43000</v>
      </c>
      <c r="B413" s="11">
        <f t="shared" si="61"/>
        <v>43000</v>
      </c>
      <c r="C413" s="47">
        <f>SUMIFS('On The Board'!$M$5:$M$219,'On The Board'!F$5:F$219,"&lt;="&amp;$B413,'On The Board'!E$5:E$219,"="&amp;FutureWork)</f>
        <v>43</v>
      </c>
      <c r="D413" s="12">
        <f ca="1">IF(TodaysDate&gt;=B413,SUMIF('On The Board'!F$5:F$219,"&lt;="&amp;$B413,'On The Board'!$M$5:$M$219)-SUM(E413:I413),D412)</f>
        <v>47</v>
      </c>
      <c r="E413" s="12">
        <f>SUMIF('On The Board'!G$5:G$219,"&lt;="&amp;$B413,'On The Board'!$M$5:$M$219)-SUM(F413:I413)</f>
        <v>0</v>
      </c>
      <c r="F413" s="12">
        <f>SUMIF('On The Board'!H$5:H$219,"&lt;="&amp;$B413,'On The Board'!$M$5:$M$219)-SUM(G413:I413)</f>
        <v>5</v>
      </c>
      <c r="G413" s="12">
        <f>SUMIF('On The Board'!I$5:I$219,"&lt;="&amp;$B413,'On The Board'!$M$5:$M$219)-SUM(H413,I413)</f>
        <v>2</v>
      </c>
      <c r="H413" s="12">
        <f>SUMIF('On The Board'!J$5:J$219,"&lt;="&amp;$B413,'On The Board'!$M$5:$M$219)-SUM(I413)</f>
        <v>0</v>
      </c>
      <c r="I413" s="12">
        <f>SUMIF('On The Board'!K$5:K$219,"&lt;="&amp;$B413,'On The Board'!$M$5:$M$219)</f>
        <v>70</v>
      </c>
      <c r="J413" s="10">
        <f t="shared" si="59"/>
        <v>77</v>
      </c>
      <c r="K413" s="10" t="e">
        <f t="shared" ca="1" si="60"/>
        <v>#N/A</v>
      </c>
      <c r="L413" s="44" t="e">
        <f t="shared" ca="1" si="64"/>
        <v>#N/A</v>
      </c>
      <c r="M413" s="44" t="e">
        <f t="shared" ca="1" si="63"/>
        <v>#N/A</v>
      </c>
      <c r="N413" s="44" t="e">
        <f t="shared" ca="1" si="62"/>
        <v>#N/A</v>
      </c>
      <c r="O413" s="53" t="e">
        <f t="shared" ca="1" si="65"/>
        <v>#N/A</v>
      </c>
      <c r="P413" s="53" t="str">
        <f ca="1">IFERROR(DayByDayTable[[#This Row],[Lead Time]],"")</f>
        <v/>
      </c>
      <c r="Q413" s="44" t="e">
        <f t="shared" ca="1" si="66"/>
        <v>#N/A</v>
      </c>
      <c r="R413" s="44">
        <f ca="1">ROUND(PERCENTILE(DayByDayTable[[#Data],[BlankLeadTime]],0.8),0)</f>
        <v>8</v>
      </c>
    </row>
    <row r="414" spans="1:18">
      <c r="A414" s="51">
        <f t="shared" si="58"/>
        <v>43003</v>
      </c>
      <c r="B414" s="11">
        <f t="shared" si="61"/>
        <v>43003</v>
      </c>
      <c r="C414" s="47">
        <f>SUMIFS('On The Board'!$M$5:$M$219,'On The Board'!F$5:F$219,"&lt;="&amp;$B414,'On The Board'!E$5:E$219,"="&amp;FutureWork)</f>
        <v>43</v>
      </c>
      <c r="D414" s="12">
        <f ca="1">IF(TodaysDate&gt;=B414,SUMIF('On The Board'!F$5:F$219,"&lt;="&amp;$B414,'On The Board'!$M$5:$M$219)-SUM(E414:I414),D413)</f>
        <v>47</v>
      </c>
      <c r="E414" s="12">
        <f>SUMIF('On The Board'!G$5:G$219,"&lt;="&amp;$B414,'On The Board'!$M$5:$M$219)-SUM(F414:I414)</f>
        <v>0</v>
      </c>
      <c r="F414" s="12">
        <f>SUMIF('On The Board'!H$5:H$219,"&lt;="&amp;$B414,'On The Board'!$M$5:$M$219)-SUM(G414:I414)</f>
        <v>5</v>
      </c>
      <c r="G414" s="12">
        <f>SUMIF('On The Board'!I$5:I$219,"&lt;="&amp;$B414,'On The Board'!$M$5:$M$219)-SUM(H414,I414)</f>
        <v>2</v>
      </c>
      <c r="H414" s="12">
        <f>SUMIF('On The Board'!J$5:J$219,"&lt;="&amp;$B414,'On The Board'!$M$5:$M$219)-SUM(I414)</f>
        <v>0</v>
      </c>
      <c r="I414" s="12">
        <f>SUMIF('On The Board'!K$5:K$219,"&lt;="&amp;$B414,'On The Board'!$M$5:$M$219)</f>
        <v>70</v>
      </c>
      <c r="J414" s="10">
        <f t="shared" si="59"/>
        <v>77</v>
      </c>
      <c r="K414" s="10" t="e">
        <f t="shared" ca="1" si="60"/>
        <v>#N/A</v>
      </c>
      <c r="L414" s="44" t="e">
        <f t="shared" ca="1" si="64"/>
        <v>#N/A</v>
      </c>
      <c r="M414" s="44" t="e">
        <f t="shared" ca="1" si="63"/>
        <v>#N/A</v>
      </c>
      <c r="N414" s="44" t="e">
        <f t="shared" ca="1" si="62"/>
        <v>#N/A</v>
      </c>
      <c r="O414" s="53" t="e">
        <f t="shared" ca="1" si="65"/>
        <v>#N/A</v>
      </c>
      <c r="P414" s="53" t="str">
        <f ca="1">IFERROR(DayByDayTable[[#This Row],[Lead Time]],"")</f>
        <v/>
      </c>
      <c r="Q414" s="44" t="e">
        <f t="shared" ca="1" si="66"/>
        <v>#N/A</v>
      </c>
      <c r="R414" s="44">
        <f ca="1">ROUND(PERCENTILE(DayByDayTable[[#Data],[BlankLeadTime]],0.8),0)</f>
        <v>8</v>
      </c>
    </row>
    <row r="415" spans="1:18">
      <c r="A415" s="51">
        <f t="shared" si="58"/>
        <v>43004</v>
      </c>
      <c r="B415" s="11">
        <f t="shared" si="61"/>
        <v>43004</v>
      </c>
      <c r="C415" s="47">
        <f>SUMIFS('On The Board'!$M$5:$M$219,'On The Board'!F$5:F$219,"&lt;="&amp;$B415,'On The Board'!E$5:E$219,"="&amp;FutureWork)</f>
        <v>43</v>
      </c>
      <c r="D415" s="12">
        <f ca="1">IF(TodaysDate&gt;=B415,SUMIF('On The Board'!F$5:F$219,"&lt;="&amp;$B415,'On The Board'!$M$5:$M$219)-SUM(E415:I415),D414)</f>
        <v>47</v>
      </c>
      <c r="E415" s="12">
        <f>SUMIF('On The Board'!G$5:G$219,"&lt;="&amp;$B415,'On The Board'!$M$5:$M$219)-SUM(F415:I415)</f>
        <v>0</v>
      </c>
      <c r="F415" s="12">
        <f>SUMIF('On The Board'!H$5:H$219,"&lt;="&amp;$B415,'On The Board'!$M$5:$M$219)-SUM(G415:I415)</f>
        <v>5</v>
      </c>
      <c r="G415" s="12">
        <f>SUMIF('On The Board'!I$5:I$219,"&lt;="&amp;$B415,'On The Board'!$M$5:$M$219)-SUM(H415,I415)</f>
        <v>2</v>
      </c>
      <c r="H415" s="12">
        <f>SUMIF('On The Board'!J$5:J$219,"&lt;="&amp;$B415,'On The Board'!$M$5:$M$219)-SUM(I415)</f>
        <v>0</v>
      </c>
      <c r="I415" s="12">
        <f>SUMIF('On The Board'!K$5:K$219,"&lt;="&amp;$B415,'On The Board'!$M$5:$M$219)</f>
        <v>70</v>
      </c>
      <c r="J415" s="10">
        <f t="shared" si="59"/>
        <v>77</v>
      </c>
      <c r="K415" s="10" t="e">
        <f t="shared" ca="1" si="60"/>
        <v>#N/A</v>
      </c>
      <c r="L415" s="44" t="e">
        <f t="shared" ca="1" si="64"/>
        <v>#N/A</v>
      </c>
      <c r="M415" s="44" t="e">
        <f t="shared" ca="1" si="63"/>
        <v>#N/A</v>
      </c>
      <c r="N415" s="44" t="e">
        <f t="shared" ca="1" si="62"/>
        <v>#N/A</v>
      </c>
      <c r="O415" s="53" t="e">
        <f t="shared" ca="1" si="65"/>
        <v>#N/A</v>
      </c>
      <c r="P415" s="53" t="str">
        <f ca="1">IFERROR(DayByDayTable[[#This Row],[Lead Time]],"")</f>
        <v/>
      </c>
      <c r="Q415" s="44" t="e">
        <f t="shared" ca="1" si="66"/>
        <v>#N/A</v>
      </c>
      <c r="R415" s="44">
        <f ca="1">ROUND(PERCENTILE(DayByDayTable[[#Data],[BlankLeadTime]],0.8),0)</f>
        <v>8</v>
      </c>
    </row>
    <row r="416" spans="1:18">
      <c r="A416" s="51">
        <f t="shared" si="58"/>
        <v>43005</v>
      </c>
      <c r="B416" s="11">
        <f t="shared" si="61"/>
        <v>43005</v>
      </c>
      <c r="C416" s="47">
        <f>SUMIFS('On The Board'!$M$5:$M$219,'On The Board'!F$5:F$219,"&lt;="&amp;$B416,'On The Board'!E$5:E$219,"="&amp;FutureWork)</f>
        <v>43</v>
      </c>
      <c r="D416" s="12">
        <f ca="1">IF(TodaysDate&gt;=B416,SUMIF('On The Board'!F$5:F$219,"&lt;="&amp;$B416,'On The Board'!$M$5:$M$219)-SUM(E416:I416),D415)</f>
        <v>47</v>
      </c>
      <c r="E416" s="12">
        <f>SUMIF('On The Board'!G$5:G$219,"&lt;="&amp;$B416,'On The Board'!$M$5:$M$219)-SUM(F416:I416)</f>
        <v>0</v>
      </c>
      <c r="F416" s="12">
        <f>SUMIF('On The Board'!H$5:H$219,"&lt;="&amp;$B416,'On The Board'!$M$5:$M$219)-SUM(G416:I416)</f>
        <v>5</v>
      </c>
      <c r="G416" s="12">
        <f>SUMIF('On The Board'!I$5:I$219,"&lt;="&amp;$B416,'On The Board'!$M$5:$M$219)-SUM(H416,I416)</f>
        <v>2</v>
      </c>
      <c r="H416" s="12">
        <f>SUMIF('On The Board'!J$5:J$219,"&lt;="&amp;$B416,'On The Board'!$M$5:$M$219)-SUM(I416)</f>
        <v>0</v>
      </c>
      <c r="I416" s="12">
        <f>SUMIF('On The Board'!K$5:K$219,"&lt;="&amp;$B416,'On The Board'!$M$5:$M$219)</f>
        <v>70</v>
      </c>
      <c r="J416" s="10">
        <f t="shared" si="59"/>
        <v>77</v>
      </c>
      <c r="K416" s="10" t="e">
        <f t="shared" ca="1" si="60"/>
        <v>#N/A</v>
      </c>
      <c r="L416" s="44" t="e">
        <f t="shared" ca="1" si="64"/>
        <v>#N/A</v>
      </c>
      <c r="M416" s="44" t="e">
        <f t="shared" ca="1" si="63"/>
        <v>#N/A</v>
      </c>
      <c r="N416" s="44" t="e">
        <f t="shared" ca="1" si="62"/>
        <v>#N/A</v>
      </c>
      <c r="O416" s="53" t="e">
        <f t="shared" ca="1" si="65"/>
        <v>#N/A</v>
      </c>
      <c r="P416" s="53" t="str">
        <f ca="1">IFERROR(DayByDayTable[[#This Row],[Lead Time]],"")</f>
        <v/>
      </c>
      <c r="Q416" s="44" t="e">
        <f t="shared" ca="1" si="66"/>
        <v>#N/A</v>
      </c>
      <c r="R416" s="44">
        <f ca="1">ROUND(PERCENTILE(DayByDayTable[[#Data],[BlankLeadTime]],0.8),0)</f>
        <v>8</v>
      </c>
    </row>
    <row r="417" spans="1:18">
      <c r="A417" s="51">
        <f t="shared" si="58"/>
        <v>43006</v>
      </c>
      <c r="B417" s="11">
        <f t="shared" si="61"/>
        <v>43006</v>
      </c>
      <c r="C417" s="47">
        <f>SUMIFS('On The Board'!$M$5:$M$219,'On The Board'!F$5:F$219,"&lt;="&amp;$B417,'On The Board'!E$5:E$219,"="&amp;FutureWork)</f>
        <v>43</v>
      </c>
      <c r="D417" s="12">
        <f ca="1">IF(TodaysDate&gt;=B417,SUMIF('On The Board'!F$5:F$219,"&lt;="&amp;$B417,'On The Board'!$M$5:$M$219)-SUM(E417:I417),D416)</f>
        <v>47</v>
      </c>
      <c r="E417" s="12">
        <f>SUMIF('On The Board'!G$5:G$219,"&lt;="&amp;$B417,'On The Board'!$M$5:$M$219)-SUM(F417:I417)</f>
        <v>0</v>
      </c>
      <c r="F417" s="12">
        <f>SUMIF('On The Board'!H$5:H$219,"&lt;="&amp;$B417,'On The Board'!$M$5:$M$219)-SUM(G417:I417)</f>
        <v>5</v>
      </c>
      <c r="G417" s="12">
        <f>SUMIF('On The Board'!I$5:I$219,"&lt;="&amp;$B417,'On The Board'!$M$5:$M$219)-SUM(H417,I417)</f>
        <v>2</v>
      </c>
      <c r="H417" s="12">
        <f>SUMIF('On The Board'!J$5:J$219,"&lt;="&amp;$B417,'On The Board'!$M$5:$M$219)-SUM(I417)</f>
        <v>0</v>
      </c>
      <c r="I417" s="12">
        <f>SUMIF('On The Board'!K$5:K$219,"&lt;="&amp;$B417,'On The Board'!$M$5:$M$219)</f>
        <v>70</v>
      </c>
      <c r="J417" s="10">
        <f t="shared" si="59"/>
        <v>77</v>
      </c>
      <c r="K417" s="10" t="e">
        <f t="shared" ca="1" si="60"/>
        <v>#N/A</v>
      </c>
      <c r="L417" s="44" t="e">
        <f t="shared" ca="1" si="64"/>
        <v>#N/A</v>
      </c>
      <c r="M417" s="44" t="e">
        <f t="shared" ca="1" si="63"/>
        <v>#N/A</v>
      </c>
      <c r="N417" s="44" t="e">
        <f t="shared" ca="1" si="62"/>
        <v>#N/A</v>
      </c>
      <c r="O417" s="53" t="e">
        <f t="shared" ca="1" si="65"/>
        <v>#N/A</v>
      </c>
      <c r="P417" s="53" t="str">
        <f ca="1">IFERROR(DayByDayTable[[#This Row],[Lead Time]],"")</f>
        <v/>
      </c>
      <c r="Q417" s="44" t="e">
        <f t="shared" ca="1" si="66"/>
        <v>#N/A</v>
      </c>
      <c r="R417" s="44">
        <f ca="1">ROUND(PERCENTILE(DayByDayTable[[#Data],[BlankLeadTime]],0.8),0)</f>
        <v>8</v>
      </c>
    </row>
    <row r="418" spans="1:18">
      <c r="A418" s="51">
        <f t="shared" si="58"/>
        <v>43007</v>
      </c>
      <c r="B418" s="11">
        <f t="shared" si="61"/>
        <v>43007</v>
      </c>
      <c r="C418" s="47">
        <f>SUMIFS('On The Board'!$M$5:$M$219,'On The Board'!F$5:F$219,"&lt;="&amp;$B418,'On The Board'!E$5:E$219,"="&amp;FutureWork)</f>
        <v>43</v>
      </c>
      <c r="D418" s="12">
        <f ca="1">IF(TodaysDate&gt;=B418,SUMIF('On The Board'!F$5:F$219,"&lt;="&amp;$B418,'On The Board'!$M$5:$M$219)-SUM(E418:I418),D417)</f>
        <v>47</v>
      </c>
      <c r="E418" s="12">
        <f>SUMIF('On The Board'!G$5:G$219,"&lt;="&amp;$B418,'On The Board'!$M$5:$M$219)-SUM(F418:I418)</f>
        <v>0</v>
      </c>
      <c r="F418" s="12">
        <f>SUMIF('On The Board'!H$5:H$219,"&lt;="&amp;$B418,'On The Board'!$M$5:$M$219)-SUM(G418:I418)</f>
        <v>5</v>
      </c>
      <c r="G418" s="12">
        <f>SUMIF('On The Board'!I$5:I$219,"&lt;="&amp;$B418,'On The Board'!$M$5:$M$219)-SUM(H418,I418)</f>
        <v>2</v>
      </c>
      <c r="H418" s="12">
        <f>SUMIF('On The Board'!J$5:J$219,"&lt;="&amp;$B418,'On The Board'!$M$5:$M$219)-SUM(I418)</f>
        <v>0</v>
      </c>
      <c r="I418" s="12">
        <f>SUMIF('On The Board'!K$5:K$219,"&lt;="&amp;$B418,'On The Board'!$M$5:$M$219)</f>
        <v>70</v>
      </c>
      <c r="J418" s="10">
        <f t="shared" si="59"/>
        <v>77</v>
      </c>
      <c r="K418" s="10" t="e">
        <f t="shared" ca="1" si="60"/>
        <v>#N/A</v>
      </c>
      <c r="L418" s="44" t="e">
        <f t="shared" ca="1" si="64"/>
        <v>#N/A</v>
      </c>
      <c r="M418" s="44" t="e">
        <f t="shared" ca="1" si="63"/>
        <v>#N/A</v>
      </c>
      <c r="N418" s="44" t="e">
        <f t="shared" ca="1" si="62"/>
        <v>#N/A</v>
      </c>
      <c r="O418" s="53" t="e">
        <f t="shared" ca="1" si="65"/>
        <v>#N/A</v>
      </c>
      <c r="P418" s="53" t="str">
        <f ca="1">IFERROR(DayByDayTable[[#This Row],[Lead Time]],"")</f>
        <v/>
      </c>
      <c r="Q418" s="44" t="e">
        <f t="shared" ca="1" si="66"/>
        <v>#N/A</v>
      </c>
      <c r="R418" s="44">
        <f ca="1">ROUND(PERCENTILE(DayByDayTable[[#Data],[BlankLeadTime]],0.8),0)</f>
        <v>8</v>
      </c>
    </row>
    <row r="419" spans="1:18">
      <c r="A419" s="51">
        <f t="shared" si="58"/>
        <v>43010</v>
      </c>
      <c r="B419" s="11">
        <f t="shared" si="61"/>
        <v>43010</v>
      </c>
      <c r="C419" s="47">
        <f>SUMIFS('On The Board'!$M$5:$M$219,'On The Board'!F$5:F$219,"&lt;="&amp;$B419,'On The Board'!E$5:E$219,"="&amp;FutureWork)</f>
        <v>43</v>
      </c>
      <c r="D419" s="12">
        <f ca="1">IF(TodaysDate&gt;=B419,SUMIF('On The Board'!F$5:F$219,"&lt;="&amp;$B419,'On The Board'!$M$5:$M$219)-SUM(E419:I419),D418)</f>
        <v>47</v>
      </c>
      <c r="E419" s="12">
        <f>SUMIF('On The Board'!G$5:G$219,"&lt;="&amp;$B419,'On The Board'!$M$5:$M$219)-SUM(F419:I419)</f>
        <v>0</v>
      </c>
      <c r="F419" s="12">
        <f>SUMIF('On The Board'!H$5:H$219,"&lt;="&amp;$B419,'On The Board'!$M$5:$M$219)-SUM(G419:I419)</f>
        <v>5</v>
      </c>
      <c r="G419" s="12">
        <f>SUMIF('On The Board'!I$5:I$219,"&lt;="&amp;$B419,'On The Board'!$M$5:$M$219)-SUM(H419,I419)</f>
        <v>2</v>
      </c>
      <c r="H419" s="12">
        <f>SUMIF('On The Board'!J$5:J$219,"&lt;="&amp;$B419,'On The Board'!$M$5:$M$219)-SUM(I419)</f>
        <v>0</v>
      </c>
      <c r="I419" s="12">
        <f>SUMIF('On The Board'!K$5:K$219,"&lt;="&amp;$B419,'On The Board'!$M$5:$M$219)</f>
        <v>70</v>
      </c>
      <c r="J419" s="10">
        <f t="shared" si="59"/>
        <v>77</v>
      </c>
      <c r="K419" s="10" t="e">
        <f t="shared" ca="1" si="60"/>
        <v>#N/A</v>
      </c>
      <c r="L419" s="44" t="e">
        <f t="shared" ca="1" si="64"/>
        <v>#N/A</v>
      </c>
      <c r="M419" s="44" t="e">
        <f t="shared" ca="1" si="63"/>
        <v>#N/A</v>
      </c>
      <c r="N419" s="44" t="e">
        <f t="shared" ca="1" si="62"/>
        <v>#N/A</v>
      </c>
      <c r="O419" s="53" t="e">
        <f t="shared" ca="1" si="65"/>
        <v>#N/A</v>
      </c>
      <c r="P419" s="53" t="str">
        <f ca="1">IFERROR(DayByDayTable[[#This Row],[Lead Time]],"")</f>
        <v/>
      </c>
      <c r="Q419" s="44" t="e">
        <f t="shared" ca="1" si="66"/>
        <v>#N/A</v>
      </c>
      <c r="R419" s="44">
        <f ca="1">ROUND(PERCENTILE(DayByDayTable[[#Data],[BlankLeadTime]],0.8),0)</f>
        <v>8</v>
      </c>
    </row>
    <row r="420" spans="1:18">
      <c r="A420" s="51">
        <f t="shared" si="58"/>
        <v>43011</v>
      </c>
      <c r="B420" s="11">
        <f t="shared" si="61"/>
        <v>43011</v>
      </c>
      <c r="C420" s="47">
        <f>SUMIFS('On The Board'!$M$5:$M$219,'On The Board'!F$5:F$219,"&lt;="&amp;$B420,'On The Board'!E$5:E$219,"="&amp;FutureWork)</f>
        <v>43</v>
      </c>
      <c r="D420" s="12">
        <f ca="1">IF(TodaysDate&gt;=B420,SUMIF('On The Board'!F$5:F$219,"&lt;="&amp;$B420,'On The Board'!$M$5:$M$219)-SUM(E420:I420),D419)</f>
        <v>47</v>
      </c>
      <c r="E420" s="12">
        <f>SUMIF('On The Board'!G$5:G$219,"&lt;="&amp;$B420,'On The Board'!$M$5:$M$219)-SUM(F420:I420)</f>
        <v>0</v>
      </c>
      <c r="F420" s="12">
        <f>SUMIF('On The Board'!H$5:H$219,"&lt;="&amp;$B420,'On The Board'!$M$5:$M$219)-SUM(G420:I420)</f>
        <v>5</v>
      </c>
      <c r="G420" s="12">
        <f>SUMIF('On The Board'!I$5:I$219,"&lt;="&amp;$B420,'On The Board'!$M$5:$M$219)-SUM(H420,I420)</f>
        <v>2</v>
      </c>
      <c r="H420" s="12">
        <f>SUMIF('On The Board'!J$5:J$219,"&lt;="&amp;$B420,'On The Board'!$M$5:$M$219)-SUM(I420)</f>
        <v>0</v>
      </c>
      <c r="I420" s="12">
        <f>SUMIF('On The Board'!K$5:K$219,"&lt;="&amp;$B420,'On The Board'!$M$5:$M$219)</f>
        <v>70</v>
      </c>
      <c r="J420" s="10">
        <f t="shared" si="59"/>
        <v>77</v>
      </c>
      <c r="K420" s="10" t="e">
        <f t="shared" ca="1" si="60"/>
        <v>#N/A</v>
      </c>
      <c r="L420" s="44" t="e">
        <f t="shared" ca="1" si="64"/>
        <v>#N/A</v>
      </c>
      <c r="M420" s="44" t="e">
        <f t="shared" ca="1" si="63"/>
        <v>#N/A</v>
      </c>
      <c r="N420" s="44" t="e">
        <f t="shared" ca="1" si="62"/>
        <v>#N/A</v>
      </c>
      <c r="O420" s="53" t="e">
        <f t="shared" ca="1" si="65"/>
        <v>#N/A</v>
      </c>
      <c r="P420" s="53" t="str">
        <f ca="1">IFERROR(DayByDayTable[[#This Row],[Lead Time]],"")</f>
        <v/>
      </c>
      <c r="Q420" s="44" t="e">
        <f t="shared" ca="1" si="66"/>
        <v>#N/A</v>
      </c>
      <c r="R420" s="44">
        <f ca="1">ROUND(PERCENTILE(DayByDayTable[[#Data],[BlankLeadTime]],0.8),0)</f>
        <v>8</v>
      </c>
    </row>
    <row r="421" spans="1:18">
      <c r="A421" s="51">
        <f t="shared" si="58"/>
        <v>43012</v>
      </c>
      <c r="B421" s="11">
        <f t="shared" si="61"/>
        <v>43012</v>
      </c>
      <c r="C421" s="47">
        <f>SUMIFS('On The Board'!$M$5:$M$219,'On The Board'!F$5:F$219,"&lt;="&amp;$B421,'On The Board'!E$5:E$219,"="&amp;FutureWork)</f>
        <v>43</v>
      </c>
      <c r="D421" s="12">
        <f ca="1">IF(TodaysDate&gt;=B421,SUMIF('On The Board'!F$5:F$219,"&lt;="&amp;$B421,'On The Board'!$M$5:$M$219)-SUM(E421:I421),D420)</f>
        <v>47</v>
      </c>
      <c r="E421" s="12">
        <f>SUMIF('On The Board'!G$5:G$219,"&lt;="&amp;$B421,'On The Board'!$M$5:$M$219)-SUM(F421:I421)</f>
        <v>0</v>
      </c>
      <c r="F421" s="12">
        <f>SUMIF('On The Board'!H$5:H$219,"&lt;="&amp;$B421,'On The Board'!$M$5:$M$219)-SUM(G421:I421)</f>
        <v>5</v>
      </c>
      <c r="G421" s="12">
        <f>SUMIF('On The Board'!I$5:I$219,"&lt;="&amp;$B421,'On The Board'!$M$5:$M$219)-SUM(H421,I421)</f>
        <v>2</v>
      </c>
      <c r="H421" s="12">
        <f>SUMIF('On The Board'!J$5:J$219,"&lt;="&amp;$B421,'On The Board'!$M$5:$M$219)-SUM(I421)</f>
        <v>0</v>
      </c>
      <c r="I421" s="12">
        <f>SUMIF('On The Board'!K$5:K$219,"&lt;="&amp;$B421,'On The Board'!$M$5:$M$219)</f>
        <v>70</v>
      </c>
      <c r="J421" s="10">
        <f t="shared" si="59"/>
        <v>77</v>
      </c>
      <c r="K421" s="10" t="e">
        <f t="shared" ca="1" si="60"/>
        <v>#N/A</v>
      </c>
      <c r="L421" s="44" t="e">
        <f t="shared" ca="1" si="64"/>
        <v>#N/A</v>
      </c>
      <c r="M421" s="44" t="e">
        <f t="shared" ca="1" si="63"/>
        <v>#N/A</v>
      </c>
      <c r="N421" s="44" t="e">
        <f t="shared" ca="1" si="62"/>
        <v>#N/A</v>
      </c>
      <c r="O421" s="53" t="e">
        <f t="shared" ca="1" si="65"/>
        <v>#N/A</v>
      </c>
      <c r="P421" s="53" t="str">
        <f ca="1">IFERROR(DayByDayTable[[#This Row],[Lead Time]],"")</f>
        <v/>
      </c>
      <c r="Q421" s="44" t="e">
        <f t="shared" ca="1" si="66"/>
        <v>#N/A</v>
      </c>
      <c r="R421" s="44">
        <f ca="1">ROUND(PERCENTILE(DayByDayTable[[#Data],[BlankLeadTime]],0.8),0)</f>
        <v>8</v>
      </c>
    </row>
    <row r="422" spans="1:18">
      <c r="A422" s="51">
        <f t="shared" si="58"/>
        <v>43013</v>
      </c>
      <c r="B422" s="11">
        <f t="shared" si="61"/>
        <v>43013</v>
      </c>
      <c r="C422" s="47">
        <f>SUMIFS('On The Board'!$M$5:$M$219,'On The Board'!F$5:F$219,"&lt;="&amp;$B422,'On The Board'!E$5:E$219,"="&amp;FutureWork)</f>
        <v>43</v>
      </c>
      <c r="D422" s="12">
        <f ca="1">IF(TodaysDate&gt;=B422,SUMIF('On The Board'!F$5:F$219,"&lt;="&amp;$B422,'On The Board'!$M$5:$M$219)-SUM(E422:I422),D421)</f>
        <v>47</v>
      </c>
      <c r="E422" s="12">
        <f>SUMIF('On The Board'!G$5:G$219,"&lt;="&amp;$B422,'On The Board'!$M$5:$M$219)-SUM(F422:I422)</f>
        <v>0</v>
      </c>
      <c r="F422" s="12">
        <f>SUMIF('On The Board'!H$5:H$219,"&lt;="&amp;$B422,'On The Board'!$M$5:$M$219)-SUM(G422:I422)</f>
        <v>5</v>
      </c>
      <c r="G422" s="12">
        <f>SUMIF('On The Board'!I$5:I$219,"&lt;="&amp;$B422,'On The Board'!$M$5:$M$219)-SUM(H422,I422)</f>
        <v>2</v>
      </c>
      <c r="H422" s="12">
        <f>SUMIF('On The Board'!J$5:J$219,"&lt;="&amp;$B422,'On The Board'!$M$5:$M$219)-SUM(I422)</f>
        <v>0</v>
      </c>
      <c r="I422" s="12">
        <f>SUMIF('On The Board'!K$5:K$219,"&lt;="&amp;$B422,'On The Board'!$M$5:$M$219)</f>
        <v>70</v>
      </c>
      <c r="J422" s="10">
        <f t="shared" si="59"/>
        <v>77</v>
      </c>
      <c r="K422" s="10" t="e">
        <f t="shared" ca="1" si="60"/>
        <v>#N/A</v>
      </c>
      <c r="L422" s="44" t="e">
        <f t="shared" ca="1" si="64"/>
        <v>#N/A</v>
      </c>
      <c r="M422" s="44" t="e">
        <f t="shared" ca="1" si="63"/>
        <v>#N/A</v>
      </c>
      <c r="N422" s="44" t="e">
        <f t="shared" ca="1" si="62"/>
        <v>#N/A</v>
      </c>
      <c r="O422" s="53" t="e">
        <f t="shared" ca="1" si="65"/>
        <v>#N/A</v>
      </c>
      <c r="P422" s="53" t="str">
        <f ca="1">IFERROR(DayByDayTable[[#This Row],[Lead Time]],"")</f>
        <v/>
      </c>
      <c r="Q422" s="44" t="e">
        <f t="shared" ca="1" si="66"/>
        <v>#N/A</v>
      </c>
      <c r="R422" s="44">
        <f ca="1">ROUND(PERCENTILE(DayByDayTable[[#Data],[BlankLeadTime]],0.8),0)</f>
        <v>8</v>
      </c>
    </row>
    <row r="423" spans="1:18">
      <c r="A423" s="51">
        <f t="shared" si="58"/>
        <v>43014</v>
      </c>
      <c r="B423" s="11">
        <f t="shared" si="61"/>
        <v>43014</v>
      </c>
      <c r="C423" s="47">
        <f>SUMIFS('On The Board'!$M$5:$M$219,'On The Board'!F$5:F$219,"&lt;="&amp;$B423,'On The Board'!E$5:E$219,"="&amp;FutureWork)</f>
        <v>43</v>
      </c>
      <c r="D423" s="12">
        <f ca="1">IF(TodaysDate&gt;=B423,SUMIF('On The Board'!F$5:F$219,"&lt;="&amp;$B423,'On The Board'!$M$5:$M$219)-SUM(E423:I423),D422)</f>
        <v>47</v>
      </c>
      <c r="E423" s="12">
        <f>SUMIF('On The Board'!G$5:G$219,"&lt;="&amp;$B423,'On The Board'!$M$5:$M$219)-SUM(F423:I423)</f>
        <v>0</v>
      </c>
      <c r="F423" s="12">
        <f>SUMIF('On The Board'!H$5:H$219,"&lt;="&amp;$B423,'On The Board'!$M$5:$M$219)-SUM(G423:I423)</f>
        <v>5</v>
      </c>
      <c r="G423" s="12">
        <f>SUMIF('On The Board'!I$5:I$219,"&lt;="&amp;$B423,'On The Board'!$M$5:$M$219)-SUM(H423,I423)</f>
        <v>2</v>
      </c>
      <c r="H423" s="12">
        <f>SUMIF('On The Board'!J$5:J$219,"&lt;="&amp;$B423,'On The Board'!$M$5:$M$219)-SUM(I423)</f>
        <v>0</v>
      </c>
      <c r="I423" s="12">
        <f>SUMIF('On The Board'!K$5:K$219,"&lt;="&amp;$B423,'On The Board'!$M$5:$M$219)</f>
        <v>70</v>
      </c>
      <c r="J423" s="10">
        <f t="shared" si="59"/>
        <v>77</v>
      </c>
      <c r="K423" s="10" t="e">
        <f t="shared" ca="1" si="60"/>
        <v>#N/A</v>
      </c>
      <c r="L423" s="44" t="e">
        <f t="shared" ca="1" si="64"/>
        <v>#N/A</v>
      </c>
      <c r="M423" s="44" t="e">
        <f t="shared" ca="1" si="63"/>
        <v>#N/A</v>
      </c>
      <c r="N423" s="44" t="e">
        <f t="shared" ca="1" si="62"/>
        <v>#N/A</v>
      </c>
      <c r="O423" s="53" t="e">
        <f t="shared" ca="1" si="65"/>
        <v>#N/A</v>
      </c>
      <c r="P423" s="53" t="str">
        <f ca="1">IFERROR(DayByDayTable[[#This Row],[Lead Time]],"")</f>
        <v/>
      </c>
      <c r="Q423" s="44" t="e">
        <f t="shared" ca="1" si="66"/>
        <v>#N/A</v>
      </c>
      <c r="R423" s="44">
        <f ca="1">ROUND(PERCENTILE(DayByDayTable[[#Data],[BlankLeadTime]],0.8),0)</f>
        <v>8</v>
      </c>
    </row>
    <row r="424" spans="1:18">
      <c r="A424" s="51">
        <f t="shared" si="58"/>
        <v>43017</v>
      </c>
      <c r="B424" s="11">
        <f t="shared" si="61"/>
        <v>43017</v>
      </c>
      <c r="C424" s="47">
        <f>SUMIFS('On The Board'!$M$5:$M$219,'On The Board'!F$5:F$219,"&lt;="&amp;$B424,'On The Board'!E$5:E$219,"="&amp;FutureWork)</f>
        <v>43</v>
      </c>
      <c r="D424" s="12">
        <f ca="1">IF(TodaysDate&gt;=B424,SUMIF('On The Board'!F$5:F$219,"&lt;="&amp;$B424,'On The Board'!$M$5:$M$219)-SUM(E424:I424),D423)</f>
        <v>47</v>
      </c>
      <c r="E424" s="12">
        <f>SUMIF('On The Board'!G$5:G$219,"&lt;="&amp;$B424,'On The Board'!$M$5:$M$219)-SUM(F424:I424)</f>
        <v>0</v>
      </c>
      <c r="F424" s="12">
        <f>SUMIF('On The Board'!H$5:H$219,"&lt;="&amp;$B424,'On The Board'!$M$5:$M$219)-SUM(G424:I424)</f>
        <v>5</v>
      </c>
      <c r="G424" s="12">
        <f>SUMIF('On The Board'!I$5:I$219,"&lt;="&amp;$B424,'On The Board'!$M$5:$M$219)-SUM(H424,I424)</f>
        <v>2</v>
      </c>
      <c r="H424" s="12">
        <f>SUMIF('On The Board'!J$5:J$219,"&lt;="&amp;$B424,'On The Board'!$M$5:$M$219)-SUM(I424)</f>
        <v>0</v>
      </c>
      <c r="I424" s="12">
        <f>SUMIF('On The Board'!K$5:K$219,"&lt;="&amp;$B424,'On The Board'!$M$5:$M$219)</f>
        <v>70</v>
      </c>
      <c r="J424" s="10">
        <f t="shared" si="59"/>
        <v>77</v>
      </c>
      <c r="K424" s="10" t="e">
        <f t="shared" ca="1" si="60"/>
        <v>#N/A</v>
      </c>
      <c r="L424" s="44" t="e">
        <f t="shared" ca="1" si="64"/>
        <v>#N/A</v>
      </c>
      <c r="M424" s="44" t="e">
        <f t="shared" ca="1" si="63"/>
        <v>#N/A</v>
      </c>
      <c r="N424" s="44" t="e">
        <f t="shared" ca="1" si="62"/>
        <v>#N/A</v>
      </c>
      <c r="O424" s="53" t="e">
        <f t="shared" ca="1" si="65"/>
        <v>#N/A</v>
      </c>
      <c r="P424" s="53" t="str">
        <f ca="1">IFERROR(DayByDayTable[[#This Row],[Lead Time]],"")</f>
        <v/>
      </c>
      <c r="Q424" s="44" t="e">
        <f t="shared" ca="1" si="66"/>
        <v>#N/A</v>
      </c>
      <c r="R424" s="44">
        <f ca="1">ROUND(PERCENTILE(DayByDayTable[[#Data],[BlankLeadTime]],0.8),0)</f>
        <v>8</v>
      </c>
    </row>
    <row r="425" spans="1:18">
      <c r="A425" s="51">
        <f t="shared" si="58"/>
        <v>43018</v>
      </c>
      <c r="B425" s="11">
        <f t="shared" si="61"/>
        <v>43018</v>
      </c>
      <c r="C425" s="47">
        <f>SUMIFS('On The Board'!$M$5:$M$219,'On The Board'!F$5:F$219,"&lt;="&amp;$B425,'On The Board'!E$5:E$219,"="&amp;FutureWork)</f>
        <v>43</v>
      </c>
      <c r="D425" s="12">
        <f ca="1">IF(TodaysDate&gt;=B425,SUMIF('On The Board'!F$5:F$219,"&lt;="&amp;$B425,'On The Board'!$M$5:$M$219)-SUM(E425:I425),D424)</f>
        <v>47</v>
      </c>
      <c r="E425" s="12">
        <f>SUMIF('On The Board'!G$5:G$219,"&lt;="&amp;$B425,'On The Board'!$M$5:$M$219)-SUM(F425:I425)</f>
        <v>0</v>
      </c>
      <c r="F425" s="12">
        <f>SUMIF('On The Board'!H$5:H$219,"&lt;="&amp;$B425,'On The Board'!$M$5:$M$219)-SUM(G425:I425)</f>
        <v>5</v>
      </c>
      <c r="G425" s="12">
        <f>SUMIF('On The Board'!I$5:I$219,"&lt;="&amp;$B425,'On The Board'!$M$5:$M$219)-SUM(H425,I425)</f>
        <v>2</v>
      </c>
      <c r="H425" s="12">
        <f>SUMIF('On The Board'!J$5:J$219,"&lt;="&amp;$B425,'On The Board'!$M$5:$M$219)-SUM(I425)</f>
        <v>0</v>
      </c>
      <c r="I425" s="12">
        <f>SUMIF('On The Board'!K$5:K$219,"&lt;="&amp;$B425,'On The Board'!$M$5:$M$219)</f>
        <v>70</v>
      </c>
      <c r="J425" s="10">
        <f t="shared" si="59"/>
        <v>77</v>
      </c>
      <c r="K425" s="10" t="e">
        <f t="shared" ca="1" si="60"/>
        <v>#N/A</v>
      </c>
      <c r="L425" s="44" t="e">
        <f t="shared" ca="1" si="64"/>
        <v>#N/A</v>
      </c>
      <c r="M425" s="44" t="e">
        <f t="shared" ca="1" si="63"/>
        <v>#N/A</v>
      </c>
      <c r="N425" s="44" t="e">
        <f t="shared" ca="1" si="62"/>
        <v>#N/A</v>
      </c>
      <c r="O425" s="53" t="e">
        <f t="shared" ca="1" si="65"/>
        <v>#N/A</v>
      </c>
      <c r="P425" s="53" t="str">
        <f ca="1">IFERROR(DayByDayTable[[#This Row],[Lead Time]],"")</f>
        <v/>
      </c>
      <c r="Q425" s="44" t="e">
        <f t="shared" ca="1" si="66"/>
        <v>#N/A</v>
      </c>
      <c r="R425" s="44">
        <f ca="1">ROUND(PERCENTILE(DayByDayTable[[#Data],[BlankLeadTime]],0.8),0)</f>
        <v>8</v>
      </c>
    </row>
    <row r="426" spans="1:18">
      <c r="A426" s="51">
        <f t="shared" si="58"/>
        <v>43019</v>
      </c>
      <c r="B426" s="11">
        <f t="shared" si="61"/>
        <v>43019</v>
      </c>
      <c r="C426" s="47">
        <f>SUMIFS('On The Board'!$M$5:$M$219,'On The Board'!F$5:F$219,"&lt;="&amp;$B426,'On The Board'!E$5:E$219,"="&amp;FutureWork)</f>
        <v>43</v>
      </c>
      <c r="D426" s="12">
        <f ca="1">IF(TodaysDate&gt;=B426,SUMIF('On The Board'!F$5:F$219,"&lt;="&amp;$B426,'On The Board'!$M$5:$M$219)-SUM(E426:I426),D425)</f>
        <v>47</v>
      </c>
      <c r="E426" s="12">
        <f>SUMIF('On The Board'!G$5:G$219,"&lt;="&amp;$B426,'On The Board'!$M$5:$M$219)-SUM(F426:I426)</f>
        <v>0</v>
      </c>
      <c r="F426" s="12">
        <f>SUMIF('On The Board'!H$5:H$219,"&lt;="&amp;$B426,'On The Board'!$M$5:$M$219)-SUM(G426:I426)</f>
        <v>5</v>
      </c>
      <c r="G426" s="12">
        <f>SUMIF('On The Board'!I$5:I$219,"&lt;="&amp;$B426,'On The Board'!$M$5:$M$219)-SUM(H426,I426)</f>
        <v>2</v>
      </c>
      <c r="H426" s="12">
        <f>SUMIF('On The Board'!J$5:J$219,"&lt;="&amp;$B426,'On The Board'!$M$5:$M$219)-SUM(I426)</f>
        <v>0</v>
      </c>
      <c r="I426" s="12">
        <f>SUMIF('On The Board'!K$5:K$219,"&lt;="&amp;$B426,'On The Board'!$M$5:$M$219)</f>
        <v>70</v>
      </c>
      <c r="J426" s="10">
        <f t="shared" si="59"/>
        <v>77</v>
      </c>
      <c r="K426" s="10" t="e">
        <f t="shared" ca="1" si="60"/>
        <v>#N/A</v>
      </c>
      <c r="L426" s="44" t="e">
        <f t="shared" ca="1" si="64"/>
        <v>#N/A</v>
      </c>
      <c r="M426" s="44" t="e">
        <f t="shared" ca="1" si="63"/>
        <v>#N/A</v>
      </c>
      <c r="N426" s="44" t="e">
        <f t="shared" ca="1" si="62"/>
        <v>#N/A</v>
      </c>
      <c r="O426" s="53" t="e">
        <f t="shared" ca="1" si="65"/>
        <v>#N/A</v>
      </c>
      <c r="P426" s="53" t="str">
        <f ca="1">IFERROR(DayByDayTable[[#This Row],[Lead Time]],"")</f>
        <v/>
      </c>
      <c r="Q426" s="44" t="e">
        <f t="shared" ca="1" si="66"/>
        <v>#N/A</v>
      </c>
      <c r="R426" s="44">
        <f ca="1">ROUND(PERCENTILE(DayByDayTable[[#Data],[BlankLeadTime]],0.8),0)</f>
        <v>8</v>
      </c>
    </row>
    <row r="427" spans="1:18">
      <c r="A427" s="51">
        <f t="shared" si="58"/>
        <v>43020</v>
      </c>
      <c r="B427" s="11">
        <f t="shared" si="61"/>
        <v>43020</v>
      </c>
      <c r="C427" s="47">
        <f>SUMIFS('On The Board'!$M$5:$M$219,'On The Board'!F$5:F$219,"&lt;="&amp;$B427,'On The Board'!E$5:E$219,"="&amp;FutureWork)</f>
        <v>43</v>
      </c>
      <c r="D427" s="12">
        <f ca="1">IF(TodaysDate&gt;=B427,SUMIF('On The Board'!F$5:F$219,"&lt;="&amp;$B427,'On The Board'!$M$5:$M$219)-SUM(E427:I427),D426)</f>
        <v>47</v>
      </c>
      <c r="E427" s="12">
        <f>SUMIF('On The Board'!G$5:G$219,"&lt;="&amp;$B427,'On The Board'!$M$5:$M$219)-SUM(F427:I427)</f>
        <v>0</v>
      </c>
      <c r="F427" s="12">
        <f>SUMIF('On The Board'!H$5:H$219,"&lt;="&amp;$B427,'On The Board'!$M$5:$M$219)-SUM(G427:I427)</f>
        <v>5</v>
      </c>
      <c r="G427" s="12">
        <f>SUMIF('On The Board'!I$5:I$219,"&lt;="&amp;$B427,'On The Board'!$M$5:$M$219)-SUM(H427,I427)</f>
        <v>2</v>
      </c>
      <c r="H427" s="12">
        <f>SUMIF('On The Board'!J$5:J$219,"&lt;="&amp;$B427,'On The Board'!$M$5:$M$219)-SUM(I427)</f>
        <v>0</v>
      </c>
      <c r="I427" s="12">
        <f>SUMIF('On The Board'!K$5:K$219,"&lt;="&amp;$B427,'On The Board'!$M$5:$M$219)</f>
        <v>70</v>
      </c>
      <c r="J427" s="10">
        <f t="shared" si="59"/>
        <v>77</v>
      </c>
      <c r="K427" s="10" t="e">
        <f t="shared" ca="1" si="60"/>
        <v>#N/A</v>
      </c>
      <c r="L427" s="44" t="e">
        <f t="shared" ca="1" si="64"/>
        <v>#N/A</v>
      </c>
      <c r="M427" s="44" t="e">
        <f t="shared" ca="1" si="63"/>
        <v>#N/A</v>
      </c>
      <c r="N427" s="44" t="e">
        <f t="shared" ca="1" si="62"/>
        <v>#N/A</v>
      </c>
      <c r="O427" s="53" t="e">
        <f t="shared" ca="1" si="65"/>
        <v>#N/A</v>
      </c>
      <c r="P427" s="53" t="str">
        <f ca="1">IFERROR(DayByDayTable[[#This Row],[Lead Time]],"")</f>
        <v/>
      </c>
      <c r="Q427" s="44" t="e">
        <f t="shared" ca="1" si="66"/>
        <v>#N/A</v>
      </c>
      <c r="R427" s="44">
        <f ca="1">ROUND(PERCENTILE(DayByDayTable[[#Data],[BlankLeadTime]],0.8),0)</f>
        <v>8</v>
      </c>
    </row>
    <row r="428" spans="1:18">
      <c r="A428" s="51">
        <f t="shared" si="58"/>
        <v>43021</v>
      </c>
      <c r="B428" s="11">
        <f t="shared" si="61"/>
        <v>43021</v>
      </c>
      <c r="C428" s="47">
        <f>SUMIFS('On The Board'!$M$5:$M$219,'On The Board'!F$5:F$219,"&lt;="&amp;$B428,'On The Board'!E$5:E$219,"="&amp;FutureWork)</f>
        <v>43</v>
      </c>
      <c r="D428" s="12">
        <f ca="1">IF(TodaysDate&gt;=B428,SUMIF('On The Board'!F$5:F$219,"&lt;="&amp;$B428,'On The Board'!$M$5:$M$219)-SUM(E428:I428),D427)</f>
        <v>47</v>
      </c>
      <c r="E428" s="12">
        <f>SUMIF('On The Board'!G$5:G$219,"&lt;="&amp;$B428,'On The Board'!$M$5:$M$219)-SUM(F428:I428)</f>
        <v>0</v>
      </c>
      <c r="F428" s="12">
        <f>SUMIF('On The Board'!H$5:H$219,"&lt;="&amp;$B428,'On The Board'!$M$5:$M$219)-SUM(G428:I428)</f>
        <v>5</v>
      </c>
      <c r="G428" s="12">
        <f>SUMIF('On The Board'!I$5:I$219,"&lt;="&amp;$B428,'On The Board'!$M$5:$M$219)-SUM(H428,I428)</f>
        <v>2</v>
      </c>
      <c r="H428" s="12">
        <f>SUMIF('On The Board'!J$5:J$219,"&lt;="&amp;$B428,'On The Board'!$M$5:$M$219)-SUM(I428)</f>
        <v>0</v>
      </c>
      <c r="I428" s="12">
        <f>SUMIF('On The Board'!K$5:K$219,"&lt;="&amp;$B428,'On The Board'!$M$5:$M$219)</f>
        <v>70</v>
      </c>
      <c r="J428" s="10">
        <f t="shared" si="59"/>
        <v>77</v>
      </c>
      <c r="K428" s="10" t="e">
        <f t="shared" ca="1" si="60"/>
        <v>#N/A</v>
      </c>
      <c r="L428" s="44" t="e">
        <f t="shared" ca="1" si="64"/>
        <v>#N/A</v>
      </c>
      <c r="M428" s="44" t="e">
        <f t="shared" ca="1" si="63"/>
        <v>#N/A</v>
      </c>
      <c r="N428" s="44" t="e">
        <f t="shared" ca="1" si="62"/>
        <v>#N/A</v>
      </c>
      <c r="O428" s="53" t="e">
        <f t="shared" ca="1" si="65"/>
        <v>#N/A</v>
      </c>
      <c r="P428" s="53" t="str">
        <f ca="1">IFERROR(DayByDayTable[[#This Row],[Lead Time]],"")</f>
        <v/>
      </c>
      <c r="Q428" s="44" t="e">
        <f t="shared" ca="1" si="66"/>
        <v>#N/A</v>
      </c>
      <c r="R428" s="44">
        <f ca="1">ROUND(PERCENTILE(DayByDayTable[[#Data],[BlankLeadTime]],0.8),0)</f>
        <v>8</v>
      </c>
    </row>
    <row r="429" spans="1:18">
      <c r="A429" s="51">
        <f t="shared" si="58"/>
        <v>43024</v>
      </c>
      <c r="B429" s="11">
        <f t="shared" si="61"/>
        <v>43024</v>
      </c>
      <c r="C429" s="47">
        <f>SUMIFS('On The Board'!$M$5:$M$219,'On The Board'!F$5:F$219,"&lt;="&amp;$B429,'On The Board'!E$5:E$219,"="&amp;FutureWork)</f>
        <v>43</v>
      </c>
      <c r="D429" s="12">
        <f ca="1">IF(TodaysDate&gt;=B429,SUMIF('On The Board'!F$5:F$219,"&lt;="&amp;$B429,'On The Board'!$M$5:$M$219)-SUM(E429:I429),D428)</f>
        <v>47</v>
      </c>
      <c r="E429" s="12">
        <f>SUMIF('On The Board'!G$5:G$219,"&lt;="&amp;$B429,'On The Board'!$M$5:$M$219)-SUM(F429:I429)</f>
        <v>0</v>
      </c>
      <c r="F429" s="12">
        <f>SUMIF('On The Board'!H$5:H$219,"&lt;="&amp;$B429,'On The Board'!$M$5:$M$219)-SUM(G429:I429)</f>
        <v>5</v>
      </c>
      <c r="G429" s="12">
        <f>SUMIF('On The Board'!I$5:I$219,"&lt;="&amp;$B429,'On The Board'!$M$5:$M$219)-SUM(H429,I429)</f>
        <v>2</v>
      </c>
      <c r="H429" s="12">
        <f>SUMIF('On The Board'!J$5:J$219,"&lt;="&amp;$B429,'On The Board'!$M$5:$M$219)-SUM(I429)</f>
        <v>0</v>
      </c>
      <c r="I429" s="12">
        <f>SUMIF('On The Board'!K$5:K$219,"&lt;="&amp;$B429,'On The Board'!$M$5:$M$219)</f>
        <v>70</v>
      </c>
      <c r="J429" s="10">
        <f t="shared" si="59"/>
        <v>77</v>
      </c>
      <c r="K429" s="10" t="e">
        <f t="shared" ca="1" si="60"/>
        <v>#N/A</v>
      </c>
      <c r="L429" s="44" t="e">
        <f t="shared" ca="1" si="64"/>
        <v>#N/A</v>
      </c>
      <c r="M429" s="44" t="e">
        <f t="shared" ca="1" si="63"/>
        <v>#N/A</v>
      </c>
      <c r="N429" s="44" t="e">
        <f t="shared" ca="1" si="62"/>
        <v>#N/A</v>
      </c>
      <c r="O429" s="53" t="e">
        <f t="shared" ca="1" si="65"/>
        <v>#N/A</v>
      </c>
      <c r="P429" s="53" t="str">
        <f ca="1">IFERROR(DayByDayTable[[#This Row],[Lead Time]],"")</f>
        <v/>
      </c>
      <c r="Q429" s="44" t="e">
        <f t="shared" ca="1" si="66"/>
        <v>#N/A</v>
      </c>
      <c r="R429" s="44">
        <f ca="1">ROUND(PERCENTILE(DayByDayTable[[#Data],[BlankLeadTime]],0.8),0)</f>
        <v>8</v>
      </c>
    </row>
    <row r="430" spans="1:18">
      <c r="A430" s="51">
        <f t="shared" si="58"/>
        <v>43025</v>
      </c>
      <c r="B430" s="11">
        <f t="shared" si="61"/>
        <v>43025</v>
      </c>
      <c r="C430" s="47">
        <f>SUMIFS('On The Board'!$M$5:$M$219,'On The Board'!F$5:F$219,"&lt;="&amp;$B430,'On The Board'!E$5:E$219,"="&amp;FutureWork)</f>
        <v>43</v>
      </c>
      <c r="D430" s="12">
        <f ca="1">IF(TodaysDate&gt;=B430,SUMIF('On The Board'!F$5:F$219,"&lt;="&amp;$B430,'On The Board'!$M$5:$M$219)-SUM(E430:I430),D429)</f>
        <v>47</v>
      </c>
      <c r="E430" s="12">
        <f>SUMIF('On The Board'!G$5:G$219,"&lt;="&amp;$B430,'On The Board'!$M$5:$M$219)-SUM(F430:I430)</f>
        <v>0</v>
      </c>
      <c r="F430" s="12">
        <f>SUMIF('On The Board'!H$5:H$219,"&lt;="&amp;$B430,'On The Board'!$M$5:$M$219)-SUM(G430:I430)</f>
        <v>5</v>
      </c>
      <c r="G430" s="12">
        <f>SUMIF('On The Board'!I$5:I$219,"&lt;="&amp;$B430,'On The Board'!$M$5:$M$219)-SUM(H430,I430)</f>
        <v>2</v>
      </c>
      <c r="H430" s="12">
        <f>SUMIF('On The Board'!J$5:J$219,"&lt;="&amp;$B430,'On The Board'!$M$5:$M$219)-SUM(I430)</f>
        <v>0</v>
      </c>
      <c r="I430" s="12">
        <f>SUMIF('On The Board'!K$5:K$219,"&lt;="&amp;$B430,'On The Board'!$M$5:$M$219)</f>
        <v>70</v>
      </c>
      <c r="J430" s="10">
        <f t="shared" si="59"/>
        <v>77</v>
      </c>
      <c r="K430" s="10" t="e">
        <f t="shared" ca="1" si="60"/>
        <v>#N/A</v>
      </c>
      <c r="L430" s="44" t="e">
        <f t="shared" ca="1" si="64"/>
        <v>#N/A</v>
      </c>
      <c r="M430" s="44" t="e">
        <f t="shared" ca="1" si="63"/>
        <v>#N/A</v>
      </c>
      <c r="N430" s="44" t="e">
        <f t="shared" ca="1" si="62"/>
        <v>#N/A</v>
      </c>
      <c r="O430" s="53" t="e">
        <f t="shared" ca="1" si="65"/>
        <v>#N/A</v>
      </c>
      <c r="P430" s="53" t="str">
        <f ca="1">IFERROR(DayByDayTable[[#This Row],[Lead Time]],"")</f>
        <v/>
      </c>
      <c r="Q430" s="44" t="e">
        <f t="shared" ca="1" si="66"/>
        <v>#N/A</v>
      </c>
      <c r="R430" s="44">
        <f ca="1">ROUND(PERCENTILE(DayByDayTable[[#Data],[BlankLeadTime]],0.8),0)</f>
        <v>8</v>
      </c>
    </row>
    <row r="431" spans="1:18">
      <c r="A431" s="51">
        <f t="shared" si="58"/>
        <v>43026</v>
      </c>
      <c r="B431" s="11">
        <f t="shared" si="61"/>
        <v>43026</v>
      </c>
      <c r="C431" s="47">
        <f>SUMIFS('On The Board'!$M$5:$M$219,'On The Board'!F$5:F$219,"&lt;="&amp;$B431,'On The Board'!E$5:E$219,"="&amp;FutureWork)</f>
        <v>43</v>
      </c>
      <c r="D431" s="12">
        <f ca="1">IF(TodaysDate&gt;=B431,SUMIF('On The Board'!F$5:F$219,"&lt;="&amp;$B431,'On The Board'!$M$5:$M$219)-SUM(E431:I431),D430)</f>
        <v>47</v>
      </c>
      <c r="E431" s="12">
        <f>SUMIF('On The Board'!G$5:G$219,"&lt;="&amp;$B431,'On The Board'!$M$5:$M$219)-SUM(F431:I431)</f>
        <v>0</v>
      </c>
      <c r="F431" s="12">
        <f>SUMIF('On The Board'!H$5:H$219,"&lt;="&amp;$B431,'On The Board'!$M$5:$M$219)-SUM(G431:I431)</f>
        <v>5</v>
      </c>
      <c r="G431" s="12">
        <f>SUMIF('On The Board'!I$5:I$219,"&lt;="&amp;$B431,'On The Board'!$M$5:$M$219)-SUM(H431,I431)</f>
        <v>2</v>
      </c>
      <c r="H431" s="12">
        <f>SUMIF('On The Board'!J$5:J$219,"&lt;="&amp;$B431,'On The Board'!$M$5:$M$219)-SUM(I431)</f>
        <v>0</v>
      </c>
      <c r="I431" s="12">
        <f>SUMIF('On The Board'!K$5:K$219,"&lt;="&amp;$B431,'On The Board'!$M$5:$M$219)</f>
        <v>70</v>
      </c>
      <c r="J431" s="10">
        <f t="shared" si="59"/>
        <v>77</v>
      </c>
      <c r="K431" s="10" t="e">
        <f t="shared" ca="1" si="60"/>
        <v>#N/A</v>
      </c>
      <c r="L431" s="44" t="e">
        <f t="shared" ca="1" si="64"/>
        <v>#N/A</v>
      </c>
      <c r="M431" s="44" t="e">
        <f t="shared" ca="1" si="63"/>
        <v>#N/A</v>
      </c>
      <c r="N431" s="44" t="e">
        <f t="shared" ca="1" si="62"/>
        <v>#N/A</v>
      </c>
      <c r="O431" s="53" t="e">
        <f t="shared" ca="1" si="65"/>
        <v>#N/A</v>
      </c>
      <c r="P431" s="53" t="str">
        <f ca="1">IFERROR(DayByDayTable[[#This Row],[Lead Time]],"")</f>
        <v/>
      </c>
      <c r="Q431" s="44" t="e">
        <f t="shared" ca="1" si="66"/>
        <v>#N/A</v>
      </c>
      <c r="R431" s="44">
        <f ca="1">ROUND(PERCENTILE(DayByDayTable[[#Data],[BlankLeadTime]],0.8),0)</f>
        <v>8</v>
      </c>
    </row>
    <row r="432" spans="1:18">
      <c r="A432" s="51">
        <f t="shared" si="58"/>
        <v>43027</v>
      </c>
      <c r="B432" s="11">
        <f t="shared" si="61"/>
        <v>43027</v>
      </c>
      <c r="C432" s="47">
        <f>SUMIFS('On The Board'!$M$5:$M$219,'On The Board'!F$5:F$219,"&lt;="&amp;$B432,'On The Board'!E$5:E$219,"="&amp;FutureWork)</f>
        <v>43</v>
      </c>
      <c r="D432" s="12">
        <f ca="1">IF(TodaysDate&gt;=B432,SUMIF('On The Board'!F$5:F$219,"&lt;="&amp;$B432,'On The Board'!$M$5:$M$219)-SUM(E432:I432),D431)</f>
        <v>47</v>
      </c>
      <c r="E432" s="12">
        <f>SUMIF('On The Board'!G$5:G$219,"&lt;="&amp;$B432,'On The Board'!$M$5:$M$219)-SUM(F432:I432)</f>
        <v>0</v>
      </c>
      <c r="F432" s="12">
        <f>SUMIF('On The Board'!H$5:H$219,"&lt;="&amp;$B432,'On The Board'!$M$5:$M$219)-SUM(G432:I432)</f>
        <v>5</v>
      </c>
      <c r="G432" s="12">
        <f>SUMIF('On The Board'!I$5:I$219,"&lt;="&amp;$B432,'On The Board'!$M$5:$M$219)-SUM(H432,I432)</f>
        <v>2</v>
      </c>
      <c r="H432" s="12">
        <f>SUMIF('On The Board'!J$5:J$219,"&lt;="&amp;$B432,'On The Board'!$M$5:$M$219)-SUM(I432)</f>
        <v>0</v>
      </c>
      <c r="I432" s="12">
        <f>SUMIF('On The Board'!K$5:K$219,"&lt;="&amp;$B432,'On The Board'!$M$5:$M$219)</f>
        <v>70</v>
      </c>
      <c r="J432" s="10">
        <f t="shared" si="59"/>
        <v>77</v>
      </c>
      <c r="K432" s="10" t="e">
        <f t="shared" ca="1" si="60"/>
        <v>#N/A</v>
      </c>
      <c r="L432" s="44" t="e">
        <f t="shared" ca="1" si="64"/>
        <v>#N/A</v>
      </c>
      <c r="M432" s="44" t="e">
        <f t="shared" ca="1" si="63"/>
        <v>#N/A</v>
      </c>
      <c r="N432" s="44" t="e">
        <f t="shared" ca="1" si="62"/>
        <v>#N/A</v>
      </c>
      <c r="O432" s="53" t="e">
        <f t="shared" ca="1" si="65"/>
        <v>#N/A</v>
      </c>
      <c r="P432" s="53" t="str">
        <f ca="1">IFERROR(DayByDayTable[[#This Row],[Lead Time]],"")</f>
        <v/>
      </c>
      <c r="Q432" s="44" t="e">
        <f t="shared" ca="1" si="66"/>
        <v>#N/A</v>
      </c>
      <c r="R432" s="44">
        <f ca="1">ROUND(PERCENTILE(DayByDayTable[[#Data],[BlankLeadTime]],0.8),0)</f>
        <v>8</v>
      </c>
    </row>
    <row r="433" spans="1:18">
      <c r="A433" s="51">
        <f t="shared" si="58"/>
        <v>43028</v>
      </c>
      <c r="B433" s="11">
        <f t="shared" si="61"/>
        <v>43028</v>
      </c>
      <c r="C433" s="47">
        <f>SUMIFS('On The Board'!$M$5:$M$219,'On The Board'!F$5:F$219,"&lt;="&amp;$B433,'On The Board'!E$5:E$219,"="&amp;FutureWork)</f>
        <v>43</v>
      </c>
      <c r="D433" s="12">
        <f ca="1">IF(TodaysDate&gt;=B433,SUMIF('On The Board'!F$5:F$219,"&lt;="&amp;$B433,'On The Board'!$M$5:$M$219)-SUM(E433:I433),D432)</f>
        <v>47</v>
      </c>
      <c r="E433" s="12">
        <f>SUMIF('On The Board'!G$5:G$219,"&lt;="&amp;$B433,'On The Board'!$M$5:$M$219)-SUM(F433:I433)</f>
        <v>0</v>
      </c>
      <c r="F433" s="12">
        <f>SUMIF('On The Board'!H$5:H$219,"&lt;="&amp;$B433,'On The Board'!$M$5:$M$219)-SUM(G433:I433)</f>
        <v>5</v>
      </c>
      <c r="G433" s="12">
        <f>SUMIF('On The Board'!I$5:I$219,"&lt;="&amp;$B433,'On The Board'!$M$5:$M$219)-SUM(H433,I433)</f>
        <v>2</v>
      </c>
      <c r="H433" s="12">
        <f>SUMIF('On The Board'!J$5:J$219,"&lt;="&amp;$B433,'On The Board'!$M$5:$M$219)-SUM(I433)</f>
        <v>0</v>
      </c>
      <c r="I433" s="12">
        <f>SUMIF('On The Board'!K$5:K$219,"&lt;="&amp;$B433,'On The Board'!$M$5:$M$219)</f>
        <v>70</v>
      </c>
      <c r="J433" s="10">
        <f t="shared" si="59"/>
        <v>77</v>
      </c>
      <c r="K433" s="10" t="e">
        <f t="shared" ca="1" si="60"/>
        <v>#N/A</v>
      </c>
      <c r="L433" s="44" t="e">
        <f t="shared" ca="1" si="64"/>
        <v>#N/A</v>
      </c>
      <c r="M433" s="44" t="e">
        <f t="shared" ca="1" si="63"/>
        <v>#N/A</v>
      </c>
      <c r="N433" s="44" t="e">
        <f t="shared" ca="1" si="62"/>
        <v>#N/A</v>
      </c>
      <c r="O433" s="53" t="e">
        <f t="shared" ca="1" si="65"/>
        <v>#N/A</v>
      </c>
      <c r="P433" s="53" t="str">
        <f ca="1">IFERROR(DayByDayTable[[#This Row],[Lead Time]],"")</f>
        <v/>
      </c>
      <c r="Q433" s="44" t="e">
        <f t="shared" ca="1" si="66"/>
        <v>#N/A</v>
      </c>
      <c r="R433" s="44">
        <f ca="1">ROUND(PERCENTILE(DayByDayTable[[#Data],[BlankLeadTime]],0.8),0)</f>
        <v>8</v>
      </c>
    </row>
    <row r="434" spans="1:18">
      <c r="A434" s="51">
        <f t="shared" si="58"/>
        <v>43031</v>
      </c>
      <c r="B434" s="11">
        <f t="shared" si="61"/>
        <v>43031</v>
      </c>
      <c r="C434" s="47">
        <f>SUMIFS('On The Board'!$M$5:$M$219,'On The Board'!F$5:F$219,"&lt;="&amp;$B434,'On The Board'!E$5:E$219,"="&amp;FutureWork)</f>
        <v>43</v>
      </c>
      <c r="D434" s="12">
        <f ca="1">IF(TodaysDate&gt;=B434,SUMIF('On The Board'!F$5:F$219,"&lt;="&amp;$B434,'On The Board'!$M$5:$M$219)-SUM(E434:I434),D433)</f>
        <v>47</v>
      </c>
      <c r="E434" s="12">
        <f>SUMIF('On The Board'!G$5:G$219,"&lt;="&amp;$B434,'On The Board'!$M$5:$M$219)-SUM(F434:I434)</f>
        <v>0</v>
      </c>
      <c r="F434" s="12">
        <f>SUMIF('On The Board'!H$5:H$219,"&lt;="&amp;$B434,'On The Board'!$M$5:$M$219)-SUM(G434:I434)</f>
        <v>5</v>
      </c>
      <c r="G434" s="12">
        <f>SUMIF('On The Board'!I$5:I$219,"&lt;="&amp;$B434,'On The Board'!$M$5:$M$219)-SUM(H434,I434)</f>
        <v>2</v>
      </c>
      <c r="H434" s="12">
        <f>SUMIF('On The Board'!J$5:J$219,"&lt;="&amp;$B434,'On The Board'!$M$5:$M$219)-SUM(I434)</f>
        <v>0</v>
      </c>
      <c r="I434" s="12">
        <f>SUMIF('On The Board'!K$5:K$219,"&lt;="&amp;$B434,'On The Board'!$M$5:$M$219)</f>
        <v>70</v>
      </c>
      <c r="J434" s="10">
        <f t="shared" si="59"/>
        <v>77</v>
      </c>
      <c r="K434" s="10" t="e">
        <f t="shared" ca="1" si="60"/>
        <v>#N/A</v>
      </c>
      <c r="L434" s="44" t="e">
        <f t="shared" ca="1" si="64"/>
        <v>#N/A</v>
      </c>
      <c r="M434" s="44" t="e">
        <f t="shared" ca="1" si="63"/>
        <v>#N/A</v>
      </c>
      <c r="N434" s="44" t="e">
        <f t="shared" ca="1" si="62"/>
        <v>#N/A</v>
      </c>
      <c r="O434" s="53" t="e">
        <f t="shared" ca="1" si="65"/>
        <v>#N/A</v>
      </c>
      <c r="P434" s="53" t="str">
        <f ca="1">IFERROR(DayByDayTable[[#This Row],[Lead Time]],"")</f>
        <v/>
      </c>
      <c r="Q434" s="44" t="e">
        <f t="shared" ca="1" si="66"/>
        <v>#N/A</v>
      </c>
      <c r="R434" s="44">
        <f ca="1">ROUND(PERCENTILE(DayByDayTable[[#Data],[BlankLeadTime]],0.8),0)</f>
        <v>8</v>
      </c>
    </row>
    <row r="435" spans="1:18">
      <c r="A435" s="51">
        <f t="shared" si="58"/>
        <v>43032</v>
      </c>
      <c r="B435" s="11">
        <f t="shared" si="61"/>
        <v>43032</v>
      </c>
      <c r="C435" s="47">
        <f>SUMIFS('On The Board'!$M$5:$M$219,'On The Board'!F$5:F$219,"&lt;="&amp;$B435,'On The Board'!E$5:E$219,"="&amp;FutureWork)</f>
        <v>43</v>
      </c>
      <c r="D435" s="12">
        <f ca="1">IF(TodaysDate&gt;=B435,SUMIF('On The Board'!F$5:F$219,"&lt;="&amp;$B435,'On The Board'!$M$5:$M$219)-SUM(E435:I435),D434)</f>
        <v>47</v>
      </c>
      <c r="E435" s="12">
        <f>SUMIF('On The Board'!G$5:G$219,"&lt;="&amp;$B435,'On The Board'!$M$5:$M$219)-SUM(F435:I435)</f>
        <v>0</v>
      </c>
      <c r="F435" s="12">
        <f>SUMIF('On The Board'!H$5:H$219,"&lt;="&amp;$B435,'On The Board'!$M$5:$M$219)-SUM(G435:I435)</f>
        <v>5</v>
      </c>
      <c r="G435" s="12">
        <f>SUMIF('On The Board'!I$5:I$219,"&lt;="&amp;$B435,'On The Board'!$M$5:$M$219)-SUM(H435,I435)</f>
        <v>2</v>
      </c>
      <c r="H435" s="12">
        <f>SUMIF('On The Board'!J$5:J$219,"&lt;="&amp;$B435,'On The Board'!$M$5:$M$219)-SUM(I435)</f>
        <v>0</v>
      </c>
      <c r="I435" s="12">
        <f>SUMIF('On The Board'!K$5:K$219,"&lt;="&amp;$B435,'On The Board'!$M$5:$M$219)</f>
        <v>70</v>
      </c>
      <c r="J435" s="10">
        <f t="shared" si="59"/>
        <v>77</v>
      </c>
      <c r="K435" s="10" t="e">
        <f t="shared" ca="1" si="60"/>
        <v>#N/A</v>
      </c>
      <c r="L435" s="44" t="e">
        <f t="shared" ca="1" si="64"/>
        <v>#N/A</v>
      </c>
      <c r="M435" s="44" t="e">
        <f t="shared" ca="1" si="63"/>
        <v>#N/A</v>
      </c>
      <c r="N435" s="44" t="e">
        <f t="shared" ca="1" si="62"/>
        <v>#N/A</v>
      </c>
      <c r="O435" s="53" t="e">
        <f t="shared" ca="1" si="65"/>
        <v>#N/A</v>
      </c>
      <c r="P435" s="53" t="str">
        <f ca="1">IFERROR(DayByDayTable[[#This Row],[Lead Time]],"")</f>
        <v/>
      </c>
      <c r="Q435" s="44" t="e">
        <f t="shared" ca="1" si="66"/>
        <v>#N/A</v>
      </c>
      <c r="R435" s="44">
        <f ca="1">ROUND(PERCENTILE(DayByDayTable[[#Data],[BlankLeadTime]],0.8),0)</f>
        <v>8</v>
      </c>
    </row>
    <row r="436" spans="1:18">
      <c r="A436" s="51">
        <f t="shared" si="58"/>
        <v>43033</v>
      </c>
      <c r="B436" s="11">
        <f t="shared" si="61"/>
        <v>43033</v>
      </c>
      <c r="C436" s="47">
        <f>SUMIFS('On The Board'!$M$5:$M$219,'On The Board'!F$5:F$219,"&lt;="&amp;$B436,'On The Board'!E$5:E$219,"="&amp;FutureWork)</f>
        <v>43</v>
      </c>
      <c r="D436" s="12">
        <f ca="1">IF(TodaysDate&gt;=B436,SUMIF('On The Board'!F$5:F$219,"&lt;="&amp;$B436,'On The Board'!$M$5:$M$219)-SUM(E436:I436),D435)</f>
        <v>47</v>
      </c>
      <c r="E436" s="12">
        <f>SUMIF('On The Board'!G$5:G$219,"&lt;="&amp;$B436,'On The Board'!$M$5:$M$219)-SUM(F436:I436)</f>
        <v>0</v>
      </c>
      <c r="F436" s="12">
        <f>SUMIF('On The Board'!H$5:H$219,"&lt;="&amp;$B436,'On The Board'!$M$5:$M$219)-SUM(G436:I436)</f>
        <v>5</v>
      </c>
      <c r="G436" s="12">
        <f>SUMIF('On The Board'!I$5:I$219,"&lt;="&amp;$B436,'On The Board'!$M$5:$M$219)-SUM(H436,I436)</f>
        <v>2</v>
      </c>
      <c r="H436" s="12">
        <f>SUMIF('On The Board'!J$5:J$219,"&lt;="&amp;$B436,'On The Board'!$M$5:$M$219)-SUM(I436)</f>
        <v>0</v>
      </c>
      <c r="I436" s="12">
        <f>SUMIF('On The Board'!K$5:K$219,"&lt;="&amp;$B436,'On The Board'!$M$5:$M$219)</f>
        <v>70</v>
      </c>
      <c r="J436" s="10">
        <f t="shared" si="59"/>
        <v>77</v>
      </c>
      <c r="K436" s="10" t="e">
        <f t="shared" ca="1" si="60"/>
        <v>#N/A</v>
      </c>
      <c r="L436" s="44" t="e">
        <f t="shared" ca="1" si="64"/>
        <v>#N/A</v>
      </c>
      <c r="M436" s="44" t="e">
        <f t="shared" ca="1" si="63"/>
        <v>#N/A</v>
      </c>
      <c r="N436" s="44" t="e">
        <f t="shared" ca="1" si="62"/>
        <v>#N/A</v>
      </c>
      <c r="O436" s="53" t="e">
        <f t="shared" ca="1" si="65"/>
        <v>#N/A</v>
      </c>
      <c r="P436" s="53" t="str">
        <f ca="1">IFERROR(DayByDayTable[[#This Row],[Lead Time]],"")</f>
        <v/>
      </c>
      <c r="Q436" s="44" t="e">
        <f t="shared" ca="1" si="66"/>
        <v>#N/A</v>
      </c>
      <c r="R436" s="44">
        <f ca="1">ROUND(PERCENTILE(DayByDayTable[[#Data],[BlankLeadTime]],0.8),0)</f>
        <v>8</v>
      </c>
    </row>
    <row r="437" spans="1:18">
      <c r="A437" s="51">
        <f t="shared" si="58"/>
        <v>43034</v>
      </c>
      <c r="B437" s="11">
        <f t="shared" si="61"/>
        <v>43034</v>
      </c>
      <c r="C437" s="47">
        <f>SUMIFS('On The Board'!$M$5:$M$219,'On The Board'!F$5:F$219,"&lt;="&amp;$B437,'On The Board'!E$5:E$219,"="&amp;FutureWork)</f>
        <v>43</v>
      </c>
      <c r="D437" s="12">
        <f ca="1">IF(TodaysDate&gt;=B437,SUMIF('On The Board'!F$5:F$219,"&lt;="&amp;$B437,'On The Board'!$M$5:$M$219)-SUM(E437:I437),D436)</f>
        <v>47</v>
      </c>
      <c r="E437" s="12">
        <f>SUMIF('On The Board'!G$5:G$219,"&lt;="&amp;$B437,'On The Board'!$M$5:$M$219)-SUM(F437:I437)</f>
        <v>0</v>
      </c>
      <c r="F437" s="12">
        <f>SUMIF('On The Board'!H$5:H$219,"&lt;="&amp;$B437,'On The Board'!$M$5:$M$219)-SUM(G437:I437)</f>
        <v>5</v>
      </c>
      <c r="G437" s="12">
        <f>SUMIF('On The Board'!I$5:I$219,"&lt;="&amp;$B437,'On The Board'!$M$5:$M$219)-SUM(H437,I437)</f>
        <v>2</v>
      </c>
      <c r="H437" s="12">
        <f>SUMIF('On The Board'!J$5:J$219,"&lt;="&amp;$B437,'On The Board'!$M$5:$M$219)-SUM(I437)</f>
        <v>0</v>
      </c>
      <c r="I437" s="12">
        <f>SUMIF('On The Board'!K$5:K$219,"&lt;="&amp;$B437,'On The Board'!$M$5:$M$219)</f>
        <v>70</v>
      </c>
      <c r="J437" s="10">
        <f t="shared" si="59"/>
        <v>77</v>
      </c>
      <c r="K437" s="10" t="e">
        <f t="shared" ca="1" si="60"/>
        <v>#N/A</v>
      </c>
      <c r="L437" s="44" t="e">
        <f t="shared" ca="1" si="64"/>
        <v>#N/A</v>
      </c>
      <c r="M437" s="44" t="e">
        <f t="shared" ca="1" si="63"/>
        <v>#N/A</v>
      </c>
      <c r="N437" s="44" t="e">
        <f t="shared" ca="1" si="62"/>
        <v>#N/A</v>
      </c>
      <c r="O437" s="53" t="e">
        <f t="shared" ca="1" si="65"/>
        <v>#N/A</v>
      </c>
      <c r="P437" s="53" t="str">
        <f ca="1">IFERROR(DayByDayTable[[#This Row],[Lead Time]],"")</f>
        <v/>
      </c>
      <c r="Q437" s="44" t="e">
        <f t="shared" ca="1" si="66"/>
        <v>#N/A</v>
      </c>
      <c r="R437" s="44">
        <f ca="1">ROUND(PERCENTILE(DayByDayTable[[#Data],[BlankLeadTime]],0.8),0)</f>
        <v>8</v>
      </c>
    </row>
    <row r="438" spans="1:18">
      <c r="A438" s="51">
        <f t="shared" si="58"/>
        <v>43035</v>
      </c>
      <c r="B438" s="11">
        <f t="shared" si="61"/>
        <v>43035</v>
      </c>
      <c r="C438" s="47">
        <f>SUMIFS('On The Board'!$M$5:$M$219,'On The Board'!F$5:F$219,"&lt;="&amp;$B438,'On The Board'!E$5:E$219,"="&amp;FutureWork)</f>
        <v>43</v>
      </c>
      <c r="D438" s="12">
        <f ca="1">IF(TodaysDate&gt;=B438,SUMIF('On The Board'!F$5:F$219,"&lt;="&amp;$B438,'On The Board'!$M$5:$M$219)-SUM(E438:I438),D437)</f>
        <v>47</v>
      </c>
      <c r="E438" s="12">
        <f>SUMIF('On The Board'!G$5:G$219,"&lt;="&amp;$B438,'On The Board'!$M$5:$M$219)-SUM(F438:I438)</f>
        <v>0</v>
      </c>
      <c r="F438" s="12">
        <f>SUMIF('On The Board'!H$5:H$219,"&lt;="&amp;$B438,'On The Board'!$M$5:$M$219)-SUM(G438:I438)</f>
        <v>5</v>
      </c>
      <c r="G438" s="12">
        <f>SUMIF('On The Board'!I$5:I$219,"&lt;="&amp;$B438,'On The Board'!$M$5:$M$219)-SUM(H438,I438)</f>
        <v>2</v>
      </c>
      <c r="H438" s="12">
        <f>SUMIF('On The Board'!J$5:J$219,"&lt;="&amp;$B438,'On The Board'!$M$5:$M$219)-SUM(I438)</f>
        <v>0</v>
      </c>
      <c r="I438" s="12">
        <f>SUMIF('On The Board'!K$5:K$219,"&lt;="&amp;$B438,'On The Board'!$M$5:$M$219)</f>
        <v>70</v>
      </c>
      <c r="J438" s="10">
        <f t="shared" si="59"/>
        <v>77</v>
      </c>
      <c r="K438" s="10" t="e">
        <f t="shared" ca="1" si="60"/>
        <v>#N/A</v>
      </c>
      <c r="L438" s="44" t="e">
        <f t="shared" ca="1" si="64"/>
        <v>#N/A</v>
      </c>
      <c r="M438" s="44" t="e">
        <f t="shared" ca="1" si="63"/>
        <v>#N/A</v>
      </c>
      <c r="N438" s="44" t="e">
        <f t="shared" ca="1" si="62"/>
        <v>#N/A</v>
      </c>
      <c r="O438" s="53" t="e">
        <f t="shared" ca="1" si="65"/>
        <v>#N/A</v>
      </c>
      <c r="P438" s="53" t="str">
        <f ca="1">IFERROR(DayByDayTable[[#This Row],[Lead Time]],"")</f>
        <v/>
      </c>
      <c r="Q438" s="44" t="e">
        <f t="shared" ca="1" si="66"/>
        <v>#N/A</v>
      </c>
      <c r="R438" s="44">
        <f ca="1">ROUND(PERCENTILE(DayByDayTable[[#Data],[BlankLeadTime]],0.8),0)</f>
        <v>8</v>
      </c>
    </row>
    <row r="439" spans="1:18">
      <c r="A439" s="51">
        <f t="shared" si="58"/>
        <v>43038</v>
      </c>
      <c r="B439" s="11">
        <f t="shared" si="61"/>
        <v>43038</v>
      </c>
      <c r="C439" s="47">
        <f>SUMIFS('On The Board'!$M$5:$M$219,'On The Board'!F$5:F$219,"&lt;="&amp;$B439,'On The Board'!E$5:E$219,"="&amp;FutureWork)</f>
        <v>43</v>
      </c>
      <c r="D439" s="12">
        <f ca="1">IF(TodaysDate&gt;=B439,SUMIF('On The Board'!F$5:F$219,"&lt;="&amp;$B439,'On The Board'!$M$5:$M$219)-SUM(E439:I439),D438)</f>
        <v>47</v>
      </c>
      <c r="E439" s="12">
        <f>SUMIF('On The Board'!G$5:G$219,"&lt;="&amp;$B439,'On The Board'!$M$5:$M$219)-SUM(F439:I439)</f>
        <v>0</v>
      </c>
      <c r="F439" s="12">
        <f>SUMIF('On The Board'!H$5:H$219,"&lt;="&amp;$B439,'On The Board'!$M$5:$M$219)-SUM(G439:I439)</f>
        <v>5</v>
      </c>
      <c r="G439" s="12">
        <f>SUMIF('On The Board'!I$5:I$219,"&lt;="&amp;$B439,'On The Board'!$M$5:$M$219)-SUM(H439,I439)</f>
        <v>2</v>
      </c>
      <c r="H439" s="12">
        <f>SUMIF('On The Board'!J$5:J$219,"&lt;="&amp;$B439,'On The Board'!$M$5:$M$219)-SUM(I439)</f>
        <v>0</v>
      </c>
      <c r="I439" s="12">
        <f>SUMIF('On The Board'!K$5:K$219,"&lt;="&amp;$B439,'On The Board'!$M$5:$M$219)</f>
        <v>70</v>
      </c>
      <c r="J439" s="10">
        <f t="shared" si="59"/>
        <v>77</v>
      </c>
      <c r="K439" s="10" t="e">
        <f t="shared" ca="1" si="60"/>
        <v>#N/A</v>
      </c>
      <c r="L439" s="44" t="e">
        <f t="shared" ca="1" si="64"/>
        <v>#N/A</v>
      </c>
      <c r="M439" s="44" t="e">
        <f t="shared" ca="1" si="63"/>
        <v>#N/A</v>
      </c>
      <c r="N439" s="44" t="e">
        <f t="shared" ca="1" si="62"/>
        <v>#N/A</v>
      </c>
      <c r="O439" s="53" t="e">
        <f t="shared" ca="1" si="65"/>
        <v>#N/A</v>
      </c>
      <c r="P439" s="53" t="str">
        <f ca="1">IFERROR(DayByDayTable[[#This Row],[Lead Time]],"")</f>
        <v/>
      </c>
      <c r="Q439" s="44" t="e">
        <f t="shared" ca="1" si="66"/>
        <v>#N/A</v>
      </c>
      <c r="R439" s="44">
        <f ca="1">ROUND(PERCENTILE(DayByDayTable[[#Data],[BlankLeadTime]],0.8),0)</f>
        <v>8</v>
      </c>
    </row>
    <row r="440" spans="1:18">
      <c r="A440" s="51">
        <f t="shared" si="58"/>
        <v>43039</v>
      </c>
      <c r="B440" s="11">
        <f t="shared" si="61"/>
        <v>43039</v>
      </c>
      <c r="C440" s="47">
        <f>SUMIFS('On The Board'!$M$5:$M$219,'On The Board'!F$5:F$219,"&lt;="&amp;$B440,'On The Board'!E$5:E$219,"="&amp;FutureWork)</f>
        <v>43</v>
      </c>
      <c r="D440" s="12">
        <f ca="1">IF(TodaysDate&gt;=B440,SUMIF('On The Board'!F$5:F$219,"&lt;="&amp;$B440,'On The Board'!$M$5:$M$219)-SUM(E440:I440),D439)</f>
        <v>47</v>
      </c>
      <c r="E440" s="12">
        <f>SUMIF('On The Board'!G$5:G$219,"&lt;="&amp;$B440,'On The Board'!$M$5:$M$219)-SUM(F440:I440)</f>
        <v>0</v>
      </c>
      <c r="F440" s="12">
        <f>SUMIF('On The Board'!H$5:H$219,"&lt;="&amp;$B440,'On The Board'!$M$5:$M$219)-SUM(G440:I440)</f>
        <v>5</v>
      </c>
      <c r="G440" s="12">
        <f>SUMIF('On The Board'!I$5:I$219,"&lt;="&amp;$B440,'On The Board'!$M$5:$M$219)-SUM(H440,I440)</f>
        <v>2</v>
      </c>
      <c r="H440" s="12">
        <f>SUMIF('On The Board'!J$5:J$219,"&lt;="&amp;$B440,'On The Board'!$M$5:$M$219)-SUM(I440)</f>
        <v>0</v>
      </c>
      <c r="I440" s="12">
        <f>SUMIF('On The Board'!K$5:K$219,"&lt;="&amp;$B440,'On The Board'!$M$5:$M$219)</f>
        <v>70</v>
      </c>
      <c r="J440" s="10">
        <f t="shared" si="59"/>
        <v>77</v>
      </c>
      <c r="K440" s="10" t="e">
        <f t="shared" ca="1" si="60"/>
        <v>#N/A</v>
      </c>
      <c r="L440" s="44" t="e">
        <f t="shared" ca="1" si="64"/>
        <v>#N/A</v>
      </c>
      <c r="M440" s="44" t="e">
        <f t="shared" ca="1" si="63"/>
        <v>#N/A</v>
      </c>
      <c r="N440" s="44" t="e">
        <f t="shared" ca="1" si="62"/>
        <v>#N/A</v>
      </c>
      <c r="O440" s="53" t="e">
        <f t="shared" ca="1" si="65"/>
        <v>#N/A</v>
      </c>
      <c r="P440" s="53" t="str">
        <f ca="1">IFERROR(DayByDayTable[[#This Row],[Lead Time]],"")</f>
        <v/>
      </c>
      <c r="Q440" s="44" t="e">
        <f t="shared" ca="1" si="66"/>
        <v>#N/A</v>
      </c>
      <c r="R440" s="44">
        <f ca="1">ROUND(PERCENTILE(DayByDayTable[[#Data],[BlankLeadTime]],0.8),0)</f>
        <v>8</v>
      </c>
    </row>
    <row r="441" spans="1:18">
      <c r="A441" s="51">
        <f t="shared" si="58"/>
        <v>43040</v>
      </c>
      <c r="B441" s="11">
        <f t="shared" si="61"/>
        <v>43040</v>
      </c>
      <c r="C441" s="47">
        <f>SUMIFS('On The Board'!$M$5:$M$219,'On The Board'!F$5:F$219,"&lt;="&amp;$B441,'On The Board'!E$5:E$219,"="&amp;FutureWork)</f>
        <v>43</v>
      </c>
      <c r="D441" s="12">
        <f ca="1">IF(TodaysDate&gt;=B441,SUMIF('On The Board'!F$5:F$219,"&lt;="&amp;$B441,'On The Board'!$M$5:$M$219)-SUM(E441:I441),D440)</f>
        <v>47</v>
      </c>
      <c r="E441" s="12">
        <f>SUMIF('On The Board'!G$5:G$219,"&lt;="&amp;$B441,'On The Board'!$M$5:$M$219)-SUM(F441:I441)</f>
        <v>0</v>
      </c>
      <c r="F441" s="12">
        <f>SUMIF('On The Board'!H$5:H$219,"&lt;="&amp;$B441,'On The Board'!$M$5:$M$219)-SUM(G441:I441)</f>
        <v>5</v>
      </c>
      <c r="G441" s="12">
        <f>SUMIF('On The Board'!I$5:I$219,"&lt;="&amp;$B441,'On The Board'!$M$5:$M$219)-SUM(H441,I441)</f>
        <v>2</v>
      </c>
      <c r="H441" s="12">
        <f>SUMIF('On The Board'!J$5:J$219,"&lt;="&amp;$B441,'On The Board'!$M$5:$M$219)-SUM(I441)</f>
        <v>0</v>
      </c>
      <c r="I441" s="12">
        <f>SUMIF('On The Board'!K$5:K$219,"&lt;="&amp;$B441,'On The Board'!$M$5:$M$219)</f>
        <v>70</v>
      </c>
      <c r="J441" s="10">
        <f t="shared" si="59"/>
        <v>77</v>
      </c>
      <c r="K441" s="10" t="e">
        <f t="shared" ca="1" si="60"/>
        <v>#N/A</v>
      </c>
      <c r="L441" s="44" t="e">
        <f t="shared" ca="1" si="64"/>
        <v>#N/A</v>
      </c>
      <c r="M441" s="44" t="e">
        <f t="shared" ca="1" si="63"/>
        <v>#N/A</v>
      </c>
      <c r="N441" s="44" t="e">
        <f t="shared" ca="1" si="62"/>
        <v>#N/A</v>
      </c>
      <c r="O441" s="53" t="e">
        <f t="shared" ca="1" si="65"/>
        <v>#N/A</v>
      </c>
      <c r="P441" s="53" t="str">
        <f ca="1">IFERROR(DayByDayTable[[#This Row],[Lead Time]],"")</f>
        <v/>
      </c>
      <c r="Q441" s="44" t="e">
        <f t="shared" ca="1" si="66"/>
        <v>#N/A</v>
      </c>
      <c r="R441" s="44">
        <f ca="1">ROUND(PERCENTILE(DayByDayTable[[#Data],[BlankLeadTime]],0.8),0)</f>
        <v>8</v>
      </c>
    </row>
    <row r="442" spans="1:18">
      <c r="A442" s="51">
        <f t="shared" si="58"/>
        <v>43041</v>
      </c>
      <c r="B442" s="11">
        <f t="shared" si="61"/>
        <v>43041</v>
      </c>
      <c r="C442" s="47">
        <f>SUMIFS('On The Board'!$M$5:$M$219,'On The Board'!F$5:F$219,"&lt;="&amp;$B442,'On The Board'!E$5:E$219,"="&amp;FutureWork)</f>
        <v>43</v>
      </c>
      <c r="D442" s="12">
        <f ca="1">IF(TodaysDate&gt;=B442,SUMIF('On The Board'!F$5:F$219,"&lt;="&amp;$B442,'On The Board'!$M$5:$M$219)-SUM(E442:I442),D441)</f>
        <v>47</v>
      </c>
      <c r="E442" s="12">
        <f>SUMIF('On The Board'!G$5:G$219,"&lt;="&amp;$B442,'On The Board'!$M$5:$M$219)-SUM(F442:I442)</f>
        <v>0</v>
      </c>
      <c r="F442" s="12">
        <f>SUMIF('On The Board'!H$5:H$219,"&lt;="&amp;$B442,'On The Board'!$M$5:$M$219)-SUM(G442:I442)</f>
        <v>5</v>
      </c>
      <c r="G442" s="12">
        <f>SUMIF('On The Board'!I$5:I$219,"&lt;="&amp;$B442,'On The Board'!$M$5:$M$219)-SUM(H442,I442)</f>
        <v>2</v>
      </c>
      <c r="H442" s="12">
        <f>SUMIF('On The Board'!J$5:J$219,"&lt;="&amp;$B442,'On The Board'!$M$5:$M$219)-SUM(I442)</f>
        <v>0</v>
      </c>
      <c r="I442" s="12">
        <f>SUMIF('On The Board'!K$5:K$219,"&lt;="&amp;$B442,'On The Board'!$M$5:$M$219)</f>
        <v>70</v>
      </c>
      <c r="J442" s="10">
        <f t="shared" si="59"/>
        <v>77</v>
      </c>
      <c r="K442" s="10" t="e">
        <f t="shared" ca="1" si="60"/>
        <v>#N/A</v>
      </c>
      <c r="L442" s="44" t="e">
        <f t="shared" ca="1" si="64"/>
        <v>#N/A</v>
      </c>
      <c r="M442" s="44" t="e">
        <f t="shared" ca="1" si="63"/>
        <v>#N/A</v>
      </c>
      <c r="N442" s="44" t="e">
        <f t="shared" ca="1" si="62"/>
        <v>#N/A</v>
      </c>
      <c r="O442" s="53" t="e">
        <f t="shared" ca="1" si="65"/>
        <v>#N/A</v>
      </c>
      <c r="P442" s="53" t="str">
        <f ca="1">IFERROR(DayByDayTable[[#This Row],[Lead Time]],"")</f>
        <v/>
      </c>
      <c r="Q442" s="44" t="e">
        <f t="shared" ca="1" si="66"/>
        <v>#N/A</v>
      </c>
      <c r="R442" s="44">
        <f ca="1">ROUND(PERCENTILE(DayByDayTable[[#Data],[BlankLeadTime]],0.8),0)</f>
        <v>8</v>
      </c>
    </row>
    <row r="443" spans="1:18">
      <c r="A443" s="51">
        <f t="shared" si="58"/>
        <v>43042</v>
      </c>
      <c r="B443" s="11">
        <f t="shared" si="61"/>
        <v>43042</v>
      </c>
      <c r="C443" s="47">
        <f>SUMIFS('On The Board'!$M$5:$M$219,'On The Board'!F$5:F$219,"&lt;="&amp;$B443,'On The Board'!E$5:E$219,"="&amp;FutureWork)</f>
        <v>43</v>
      </c>
      <c r="D443" s="12">
        <f ca="1">IF(TodaysDate&gt;=B443,SUMIF('On The Board'!F$5:F$219,"&lt;="&amp;$B443,'On The Board'!$M$5:$M$219)-SUM(E443:I443),D442)</f>
        <v>47</v>
      </c>
      <c r="E443" s="12">
        <f>SUMIF('On The Board'!G$5:G$219,"&lt;="&amp;$B443,'On The Board'!$M$5:$M$219)-SUM(F443:I443)</f>
        <v>0</v>
      </c>
      <c r="F443" s="12">
        <f>SUMIF('On The Board'!H$5:H$219,"&lt;="&amp;$B443,'On The Board'!$M$5:$M$219)-SUM(G443:I443)</f>
        <v>5</v>
      </c>
      <c r="G443" s="12">
        <f>SUMIF('On The Board'!I$5:I$219,"&lt;="&amp;$B443,'On The Board'!$M$5:$M$219)-SUM(H443,I443)</f>
        <v>2</v>
      </c>
      <c r="H443" s="12">
        <f>SUMIF('On The Board'!J$5:J$219,"&lt;="&amp;$B443,'On The Board'!$M$5:$M$219)-SUM(I443)</f>
        <v>0</v>
      </c>
      <c r="I443" s="12">
        <f>SUMIF('On The Board'!K$5:K$219,"&lt;="&amp;$B443,'On The Board'!$M$5:$M$219)</f>
        <v>70</v>
      </c>
      <c r="J443" s="10">
        <f t="shared" si="59"/>
        <v>77</v>
      </c>
      <c r="K443" s="10" t="e">
        <f t="shared" ca="1" si="60"/>
        <v>#N/A</v>
      </c>
      <c r="L443" s="44" t="e">
        <f t="shared" ca="1" si="64"/>
        <v>#N/A</v>
      </c>
      <c r="M443" s="44" t="e">
        <f t="shared" ca="1" si="63"/>
        <v>#N/A</v>
      </c>
      <c r="N443" s="44" t="e">
        <f t="shared" ca="1" si="62"/>
        <v>#N/A</v>
      </c>
      <c r="O443" s="53" t="e">
        <f t="shared" ca="1" si="65"/>
        <v>#N/A</v>
      </c>
      <c r="P443" s="53" t="str">
        <f ca="1">IFERROR(DayByDayTable[[#This Row],[Lead Time]],"")</f>
        <v/>
      </c>
      <c r="Q443" s="44" t="e">
        <f t="shared" ca="1" si="66"/>
        <v>#N/A</v>
      </c>
      <c r="R443" s="44">
        <f ca="1">ROUND(PERCENTILE(DayByDayTable[[#Data],[BlankLeadTime]],0.8),0)</f>
        <v>8</v>
      </c>
    </row>
    <row r="444" spans="1:18">
      <c r="A444" s="51">
        <f t="shared" si="58"/>
        <v>43045</v>
      </c>
      <c r="B444" s="11">
        <f t="shared" si="61"/>
        <v>43045</v>
      </c>
      <c r="C444" s="47">
        <f>SUMIFS('On The Board'!$M$5:$M$219,'On The Board'!F$5:F$219,"&lt;="&amp;$B444,'On The Board'!E$5:E$219,"="&amp;FutureWork)</f>
        <v>43</v>
      </c>
      <c r="D444" s="12">
        <f ca="1">IF(TodaysDate&gt;=B444,SUMIF('On The Board'!F$5:F$219,"&lt;="&amp;$B444,'On The Board'!$M$5:$M$219)-SUM(E444:I444),D443)</f>
        <v>47</v>
      </c>
      <c r="E444" s="12">
        <f>SUMIF('On The Board'!G$5:G$219,"&lt;="&amp;$B444,'On The Board'!$M$5:$M$219)-SUM(F444:I444)</f>
        <v>0</v>
      </c>
      <c r="F444" s="12">
        <f>SUMIF('On The Board'!H$5:H$219,"&lt;="&amp;$B444,'On The Board'!$M$5:$M$219)-SUM(G444:I444)</f>
        <v>5</v>
      </c>
      <c r="G444" s="12">
        <f>SUMIF('On The Board'!I$5:I$219,"&lt;="&amp;$B444,'On The Board'!$M$5:$M$219)-SUM(H444,I444)</f>
        <v>2</v>
      </c>
      <c r="H444" s="12">
        <f>SUMIF('On The Board'!J$5:J$219,"&lt;="&amp;$B444,'On The Board'!$M$5:$M$219)-SUM(I444)</f>
        <v>0</v>
      </c>
      <c r="I444" s="12">
        <f>SUMIF('On The Board'!K$5:K$219,"&lt;="&amp;$B444,'On The Board'!$M$5:$M$219)</f>
        <v>70</v>
      </c>
      <c r="J444" s="10">
        <f t="shared" si="59"/>
        <v>77</v>
      </c>
      <c r="K444" s="10" t="e">
        <f t="shared" ca="1" si="60"/>
        <v>#N/A</v>
      </c>
      <c r="L444" s="44" t="e">
        <f t="shared" ca="1" si="64"/>
        <v>#N/A</v>
      </c>
      <c r="M444" s="44" t="e">
        <f t="shared" ca="1" si="63"/>
        <v>#N/A</v>
      </c>
      <c r="N444" s="44" t="e">
        <f t="shared" ca="1" si="62"/>
        <v>#N/A</v>
      </c>
      <c r="O444" s="53" t="e">
        <f t="shared" ca="1" si="65"/>
        <v>#N/A</v>
      </c>
      <c r="P444" s="53" t="str">
        <f ca="1">IFERROR(DayByDayTable[[#This Row],[Lead Time]],"")</f>
        <v/>
      </c>
      <c r="Q444" s="44" t="e">
        <f t="shared" ca="1" si="66"/>
        <v>#N/A</v>
      </c>
      <c r="R444" s="44">
        <f ca="1">ROUND(PERCENTILE(DayByDayTable[[#Data],[BlankLeadTime]],0.8),0)</f>
        <v>8</v>
      </c>
    </row>
    <row r="445" spans="1:18">
      <c r="A445" s="51">
        <f t="shared" si="58"/>
        <v>43046</v>
      </c>
      <c r="B445" s="11">
        <f t="shared" si="61"/>
        <v>43046</v>
      </c>
      <c r="C445" s="47">
        <f>SUMIFS('On The Board'!$M$5:$M$219,'On The Board'!F$5:F$219,"&lt;="&amp;$B445,'On The Board'!E$5:E$219,"="&amp;FutureWork)</f>
        <v>43</v>
      </c>
      <c r="D445" s="12">
        <f ca="1">IF(TodaysDate&gt;=B445,SUMIF('On The Board'!F$5:F$219,"&lt;="&amp;$B445,'On The Board'!$M$5:$M$219)-SUM(E445:I445),D444)</f>
        <v>47</v>
      </c>
      <c r="E445" s="12">
        <f>SUMIF('On The Board'!G$5:G$219,"&lt;="&amp;$B445,'On The Board'!$M$5:$M$219)-SUM(F445:I445)</f>
        <v>0</v>
      </c>
      <c r="F445" s="12">
        <f>SUMIF('On The Board'!H$5:H$219,"&lt;="&amp;$B445,'On The Board'!$M$5:$M$219)-SUM(G445:I445)</f>
        <v>5</v>
      </c>
      <c r="G445" s="12">
        <f>SUMIF('On The Board'!I$5:I$219,"&lt;="&amp;$B445,'On The Board'!$M$5:$M$219)-SUM(H445,I445)</f>
        <v>2</v>
      </c>
      <c r="H445" s="12">
        <f>SUMIF('On The Board'!J$5:J$219,"&lt;="&amp;$B445,'On The Board'!$M$5:$M$219)-SUM(I445)</f>
        <v>0</v>
      </c>
      <c r="I445" s="12">
        <f>SUMIF('On The Board'!K$5:K$219,"&lt;="&amp;$B445,'On The Board'!$M$5:$M$219)</f>
        <v>70</v>
      </c>
      <c r="J445" s="10">
        <f t="shared" si="59"/>
        <v>77</v>
      </c>
      <c r="K445" s="10" t="e">
        <f t="shared" ca="1" si="60"/>
        <v>#N/A</v>
      </c>
      <c r="L445" s="44" t="e">
        <f t="shared" ca="1" si="64"/>
        <v>#N/A</v>
      </c>
      <c r="M445" s="44" t="e">
        <f t="shared" ca="1" si="63"/>
        <v>#N/A</v>
      </c>
      <c r="N445" s="44" t="e">
        <f t="shared" ca="1" si="62"/>
        <v>#N/A</v>
      </c>
      <c r="O445" s="53" t="e">
        <f t="shared" ca="1" si="65"/>
        <v>#N/A</v>
      </c>
      <c r="P445" s="53" t="str">
        <f ca="1">IFERROR(DayByDayTable[[#This Row],[Lead Time]],"")</f>
        <v/>
      </c>
      <c r="Q445" s="44" t="e">
        <f t="shared" ca="1" si="66"/>
        <v>#N/A</v>
      </c>
      <c r="R445" s="44">
        <f ca="1">ROUND(PERCENTILE(DayByDayTable[[#Data],[BlankLeadTime]],0.8),0)</f>
        <v>8</v>
      </c>
    </row>
    <row r="446" spans="1:18">
      <c r="A446" s="51">
        <f t="shared" si="58"/>
        <v>43047</v>
      </c>
      <c r="B446" s="11">
        <f t="shared" si="61"/>
        <v>43047</v>
      </c>
      <c r="C446" s="47">
        <f>SUMIFS('On The Board'!$M$5:$M$219,'On The Board'!F$5:F$219,"&lt;="&amp;$B446,'On The Board'!E$5:E$219,"="&amp;FutureWork)</f>
        <v>43</v>
      </c>
      <c r="D446" s="12">
        <f ca="1">IF(TodaysDate&gt;=B446,SUMIF('On The Board'!F$5:F$219,"&lt;="&amp;$B446,'On The Board'!$M$5:$M$219)-SUM(E446:I446),D445)</f>
        <v>47</v>
      </c>
      <c r="E446" s="12">
        <f>SUMIF('On The Board'!G$5:G$219,"&lt;="&amp;$B446,'On The Board'!$M$5:$M$219)-SUM(F446:I446)</f>
        <v>0</v>
      </c>
      <c r="F446" s="12">
        <f>SUMIF('On The Board'!H$5:H$219,"&lt;="&amp;$B446,'On The Board'!$M$5:$M$219)-SUM(G446:I446)</f>
        <v>5</v>
      </c>
      <c r="G446" s="12">
        <f>SUMIF('On The Board'!I$5:I$219,"&lt;="&amp;$B446,'On The Board'!$M$5:$M$219)-SUM(H446,I446)</f>
        <v>2</v>
      </c>
      <c r="H446" s="12">
        <f>SUMIF('On The Board'!J$5:J$219,"&lt;="&amp;$B446,'On The Board'!$M$5:$M$219)-SUM(I446)</f>
        <v>0</v>
      </c>
      <c r="I446" s="12">
        <f>SUMIF('On The Board'!K$5:K$219,"&lt;="&amp;$B446,'On The Board'!$M$5:$M$219)</f>
        <v>70</v>
      </c>
      <c r="J446" s="10">
        <f t="shared" si="59"/>
        <v>77</v>
      </c>
      <c r="K446" s="10" t="e">
        <f t="shared" ca="1" si="60"/>
        <v>#N/A</v>
      </c>
      <c r="L446" s="44" t="e">
        <f t="shared" ca="1" si="64"/>
        <v>#N/A</v>
      </c>
      <c r="M446" s="44" t="e">
        <f t="shared" ca="1" si="63"/>
        <v>#N/A</v>
      </c>
      <c r="N446" s="44" t="e">
        <f t="shared" ca="1" si="62"/>
        <v>#N/A</v>
      </c>
      <c r="O446" s="53" t="e">
        <f t="shared" ca="1" si="65"/>
        <v>#N/A</v>
      </c>
      <c r="P446" s="53" t="str">
        <f ca="1">IFERROR(DayByDayTable[[#This Row],[Lead Time]],"")</f>
        <v/>
      </c>
      <c r="Q446" s="44" t="e">
        <f t="shared" ca="1" si="66"/>
        <v>#N/A</v>
      </c>
      <c r="R446" s="44">
        <f ca="1">ROUND(PERCENTILE(DayByDayTable[[#Data],[BlankLeadTime]],0.8),0)</f>
        <v>8</v>
      </c>
    </row>
    <row r="447" spans="1:18">
      <c r="A447" s="51">
        <f t="shared" ref="A447:A510" si="67">B447</f>
        <v>43048</v>
      </c>
      <c r="B447" s="11">
        <f t="shared" si="61"/>
        <v>43048</v>
      </c>
      <c r="C447" s="47">
        <f>SUMIFS('On The Board'!$M$5:$M$219,'On The Board'!F$5:F$219,"&lt;="&amp;$B447,'On The Board'!E$5:E$219,"="&amp;FutureWork)</f>
        <v>43</v>
      </c>
      <c r="D447" s="12">
        <f ca="1">IF(TodaysDate&gt;=B447,SUMIF('On The Board'!F$5:F$219,"&lt;="&amp;$B447,'On The Board'!$M$5:$M$219)-SUM(E447:I447),D446)</f>
        <v>47</v>
      </c>
      <c r="E447" s="12">
        <f>SUMIF('On The Board'!G$5:G$219,"&lt;="&amp;$B447,'On The Board'!$M$5:$M$219)-SUM(F447:I447)</f>
        <v>0</v>
      </c>
      <c r="F447" s="12">
        <f>SUMIF('On The Board'!H$5:H$219,"&lt;="&amp;$B447,'On The Board'!$M$5:$M$219)-SUM(G447:I447)</f>
        <v>5</v>
      </c>
      <c r="G447" s="12">
        <f>SUMIF('On The Board'!I$5:I$219,"&lt;="&amp;$B447,'On The Board'!$M$5:$M$219)-SUM(H447,I447)</f>
        <v>2</v>
      </c>
      <c r="H447" s="12">
        <f>SUMIF('On The Board'!J$5:J$219,"&lt;="&amp;$B447,'On The Board'!$M$5:$M$219)-SUM(I447)</f>
        <v>0</v>
      </c>
      <c r="I447" s="12">
        <f>SUMIF('On The Board'!K$5:K$219,"&lt;="&amp;$B447,'On The Board'!$M$5:$M$219)</f>
        <v>70</v>
      </c>
      <c r="J447" s="10">
        <f t="shared" ref="J447:J510" si="68">SUM(E447:I447)</f>
        <v>77</v>
      </c>
      <c r="K447" s="10" t="e">
        <f t="shared" ca="1" si="60"/>
        <v>#N/A</v>
      </c>
      <c r="L447" s="44" t="e">
        <f t="shared" ca="1" si="64"/>
        <v>#N/A</v>
      </c>
      <c r="M447" s="44" t="e">
        <f t="shared" ca="1" si="63"/>
        <v>#N/A</v>
      </c>
      <c r="N447" s="44" t="e">
        <f t="shared" ca="1" si="62"/>
        <v>#N/A</v>
      </c>
      <c r="O447" s="53" t="e">
        <f t="shared" ca="1" si="65"/>
        <v>#N/A</v>
      </c>
      <c r="P447" s="53" t="str">
        <f ca="1">IFERROR(DayByDayTable[[#This Row],[Lead Time]],"")</f>
        <v/>
      </c>
      <c r="Q447" s="44" t="e">
        <f t="shared" ca="1" si="66"/>
        <v>#N/A</v>
      </c>
      <c r="R447" s="44">
        <f ca="1">ROUND(PERCENTILE(DayByDayTable[[#Data],[BlankLeadTime]],0.8),0)</f>
        <v>8</v>
      </c>
    </row>
    <row r="448" spans="1:18">
      <c r="A448" s="51">
        <f t="shared" si="67"/>
        <v>43049</v>
      </c>
      <c r="B448" s="11">
        <f t="shared" si="61"/>
        <v>43049</v>
      </c>
      <c r="C448" s="47">
        <f>SUMIFS('On The Board'!$M$5:$M$219,'On The Board'!F$5:F$219,"&lt;="&amp;$B448,'On The Board'!E$5:E$219,"="&amp;FutureWork)</f>
        <v>43</v>
      </c>
      <c r="D448" s="12">
        <f ca="1">IF(TodaysDate&gt;=B448,SUMIF('On The Board'!F$5:F$219,"&lt;="&amp;$B448,'On The Board'!$M$5:$M$219)-SUM(E448:I448),D447)</f>
        <v>47</v>
      </c>
      <c r="E448" s="12">
        <f>SUMIF('On The Board'!G$5:G$219,"&lt;="&amp;$B448,'On The Board'!$M$5:$M$219)-SUM(F448:I448)</f>
        <v>0</v>
      </c>
      <c r="F448" s="12">
        <f>SUMIF('On The Board'!H$5:H$219,"&lt;="&amp;$B448,'On The Board'!$M$5:$M$219)-SUM(G448:I448)</f>
        <v>5</v>
      </c>
      <c r="G448" s="12">
        <f>SUMIF('On The Board'!I$5:I$219,"&lt;="&amp;$B448,'On The Board'!$M$5:$M$219)-SUM(H448,I448)</f>
        <v>2</v>
      </c>
      <c r="H448" s="12">
        <f>SUMIF('On The Board'!J$5:J$219,"&lt;="&amp;$B448,'On The Board'!$M$5:$M$219)-SUM(I448)</f>
        <v>0</v>
      </c>
      <c r="I448" s="12">
        <f>SUMIF('On The Board'!K$5:K$219,"&lt;="&amp;$B448,'On The Board'!$M$5:$M$219)</f>
        <v>70</v>
      </c>
      <c r="J448" s="10">
        <f t="shared" si="68"/>
        <v>77</v>
      </c>
      <c r="K448" s="10" t="e">
        <f t="shared" ca="1" si="60"/>
        <v>#N/A</v>
      </c>
      <c r="L448" s="44" t="e">
        <f t="shared" ca="1" si="64"/>
        <v>#N/A</v>
      </c>
      <c r="M448" s="44" t="e">
        <f t="shared" ca="1" si="63"/>
        <v>#N/A</v>
      </c>
      <c r="N448" s="44" t="e">
        <f t="shared" ca="1" si="62"/>
        <v>#N/A</v>
      </c>
      <c r="O448" s="53" t="e">
        <f t="shared" ca="1" si="65"/>
        <v>#N/A</v>
      </c>
      <c r="P448" s="53" t="str">
        <f ca="1">IFERROR(DayByDayTable[[#This Row],[Lead Time]],"")</f>
        <v/>
      </c>
      <c r="Q448" s="44" t="e">
        <f t="shared" ca="1" si="66"/>
        <v>#N/A</v>
      </c>
      <c r="R448" s="44">
        <f ca="1">ROUND(PERCENTILE(DayByDayTable[[#Data],[BlankLeadTime]],0.8),0)</f>
        <v>8</v>
      </c>
    </row>
    <row r="449" spans="1:18">
      <c r="A449" s="51">
        <f t="shared" si="67"/>
        <v>43052</v>
      </c>
      <c r="B449" s="11">
        <f t="shared" si="61"/>
        <v>43052</v>
      </c>
      <c r="C449" s="47">
        <f>SUMIFS('On The Board'!$M$5:$M$219,'On The Board'!F$5:F$219,"&lt;="&amp;$B449,'On The Board'!E$5:E$219,"="&amp;FutureWork)</f>
        <v>43</v>
      </c>
      <c r="D449" s="12">
        <f ca="1">IF(TodaysDate&gt;=B449,SUMIF('On The Board'!F$5:F$219,"&lt;="&amp;$B449,'On The Board'!$M$5:$M$219)-SUM(E449:I449),D448)</f>
        <v>47</v>
      </c>
      <c r="E449" s="12">
        <f>SUMIF('On The Board'!G$5:G$219,"&lt;="&amp;$B449,'On The Board'!$M$5:$M$219)-SUM(F449:I449)</f>
        <v>0</v>
      </c>
      <c r="F449" s="12">
        <f>SUMIF('On The Board'!H$5:H$219,"&lt;="&amp;$B449,'On The Board'!$M$5:$M$219)-SUM(G449:I449)</f>
        <v>5</v>
      </c>
      <c r="G449" s="12">
        <f>SUMIF('On The Board'!I$5:I$219,"&lt;="&amp;$B449,'On The Board'!$M$5:$M$219)-SUM(H449,I449)</f>
        <v>2</v>
      </c>
      <c r="H449" s="12">
        <f>SUMIF('On The Board'!J$5:J$219,"&lt;="&amp;$B449,'On The Board'!$M$5:$M$219)-SUM(I449)</f>
        <v>0</v>
      </c>
      <c r="I449" s="12">
        <f>SUMIF('On The Board'!K$5:K$219,"&lt;="&amp;$B449,'On The Board'!$M$5:$M$219)</f>
        <v>70</v>
      </c>
      <c r="J449" s="10">
        <f t="shared" si="68"/>
        <v>77</v>
      </c>
      <c r="K449" s="10" t="e">
        <f t="shared" ca="1" si="60"/>
        <v>#N/A</v>
      </c>
      <c r="L449" s="44" t="e">
        <f t="shared" ca="1" si="64"/>
        <v>#N/A</v>
      </c>
      <c r="M449" s="44" t="e">
        <f t="shared" ca="1" si="63"/>
        <v>#N/A</v>
      </c>
      <c r="N449" s="44" t="e">
        <f t="shared" ca="1" si="62"/>
        <v>#N/A</v>
      </c>
      <c r="O449" s="53" t="e">
        <f t="shared" ca="1" si="65"/>
        <v>#N/A</v>
      </c>
      <c r="P449" s="53" t="str">
        <f ca="1">IFERROR(DayByDayTable[[#This Row],[Lead Time]],"")</f>
        <v/>
      </c>
      <c r="Q449" s="44" t="e">
        <f t="shared" ca="1" si="66"/>
        <v>#N/A</v>
      </c>
      <c r="R449" s="44">
        <f ca="1">ROUND(PERCENTILE(DayByDayTable[[#Data],[BlankLeadTime]],0.8),0)</f>
        <v>8</v>
      </c>
    </row>
    <row r="450" spans="1:18">
      <c r="A450" s="51">
        <f t="shared" si="67"/>
        <v>43053</v>
      </c>
      <c r="B450" s="11">
        <f t="shared" si="61"/>
        <v>43053</v>
      </c>
      <c r="C450" s="47">
        <f>SUMIFS('On The Board'!$M$5:$M$219,'On The Board'!F$5:F$219,"&lt;="&amp;$B450,'On The Board'!E$5:E$219,"="&amp;FutureWork)</f>
        <v>43</v>
      </c>
      <c r="D450" s="12">
        <f ca="1">IF(TodaysDate&gt;=B450,SUMIF('On The Board'!F$5:F$219,"&lt;="&amp;$B450,'On The Board'!$M$5:$M$219)-SUM(E450:I450),D449)</f>
        <v>47</v>
      </c>
      <c r="E450" s="12">
        <f>SUMIF('On The Board'!G$5:G$219,"&lt;="&amp;$B450,'On The Board'!$M$5:$M$219)-SUM(F450:I450)</f>
        <v>0</v>
      </c>
      <c r="F450" s="12">
        <f>SUMIF('On The Board'!H$5:H$219,"&lt;="&amp;$B450,'On The Board'!$M$5:$M$219)-SUM(G450:I450)</f>
        <v>5</v>
      </c>
      <c r="G450" s="12">
        <f>SUMIF('On The Board'!I$5:I$219,"&lt;="&amp;$B450,'On The Board'!$M$5:$M$219)-SUM(H450,I450)</f>
        <v>2</v>
      </c>
      <c r="H450" s="12">
        <f>SUMIF('On The Board'!J$5:J$219,"&lt;="&amp;$B450,'On The Board'!$M$5:$M$219)-SUM(I450)</f>
        <v>0</v>
      </c>
      <c r="I450" s="12">
        <f>SUMIF('On The Board'!K$5:K$219,"&lt;="&amp;$B450,'On The Board'!$M$5:$M$219)</f>
        <v>70</v>
      </c>
      <c r="J450" s="10">
        <f t="shared" si="68"/>
        <v>77</v>
      </c>
      <c r="K450" s="10" t="e">
        <f t="shared" ref="K450:K513" ca="1" si="69">IF(TodaysDate&gt;=B450,SUM(E450:H450),NA())</f>
        <v>#N/A</v>
      </c>
      <c r="L450" s="44" t="e">
        <f t="shared" ca="1" si="64"/>
        <v>#N/A</v>
      </c>
      <c r="M450" s="44" t="e">
        <f t="shared" ca="1" si="63"/>
        <v>#N/A</v>
      </c>
      <c r="N450" s="44" t="e">
        <f t="shared" ca="1" si="62"/>
        <v>#N/A</v>
      </c>
      <c r="O450" s="53" t="e">
        <f t="shared" ca="1" si="65"/>
        <v>#N/A</v>
      </c>
      <c r="P450" s="53" t="str">
        <f ca="1">IFERROR(DayByDayTable[[#This Row],[Lead Time]],"")</f>
        <v/>
      </c>
      <c r="Q450" s="44" t="e">
        <f t="shared" ca="1" si="66"/>
        <v>#N/A</v>
      </c>
      <c r="R450" s="44">
        <f ca="1">ROUND(PERCENTILE(DayByDayTable[[#Data],[BlankLeadTime]],0.8),0)</f>
        <v>8</v>
      </c>
    </row>
    <row r="451" spans="1:18">
      <c r="A451" s="51">
        <f t="shared" si="67"/>
        <v>43054</v>
      </c>
      <c r="B451" s="11">
        <f t="shared" ref="B451:B514" si="70">IF(NETWORKDAYS(B450,B450+1,BankHolidays)=2,B450+1,IF(NETWORKDAYS(B450,B450+2,BankHolidays)=2,B450+2,IF(NETWORKDAYS(B450,B450+3,BankHolidays)=2,B450+3,IF(NETWORKDAYS(B450,B450+4,BankHolidays)=2,B450+4,IF(NETWORKDAYS(B450,B450+5,BankHolidays)=2,B450+5,NA())))))</f>
        <v>43054</v>
      </c>
      <c r="C451" s="47">
        <f>SUMIFS('On The Board'!$M$5:$M$219,'On The Board'!F$5:F$219,"&lt;="&amp;$B451,'On The Board'!E$5:E$219,"="&amp;FutureWork)</f>
        <v>43</v>
      </c>
      <c r="D451" s="12">
        <f ca="1">IF(TodaysDate&gt;=B451,SUMIF('On The Board'!F$5:F$219,"&lt;="&amp;$B451,'On The Board'!$M$5:$M$219)-SUM(E451:I451),D450)</f>
        <v>47</v>
      </c>
      <c r="E451" s="12">
        <f>SUMIF('On The Board'!G$5:G$219,"&lt;="&amp;$B451,'On The Board'!$M$5:$M$219)-SUM(F451:I451)</f>
        <v>0</v>
      </c>
      <c r="F451" s="12">
        <f>SUMIF('On The Board'!H$5:H$219,"&lt;="&amp;$B451,'On The Board'!$M$5:$M$219)-SUM(G451:I451)</f>
        <v>5</v>
      </c>
      <c r="G451" s="12">
        <f>SUMIF('On The Board'!I$5:I$219,"&lt;="&amp;$B451,'On The Board'!$M$5:$M$219)-SUM(H451,I451)</f>
        <v>2</v>
      </c>
      <c r="H451" s="12">
        <f>SUMIF('On The Board'!J$5:J$219,"&lt;="&amp;$B451,'On The Board'!$M$5:$M$219)-SUM(I451)</f>
        <v>0</v>
      </c>
      <c r="I451" s="12">
        <f>SUMIF('On The Board'!K$5:K$219,"&lt;="&amp;$B451,'On The Board'!$M$5:$M$219)</f>
        <v>70</v>
      </c>
      <c r="J451" s="10">
        <f t="shared" si="68"/>
        <v>77</v>
      </c>
      <c r="K451" s="10" t="e">
        <f t="shared" ca="1" si="69"/>
        <v>#N/A</v>
      </c>
      <c r="L451" s="44" t="e">
        <f t="shared" ca="1" si="64"/>
        <v>#N/A</v>
      </c>
      <c r="M451" s="44" t="e">
        <f t="shared" ca="1" si="63"/>
        <v>#N/A</v>
      </c>
      <c r="N451" s="44" t="e">
        <f t="shared" ref="N451:N514" ca="1" si="71">IF(M451&gt;0,L451/M451,NA())</f>
        <v>#N/A</v>
      </c>
      <c r="O451" s="53" t="e">
        <f t="shared" ca="1" si="65"/>
        <v>#N/A</v>
      </c>
      <c r="P451" s="53" t="str">
        <f ca="1">IFERROR(DayByDayTable[[#This Row],[Lead Time]],"")</f>
        <v/>
      </c>
      <c r="Q451" s="44" t="e">
        <f t="shared" ca="1" si="66"/>
        <v>#N/A</v>
      </c>
      <c r="R451" s="44">
        <f ca="1">ROUND(PERCENTILE(DayByDayTable[[#Data],[BlankLeadTime]],0.8),0)</f>
        <v>8</v>
      </c>
    </row>
    <row r="452" spans="1:18">
      <c r="A452" s="51">
        <f t="shared" si="67"/>
        <v>43055</v>
      </c>
      <c r="B452" s="11">
        <f t="shared" si="70"/>
        <v>43055</v>
      </c>
      <c r="C452" s="47">
        <f>SUMIFS('On The Board'!$M$5:$M$219,'On The Board'!F$5:F$219,"&lt;="&amp;$B452,'On The Board'!E$5:E$219,"="&amp;FutureWork)</f>
        <v>43</v>
      </c>
      <c r="D452" s="12">
        <f ca="1">IF(TodaysDate&gt;=B452,SUMIF('On The Board'!F$5:F$219,"&lt;="&amp;$B452,'On The Board'!$M$5:$M$219)-SUM(E452:I452),D451)</f>
        <v>47</v>
      </c>
      <c r="E452" s="12">
        <f>SUMIF('On The Board'!G$5:G$219,"&lt;="&amp;$B452,'On The Board'!$M$5:$M$219)-SUM(F452:I452)</f>
        <v>0</v>
      </c>
      <c r="F452" s="12">
        <f>SUMIF('On The Board'!H$5:H$219,"&lt;="&amp;$B452,'On The Board'!$M$5:$M$219)-SUM(G452:I452)</f>
        <v>5</v>
      </c>
      <c r="G452" s="12">
        <f>SUMIF('On The Board'!I$5:I$219,"&lt;="&amp;$B452,'On The Board'!$M$5:$M$219)-SUM(H452,I452)</f>
        <v>2</v>
      </c>
      <c r="H452" s="12">
        <f>SUMIF('On The Board'!J$5:J$219,"&lt;="&amp;$B452,'On The Board'!$M$5:$M$219)-SUM(I452)</f>
        <v>0</v>
      </c>
      <c r="I452" s="12">
        <f>SUMIF('On The Board'!K$5:K$219,"&lt;="&amp;$B452,'On The Board'!$M$5:$M$219)</f>
        <v>70</v>
      </c>
      <c r="J452" s="10">
        <f t="shared" si="68"/>
        <v>77</v>
      </c>
      <c r="K452" s="10" t="e">
        <f t="shared" ca="1" si="69"/>
        <v>#N/A</v>
      </c>
      <c r="L452" s="44" t="e">
        <f t="shared" ca="1" si="64"/>
        <v>#N/A</v>
      </c>
      <c r="M452" s="44" t="e">
        <f t="shared" ca="1" si="63"/>
        <v>#N/A</v>
      </c>
      <c r="N452" s="44" t="e">
        <f t="shared" ca="1" si="71"/>
        <v>#N/A</v>
      </c>
      <c r="O452" s="53" t="e">
        <f t="shared" ca="1" si="65"/>
        <v>#N/A</v>
      </c>
      <c r="P452" s="53" t="str">
        <f ca="1">IFERROR(DayByDayTable[[#This Row],[Lead Time]],"")</f>
        <v/>
      </c>
      <c r="Q452" s="44" t="e">
        <f t="shared" ca="1" si="66"/>
        <v>#N/A</v>
      </c>
      <c r="R452" s="44">
        <f ca="1">ROUND(PERCENTILE(DayByDayTable[[#Data],[BlankLeadTime]],0.8),0)</f>
        <v>8</v>
      </c>
    </row>
    <row r="453" spans="1:18">
      <c r="A453" s="51">
        <f t="shared" si="67"/>
        <v>43056</v>
      </c>
      <c r="B453" s="11">
        <f t="shared" si="70"/>
        <v>43056</v>
      </c>
      <c r="C453" s="47">
        <f>SUMIFS('On The Board'!$M$5:$M$219,'On The Board'!F$5:F$219,"&lt;="&amp;$B453,'On The Board'!E$5:E$219,"="&amp;FutureWork)</f>
        <v>43</v>
      </c>
      <c r="D453" s="12">
        <f ca="1">IF(TodaysDate&gt;=B453,SUMIF('On The Board'!F$5:F$219,"&lt;="&amp;$B453,'On The Board'!$M$5:$M$219)-SUM(E453:I453),D452)</f>
        <v>47</v>
      </c>
      <c r="E453" s="12">
        <f>SUMIF('On The Board'!G$5:G$219,"&lt;="&amp;$B453,'On The Board'!$M$5:$M$219)-SUM(F453:I453)</f>
        <v>0</v>
      </c>
      <c r="F453" s="12">
        <f>SUMIF('On The Board'!H$5:H$219,"&lt;="&amp;$B453,'On The Board'!$M$5:$M$219)-SUM(G453:I453)</f>
        <v>5</v>
      </c>
      <c r="G453" s="12">
        <f>SUMIF('On The Board'!I$5:I$219,"&lt;="&amp;$B453,'On The Board'!$M$5:$M$219)-SUM(H453,I453)</f>
        <v>2</v>
      </c>
      <c r="H453" s="12">
        <f>SUMIF('On The Board'!J$5:J$219,"&lt;="&amp;$B453,'On The Board'!$M$5:$M$219)-SUM(I453)</f>
        <v>0</v>
      </c>
      <c r="I453" s="12">
        <f>SUMIF('On The Board'!K$5:K$219,"&lt;="&amp;$B453,'On The Board'!$M$5:$M$219)</f>
        <v>70</v>
      </c>
      <c r="J453" s="10">
        <f t="shared" si="68"/>
        <v>77</v>
      </c>
      <c r="K453" s="10" t="e">
        <f t="shared" ca="1" si="69"/>
        <v>#N/A</v>
      </c>
      <c r="L453" s="44" t="e">
        <f t="shared" ca="1" si="64"/>
        <v>#N/A</v>
      </c>
      <c r="M453" s="44" t="e">
        <f t="shared" ca="1" si="63"/>
        <v>#N/A</v>
      </c>
      <c r="N453" s="44" t="e">
        <f t="shared" ca="1" si="71"/>
        <v>#N/A</v>
      </c>
      <c r="O453" s="53" t="e">
        <f t="shared" ca="1" si="65"/>
        <v>#N/A</v>
      </c>
      <c r="P453" s="53" t="str">
        <f ca="1">IFERROR(DayByDayTable[[#This Row],[Lead Time]],"")</f>
        <v/>
      </c>
      <c r="Q453" s="44" t="e">
        <f t="shared" ca="1" si="66"/>
        <v>#N/A</v>
      </c>
      <c r="R453" s="44">
        <f ca="1">ROUND(PERCENTILE(DayByDayTable[[#Data],[BlankLeadTime]],0.8),0)</f>
        <v>8</v>
      </c>
    </row>
    <row r="454" spans="1:18">
      <c r="A454" s="51">
        <f t="shared" si="67"/>
        <v>43059</v>
      </c>
      <c r="B454" s="11">
        <f t="shared" si="70"/>
        <v>43059</v>
      </c>
      <c r="C454" s="47">
        <f>SUMIFS('On The Board'!$M$5:$M$219,'On The Board'!F$5:F$219,"&lt;="&amp;$B454,'On The Board'!E$5:E$219,"="&amp;FutureWork)</f>
        <v>43</v>
      </c>
      <c r="D454" s="12">
        <f ca="1">IF(TodaysDate&gt;=B454,SUMIF('On The Board'!F$5:F$219,"&lt;="&amp;$B454,'On The Board'!$M$5:$M$219)-SUM(E454:I454),D453)</f>
        <v>47</v>
      </c>
      <c r="E454" s="12">
        <f>SUMIF('On The Board'!G$5:G$219,"&lt;="&amp;$B454,'On The Board'!$M$5:$M$219)-SUM(F454:I454)</f>
        <v>0</v>
      </c>
      <c r="F454" s="12">
        <f>SUMIF('On The Board'!H$5:H$219,"&lt;="&amp;$B454,'On The Board'!$M$5:$M$219)-SUM(G454:I454)</f>
        <v>5</v>
      </c>
      <c r="G454" s="12">
        <f>SUMIF('On The Board'!I$5:I$219,"&lt;="&amp;$B454,'On The Board'!$M$5:$M$219)-SUM(H454,I454)</f>
        <v>2</v>
      </c>
      <c r="H454" s="12">
        <f>SUMIF('On The Board'!J$5:J$219,"&lt;="&amp;$B454,'On The Board'!$M$5:$M$219)-SUM(I454)</f>
        <v>0</v>
      </c>
      <c r="I454" s="12">
        <f>SUMIF('On The Board'!K$5:K$219,"&lt;="&amp;$B454,'On The Board'!$M$5:$M$219)</f>
        <v>70</v>
      </c>
      <c r="J454" s="10">
        <f t="shared" si="68"/>
        <v>77</v>
      </c>
      <c r="K454" s="10" t="e">
        <f t="shared" ca="1" si="69"/>
        <v>#N/A</v>
      </c>
      <c r="L454" s="44" t="e">
        <f t="shared" ca="1" si="64"/>
        <v>#N/A</v>
      </c>
      <c r="M454" s="44" t="e">
        <f t="shared" ca="1" si="63"/>
        <v>#N/A</v>
      </c>
      <c r="N454" s="44" t="e">
        <f t="shared" ca="1" si="71"/>
        <v>#N/A</v>
      </c>
      <c r="O454" s="53" t="e">
        <f t="shared" ca="1" si="65"/>
        <v>#N/A</v>
      </c>
      <c r="P454" s="53" t="str">
        <f ca="1">IFERROR(DayByDayTable[[#This Row],[Lead Time]],"")</f>
        <v/>
      </c>
      <c r="Q454" s="44" t="e">
        <f t="shared" ca="1" si="66"/>
        <v>#N/A</v>
      </c>
      <c r="R454" s="44">
        <f ca="1">ROUND(PERCENTILE(DayByDayTable[[#Data],[BlankLeadTime]],0.8),0)</f>
        <v>8</v>
      </c>
    </row>
    <row r="455" spans="1:18">
      <c r="A455" s="51">
        <f t="shared" si="67"/>
        <v>43060</v>
      </c>
      <c r="B455" s="11">
        <f t="shared" si="70"/>
        <v>43060</v>
      </c>
      <c r="C455" s="47">
        <f>SUMIFS('On The Board'!$M$5:$M$219,'On The Board'!F$5:F$219,"&lt;="&amp;$B455,'On The Board'!E$5:E$219,"="&amp;FutureWork)</f>
        <v>43</v>
      </c>
      <c r="D455" s="12">
        <f ca="1">IF(TodaysDate&gt;=B455,SUMIF('On The Board'!F$5:F$219,"&lt;="&amp;$B455,'On The Board'!$M$5:$M$219)-SUM(E455:I455),D454)</f>
        <v>47</v>
      </c>
      <c r="E455" s="12">
        <f>SUMIF('On The Board'!G$5:G$219,"&lt;="&amp;$B455,'On The Board'!$M$5:$M$219)-SUM(F455:I455)</f>
        <v>0</v>
      </c>
      <c r="F455" s="12">
        <f>SUMIF('On The Board'!H$5:H$219,"&lt;="&amp;$B455,'On The Board'!$M$5:$M$219)-SUM(G455:I455)</f>
        <v>5</v>
      </c>
      <c r="G455" s="12">
        <f>SUMIF('On The Board'!I$5:I$219,"&lt;="&amp;$B455,'On The Board'!$M$5:$M$219)-SUM(H455,I455)</f>
        <v>2</v>
      </c>
      <c r="H455" s="12">
        <f>SUMIF('On The Board'!J$5:J$219,"&lt;="&amp;$B455,'On The Board'!$M$5:$M$219)-SUM(I455)</f>
        <v>0</v>
      </c>
      <c r="I455" s="12">
        <f>SUMIF('On The Board'!K$5:K$219,"&lt;="&amp;$B455,'On The Board'!$M$5:$M$219)</f>
        <v>70</v>
      </c>
      <c r="J455" s="10">
        <f t="shared" si="68"/>
        <v>77</v>
      </c>
      <c r="K455" s="10" t="e">
        <f t="shared" ca="1" si="69"/>
        <v>#N/A</v>
      </c>
      <c r="L455" s="44" t="e">
        <f t="shared" ca="1" si="64"/>
        <v>#N/A</v>
      </c>
      <c r="M455" s="44" t="e">
        <f t="shared" ca="1" si="63"/>
        <v>#N/A</v>
      </c>
      <c r="N455" s="44" t="e">
        <f t="shared" ca="1" si="71"/>
        <v>#N/A</v>
      </c>
      <c r="O455" s="53" t="e">
        <f t="shared" ca="1" si="65"/>
        <v>#N/A</v>
      </c>
      <c r="P455" s="53" t="str">
        <f ca="1">IFERROR(DayByDayTable[[#This Row],[Lead Time]],"")</f>
        <v/>
      </c>
      <c r="Q455" s="44" t="e">
        <f t="shared" ca="1" si="66"/>
        <v>#N/A</v>
      </c>
      <c r="R455" s="44">
        <f ca="1">ROUND(PERCENTILE(DayByDayTable[[#Data],[BlankLeadTime]],0.8),0)</f>
        <v>8</v>
      </c>
    </row>
    <row r="456" spans="1:18">
      <c r="A456" s="51">
        <f t="shared" si="67"/>
        <v>43061</v>
      </c>
      <c r="B456" s="11">
        <f t="shared" si="70"/>
        <v>43061</v>
      </c>
      <c r="C456" s="47">
        <f>SUMIFS('On The Board'!$M$5:$M$219,'On The Board'!F$5:F$219,"&lt;="&amp;$B456,'On The Board'!E$5:E$219,"="&amp;FutureWork)</f>
        <v>43</v>
      </c>
      <c r="D456" s="12">
        <f ca="1">IF(TodaysDate&gt;=B456,SUMIF('On The Board'!F$5:F$219,"&lt;="&amp;$B456,'On The Board'!$M$5:$M$219)-SUM(E456:I456),D455)</f>
        <v>47</v>
      </c>
      <c r="E456" s="12">
        <f>SUMIF('On The Board'!G$5:G$219,"&lt;="&amp;$B456,'On The Board'!$M$5:$M$219)-SUM(F456:I456)</f>
        <v>0</v>
      </c>
      <c r="F456" s="12">
        <f>SUMIF('On The Board'!H$5:H$219,"&lt;="&amp;$B456,'On The Board'!$M$5:$M$219)-SUM(G456:I456)</f>
        <v>5</v>
      </c>
      <c r="G456" s="12">
        <f>SUMIF('On The Board'!I$5:I$219,"&lt;="&amp;$B456,'On The Board'!$M$5:$M$219)-SUM(H456,I456)</f>
        <v>2</v>
      </c>
      <c r="H456" s="12">
        <f>SUMIF('On The Board'!J$5:J$219,"&lt;="&amp;$B456,'On The Board'!$M$5:$M$219)-SUM(I456)</f>
        <v>0</v>
      </c>
      <c r="I456" s="12">
        <f>SUMIF('On The Board'!K$5:K$219,"&lt;="&amp;$B456,'On The Board'!$M$5:$M$219)</f>
        <v>70</v>
      </c>
      <c r="J456" s="10">
        <f t="shared" si="68"/>
        <v>77</v>
      </c>
      <c r="K456" s="10" t="e">
        <f t="shared" ca="1" si="69"/>
        <v>#N/A</v>
      </c>
      <c r="L456" s="44" t="e">
        <f t="shared" ca="1" si="64"/>
        <v>#N/A</v>
      </c>
      <c r="M456" s="44" t="e">
        <f t="shared" ca="1" si="63"/>
        <v>#N/A</v>
      </c>
      <c r="N456" s="44" t="e">
        <f t="shared" ca="1" si="71"/>
        <v>#N/A</v>
      </c>
      <c r="O456" s="53" t="e">
        <f t="shared" ca="1" si="65"/>
        <v>#N/A</v>
      </c>
      <c r="P456" s="53" t="str">
        <f ca="1">IFERROR(DayByDayTable[[#This Row],[Lead Time]],"")</f>
        <v/>
      </c>
      <c r="Q456" s="44" t="e">
        <f t="shared" ca="1" si="66"/>
        <v>#N/A</v>
      </c>
      <c r="R456" s="44">
        <f ca="1">ROUND(PERCENTILE(DayByDayTable[[#Data],[BlankLeadTime]],0.8),0)</f>
        <v>8</v>
      </c>
    </row>
    <row r="457" spans="1:18">
      <c r="A457" s="51">
        <f t="shared" si="67"/>
        <v>43062</v>
      </c>
      <c r="B457" s="11">
        <f t="shared" si="70"/>
        <v>43062</v>
      </c>
      <c r="C457" s="47">
        <f>SUMIFS('On The Board'!$M$5:$M$219,'On The Board'!F$5:F$219,"&lt;="&amp;$B457,'On The Board'!E$5:E$219,"="&amp;FutureWork)</f>
        <v>43</v>
      </c>
      <c r="D457" s="12">
        <f ca="1">IF(TodaysDate&gt;=B457,SUMIF('On The Board'!F$5:F$219,"&lt;="&amp;$B457,'On The Board'!$M$5:$M$219)-SUM(E457:I457),D456)</f>
        <v>47</v>
      </c>
      <c r="E457" s="12">
        <f>SUMIF('On The Board'!G$5:G$219,"&lt;="&amp;$B457,'On The Board'!$M$5:$M$219)-SUM(F457:I457)</f>
        <v>0</v>
      </c>
      <c r="F457" s="12">
        <f>SUMIF('On The Board'!H$5:H$219,"&lt;="&amp;$B457,'On The Board'!$M$5:$M$219)-SUM(G457:I457)</f>
        <v>5</v>
      </c>
      <c r="G457" s="12">
        <f>SUMIF('On The Board'!I$5:I$219,"&lt;="&amp;$B457,'On The Board'!$M$5:$M$219)-SUM(H457,I457)</f>
        <v>2</v>
      </c>
      <c r="H457" s="12">
        <f>SUMIF('On The Board'!J$5:J$219,"&lt;="&amp;$B457,'On The Board'!$M$5:$M$219)-SUM(I457)</f>
        <v>0</v>
      </c>
      <c r="I457" s="12">
        <f>SUMIF('On The Board'!K$5:K$219,"&lt;="&amp;$B457,'On The Board'!$M$5:$M$219)</f>
        <v>70</v>
      </c>
      <c r="J457" s="10">
        <f t="shared" si="68"/>
        <v>77</v>
      </c>
      <c r="K457" s="10" t="e">
        <f t="shared" ca="1" si="69"/>
        <v>#N/A</v>
      </c>
      <c r="L457" s="44" t="e">
        <f t="shared" ca="1" si="64"/>
        <v>#N/A</v>
      </c>
      <c r="M457" s="44" t="e">
        <f t="shared" ca="1" si="63"/>
        <v>#N/A</v>
      </c>
      <c r="N457" s="44" t="e">
        <f t="shared" ca="1" si="71"/>
        <v>#N/A</v>
      </c>
      <c r="O457" s="53" t="e">
        <f t="shared" ca="1" si="65"/>
        <v>#N/A</v>
      </c>
      <c r="P457" s="53" t="str">
        <f ca="1">IFERROR(DayByDayTable[[#This Row],[Lead Time]],"")</f>
        <v/>
      </c>
      <c r="Q457" s="44" t="e">
        <f t="shared" ca="1" si="66"/>
        <v>#N/A</v>
      </c>
      <c r="R457" s="44">
        <f ca="1">ROUND(PERCENTILE(DayByDayTable[[#Data],[BlankLeadTime]],0.8),0)</f>
        <v>8</v>
      </c>
    </row>
    <row r="458" spans="1:18">
      <c r="A458" s="51">
        <f t="shared" si="67"/>
        <v>43063</v>
      </c>
      <c r="B458" s="11">
        <f t="shared" si="70"/>
        <v>43063</v>
      </c>
      <c r="C458" s="47">
        <f>SUMIFS('On The Board'!$M$5:$M$219,'On The Board'!F$5:F$219,"&lt;="&amp;$B458,'On The Board'!E$5:E$219,"="&amp;FutureWork)</f>
        <v>43</v>
      </c>
      <c r="D458" s="12">
        <f ca="1">IF(TodaysDate&gt;=B458,SUMIF('On The Board'!F$5:F$219,"&lt;="&amp;$B458,'On The Board'!$M$5:$M$219)-SUM(E458:I458),D457)</f>
        <v>47</v>
      </c>
      <c r="E458" s="12">
        <f>SUMIF('On The Board'!G$5:G$219,"&lt;="&amp;$B458,'On The Board'!$M$5:$M$219)-SUM(F458:I458)</f>
        <v>0</v>
      </c>
      <c r="F458" s="12">
        <f>SUMIF('On The Board'!H$5:H$219,"&lt;="&amp;$B458,'On The Board'!$M$5:$M$219)-SUM(G458:I458)</f>
        <v>5</v>
      </c>
      <c r="G458" s="12">
        <f>SUMIF('On The Board'!I$5:I$219,"&lt;="&amp;$B458,'On The Board'!$M$5:$M$219)-SUM(H458,I458)</f>
        <v>2</v>
      </c>
      <c r="H458" s="12">
        <f>SUMIF('On The Board'!J$5:J$219,"&lt;="&amp;$B458,'On The Board'!$M$5:$M$219)-SUM(I458)</f>
        <v>0</v>
      </c>
      <c r="I458" s="12">
        <f>SUMIF('On The Board'!K$5:K$219,"&lt;="&amp;$B458,'On The Board'!$M$5:$M$219)</f>
        <v>70</v>
      </c>
      <c r="J458" s="10">
        <f t="shared" si="68"/>
        <v>77</v>
      </c>
      <c r="K458" s="10" t="e">
        <f t="shared" ca="1" si="69"/>
        <v>#N/A</v>
      </c>
      <c r="L458" s="44" t="e">
        <f t="shared" ca="1" si="64"/>
        <v>#N/A</v>
      </c>
      <c r="M458" s="44" t="e">
        <f t="shared" ca="1" si="63"/>
        <v>#N/A</v>
      </c>
      <c r="N458" s="44" t="e">
        <f t="shared" ca="1" si="71"/>
        <v>#N/A</v>
      </c>
      <c r="O458" s="53" t="e">
        <f t="shared" ca="1" si="65"/>
        <v>#N/A</v>
      </c>
      <c r="P458" s="53" t="str">
        <f ca="1">IFERROR(DayByDayTable[[#This Row],[Lead Time]],"")</f>
        <v/>
      </c>
      <c r="Q458" s="44" t="e">
        <f t="shared" ca="1" si="66"/>
        <v>#N/A</v>
      </c>
      <c r="R458" s="44">
        <f ca="1">ROUND(PERCENTILE(DayByDayTable[[#Data],[BlankLeadTime]],0.8),0)</f>
        <v>8</v>
      </c>
    </row>
    <row r="459" spans="1:18">
      <c r="A459" s="51">
        <f t="shared" si="67"/>
        <v>43066</v>
      </c>
      <c r="B459" s="11">
        <f t="shared" si="70"/>
        <v>43066</v>
      </c>
      <c r="C459" s="47">
        <f>SUMIFS('On The Board'!$M$5:$M$219,'On The Board'!F$5:F$219,"&lt;="&amp;$B459,'On The Board'!E$5:E$219,"="&amp;FutureWork)</f>
        <v>43</v>
      </c>
      <c r="D459" s="12">
        <f ca="1">IF(TodaysDate&gt;=B459,SUMIF('On The Board'!F$5:F$219,"&lt;="&amp;$B459,'On The Board'!$M$5:$M$219)-SUM(E459:I459),D458)</f>
        <v>47</v>
      </c>
      <c r="E459" s="12">
        <f>SUMIF('On The Board'!G$5:G$219,"&lt;="&amp;$B459,'On The Board'!$M$5:$M$219)-SUM(F459:I459)</f>
        <v>0</v>
      </c>
      <c r="F459" s="12">
        <f>SUMIF('On The Board'!H$5:H$219,"&lt;="&amp;$B459,'On The Board'!$M$5:$M$219)-SUM(G459:I459)</f>
        <v>5</v>
      </c>
      <c r="G459" s="12">
        <f>SUMIF('On The Board'!I$5:I$219,"&lt;="&amp;$B459,'On The Board'!$M$5:$M$219)-SUM(H459,I459)</f>
        <v>2</v>
      </c>
      <c r="H459" s="12">
        <f>SUMIF('On The Board'!J$5:J$219,"&lt;="&amp;$B459,'On The Board'!$M$5:$M$219)-SUM(I459)</f>
        <v>0</v>
      </c>
      <c r="I459" s="12">
        <f>SUMIF('On The Board'!K$5:K$219,"&lt;="&amp;$B459,'On The Board'!$M$5:$M$219)</f>
        <v>70</v>
      </c>
      <c r="J459" s="10">
        <f t="shared" si="68"/>
        <v>77</v>
      </c>
      <c r="K459" s="10" t="e">
        <f t="shared" ca="1" si="69"/>
        <v>#N/A</v>
      </c>
      <c r="L459" s="44" t="e">
        <f t="shared" ca="1" si="64"/>
        <v>#N/A</v>
      </c>
      <c r="M459" s="44" t="e">
        <f t="shared" ca="1" si="63"/>
        <v>#N/A</v>
      </c>
      <c r="N459" s="44" t="e">
        <f t="shared" ca="1" si="71"/>
        <v>#N/A</v>
      </c>
      <c r="O459" s="53" t="e">
        <f t="shared" ca="1" si="65"/>
        <v>#N/A</v>
      </c>
      <c r="P459" s="53" t="str">
        <f ca="1">IFERROR(DayByDayTable[[#This Row],[Lead Time]],"")</f>
        <v/>
      </c>
      <c r="Q459" s="44" t="e">
        <f t="shared" ca="1" si="66"/>
        <v>#N/A</v>
      </c>
      <c r="R459" s="44">
        <f ca="1">ROUND(PERCENTILE(DayByDayTable[[#Data],[BlankLeadTime]],0.8),0)</f>
        <v>8</v>
      </c>
    </row>
    <row r="460" spans="1:18">
      <c r="A460" s="51">
        <f t="shared" si="67"/>
        <v>43067</v>
      </c>
      <c r="B460" s="11">
        <f t="shared" si="70"/>
        <v>43067</v>
      </c>
      <c r="C460" s="47">
        <f>SUMIFS('On The Board'!$M$5:$M$219,'On The Board'!F$5:F$219,"&lt;="&amp;$B460,'On The Board'!E$5:E$219,"="&amp;FutureWork)</f>
        <v>43</v>
      </c>
      <c r="D460" s="12">
        <f ca="1">IF(TodaysDate&gt;=B460,SUMIF('On The Board'!F$5:F$219,"&lt;="&amp;$B460,'On The Board'!$M$5:$M$219)-SUM(E460:I460),D459)</f>
        <v>47</v>
      </c>
      <c r="E460" s="12">
        <f>SUMIF('On The Board'!G$5:G$219,"&lt;="&amp;$B460,'On The Board'!$M$5:$M$219)-SUM(F460:I460)</f>
        <v>0</v>
      </c>
      <c r="F460" s="12">
        <f>SUMIF('On The Board'!H$5:H$219,"&lt;="&amp;$B460,'On The Board'!$M$5:$M$219)-SUM(G460:I460)</f>
        <v>5</v>
      </c>
      <c r="G460" s="12">
        <f>SUMIF('On The Board'!I$5:I$219,"&lt;="&amp;$B460,'On The Board'!$M$5:$M$219)-SUM(H460,I460)</f>
        <v>2</v>
      </c>
      <c r="H460" s="12">
        <f>SUMIF('On The Board'!J$5:J$219,"&lt;="&amp;$B460,'On The Board'!$M$5:$M$219)-SUM(I460)</f>
        <v>0</v>
      </c>
      <c r="I460" s="12">
        <f>SUMIF('On The Board'!K$5:K$219,"&lt;="&amp;$B460,'On The Board'!$M$5:$M$219)</f>
        <v>70</v>
      </c>
      <c r="J460" s="10">
        <f t="shared" si="68"/>
        <v>77</v>
      </c>
      <c r="K460" s="10" t="e">
        <f t="shared" ca="1" si="69"/>
        <v>#N/A</v>
      </c>
      <c r="L460" s="44" t="e">
        <f t="shared" ca="1" si="64"/>
        <v>#N/A</v>
      </c>
      <c r="M460" s="44" t="e">
        <f t="shared" ref="M460:M523" ca="1" si="72">IF(ISNUMBER(L460),(I460-I450)/NETWORKDAYS(B450,B460,BankHolidays),NA())</f>
        <v>#N/A</v>
      </c>
      <c r="N460" s="44" t="e">
        <f t="shared" ca="1" si="71"/>
        <v>#N/A</v>
      </c>
      <c r="O460" s="53" t="e">
        <f t="shared" ca="1" si="65"/>
        <v>#N/A</v>
      </c>
      <c r="P460" s="53" t="str">
        <f ca="1">IFERROR(DayByDayTable[[#This Row],[Lead Time]],"")</f>
        <v/>
      </c>
      <c r="Q460" s="44" t="e">
        <f t="shared" ca="1" si="66"/>
        <v>#N/A</v>
      </c>
      <c r="R460" s="44">
        <f ca="1">ROUND(PERCENTILE(DayByDayTable[[#Data],[BlankLeadTime]],0.8),0)</f>
        <v>8</v>
      </c>
    </row>
    <row r="461" spans="1:18">
      <c r="A461" s="51">
        <f t="shared" si="67"/>
        <v>43068</v>
      </c>
      <c r="B461" s="11">
        <f t="shared" si="70"/>
        <v>43068</v>
      </c>
      <c r="C461" s="47">
        <f>SUMIFS('On The Board'!$M$5:$M$219,'On The Board'!F$5:F$219,"&lt;="&amp;$B461,'On The Board'!E$5:E$219,"="&amp;FutureWork)</f>
        <v>43</v>
      </c>
      <c r="D461" s="12">
        <f ca="1">IF(TodaysDate&gt;=B461,SUMIF('On The Board'!F$5:F$219,"&lt;="&amp;$B461,'On The Board'!$M$5:$M$219)-SUM(E461:I461),D460)</f>
        <v>47</v>
      </c>
      <c r="E461" s="12">
        <f>SUMIF('On The Board'!G$5:G$219,"&lt;="&amp;$B461,'On The Board'!$M$5:$M$219)-SUM(F461:I461)</f>
        <v>0</v>
      </c>
      <c r="F461" s="12">
        <f>SUMIF('On The Board'!H$5:H$219,"&lt;="&amp;$B461,'On The Board'!$M$5:$M$219)-SUM(G461:I461)</f>
        <v>5</v>
      </c>
      <c r="G461" s="12">
        <f>SUMIF('On The Board'!I$5:I$219,"&lt;="&amp;$B461,'On The Board'!$M$5:$M$219)-SUM(H461,I461)</f>
        <v>2</v>
      </c>
      <c r="H461" s="12">
        <f>SUMIF('On The Board'!J$5:J$219,"&lt;="&amp;$B461,'On The Board'!$M$5:$M$219)-SUM(I461)</f>
        <v>0</v>
      </c>
      <c r="I461" s="12">
        <f>SUMIF('On The Board'!K$5:K$219,"&lt;="&amp;$B461,'On The Board'!$M$5:$M$219)</f>
        <v>70</v>
      </c>
      <c r="J461" s="10">
        <f t="shared" si="68"/>
        <v>77</v>
      </c>
      <c r="K461" s="10" t="e">
        <f t="shared" ca="1" si="69"/>
        <v>#N/A</v>
      </c>
      <c r="L461" s="44" t="e">
        <f t="shared" ref="L461:L524" ca="1" si="73">AVERAGE(K451:K461)</f>
        <v>#N/A</v>
      </c>
      <c r="M461" s="44" t="e">
        <f t="shared" ca="1" si="72"/>
        <v>#N/A</v>
      </c>
      <c r="N461" s="44" t="e">
        <f t="shared" ca="1" si="71"/>
        <v>#N/A</v>
      </c>
      <c r="O461" s="53" t="e">
        <f t="shared" ref="O461:O524" ca="1" si="74">AVERAGE(N451:N461)</f>
        <v>#N/A</v>
      </c>
      <c r="P461" s="53" t="str">
        <f ca="1">IFERROR(DayByDayTable[[#This Row],[Lead Time]],"")</f>
        <v/>
      </c>
      <c r="Q461" s="44" t="e">
        <f t="shared" ca="1" si="66"/>
        <v>#N/A</v>
      </c>
      <c r="R461" s="44">
        <f ca="1">ROUND(PERCENTILE(DayByDayTable[[#Data],[BlankLeadTime]],0.8),0)</f>
        <v>8</v>
      </c>
    </row>
    <row r="462" spans="1:18">
      <c r="A462" s="51">
        <f t="shared" si="67"/>
        <v>43069</v>
      </c>
      <c r="B462" s="11">
        <f t="shared" si="70"/>
        <v>43069</v>
      </c>
      <c r="C462" s="47">
        <f>SUMIFS('On The Board'!$M$5:$M$219,'On The Board'!F$5:F$219,"&lt;="&amp;$B462,'On The Board'!E$5:E$219,"="&amp;FutureWork)</f>
        <v>43</v>
      </c>
      <c r="D462" s="12">
        <f ca="1">IF(TodaysDate&gt;=B462,SUMIF('On The Board'!F$5:F$219,"&lt;="&amp;$B462,'On The Board'!$M$5:$M$219)-SUM(E462:I462),D461)</f>
        <v>47</v>
      </c>
      <c r="E462" s="12">
        <f>SUMIF('On The Board'!G$5:G$219,"&lt;="&amp;$B462,'On The Board'!$M$5:$M$219)-SUM(F462:I462)</f>
        <v>0</v>
      </c>
      <c r="F462" s="12">
        <f>SUMIF('On The Board'!H$5:H$219,"&lt;="&amp;$B462,'On The Board'!$M$5:$M$219)-SUM(G462:I462)</f>
        <v>5</v>
      </c>
      <c r="G462" s="12">
        <f>SUMIF('On The Board'!I$5:I$219,"&lt;="&amp;$B462,'On The Board'!$M$5:$M$219)-SUM(H462,I462)</f>
        <v>2</v>
      </c>
      <c r="H462" s="12">
        <f>SUMIF('On The Board'!J$5:J$219,"&lt;="&amp;$B462,'On The Board'!$M$5:$M$219)-SUM(I462)</f>
        <v>0</v>
      </c>
      <c r="I462" s="12">
        <f>SUMIF('On The Board'!K$5:K$219,"&lt;="&amp;$B462,'On The Board'!$M$5:$M$219)</f>
        <v>70</v>
      </c>
      <c r="J462" s="10">
        <f t="shared" si="68"/>
        <v>77</v>
      </c>
      <c r="K462" s="10" t="e">
        <f t="shared" ca="1" si="69"/>
        <v>#N/A</v>
      </c>
      <c r="L462" s="44" t="e">
        <f t="shared" ca="1" si="73"/>
        <v>#N/A</v>
      </c>
      <c r="M462" s="44" t="e">
        <f t="shared" ca="1" si="72"/>
        <v>#N/A</v>
      </c>
      <c r="N462" s="44" t="e">
        <f t="shared" ca="1" si="71"/>
        <v>#N/A</v>
      </c>
      <c r="O462" s="53" t="e">
        <f t="shared" ca="1" si="74"/>
        <v>#N/A</v>
      </c>
      <c r="P462" s="53" t="str">
        <f ca="1">IFERROR(DayByDayTable[[#This Row],[Lead Time]],"")</f>
        <v/>
      </c>
      <c r="Q462" s="44" t="e">
        <f t="shared" ca="1" si="66"/>
        <v>#N/A</v>
      </c>
      <c r="R462" s="44">
        <f ca="1">ROUND(PERCENTILE(DayByDayTable[[#Data],[BlankLeadTime]],0.8),0)</f>
        <v>8</v>
      </c>
    </row>
    <row r="463" spans="1:18">
      <c r="A463" s="51">
        <f t="shared" si="67"/>
        <v>43070</v>
      </c>
      <c r="B463" s="11">
        <f t="shared" si="70"/>
        <v>43070</v>
      </c>
      <c r="C463" s="47">
        <f>SUMIFS('On The Board'!$M$5:$M$219,'On The Board'!F$5:F$219,"&lt;="&amp;$B463,'On The Board'!E$5:E$219,"="&amp;FutureWork)</f>
        <v>43</v>
      </c>
      <c r="D463" s="12">
        <f ca="1">IF(TodaysDate&gt;=B463,SUMIF('On The Board'!F$5:F$219,"&lt;="&amp;$B463,'On The Board'!$M$5:$M$219)-SUM(E463:I463),D462)</f>
        <v>47</v>
      </c>
      <c r="E463" s="12">
        <f>SUMIF('On The Board'!G$5:G$219,"&lt;="&amp;$B463,'On The Board'!$M$5:$M$219)-SUM(F463:I463)</f>
        <v>0</v>
      </c>
      <c r="F463" s="12">
        <f>SUMIF('On The Board'!H$5:H$219,"&lt;="&amp;$B463,'On The Board'!$M$5:$M$219)-SUM(G463:I463)</f>
        <v>5</v>
      </c>
      <c r="G463" s="12">
        <f>SUMIF('On The Board'!I$5:I$219,"&lt;="&amp;$B463,'On The Board'!$M$5:$M$219)-SUM(H463,I463)</f>
        <v>2</v>
      </c>
      <c r="H463" s="12">
        <f>SUMIF('On The Board'!J$5:J$219,"&lt;="&amp;$B463,'On The Board'!$M$5:$M$219)-SUM(I463)</f>
        <v>0</v>
      </c>
      <c r="I463" s="12">
        <f>SUMIF('On The Board'!K$5:K$219,"&lt;="&amp;$B463,'On The Board'!$M$5:$M$219)</f>
        <v>70</v>
      </c>
      <c r="J463" s="10">
        <f t="shared" si="68"/>
        <v>77</v>
      </c>
      <c r="K463" s="10" t="e">
        <f t="shared" ca="1" si="69"/>
        <v>#N/A</v>
      </c>
      <c r="L463" s="44" t="e">
        <f t="shared" ca="1" si="73"/>
        <v>#N/A</v>
      </c>
      <c r="M463" s="44" t="e">
        <f t="shared" ca="1" si="72"/>
        <v>#N/A</v>
      </c>
      <c r="N463" s="44" t="e">
        <f t="shared" ca="1" si="71"/>
        <v>#N/A</v>
      </c>
      <c r="O463" s="53" t="e">
        <f t="shared" ca="1" si="74"/>
        <v>#N/A</v>
      </c>
      <c r="P463" s="53" t="str">
        <f ca="1">IFERROR(DayByDayTable[[#This Row],[Lead Time]],"")</f>
        <v/>
      </c>
      <c r="Q463" s="44" t="e">
        <f t="shared" ca="1" si="66"/>
        <v>#N/A</v>
      </c>
      <c r="R463" s="44">
        <f ca="1">ROUND(PERCENTILE(DayByDayTable[[#Data],[BlankLeadTime]],0.8),0)</f>
        <v>8</v>
      </c>
    </row>
    <row r="464" spans="1:18">
      <c r="A464" s="51">
        <f t="shared" si="67"/>
        <v>43073</v>
      </c>
      <c r="B464" s="11">
        <f t="shared" si="70"/>
        <v>43073</v>
      </c>
      <c r="C464" s="47">
        <f>SUMIFS('On The Board'!$M$5:$M$219,'On The Board'!F$5:F$219,"&lt;="&amp;$B464,'On The Board'!E$5:E$219,"="&amp;FutureWork)</f>
        <v>43</v>
      </c>
      <c r="D464" s="12">
        <f ca="1">IF(TodaysDate&gt;=B464,SUMIF('On The Board'!F$5:F$219,"&lt;="&amp;$B464,'On The Board'!$M$5:$M$219)-SUM(E464:I464),D463)</f>
        <v>47</v>
      </c>
      <c r="E464" s="12">
        <f>SUMIF('On The Board'!G$5:G$219,"&lt;="&amp;$B464,'On The Board'!$M$5:$M$219)-SUM(F464:I464)</f>
        <v>0</v>
      </c>
      <c r="F464" s="12">
        <f>SUMIF('On The Board'!H$5:H$219,"&lt;="&amp;$B464,'On The Board'!$M$5:$M$219)-SUM(G464:I464)</f>
        <v>5</v>
      </c>
      <c r="G464" s="12">
        <f>SUMIF('On The Board'!I$5:I$219,"&lt;="&amp;$B464,'On The Board'!$M$5:$M$219)-SUM(H464,I464)</f>
        <v>2</v>
      </c>
      <c r="H464" s="12">
        <f>SUMIF('On The Board'!J$5:J$219,"&lt;="&amp;$B464,'On The Board'!$M$5:$M$219)-SUM(I464)</f>
        <v>0</v>
      </c>
      <c r="I464" s="12">
        <f>SUMIF('On The Board'!K$5:K$219,"&lt;="&amp;$B464,'On The Board'!$M$5:$M$219)</f>
        <v>70</v>
      </c>
      <c r="J464" s="10">
        <f t="shared" si="68"/>
        <v>77</v>
      </c>
      <c r="K464" s="10" t="e">
        <f t="shared" ca="1" si="69"/>
        <v>#N/A</v>
      </c>
      <c r="L464" s="44" t="e">
        <f t="shared" ca="1" si="73"/>
        <v>#N/A</v>
      </c>
      <c r="M464" s="44" t="e">
        <f t="shared" ca="1" si="72"/>
        <v>#N/A</v>
      </c>
      <c r="N464" s="44" t="e">
        <f t="shared" ca="1" si="71"/>
        <v>#N/A</v>
      </c>
      <c r="O464" s="53" t="e">
        <f t="shared" ca="1" si="74"/>
        <v>#N/A</v>
      </c>
      <c r="P464" s="53" t="str">
        <f ca="1">IFERROR(DayByDayTable[[#This Row],[Lead Time]],"")</f>
        <v/>
      </c>
      <c r="Q464" s="44" t="e">
        <f t="shared" ref="Q464:Q527" ca="1" si="75">PERCENTILE(N453:N464,0.8)</f>
        <v>#N/A</v>
      </c>
      <c r="R464" s="44">
        <f ca="1">ROUND(PERCENTILE(DayByDayTable[[#Data],[BlankLeadTime]],0.8),0)</f>
        <v>8</v>
      </c>
    </row>
    <row r="465" spans="1:18">
      <c r="A465" s="51">
        <f t="shared" si="67"/>
        <v>43074</v>
      </c>
      <c r="B465" s="11">
        <f t="shared" si="70"/>
        <v>43074</v>
      </c>
      <c r="C465" s="47">
        <f>SUMIFS('On The Board'!$M$5:$M$219,'On The Board'!F$5:F$219,"&lt;="&amp;$B465,'On The Board'!E$5:E$219,"="&amp;FutureWork)</f>
        <v>43</v>
      </c>
      <c r="D465" s="12">
        <f ca="1">IF(TodaysDate&gt;=B465,SUMIF('On The Board'!F$5:F$219,"&lt;="&amp;$B465,'On The Board'!$M$5:$M$219)-SUM(E465:I465),D464)</f>
        <v>47</v>
      </c>
      <c r="E465" s="12">
        <f>SUMIF('On The Board'!G$5:G$219,"&lt;="&amp;$B465,'On The Board'!$M$5:$M$219)-SUM(F465:I465)</f>
        <v>0</v>
      </c>
      <c r="F465" s="12">
        <f>SUMIF('On The Board'!H$5:H$219,"&lt;="&amp;$B465,'On The Board'!$M$5:$M$219)-SUM(G465:I465)</f>
        <v>5</v>
      </c>
      <c r="G465" s="12">
        <f>SUMIF('On The Board'!I$5:I$219,"&lt;="&amp;$B465,'On The Board'!$M$5:$M$219)-SUM(H465,I465)</f>
        <v>2</v>
      </c>
      <c r="H465" s="12">
        <f>SUMIF('On The Board'!J$5:J$219,"&lt;="&amp;$B465,'On The Board'!$M$5:$M$219)-SUM(I465)</f>
        <v>0</v>
      </c>
      <c r="I465" s="12">
        <f>SUMIF('On The Board'!K$5:K$219,"&lt;="&amp;$B465,'On The Board'!$M$5:$M$219)</f>
        <v>70</v>
      </c>
      <c r="J465" s="10">
        <f t="shared" si="68"/>
        <v>77</v>
      </c>
      <c r="K465" s="10" t="e">
        <f t="shared" ca="1" si="69"/>
        <v>#N/A</v>
      </c>
      <c r="L465" s="44" t="e">
        <f t="shared" ca="1" si="73"/>
        <v>#N/A</v>
      </c>
      <c r="M465" s="44" t="e">
        <f t="shared" ca="1" si="72"/>
        <v>#N/A</v>
      </c>
      <c r="N465" s="44" t="e">
        <f t="shared" ca="1" si="71"/>
        <v>#N/A</v>
      </c>
      <c r="O465" s="53" t="e">
        <f t="shared" ca="1" si="74"/>
        <v>#N/A</v>
      </c>
      <c r="P465" s="53" t="str">
        <f ca="1">IFERROR(DayByDayTable[[#This Row],[Lead Time]],"")</f>
        <v/>
      </c>
      <c r="Q465" s="44" t="e">
        <f t="shared" ca="1" si="75"/>
        <v>#N/A</v>
      </c>
      <c r="R465" s="44">
        <f ca="1">ROUND(PERCENTILE(DayByDayTable[[#Data],[BlankLeadTime]],0.8),0)</f>
        <v>8</v>
      </c>
    </row>
    <row r="466" spans="1:18">
      <c r="A466" s="51">
        <f t="shared" si="67"/>
        <v>43075</v>
      </c>
      <c r="B466" s="11">
        <f t="shared" si="70"/>
        <v>43075</v>
      </c>
      <c r="C466" s="47">
        <f>SUMIFS('On The Board'!$M$5:$M$219,'On The Board'!F$5:F$219,"&lt;="&amp;$B466,'On The Board'!E$5:E$219,"="&amp;FutureWork)</f>
        <v>43</v>
      </c>
      <c r="D466" s="12">
        <f ca="1">IF(TodaysDate&gt;=B466,SUMIF('On The Board'!F$5:F$219,"&lt;="&amp;$B466,'On The Board'!$M$5:$M$219)-SUM(E466:I466),D465)</f>
        <v>47</v>
      </c>
      <c r="E466" s="12">
        <f>SUMIF('On The Board'!G$5:G$219,"&lt;="&amp;$B466,'On The Board'!$M$5:$M$219)-SUM(F466:I466)</f>
        <v>0</v>
      </c>
      <c r="F466" s="12">
        <f>SUMIF('On The Board'!H$5:H$219,"&lt;="&amp;$B466,'On The Board'!$M$5:$M$219)-SUM(G466:I466)</f>
        <v>5</v>
      </c>
      <c r="G466" s="12">
        <f>SUMIF('On The Board'!I$5:I$219,"&lt;="&amp;$B466,'On The Board'!$M$5:$M$219)-SUM(H466,I466)</f>
        <v>2</v>
      </c>
      <c r="H466" s="12">
        <f>SUMIF('On The Board'!J$5:J$219,"&lt;="&amp;$B466,'On The Board'!$M$5:$M$219)-SUM(I466)</f>
        <v>0</v>
      </c>
      <c r="I466" s="12">
        <f>SUMIF('On The Board'!K$5:K$219,"&lt;="&amp;$B466,'On The Board'!$M$5:$M$219)</f>
        <v>70</v>
      </c>
      <c r="J466" s="10">
        <f t="shared" si="68"/>
        <v>77</v>
      </c>
      <c r="K466" s="10" t="e">
        <f t="shared" ca="1" si="69"/>
        <v>#N/A</v>
      </c>
      <c r="L466" s="44" t="e">
        <f t="shared" ca="1" si="73"/>
        <v>#N/A</v>
      </c>
      <c r="M466" s="44" t="e">
        <f t="shared" ca="1" si="72"/>
        <v>#N/A</v>
      </c>
      <c r="N466" s="44" t="e">
        <f t="shared" ca="1" si="71"/>
        <v>#N/A</v>
      </c>
      <c r="O466" s="53" t="e">
        <f t="shared" ca="1" si="74"/>
        <v>#N/A</v>
      </c>
      <c r="P466" s="53" t="str">
        <f ca="1">IFERROR(DayByDayTable[[#This Row],[Lead Time]],"")</f>
        <v/>
      </c>
      <c r="Q466" s="44" t="e">
        <f t="shared" ca="1" si="75"/>
        <v>#N/A</v>
      </c>
      <c r="R466" s="44">
        <f ca="1">ROUND(PERCENTILE(DayByDayTable[[#Data],[BlankLeadTime]],0.8),0)</f>
        <v>8</v>
      </c>
    </row>
    <row r="467" spans="1:18">
      <c r="A467" s="51">
        <f t="shared" si="67"/>
        <v>43076</v>
      </c>
      <c r="B467" s="11">
        <f t="shared" si="70"/>
        <v>43076</v>
      </c>
      <c r="C467" s="47">
        <f>SUMIFS('On The Board'!$M$5:$M$219,'On The Board'!F$5:F$219,"&lt;="&amp;$B467,'On The Board'!E$5:E$219,"="&amp;FutureWork)</f>
        <v>43</v>
      </c>
      <c r="D467" s="12">
        <f ca="1">IF(TodaysDate&gt;=B467,SUMIF('On The Board'!F$5:F$219,"&lt;="&amp;$B467,'On The Board'!$M$5:$M$219)-SUM(E467:I467),D466)</f>
        <v>47</v>
      </c>
      <c r="E467" s="12">
        <f>SUMIF('On The Board'!G$5:G$219,"&lt;="&amp;$B467,'On The Board'!$M$5:$M$219)-SUM(F467:I467)</f>
        <v>0</v>
      </c>
      <c r="F467" s="12">
        <f>SUMIF('On The Board'!H$5:H$219,"&lt;="&amp;$B467,'On The Board'!$M$5:$M$219)-SUM(G467:I467)</f>
        <v>5</v>
      </c>
      <c r="G467" s="12">
        <f>SUMIF('On The Board'!I$5:I$219,"&lt;="&amp;$B467,'On The Board'!$M$5:$M$219)-SUM(H467,I467)</f>
        <v>2</v>
      </c>
      <c r="H467" s="12">
        <f>SUMIF('On The Board'!J$5:J$219,"&lt;="&amp;$B467,'On The Board'!$M$5:$M$219)-SUM(I467)</f>
        <v>0</v>
      </c>
      <c r="I467" s="12">
        <f>SUMIF('On The Board'!K$5:K$219,"&lt;="&amp;$B467,'On The Board'!$M$5:$M$219)</f>
        <v>70</v>
      </c>
      <c r="J467" s="10">
        <f t="shared" si="68"/>
        <v>77</v>
      </c>
      <c r="K467" s="10" t="e">
        <f t="shared" ca="1" si="69"/>
        <v>#N/A</v>
      </c>
      <c r="L467" s="44" t="e">
        <f t="shared" ca="1" si="73"/>
        <v>#N/A</v>
      </c>
      <c r="M467" s="44" t="e">
        <f t="shared" ca="1" si="72"/>
        <v>#N/A</v>
      </c>
      <c r="N467" s="44" t="e">
        <f t="shared" ca="1" si="71"/>
        <v>#N/A</v>
      </c>
      <c r="O467" s="53" t="e">
        <f t="shared" ca="1" si="74"/>
        <v>#N/A</v>
      </c>
      <c r="P467" s="53" t="str">
        <f ca="1">IFERROR(DayByDayTable[[#This Row],[Lead Time]],"")</f>
        <v/>
      </c>
      <c r="Q467" s="44" t="e">
        <f t="shared" ca="1" si="75"/>
        <v>#N/A</v>
      </c>
      <c r="R467" s="44">
        <f ca="1">ROUND(PERCENTILE(DayByDayTable[[#Data],[BlankLeadTime]],0.8),0)</f>
        <v>8</v>
      </c>
    </row>
    <row r="468" spans="1:18">
      <c r="A468" s="51">
        <f t="shared" si="67"/>
        <v>43077</v>
      </c>
      <c r="B468" s="11">
        <f t="shared" si="70"/>
        <v>43077</v>
      </c>
      <c r="C468" s="47">
        <f>SUMIFS('On The Board'!$M$5:$M$219,'On The Board'!F$5:F$219,"&lt;="&amp;$B468,'On The Board'!E$5:E$219,"="&amp;FutureWork)</f>
        <v>43</v>
      </c>
      <c r="D468" s="12">
        <f ca="1">IF(TodaysDate&gt;=B468,SUMIF('On The Board'!F$5:F$219,"&lt;="&amp;$B468,'On The Board'!$M$5:$M$219)-SUM(E468:I468),D467)</f>
        <v>47</v>
      </c>
      <c r="E468" s="12">
        <f>SUMIF('On The Board'!G$5:G$219,"&lt;="&amp;$B468,'On The Board'!$M$5:$M$219)-SUM(F468:I468)</f>
        <v>0</v>
      </c>
      <c r="F468" s="12">
        <f>SUMIF('On The Board'!H$5:H$219,"&lt;="&amp;$B468,'On The Board'!$M$5:$M$219)-SUM(G468:I468)</f>
        <v>5</v>
      </c>
      <c r="G468" s="12">
        <f>SUMIF('On The Board'!I$5:I$219,"&lt;="&amp;$B468,'On The Board'!$M$5:$M$219)-SUM(H468,I468)</f>
        <v>2</v>
      </c>
      <c r="H468" s="12">
        <f>SUMIF('On The Board'!J$5:J$219,"&lt;="&amp;$B468,'On The Board'!$M$5:$M$219)-SUM(I468)</f>
        <v>0</v>
      </c>
      <c r="I468" s="12">
        <f>SUMIF('On The Board'!K$5:K$219,"&lt;="&amp;$B468,'On The Board'!$M$5:$M$219)</f>
        <v>70</v>
      </c>
      <c r="J468" s="10">
        <f t="shared" si="68"/>
        <v>77</v>
      </c>
      <c r="K468" s="10" t="e">
        <f t="shared" ca="1" si="69"/>
        <v>#N/A</v>
      </c>
      <c r="L468" s="44" t="e">
        <f t="shared" ca="1" si="73"/>
        <v>#N/A</v>
      </c>
      <c r="M468" s="44" t="e">
        <f t="shared" ca="1" si="72"/>
        <v>#N/A</v>
      </c>
      <c r="N468" s="44" t="e">
        <f t="shared" ca="1" si="71"/>
        <v>#N/A</v>
      </c>
      <c r="O468" s="53" t="e">
        <f t="shared" ca="1" si="74"/>
        <v>#N/A</v>
      </c>
      <c r="P468" s="53" t="str">
        <f ca="1">IFERROR(DayByDayTable[[#This Row],[Lead Time]],"")</f>
        <v/>
      </c>
      <c r="Q468" s="44" t="e">
        <f t="shared" ca="1" si="75"/>
        <v>#N/A</v>
      </c>
      <c r="R468" s="44">
        <f ca="1">ROUND(PERCENTILE(DayByDayTable[[#Data],[BlankLeadTime]],0.8),0)</f>
        <v>8</v>
      </c>
    </row>
    <row r="469" spans="1:18">
      <c r="A469" s="51">
        <f t="shared" si="67"/>
        <v>43080</v>
      </c>
      <c r="B469" s="11">
        <f t="shared" si="70"/>
        <v>43080</v>
      </c>
      <c r="C469" s="47">
        <f>SUMIFS('On The Board'!$M$5:$M$219,'On The Board'!F$5:F$219,"&lt;="&amp;$B469,'On The Board'!E$5:E$219,"="&amp;FutureWork)</f>
        <v>43</v>
      </c>
      <c r="D469" s="12">
        <f ca="1">IF(TodaysDate&gt;=B469,SUMIF('On The Board'!F$5:F$219,"&lt;="&amp;$B469,'On The Board'!$M$5:$M$219)-SUM(E469:I469),D468)</f>
        <v>47</v>
      </c>
      <c r="E469" s="12">
        <f>SUMIF('On The Board'!G$5:G$219,"&lt;="&amp;$B469,'On The Board'!$M$5:$M$219)-SUM(F469:I469)</f>
        <v>0</v>
      </c>
      <c r="F469" s="12">
        <f>SUMIF('On The Board'!H$5:H$219,"&lt;="&amp;$B469,'On The Board'!$M$5:$M$219)-SUM(G469:I469)</f>
        <v>5</v>
      </c>
      <c r="G469" s="12">
        <f>SUMIF('On The Board'!I$5:I$219,"&lt;="&amp;$B469,'On The Board'!$M$5:$M$219)-SUM(H469,I469)</f>
        <v>2</v>
      </c>
      <c r="H469" s="12">
        <f>SUMIF('On The Board'!J$5:J$219,"&lt;="&amp;$B469,'On The Board'!$M$5:$M$219)-SUM(I469)</f>
        <v>0</v>
      </c>
      <c r="I469" s="12">
        <f>SUMIF('On The Board'!K$5:K$219,"&lt;="&amp;$B469,'On The Board'!$M$5:$M$219)</f>
        <v>70</v>
      </c>
      <c r="J469" s="10">
        <f t="shared" si="68"/>
        <v>77</v>
      </c>
      <c r="K469" s="10" t="e">
        <f t="shared" ca="1" si="69"/>
        <v>#N/A</v>
      </c>
      <c r="L469" s="44" t="e">
        <f t="shared" ca="1" si="73"/>
        <v>#N/A</v>
      </c>
      <c r="M469" s="44" t="e">
        <f t="shared" ca="1" si="72"/>
        <v>#N/A</v>
      </c>
      <c r="N469" s="44" t="e">
        <f t="shared" ca="1" si="71"/>
        <v>#N/A</v>
      </c>
      <c r="O469" s="53" t="e">
        <f t="shared" ca="1" si="74"/>
        <v>#N/A</v>
      </c>
      <c r="P469" s="53" t="str">
        <f ca="1">IFERROR(DayByDayTable[[#This Row],[Lead Time]],"")</f>
        <v/>
      </c>
      <c r="Q469" s="44" t="e">
        <f t="shared" ca="1" si="75"/>
        <v>#N/A</v>
      </c>
      <c r="R469" s="44">
        <f ca="1">ROUND(PERCENTILE(DayByDayTable[[#Data],[BlankLeadTime]],0.8),0)</f>
        <v>8</v>
      </c>
    </row>
    <row r="470" spans="1:18">
      <c r="A470" s="51">
        <f t="shared" si="67"/>
        <v>43081</v>
      </c>
      <c r="B470" s="11">
        <f t="shared" si="70"/>
        <v>43081</v>
      </c>
      <c r="C470" s="47">
        <f>SUMIFS('On The Board'!$M$5:$M$219,'On The Board'!F$5:F$219,"&lt;="&amp;$B470,'On The Board'!E$5:E$219,"="&amp;FutureWork)</f>
        <v>43</v>
      </c>
      <c r="D470" s="12">
        <f ca="1">IF(TodaysDate&gt;=B470,SUMIF('On The Board'!F$5:F$219,"&lt;="&amp;$B470,'On The Board'!$M$5:$M$219)-SUM(E470:I470),D469)</f>
        <v>47</v>
      </c>
      <c r="E470" s="12">
        <f>SUMIF('On The Board'!G$5:G$219,"&lt;="&amp;$B470,'On The Board'!$M$5:$M$219)-SUM(F470:I470)</f>
        <v>0</v>
      </c>
      <c r="F470" s="12">
        <f>SUMIF('On The Board'!H$5:H$219,"&lt;="&amp;$B470,'On The Board'!$M$5:$M$219)-SUM(G470:I470)</f>
        <v>5</v>
      </c>
      <c r="G470" s="12">
        <f>SUMIF('On The Board'!I$5:I$219,"&lt;="&amp;$B470,'On The Board'!$M$5:$M$219)-SUM(H470,I470)</f>
        <v>2</v>
      </c>
      <c r="H470" s="12">
        <f>SUMIF('On The Board'!J$5:J$219,"&lt;="&amp;$B470,'On The Board'!$M$5:$M$219)-SUM(I470)</f>
        <v>0</v>
      </c>
      <c r="I470" s="12">
        <f>SUMIF('On The Board'!K$5:K$219,"&lt;="&amp;$B470,'On The Board'!$M$5:$M$219)</f>
        <v>70</v>
      </c>
      <c r="J470" s="10">
        <f t="shared" si="68"/>
        <v>77</v>
      </c>
      <c r="K470" s="10" t="e">
        <f t="shared" ca="1" si="69"/>
        <v>#N/A</v>
      </c>
      <c r="L470" s="44" t="e">
        <f t="shared" ca="1" si="73"/>
        <v>#N/A</v>
      </c>
      <c r="M470" s="44" t="e">
        <f t="shared" ca="1" si="72"/>
        <v>#N/A</v>
      </c>
      <c r="N470" s="44" t="e">
        <f t="shared" ca="1" si="71"/>
        <v>#N/A</v>
      </c>
      <c r="O470" s="53" t="e">
        <f t="shared" ca="1" si="74"/>
        <v>#N/A</v>
      </c>
      <c r="P470" s="53" t="str">
        <f ca="1">IFERROR(DayByDayTable[[#This Row],[Lead Time]],"")</f>
        <v/>
      </c>
      <c r="Q470" s="44" t="e">
        <f t="shared" ca="1" si="75"/>
        <v>#N/A</v>
      </c>
      <c r="R470" s="44">
        <f ca="1">ROUND(PERCENTILE(DayByDayTable[[#Data],[BlankLeadTime]],0.8),0)</f>
        <v>8</v>
      </c>
    </row>
    <row r="471" spans="1:18">
      <c r="A471" s="51">
        <f t="shared" si="67"/>
        <v>43082</v>
      </c>
      <c r="B471" s="11">
        <f t="shared" si="70"/>
        <v>43082</v>
      </c>
      <c r="C471" s="47">
        <f>SUMIFS('On The Board'!$M$5:$M$219,'On The Board'!F$5:F$219,"&lt;="&amp;$B471,'On The Board'!E$5:E$219,"="&amp;FutureWork)</f>
        <v>43</v>
      </c>
      <c r="D471" s="12">
        <f ca="1">IF(TodaysDate&gt;=B471,SUMIF('On The Board'!F$5:F$219,"&lt;="&amp;$B471,'On The Board'!$M$5:$M$219)-SUM(E471:I471),D470)</f>
        <v>47</v>
      </c>
      <c r="E471" s="12">
        <f>SUMIF('On The Board'!G$5:G$219,"&lt;="&amp;$B471,'On The Board'!$M$5:$M$219)-SUM(F471:I471)</f>
        <v>0</v>
      </c>
      <c r="F471" s="12">
        <f>SUMIF('On The Board'!H$5:H$219,"&lt;="&amp;$B471,'On The Board'!$M$5:$M$219)-SUM(G471:I471)</f>
        <v>5</v>
      </c>
      <c r="G471" s="12">
        <f>SUMIF('On The Board'!I$5:I$219,"&lt;="&amp;$B471,'On The Board'!$M$5:$M$219)-SUM(H471,I471)</f>
        <v>2</v>
      </c>
      <c r="H471" s="12">
        <f>SUMIF('On The Board'!J$5:J$219,"&lt;="&amp;$B471,'On The Board'!$M$5:$M$219)-SUM(I471)</f>
        <v>0</v>
      </c>
      <c r="I471" s="12">
        <f>SUMIF('On The Board'!K$5:K$219,"&lt;="&amp;$B471,'On The Board'!$M$5:$M$219)</f>
        <v>70</v>
      </c>
      <c r="J471" s="10">
        <f t="shared" si="68"/>
        <v>77</v>
      </c>
      <c r="K471" s="10" t="e">
        <f t="shared" ca="1" si="69"/>
        <v>#N/A</v>
      </c>
      <c r="L471" s="44" t="e">
        <f t="shared" ca="1" si="73"/>
        <v>#N/A</v>
      </c>
      <c r="M471" s="44" t="e">
        <f t="shared" ca="1" si="72"/>
        <v>#N/A</v>
      </c>
      <c r="N471" s="44" t="e">
        <f t="shared" ca="1" si="71"/>
        <v>#N/A</v>
      </c>
      <c r="O471" s="53" t="e">
        <f t="shared" ca="1" si="74"/>
        <v>#N/A</v>
      </c>
      <c r="P471" s="53" t="str">
        <f ca="1">IFERROR(DayByDayTable[[#This Row],[Lead Time]],"")</f>
        <v/>
      </c>
      <c r="Q471" s="44" t="e">
        <f t="shared" ca="1" si="75"/>
        <v>#N/A</v>
      </c>
      <c r="R471" s="44">
        <f ca="1">ROUND(PERCENTILE(DayByDayTable[[#Data],[BlankLeadTime]],0.8),0)</f>
        <v>8</v>
      </c>
    </row>
    <row r="472" spans="1:18">
      <c r="A472" s="51">
        <f t="shared" si="67"/>
        <v>43083</v>
      </c>
      <c r="B472" s="11">
        <f t="shared" si="70"/>
        <v>43083</v>
      </c>
      <c r="C472" s="47">
        <f>SUMIFS('On The Board'!$M$5:$M$219,'On The Board'!F$5:F$219,"&lt;="&amp;$B472,'On The Board'!E$5:E$219,"="&amp;FutureWork)</f>
        <v>43</v>
      </c>
      <c r="D472" s="12">
        <f ca="1">IF(TodaysDate&gt;=B472,SUMIF('On The Board'!F$5:F$219,"&lt;="&amp;$B472,'On The Board'!$M$5:$M$219)-SUM(E472:I472),D471)</f>
        <v>47</v>
      </c>
      <c r="E472" s="12">
        <f>SUMIF('On The Board'!G$5:G$219,"&lt;="&amp;$B472,'On The Board'!$M$5:$M$219)-SUM(F472:I472)</f>
        <v>0</v>
      </c>
      <c r="F472" s="12">
        <f>SUMIF('On The Board'!H$5:H$219,"&lt;="&amp;$B472,'On The Board'!$M$5:$M$219)-SUM(G472:I472)</f>
        <v>5</v>
      </c>
      <c r="G472" s="12">
        <f>SUMIF('On The Board'!I$5:I$219,"&lt;="&amp;$B472,'On The Board'!$M$5:$M$219)-SUM(H472,I472)</f>
        <v>2</v>
      </c>
      <c r="H472" s="12">
        <f>SUMIF('On The Board'!J$5:J$219,"&lt;="&amp;$B472,'On The Board'!$M$5:$M$219)-SUM(I472)</f>
        <v>0</v>
      </c>
      <c r="I472" s="12">
        <f>SUMIF('On The Board'!K$5:K$219,"&lt;="&amp;$B472,'On The Board'!$M$5:$M$219)</f>
        <v>70</v>
      </c>
      <c r="J472" s="10">
        <f t="shared" si="68"/>
        <v>77</v>
      </c>
      <c r="K472" s="10" t="e">
        <f t="shared" ca="1" si="69"/>
        <v>#N/A</v>
      </c>
      <c r="L472" s="44" t="e">
        <f t="shared" ca="1" si="73"/>
        <v>#N/A</v>
      </c>
      <c r="M472" s="44" t="e">
        <f t="shared" ca="1" si="72"/>
        <v>#N/A</v>
      </c>
      <c r="N472" s="44" t="e">
        <f t="shared" ca="1" si="71"/>
        <v>#N/A</v>
      </c>
      <c r="O472" s="53" t="e">
        <f t="shared" ca="1" si="74"/>
        <v>#N/A</v>
      </c>
      <c r="P472" s="53" t="str">
        <f ca="1">IFERROR(DayByDayTable[[#This Row],[Lead Time]],"")</f>
        <v/>
      </c>
      <c r="Q472" s="44" t="e">
        <f t="shared" ca="1" si="75"/>
        <v>#N/A</v>
      </c>
      <c r="R472" s="44">
        <f ca="1">ROUND(PERCENTILE(DayByDayTable[[#Data],[BlankLeadTime]],0.8),0)</f>
        <v>8</v>
      </c>
    </row>
    <row r="473" spans="1:18">
      <c r="A473" s="51">
        <f t="shared" si="67"/>
        <v>43084</v>
      </c>
      <c r="B473" s="11">
        <f t="shared" si="70"/>
        <v>43084</v>
      </c>
      <c r="C473" s="47">
        <f>SUMIFS('On The Board'!$M$5:$M$219,'On The Board'!F$5:F$219,"&lt;="&amp;$B473,'On The Board'!E$5:E$219,"="&amp;FutureWork)</f>
        <v>43</v>
      </c>
      <c r="D473" s="12">
        <f ca="1">IF(TodaysDate&gt;=B473,SUMIF('On The Board'!F$5:F$219,"&lt;="&amp;$B473,'On The Board'!$M$5:$M$219)-SUM(E473:I473),D472)</f>
        <v>47</v>
      </c>
      <c r="E473" s="12">
        <f>SUMIF('On The Board'!G$5:G$219,"&lt;="&amp;$B473,'On The Board'!$M$5:$M$219)-SUM(F473:I473)</f>
        <v>0</v>
      </c>
      <c r="F473" s="12">
        <f>SUMIF('On The Board'!H$5:H$219,"&lt;="&amp;$B473,'On The Board'!$M$5:$M$219)-SUM(G473:I473)</f>
        <v>5</v>
      </c>
      <c r="G473" s="12">
        <f>SUMIF('On The Board'!I$5:I$219,"&lt;="&amp;$B473,'On The Board'!$M$5:$M$219)-SUM(H473,I473)</f>
        <v>2</v>
      </c>
      <c r="H473" s="12">
        <f>SUMIF('On The Board'!J$5:J$219,"&lt;="&amp;$B473,'On The Board'!$M$5:$M$219)-SUM(I473)</f>
        <v>0</v>
      </c>
      <c r="I473" s="12">
        <f>SUMIF('On The Board'!K$5:K$219,"&lt;="&amp;$B473,'On The Board'!$M$5:$M$219)</f>
        <v>70</v>
      </c>
      <c r="J473" s="10">
        <f t="shared" si="68"/>
        <v>77</v>
      </c>
      <c r="K473" s="10" t="e">
        <f t="shared" ca="1" si="69"/>
        <v>#N/A</v>
      </c>
      <c r="L473" s="44" t="e">
        <f t="shared" ca="1" si="73"/>
        <v>#N/A</v>
      </c>
      <c r="M473" s="44" t="e">
        <f t="shared" ca="1" si="72"/>
        <v>#N/A</v>
      </c>
      <c r="N473" s="44" t="e">
        <f t="shared" ca="1" si="71"/>
        <v>#N/A</v>
      </c>
      <c r="O473" s="53" t="e">
        <f t="shared" ca="1" si="74"/>
        <v>#N/A</v>
      </c>
      <c r="P473" s="53" t="str">
        <f ca="1">IFERROR(DayByDayTable[[#This Row],[Lead Time]],"")</f>
        <v/>
      </c>
      <c r="Q473" s="44" t="e">
        <f t="shared" ca="1" si="75"/>
        <v>#N/A</v>
      </c>
      <c r="R473" s="44">
        <f ca="1">ROUND(PERCENTILE(DayByDayTable[[#Data],[BlankLeadTime]],0.8),0)</f>
        <v>8</v>
      </c>
    </row>
    <row r="474" spans="1:18">
      <c r="A474" s="51">
        <f t="shared" si="67"/>
        <v>43087</v>
      </c>
      <c r="B474" s="11">
        <f t="shared" si="70"/>
        <v>43087</v>
      </c>
      <c r="C474" s="47">
        <f>SUMIFS('On The Board'!$M$5:$M$219,'On The Board'!F$5:F$219,"&lt;="&amp;$B474,'On The Board'!E$5:E$219,"="&amp;FutureWork)</f>
        <v>43</v>
      </c>
      <c r="D474" s="12">
        <f ca="1">IF(TodaysDate&gt;=B474,SUMIF('On The Board'!F$5:F$219,"&lt;="&amp;$B474,'On The Board'!$M$5:$M$219)-SUM(E474:I474),D473)</f>
        <v>47</v>
      </c>
      <c r="E474" s="12">
        <f>SUMIF('On The Board'!G$5:G$219,"&lt;="&amp;$B474,'On The Board'!$M$5:$M$219)-SUM(F474:I474)</f>
        <v>0</v>
      </c>
      <c r="F474" s="12">
        <f>SUMIF('On The Board'!H$5:H$219,"&lt;="&amp;$B474,'On The Board'!$M$5:$M$219)-SUM(G474:I474)</f>
        <v>5</v>
      </c>
      <c r="G474" s="12">
        <f>SUMIF('On The Board'!I$5:I$219,"&lt;="&amp;$B474,'On The Board'!$M$5:$M$219)-SUM(H474,I474)</f>
        <v>2</v>
      </c>
      <c r="H474" s="12">
        <f>SUMIF('On The Board'!J$5:J$219,"&lt;="&amp;$B474,'On The Board'!$M$5:$M$219)-SUM(I474)</f>
        <v>0</v>
      </c>
      <c r="I474" s="12">
        <f>SUMIF('On The Board'!K$5:K$219,"&lt;="&amp;$B474,'On The Board'!$M$5:$M$219)</f>
        <v>70</v>
      </c>
      <c r="J474" s="10">
        <f t="shared" si="68"/>
        <v>77</v>
      </c>
      <c r="K474" s="10" t="e">
        <f t="shared" ca="1" si="69"/>
        <v>#N/A</v>
      </c>
      <c r="L474" s="44" t="e">
        <f t="shared" ca="1" si="73"/>
        <v>#N/A</v>
      </c>
      <c r="M474" s="44" t="e">
        <f t="shared" ca="1" si="72"/>
        <v>#N/A</v>
      </c>
      <c r="N474" s="44" t="e">
        <f t="shared" ca="1" si="71"/>
        <v>#N/A</v>
      </c>
      <c r="O474" s="53" t="e">
        <f t="shared" ca="1" si="74"/>
        <v>#N/A</v>
      </c>
      <c r="P474" s="53" t="str">
        <f ca="1">IFERROR(DayByDayTable[[#This Row],[Lead Time]],"")</f>
        <v/>
      </c>
      <c r="Q474" s="44" t="e">
        <f t="shared" ca="1" si="75"/>
        <v>#N/A</v>
      </c>
      <c r="R474" s="44">
        <f ca="1">ROUND(PERCENTILE(DayByDayTable[[#Data],[BlankLeadTime]],0.8),0)</f>
        <v>8</v>
      </c>
    </row>
    <row r="475" spans="1:18">
      <c r="A475" s="51">
        <f t="shared" si="67"/>
        <v>43088</v>
      </c>
      <c r="B475" s="11">
        <f t="shared" si="70"/>
        <v>43088</v>
      </c>
      <c r="C475" s="47">
        <f>SUMIFS('On The Board'!$M$5:$M$219,'On The Board'!F$5:F$219,"&lt;="&amp;$B475,'On The Board'!E$5:E$219,"="&amp;FutureWork)</f>
        <v>43</v>
      </c>
      <c r="D475" s="12">
        <f ca="1">IF(TodaysDate&gt;=B475,SUMIF('On The Board'!F$5:F$219,"&lt;="&amp;$B475,'On The Board'!$M$5:$M$219)-SUM(E475:I475),D474)</f>
        <v>47</v>
      </c>
      <c r="E475" s="12">
        <f>SUMIF('On The Board'!G$5:G$219,"&lt;="&amp;$B475,'On The Board'!$M$5:$M$219)-SUM(F475:I475)</f>
        <v>0</v>
      </c>
      <c r="F475" s="12">
        <f>SUMIF('On The Board'!H$5:H$219,"&lt;="&amp;$B475,'On The Board'!$M$5:$M$219)-SUM(G475:I475)</f>
        <v>5</v>
      </c>
      <c r="G475" s="12">
        <f>SUMIF('On The Board'!I$5:I$219,"&lt;="&amp;$B475,'On The Board'!$M$5:$M$219)-SUM(H475,I475)</f>
        <v>2</v>
      </c>
      <c r="H475" s="12">
        <f>SUMIF('On The Board'!J$5:J$219,"&lt;="&amp;$B475,'On The Board'!$M$5:$M$219)-SUM(I475)</f>
        <v>0</v>
      </c>
      <c r="I475" s="12">
        <f>SUMIF('On The Board'!K$5:K$219,"&lt;="&amp;$B475,'On The Board'!$M$5:$M$219)</f>
        <v>70</v>
      </c>
      <c r="J475" s="10">
        <f t="shared" si="68"/>
        <v>77</v>
      </c>
      <c r="K475" s="10" t="e">
        <f t="shared" ca="1" si="69"/>
        <v>#N/A</v>
      </c>
      <c r="L475" s="44" t="e">
        <f t="shared" ca="1" si="73"/>
        <v>#N/A</v>
      </c>
      <c r="M475" s="44" t="e">
        <f t="shared" ca="1" si="72"/>
        <v>#N/A</v>
      </c>
      <c r="N475" s="44" t="e">
        <f t="shared" ca="1" si="71"/>
        <v>#N/A</v>
      </c>
      <c r="O475" s="53" t="e">
        <f t="shared" ca="1" si="74"/>
        <v>#N/A</v>
      </c>
      <c r="P475" s="53" t="str">
        <f ca="1">IFERROR(DayByDayTable[[#This Row],[Lead Time]],"")</f>
        <v/>
      </c>
      <c r="Q475" s="44" t="e">
        <f t="shared" ca="1" si="75"/>
        <v>#N/A</v>
      </c>
      <c r="R475" s="44">
        <f ca="1">ROUND(PERCENTILE(DayByDayTable[[#Data],[BlankLeadTime]],0.8),0)</f>
        <v>8</v>
      </c>
    </row>
    <row r="476" spans="1:18">
      <c r="A476" s="51">
        <f t="shared" si="67"/>
        <v>43089</v>
      </c>
      <c r="B476" s="11">
        <f t="shared" si="70"/>
        <v>43089</v>
      </c>
      <c r="C476" s="47">
        <f>SUMIFS('On The Board'!$M$5:$M$219,'On The Board'!F$5:F$219,"&lt;="&amp;$B476,'On The Board'!E$5:E$219,"="&amp;FutureWork)</f>
        <v>43</v>
      </c>
      <c r="D476" s="12">
        <f ca="1">IF(TodaysDate&gt;=B476,SUMIF('On The Board'!F$5:F$219,"&lt;="&amp;$B476,'On The Board'!$M$5:$M$219)-SUM(E476:I476),D475)</f>
        <v>47</v>
      </c>
      <c r="E476" s="12">
        <f>SUMIF('On The Board'!G$5:G$219,"&lt;="&amp;$B476,'On The Board'!$M$5:$M$219)-SUM(F476:I476)</f>
        <v>0</v>
      </c>
      <c r="F476" s="12">
        <f>SUMIF('On The Board'!H$5:H$219,"&lt;="&amp;$B476,'On The Board'!$M$5:$M$219)-SUM(G476:I476)</f>
        <v>5</v>
      </c>
      <c r="G476" s="12">
        <f>SUMIF('On The Board'!I$5:I$219,"&lt;="&amp;$B476,'On The Board'!$M$5:$M$219)-SUM(H476,I476)</f>
        <v>2</v>
      </c>
      <c r="H476" s="12">
        <f>SUMIF('On The Board'!J$5:J$219,"&lt;="&amp;$B476,'On The Board'!$M$5:$M$219)-SUM(I476)</f>
        <v>0</v>
      </c>
      <c r="I476" s="12">
        <f>SUMIF('On The Board'!K$5:K$219,"&lt;="&amp;$B476,'On The Board'!$M$5:$M$219)</f>
        <v>70</v>
      </c>
      <c r="J476" s="10">
        <f t="shared" si="68"/>
        <v>77</v>
      </c>
      <c r="K476" s="10" t="e">
        <f t="shared" ca="1" si="69"/>
        <v>#N/A</v>
      </c>
      <c r="L476" s="44" t="e">
        <f t="shared" ca="1" si="73"/>
        <v>#N/A</v>
      </c>
      <c r="M476" s="44" t="e">
        <f t="shared" ca="1" si="72"/>
        <v>#N/A</v>
      </c>
      <c r="N476" s="44" t="e">
        <f t="shared" ca="1" si="71"/>
        <v>#N/A</v>
      </c>
      <c r="O476" s="53" t="e">
        <f t="shared" ca="1" si="74"/>
        <v>#N/A</v>
      </c>
      <c r="P476" s="53" t="str">
        <f ca="1">IFERROR(DayByDayTable[[#This Row],[Lead Time]],"")</f>
        <v/>
      </c>
      <c r="Q476" s="44" t="e">
        <f t="shared" ca="1" si="75"/>
        <v>#N/A</v>
      </c>
      <c r="R476" s="44">
        <f ca="1">ROUND(PERCENTILE(DayByDayTable[[#Data],[BlankLeadTime]],0.8),0)</f>
        <v>8</v>
      </c>
    </row>
    <row r="477" spans="1:18">
      <c r="A477" s="51">
        <f t="shared" si="67"/>
        <v>43090</v>
      </c>
      <c r="B477" s="11">
        <f t="shared" si="70"/>
        <v>43090</v>
      </c>
      <c r="C477" s="47">
        <f>SUMIFS('On The Board'!$M$5:$M$219,'On The Board'!F$5:F$219,"&lt;="&amp;$B477,'On The Board'!E$5:E$219,"="&amp;FutureWork)</f>
        <v>43</v>
      </c>
      <c r="D477" s="12">
        <f ca="1">IF(TodaysDate&gt;=B477,SUMIF('On The Board'!F$5:F$219,"&lt;="&amp;$B477,'On The Board'!$M$5:$M$219)-SUM(E477:I477),D476)</f>
        <v>47</v>
      </c>
      <c r="E477" s="12">
        <f>SUMIF('On The Board'!G$5:G$219,"&lt;="&amp;$B477,'On The Board'!$M$5:$M$219)-SUM(F477:I477)</f>
        <v>0</v>
      </c>
      <c r="F477" s="12">
        <f>SUMIF('On The Board'!H$5:H$219,"&lt;="&amp;$B477,'On The Board'!$M$5:$M$219)-SUM(G477:I477)</f>
        <v>5</v>
      </c>
      <c r="G477" s="12">
        <f>SUMIF('On The Board'!I$5:I$219,"&lt;="&amp;$B477,'On The Board'!$M$5:$M$219)-SUM(H477,I477)</f>
        <v>2</v>
      </c>
      <c r="H477" s="12">
        <f>SUMIF('On The Board'!J$5:J$219,"&lt;="&amp;$B477,'On The Board'!$M$5:$M$219)-SUM(I477)</f>
        <v>0</v>
      </c>
      <c r="I477" s="12">
        <f>SUMIF('On The Board'!K$5:K$219,"&lt;="&amp;$B477,'On The Board'!$M$5:$M$219)</f>
        <v>70</v>
      </c>
      <c r="J477" s="10">
        <f t="shared" si="68"/>
        <v>77</v>
      </c>
      <c r="K477" s="10" t="e">
        <f t="shared" ca="1" si="69"/>
        <v>#N/A</v>
      </c>
      <c r="L477" s="44" t="e">
        <f t="shared" ca="1" si="73"/>
        <v>#N/A</v>
      </c>
      <c r="M477" s="44" t="e">
        <f t="shared" ca="1" si="72"/>
        <v>#N/A</v>
      </c>
      <c r="N477" s="44" t="e">
        <f t="shared" ca="1" si="71"/>
        <v>#N/A</v>
      </c>
      <c r="O477" s="53" t="e">
        <f t="shared" ca="1" si="74"/>
        <v>#N/A</v>
      </c>
      <c r="P477" s="53" t="str">
        <f ca="1">IFERROR(DayByDayTable[[#This Row],[Lead Time]],"")</f>
        <v/>
      </c>
      <c r="Q477" s="44" t="e">
        <f t="shared" ca="1" si="75"/>
        <v>#N/A</v>
      </c>
      <c r="R477" s="44">
        <f ca="1">ROUND(PERCENTILE(DayByDayTable[[#Data],[BlankLeadTime]],0.8),0)</f>
        <v>8</v>
      </c>
    </row>
    <row r="478" spans="1:18">
      <c r="A478" s="51">
        <f t="shared" si="67"/>
        <v>43091</v>
      </c>
      <c r="B478" s="11">
        <f t="shared" si="70"/>
        <v>43091</v>
      </c>
      <c r="C478" s="47">
        <f>SUMIFS('On The Board'!$M$5:$M$219,'On The Board'!F$5:F$219,"&lt;="&amp;$B478,'On The Board'!E$5:E$219,"="&amp;FutureWork)</f>
        <v>43</v>
      </c>
      <c r="D478" s="12">
        <f ca="1">IF(TodaysDate&gt;=B478,SUMIF('On The Board'!F$5:F$219,"&lt;="&amp;$B478,'On The Board'!$M$5:$M$219)-SUM(E478:I478),D477)</f>
        <v>47</v>
      </c>
      <c r="E478" s="12">
        <f>SUMIF('On The Board'!G$5:G$219,"&lt;="&amp;$B478,'On The Board'!$M$5:$M$219)-SUM(F478:I478)</f>
        <v>0</v>
      </c>
      <c r="F478" s="12">
        <f>SUMIF('On The Board'!H$5:H$219,"&lt;="&amp;$B478,'On The Board'!$M$5:$M$219)-SUM(G478:I478)</f>
        <v>5</v>
      </c>
      <c r="G478" s="12">
        <f>SUMIF('On The Board'!I$5:I$219,"&lt;="&amp;$B478,'On The Board'!$M$5:$M$219)-SUM(H478,I478)</f>
        <v>2</v>
      </c>
      <c r="H478" s="12">
        <f>SUMIF('On The Board'!J$5:J$219,"&lt;="&amp;$B478,'On The Board'!$M$5:$M$219)-SUM(I478)</f>
        <v>0</v>
      </c>
      <c r="I478" s="12">
        <f>SUMIF('On The Board'!K$5:K$219,"&lt;="&amp;$B478,'On The Board'!$M$5:$M$219)</f>
        <v>70</v>
      </c>
      <c r="J478" s="10">
        <f t="shared" si="68"/>
        <v>77</v>
      </c>
      <c r="K478" s="10" t="e">
        <f t="shared" ca="1" si="69"/>
        <v>#N/A</v>
      </c>
      <c r="L478" s="44" t="e">
        <f t="shared" ca="1" si="73"/>
        <v>#N/A</v>
      </c>
      <c r="M478" s="44" t="e">
        <f t="shared" ca="1" si="72"/>
        <v>#N/A</v>
      </c>
      <c r="N478" s="44" t="e">
        <f t="shared" ca="1" si="71"/>
        <v>#N/A</v>
      </c>
      <c r="O478" s="53" t="e">
        <f t="shared" ca="1" si="74"/>
        <v>#N/A</v>
      </c>
      <c r="P478" s="53" t="str">
        <f ca="1">IFERROR(DayByDayTable[[#This Row],[Lead Time]],"")</f>
        <v/>
      </c>
      <c r="Q478" s="44" t="e">
        <f t="shared" ca="1" si="75"/>
        <v>#N/A</v>
      </c>
      <c r="R478" s="44">
        <f ca="1">ROUND(PERCENTILE(DayByDayTable[[#Data],[BlankLeadTime]],0.8),0)</f>
        <v>8</v>
      </c>
    </row>
    <row r="479" spans="1:18">
      <c r="A479" s="51">
        <f t="shared" si="67"/>
        <v>43096</v>
      </c>
      <c r="B479" s="11">
        <f t="shared" si="70"/>
        <v>43096</v>
      </c>
      <c r="C479" s="47">
        <f>SUMIFS('On The Board'!$M$5:$M$219,'On The Board'!F$5:F$219,"&lt;="&amp;$B479,'On The Board'!E$5:E$219,"="&amp;FutureWork)</f>
        <v>43</v>
      </c>
      <c r="D479" s="12">
        <f ca="1">IF(TodaysDate&gt;=B479,SUMIF('On The Board'!F$5:F$219,"&lt;="&amp;$B479,'On The Board'!$M$5:$M$219)-SUM(E479:I479),D478)</f>
        <v>47</v>
      </c>
      <c r="E479" s="12">
        <f>SUMIF('On The Board'!G$5:G$219,"&lt;="&amp;$B479,'On The Board'!$M$5:$M$219)-SUM(F479:I479)</f>
        <v>0</v>
      </c>
      <c r="F479" s="12">
        <f>SUMIF('On The Board'!H$5:H$219,"&lt;="&amp;$B479,'On The Board'!$M$5:$M$219)-SUM(G479:I479)</f>
        <v>5</v>
      </c>
      <c r="G479" s="12">
        <f>SUMIF('On The Board'!I$5:I$219,"&lt;="&amp;$B479,'On The Board'!$M$5:$M$219)-SUM(H479,I479)</f>
        <v>2</v>
      </c>
      <c r="H479" s="12">
        <f>SUMIF('On The Board'!J$5:J$219,"&lt;="&amp;$B479,'On The Board'!$M$5:$M$219)-SUM(I479)</f>
        <v>0</v>
      </c>
      <c r="I479" s="12">
        <f>SUMIF('On The Board'!K$5:K$219,"&lt;="&amp;$B479,'On The Board'!$M$5:$M$219)</f>
        <v>70</v>
      </c>
      <c r="J479" s="10">
        <f t="shared" si="68"/>
        <v>77</v>
      </c>
      <c r="K479" s="10" t="e">
        <f t="shared" ca="1" si="69"/>
        <v>#N/A</v>
      </c>
      <c r="L479" s="44" t="e">
        <f t="shared" ca="1" si="73"/>
        <v>#N/A</v>
      </c>
      <c r="M479" s="44" t="e">
        <f t="shared" ca="1" si="72"/>
        <v>#N/A</v>
      </c>
      <c r="N479" s="44" t="e">
        <f t="shared" ca="1" si="71"/>
        <v>#N/A</v>
      </c>
      <c r="O479" s="53" t="e">
        <f t="shared" ca="1" si="74"/>
        <v>#N/A</v>
      </c>
      <c r="P479" s="53" t="str">
        <f ca="1">IFERROR(DayByDayTable[[#This Row],[Lead Time]],"")</f>
        <v/>
      </c>
      <c r="Q479" s="44" t="e">
        <f t="shared" ca="1" si="75"/>
        <v>#N/A</v>
      </c>
      <c r="R479" s="44">
        <f ca="1">ROUND(PERCENTILE(DayByDayTable[[#Data],[BlankLeadTime]],0.8),0)</f>
        <v>8</v>
      </c>
    </row>
    <row r="480" spans="1:18">
      <c r="A480" s="51">
        <f t="shared" si="67"/>
        <v>43097</v>
      </c>
      <c r="B480" s="11">
        <f t="shared" si="70"/>
        <v>43097</v>
      </c>
      <c r="C480" s="47">
        <f>SUMIFS('On The Board'!$M$5:$M$219,'On The Board'!F$5:F$219,"&lt;="&amp;$B480,'On The Board'!E$5:E$219,"="&amp;FutureWork)</f>
        <v>43</v>
      </c>
      <c r="D480" s="12">
        <f ca="1">IF(TodaysDate&gt;=B480,SUMIF('On The Board'!F$5:F$219,"&lt;="&amp;$B480,'On The Board'!$M$5:$M$219)-SUM(E480:I480),D479)</f>
        <v>47</v>
      </c>
      <c r="E480" s="12">
        <f>SUMIF('On The Board'!G$5:G$219,"&lt;="&amp;$B480,'On The Board'!$M$5:$M$219)-SUM(F480:I480)</f>
        <v>0</v>
      </c>
      <c r="F480" s="12">
        <f>SUMIF('On The Board'!H$5:H$219,"&lt;="&amp;$B480,'On The Board'!$M$5:$M$219)-SUM(G480:I480)</f>
        <v>5</v>
      </c>
      <c r="G480" s="12">
        <f>SUMIF('On The Board'!I$5:I$219,"&lt;="&amp;$B480,'On The Board'!$M$5:$M$219)-SUM(H480,I480)</f>
        <v>2</v>
      </c>
      <c r="H480" s="12">
        <f>SUMIF('On The Board'!J$5:J$219,"&lt;="&amp;$B480,'On The Board'!$M$5:$M$219)-SUM(I480)</f>
        <v>0</v>
      </c>
      <c r="I480" s="12">
        <f>SUMIF('On The Board'!K$5:K$219,"&lt;="&amp;$B480,'On The Board'!$M$5:$M$219)</f>
        <v>70</v>
      </c>
      <c r="J480" s="10">
        <f t="shared" si="68"/>
        <v>77</v>
      </c>
      <c r="K480" s="10" t="e">
        <f t="shared" ca="1" si="69"/>
        <v>#N/A</v>
      </c>
      <c r="L480" s="44" t="e">
        <f t="shared" ca="1" si="73"/>
        <v>#N/A</v>
      </c>
      <c r="M480" s="44" t="e">
        <f t="shared" ca="1" si="72"/>
        <v>#N/A</v>
      </c>
      <c r="N480" s="44" t="e">
        <f t="shared" ca="1" si="71"/>
        <v>#N/A</v>
      </c>
      <c r="O480" s="53" t="e">
        <f t="shared" ca="1" si="74"/>
        <v>#N/A</v>
      </c>
      <c r="P480" s="53" t="str">
        <f ca="1">IFERROR(DayByDayTable[[#This Row],[Lead Time]],"")</f>
        <v/>
      </c>
      <c r="Q480" s="44" t="e">
        <f t="shared" ca="1" si="75"/>
        <v>#N/A</v>
      </c>
      <c r="R480" s="44">
        <f ca="1">ROUND(PERCENTILE(DayByDayTable[[#Data],[BlankLeadTime]],0.8),0)</f>
        <v>8</v>
      </c>
    </row>
    <row r="481" spans="1:18">
      <c r="A481" s="51">
        <f t="shared" si="67"/>
        <v>43098</v>
      </c>
      <c r="B481" s="11">
        <f t="shared" si="70"/>
        <v>43098</v>
      </c>
      <c r="C481" s="47">
        <f>SUMIFS('On The Board'!$M$5:$M$219,'On The Board'!F$5:F$219,"&lt;="&amp;$B481,'On The Board'!E$5:E$219,"="&amp;FutureWork)</f>
        <v>43</v>
      </c>
      <c r="D481" s="12">
        <f ca="1">IF(TodaysDate&gt;=B481,SUMIF('On The Board'!F$5:F$219,"&lt;="&amp;$B481,'On The Board'!$M$5:$M$219)-SUM(E481:I481),D480)</f>
        <v>47</v>
      </c>
      <c r="E481" s="12">
        <f>SUMIF('On The Board'!G$5:G$219,"&lt;="&amp;$B481,'On The Board'!$M$5:$M$219)-SUM(F481:I481)</f>
        <v>0</v>
      </c>
      <c r="F481" s="12">
        <f>SUMIF('On The Board'!H$5:H$219,"&lt;="&amp;$B481,'On The Board'!$M$5:$M$219)-SUM(G481:I481)</f>
        <v>5</v>
      </c>
      <c r="G481" s="12">
        <f>SUMIF('On The Board'!I$5:I$219,"&lt;="&amp;$B481,'On The Board'!$M$5:$M$219)-SUM(H481,I481)</f>
        <v>2</v>
      </c>
      <c r="H481" s="12">
        <f>SUMIF('On The Board'!J$5:J$219,"&lt;="&amp;$B481,'On The Board'!$M$5:$M$219)-SUM(I481)</f>
        <v>0</v>
      </c>
      <c r="I481" s="12">
        <f>SUMIF('On The Board'!K$5:K$219,"&lt;="&amp;$B481,'On The Board'!$M$5:$M$219)</f>
        <v>70</v>
      </c>
      <c r="J481" s="10">
        <f t="shared" si="68"/>
        <v>77</v>
      </c>
      <c r="K481" s="10" t="e">
        <f t="shared" ca="1" si="69"/>
        <v>#N/A</v>
      </c>
      <c r="L481" s="44" t="e">
        <f t="shared" ca="1" si="73"/>
        <v>#N/A</v>
      </c>
      <c r="M481" s="44" t="e">
        <f t="shared" ca="1" si="72"/>
        <v>#N/A</v>
      </c>
      <c r="N481" s="44" t="e">
        <f t="shared" ca="1" si="71"/>
        <v>#N/A</v>
      </c>
      <c r="O481" s="53" t="e">
        <f t="shared" ca="1" si="74"/>
        <v>#N/A</v>
      </c>
      <c r="P481" s="53" t="str">
        <f ca="1">IFERROR(DayByDayTable[[#This Row],[Lead Time]],"")</f>
        <v/>
      </c>
      <c r="Q481" s="44" t="e">
        <f t="shared" ca="1" si="75"/>
        <v>#N/A</v>
      </c>
      <c r="R481" s="44">
        <f ca="1">ROUND(PERCENTILE(DayByDayTable[[#Data],[BlankLeadTime]],0.8),0)</f>
        <v>8</v>
      </c>
    </row>
    <row r="482" spans="1:18">
      <c r="A482" s="51">
        <f t="shared" si="67"/>
        <v>43102</v>
      </c>
      <c r="B482" s="11">
        <f t="shared" si="70"/>
        <v>43102</v>
      </c>
      <c r="C482" s="47">
        <f>SUMIFS('On The Board'!$M$5:$M$219,'On The Board'!F$5:F$219,"&lt;="&amp;$B482,'On The Board'!E$5:E$219,"="&amp;FutureWork)</f>
        <v>43</v>
      </c>
      <c r="D482" s="12">
        <f ca="1">IF(TodaysDate&gt;=B482,SUMIF('On The Board'!F$5:F$219,"&lt;="&amp;$B482,'On The Board'!$M$5:$M$219)-SUM(E482:I482),D481)</f>
        <v>47</v>
      </c>
      <c r="E482" s="12">
        <f>SUMIF('On The Board'!G$5:G$219,"&lt;="&amp;$B482,'On The Board'!$M$5:$M$219)-SUM(F482:I482)</f>
        <v>0</v>
      </c>
      <c r="F482" s="12">
        <f>SUMIF('On The Board'!H$5:H$219,"&lt;="&amp;$B482,'On The Board'!$M$5:$M$219)-SUM(G482:I482)</f>
        <v>5</v>
      </c>
      <c r="G482" s="12">
        <f>SUMIF('On The Board'!I$5:I$219,"&lt;="&amp;$B482,'On The Board'!$M$5:$M$219)-SUM(H482,I482)</f>
        <v>2</v>
      </c>
      <c r="H482" s="12">
        <f>SUMIF('On The Board'!J$5:J$219,"&lt;="&amp;$B482,'On The Board'!$M$5:$M$219)-SUM(I482)</f>
        <v>0</v>
      </c>
      <c r="I482" s="12">
        <f>SUMIF('On The Board'!K$5:K$219,"&lt;="&amp;$B482,'On The Board'!$M$5:$M$219)</f>
        <v>70</v>
      </c>
      <c r="J482" s="10">
        <f t="shared" si="68"/>
        <v>77</v>
      </c>
      <c r="K482" s="10" t="e">
        <f t="shared" ca="1" si="69"/>
        <v>#N/A</v>
      </c>
      <c r="L482" s="44" t="e">
        <f t="shared" ca="1" si="73"/>
        <v>#N/A</v>
      </c>
      <c r="M482" s="44" t="e">
        <f t="shared" ca="1" si="72"/>
        <v>#N/A</v>
      </c>
      <c r="N482" s="44" t="e">
        <f t="shared" ca="1" si="71"/>
        <v>#N/A</v>
      </c>
      <c r="O482" s="53" t="e">
        <f t="shared" ca="1" si="74"/>
        <v>#N/A</v>
      </c>
      <c r="P482" s="53" t="str">
        <f ca="1">IFERROR(DayByDayTable[[#This Row],[Lead Time]],"")</f>
        <v/>
      </c>
      <c r="Q482" s="44" t="e">
        <f t="shared" ca="1" si="75"/>
        <v>#N/A</v>
      </c>
      <c r="R482" s="44">
        <f ca="1">ROUND(PERCENTILE(DayByDayTable[[#Data],[BlankLeadTime]],0.8),0)</f>
        <v>8</v>
      </c>
    </row>
    <row r="483" spans="1:18">
      <c r="A483" s="51">
        <f t="shared" si="67"/>
        <v>43103</v>
      </c>
      <c r="B483" s="11">
        <f t="shared" si="70"/>
        <v>43103</v>
      </c>
      <c r="C483" s="47">
        <f>SUMIFS('On The Board'!$M$5:$M$219,'On The Board'!F$5:F$219,"&lt;="&amp;$B483,'On The Board'!E$5:E$219,"="&amp;FutureWork)</f>
        <v>43</v>
      </c>
      <c r="D483" s="12">
        <f ca="1">IF(TodaysDate&gt;=B483,SUMIF('On The Board'!F$5:F$219,"&lt;="&amp;$B483,'On The Board'!$M$5:$M$219)-SUM(E483:I483),D482)</f>
        <v>47</v>
      </c>
      <c r="E483" s="12">
        <f>SUMIF('On The Board'!G$5:G$219,"&lt;="&amp;$B483,'On The Board'!$M$5:$M$219)-SUM(F483:I483)</f>
        <v>0</v>
      </c>
      <c r="F483" s="12">
        <f>SUMIF('On The Board'!H$5:H$219,"&lt;="&amp;$B483,'On The Board'!$M$5:$M$219)-SUM(G483:I483)</f>
        <v>5</v>
      </c>
      <c r="G483" s="12">
        <f>SUMIF('On The Board'!I$5:I$219,"&lt;="&amp;$B483,'On The Board'!$M$5:$M$219)-SUM(H483,I483)</f>
        <v>2</v>
      </c>
      <c r="H483" s="12">
        <f>SUMIF('On The Board'!J$5:J$219,"&lt;="&amp;$B483,'On The Board'!$M$5:$M$219)-SUM(I483)</f>
        <v>0</v>
      </c>
      <c r="I483" s="12">
        <f>SUMIF('On The Board'!K$5:K$219,"&lt;="&amp;$B483,'On The Board'!$M$5:$M$219)</f>
        <v>70</v>
      </c>
      <c r="J483" s="10">
        <f t="shared" si="68"/>
        <v>77</v>
      </c>
      <c r="K483" s="10" t="e">
        <f t="shared" ca="1" si="69"/>
        <v>#N/A</v>
      </c>
      <c r="L483" s="44" t="e">
        <f t="shared" ca="1" si="73"/>
        <v>#N/A</v>
      </c>
      <c r="M483" s="44" t="e">
        <f t="shared" ca="1" si="72"/>
        <v>#N/A</v>
      </c>
      <c r="N483" s="44" t="e">
        <f t="shared" ca="1" si="71"/>
        <v>#N/A</v>
      </c>
      <c r="O483" s="53" t="e">
        <f t="shared" ca="1" si="74"/>
        <v>#N/A</v>
      </c>
      <c r="P483" s="53" t="str">
        <f ca="1">IFERROR(DayByDayTable[[#This Row],[Lead Time]],"")</f>
        <v/>
      </c>
      <c r="Q483" s="44" t="e">
        <f t="shared" ca="1" si="75"/>
        <v>#N/A</v>
      </c>
      <c r="R483" s="44">
        <f ca="1">ROUND(PERCENTILE(DayByDayTable[[#Data],[BlankLeadTime]],0.8),0)</f>
        <v>8</v>
      </c>
    </row>
    <row r="484" spans="1:18">
      <c r="A484" s="51">
        <f t="shared" si="67"/>
        <v>43104</v>
      </c>
      <c r="B484" s="11">
        <f t="shared" si="70"/>
        <v>43104</v>
      </c>
      <c r="C484" s="47">
        <f>SUMIFS('On The Board'!$M$5:$M$219,'On The Board'!F$5:F$219,"&lt;="&amp;$B484,'On The Board'!E$5:E$219,"="&amp;FutureWork)</f>
        <v>43</v>
      </c>
      <c r="D484" s="12">
        <f ca="1">IF(TodaysDate&gt;=B484,SUMIF('On The Board'!F$5:F$219,"&lt;="&amp;$B484,'On The Board'!$M$5:$M$219)-SUM(E484:I484),D483)</f>
        <v>47</v>
      </c>
      <c r="E484" s="12">
        <f>SUMIF('On The Board'!G$5:G$219,"&lt;="&amp;$B484,'On The Board'!$M$5:$M$219)-SUM(F484:I484)</f>
        <v>0</v>
      </c>
      <c r="F484" s="12">
        <f>SUMIF('On The Board'!H$5:H$219,"&lt;="&amp;$B484,'On The Board'!$M$5:$M$219)-SUM(G484:I484)</f>
        <v>5</v>
      </c>
      <c r="G484" s="12">
        <f>SUMIF('On The Board'!I$5:I$219,"&lt;="&amp;$B484,'On The Board'!$M$5:$M$219)-SUM(H484,I484)</f>
        <v>2</v>
      </c>
      <c r="H484" s="12">
        <f>SUMIF('On The Board'!J$5:J$219,"&lt;="&amp;$B484,'On The Board'!$M$5:$M$219)-SUM(I484)</f>
        <v>0</v>
      </c>
      <c r="I484" s="12">
        <f>SUMIF('On The Board'!K$5:K$219,"&lt;="&amp;$B484,'On The Board'!$M$5:$M$219)</f>
        <v>70</v>
      </c>
      <c r="J484" s="10">
        <f t="shared" si="68"/>
        <v>77</v>
      </c>
      <c r="K484" s="10" t="e">
        <f t="shared" ca="1" si="69"/>
        <v>#N/A</v>
      </c>
      <c r="L484" s="44" t="e">
        <f t="shared" ca="1" si="73"/>
        <v>#N/A</v>
      </c>
      <c r="M484" s="44" t="e">
        <f t="shared" ca="1" si="72"/>
        <v>#N/A</v>
      </c>
      <c r="N484" s="44" t="e">
        <f t="shared" ca="1" si="71"/>
        <v>#N/A</v>
      </c>
      <c r="O484" s="53" t="e">
        <f t="shared" ca="1" si="74"/>
        <v>#N/A</v>
      </c>
      <c r="P484" s="53" t="str">
        <f ca="1">IFERROR(DayByDayTable[[#This Row],[Lead Time]],"")</f>
        <v/>
      </c>
      <c r="Q484" s="44" t="e">
        <f t="shared" ca="1" si="75"/>
        <v>#N/A</v>
      </c>
      <c r="R484" s="44">
        <f ca="1">ROUND(PERCENTILE(DayByDayTable[[#Data],[BlankLeadTime]],0.8),0)</f>
        <v>8</v>
      </c>
    </row>
    <row r="485" spans="1:18">
      <c r="A485" s="51">
        <f t="shared" si="67"/>
        <v>43105</v>
      </c>
      <c r="B485" s="11">
        <f t="shared" si="70"/>
        <v>43105</v>
      </c>
      <c r="C485" s="47">
        <f>SUMIFS('On The Board'!$M$5:$M$219,'On The Board'!F$5:F$219,"&lt;="&amp;$B485,'On The Board'!E$5:E$219,"="&amp;FutureWork)</f>
        <v>43</v>
      </c>
      <c r="D485" s="12">
        <f ca="1">IF(TodaysDate&gt;=B485,SUMIF('On The Board'!F$5:F$219,"&lt;="&amp;$B485,'On The Board'!$M$5:$M$219)-SUM(E485:I485),D484)</f>
        <v>47</v>
      </c>
      <c r="E485" s="12">
        <f>SUMIF('On The Board'!G$5:G$219,"&lt;="&amp;$B485,'On The Board'!$M$5:$M$219)-SUM(F485:I485)</f>
        <v>0</v>
      </c>
      <c r="F485" s="12">
        <f>SUMIF('On The Board'!H$5:H$219,"&lt;="&amp;$B485,'On The Board'!$M$5:$M$219)-SUM(G485:I485)</f>
        <v>5</v>
      </c>
      <c r="G485" s="12">
        <f>SUMIF('On The Board'!I$5:I$219,"&lt;="&amp;$B485,'On The Board'!$M$5:$M$219)-SUM(H485,I485)</f>
        <v>2</v>
      </c>
      <c r="H485" s="12">
        <f>SUMIF('On The Board'!J$5:J$219,"&lt;="&amp;$B485,'On The Board'!$M$5:$M$219)-SUM(I485)</f>
        <v>0</v>
      </c>
      <c r="I485" s="12">
        <f>SUMIF('On The Board'!K$5:K$219,"&lt;="&amp;$B485,'On The Board'!$M$5:$M$219)</f>
        <v>70</v>
      </c>
      <c r="J485" s="10">
        <f t="shared" si="68"/>
        <v>77</v>
      </c>
      <c r="K485" s="10" t="e">
        <f t="shared" ca="1" si="69"/>
        <v>#N/A</v>
      </c>
      <c r="L485" s="44" t="e">
        <f t="shared" ca="1" si="73"/>
        <v>#N/A</v>
      </c>
      <c r="M485" s="44" t="e">
        <f t="shared" ca="1" si="72"/>
        <v>#N/A</v>
      </c>
      <c r="N485" s="44" t="e">
        <f t="shared" ca="1" si="71"/>
        <v>#N/A</v>
      </c>
      <c r="O485" s="53" t="e">
        <f t="shared" ca="1" si="74"/>
        <v>#N/A</v>
      </c>
      <c r="P485" s="53" t="str">
        <f ca="1">IFERROR(DayByDayTable[[#This Row],[Lead Time]],"")</f>
        <v/>
      </c>
      <c r="Q485" s="44" t="e">
        <f t="shared" ca="1" si="75"/>
        <v>#N/A</v>
      </c>
      <c r="R485" s="44">
        <f ca="1">ROUND(PERCENTILE(DayByDayTable[[#Data],[BlankLeadTime]],0.8),0)</f>
        <v>8</v>
      </c>
    </row>
    <row r="486" spans="1:18">
      <c r="A486" s="51">
        <f t="shared" si="67"/>
        <v>43108</v>
      </c>
      <c r="B486" s="11">
        <f t="shared" si="70"/>
        <v>43108</v>
      </c>
      <c r="C486" s="47">
        <f>SUMIFS('On The Board'!$M$5:$M$219,'On The Board'!F$5:F$219,"&lt;="&amp;$B486,'On The Board'!E$5:E$219,"="&amp;FutureWork)</f>
        <v>43</v>
      </c>
      <c r="D486" s="12">
        <f ca="1">IF(TodaysDate&gt;=B486,SUMIF('On The Board'!F$5:F$219,"&lt;="&amp;$B486,'On The Board'!$M$5:$M$219)-SUM(E486:I486),D485)</f>
        <v>47</v>
      </c>
      <c r="E486" s="12">
        <f>SUMIF('On The Board'!G$5:G$219,"&lt;="&amp;$B486,'On The Board'!$M$5:$M$219)-SUM(F486:I486)</f>
        <v>0</v>
      </c>
      <c r="F486" s="12">
        <f>SUMIF('On The Board'!H$5:H$219,"&lt;="&amp;$B486,'On The Board'!$M$5:$M$219)-SUM(G486:I486)</f>
        <v>5</v>
      </c>
      <c r="G486" s="12">
        <f>SUMIF('On The Board'!I$5:I$219,"&lt;="&amp;$B486,'On The Board'!$M$5:$M$219)-SUM(H486,I486)</f>
        <v>2</v>
      </c>
      <c r="H486" s="12">
        <f>SUMIF('On The Board'!J$5:J$219,"&lt;="&amp;$B486,'On The Board'!$M$5:$M$219)-SUM(I486)</f>
        <v>0</v>
      </c>
      <c r="I486" s="12">
        <f>SUMIF('On The Board'!K$5:K$219,"&lt;="&amp;$B486,'On The Board'!$M$5:$M$219)</f>
        <v>70</v>
      </c>
      <c r="J486" s="10">
        <f t="shared" si="68"/>
        <v>77</v>
      </c>
      <c r="K486" s="10" t="e">
        <f t="shared" ca="1" si="69"/>
        <v>#N/A</v>
      </c>
      <c r="L486" s="44" t="e">
        <f t="shared" ca="1" si="73"/>
        <v>#N/A</v>
      </c>
      <c r="M486" s="44" t="e">
        <f t="shared" ca="1" si="72"/>
        <v>#N/A</v>
      </c>
      <c r="N486" s="44" t="e">
        <f t="shared" ca="1" si="71"/>
        <v>#N/A</v>
      </c>
      <c r="O486" s="53" t="e">
        <f t="shared" ca="1" si="74"/>
        <v>#N/A</v>
      </c>
      <c r="P486" s="53" t="str">
        <f ca="1">IFERROR(DayByDayTable[[#This Row],[Lead Time]],"")</f>
        <v/>
      </c>
      <c r="Q486" s="44" t="e">
        <f t="shared" ca="1" si="75"/>
        <v>#N/A</v>
      </c>
      <c r="R486" s="44">
        <f ca="1">ROUND(PERCENTILE(DayByDayTable[[#Data],[BlankLeadTime]],0.8),0)</f>
        <v>8</v>
      </c>
    </row>
    <row r="487" spans="1:18">
      <c r="A487" s="51">
        <f t="shared" si="67"/>
        <v>43109</v>
      </c>
      <c r="B487" s="11">
        <f t="shared" si="70"/>
        <v>43109</v>
      </c>
      <c r="C487" s="47">
        <f>SUMIFS('On The Board'!$M$5:$M$219,'On The Board'!F$5:F$219,"&lt;="&amp;$B487,'On The Board'!E$5:E$219,"="&amp;FutureWork)</f>
        <v>43</v>
      </c>
      <c r="D487" s="12">
        <f ca="1">IF(TodaysDate&gt;=B487,SUMIF('On The Board'!F$5:F$219,"&lt;="&amp;$B487,'On The Board'!$M$5:$M$219)-SUM(E487:I487),D486)</f>
        <v>47</v>
      </c>
      <c r="E487" s="12">
        <f>SUMIF('On The Board'!G$5:G$219,"&lt;="&amp;$B487,'On The Board'!$M$5:$M$219)-SUM(F487:I487)</f>
        <v>0</v>
      </c>
      <c r="F487" s="12">
        <f>SUMIF('On The Board'!H$5:H$219,"&lt;="&amp;$B487,'On The Board'!$M$5:$M$219)-SUM(G487:I487)</f>
        <v>5</v>
      </c>
      <c r="G487" s="12">
        <f>SUMIF('On The Board'!I$5:I$219,"&lt;="&amp;$B487,'On The Board'!$M$5:$M$219)-SUM(H487,I487)</f>
        <v>2</v>
      </c>
      <c r="H487" s="12">
        <f>SUMIF('On The Board'!J$5:J$219,"&lt;="&amp;$B487,'On The Board'!$M$5:$M$219)-SUM(I487)</f>
        <v>0</v>
      </c>
      <c r="I487" s="12">
        <f>SUMIF('On The Board'!K$5:K$219,"&lt;="&amp;$B487,'On The Board'!$M$5:$M$219)</f>
        <v>70</v>
      </c>
      <c r="J487" s="10">
        <f t="shared" si="68"/>
        <v>77</v>
      </c>
      <c r="K487" s="10" t="e">
        <f t="shared" ca="1" si="69"/>
        <v>#N/A</v>
      </c>
      <c r="L487" s="44" t="e">
        <f t="shared" ca="1" si="73"/>
        <v>#N/A</v>
      </c>
      <c r="M487" s="44" t="e">
        <f t="shared" ca="1" si="72"/>
        <v>#N/A</v>
      </c>
      <c r="N487" s="44" t="e">
        <f t="shared" ca="1" si="71"/>
        <v>#N/A</v>
      </c>
      <c r="O487" s="53" t="e">
        <f t="shared" ca="1" si="74"/>
        <v>#N/A</v>
      </c>
      <c r="P487" s="53" t="str">
        <f ca="1">IFERROR(DayByDayTable[[#This Row],[Lead Time]],"")</f>
        <v/>
      </c>
      <c r="Q487" s="44" t="e">
        <f t="shared" ca="1" si="75"/>
        <v>#N/A</v>
      </c>
      <c r="R487" s="44">
        <f ca="1">ROUND(PERCENTILE(DayByDayTable[[#Data],[BlankLeadTime]],0.8),0)</f>
        <v>8</v>
      </c>
    </row>
    <row r="488" spans="1:18">
      <c r="A488" s="51">
        <f t="shared" si="67"/>
        <v>43110</v>
      </c>
      <c r="B488" s="11">
        <f t="shared" si="70"/>
        <v>43110</v>
      </c>
      <c r="C488" s="47">
        <f>SUMIFS('On The Board'!$M$5:$M$219,'On The Board'!F$5:F$219,"&lt;="&amp;$B488,'On The Board'!E$5:E$219,"="&amp;FutureWork)</f>
        <v>43</v>
      </c>
      <c r="D488" s="12">
        <f ca="1">IF(TodaysDate&gt;=B488,SUMIF('On The Board'!F$5:F$219,"&lt;="&amp;$B488,'On The Board'!$M$5:$M$219)-SUM(E488:I488),D487)</f>
        <v>47</v>
      </c>
      <c r="E488" s="12">
        <f>SUMIF('On The Board'!G$5:G$219,"&lt;="&amp;$B488,'On The Board'!$M$5:$M$219)-SUM(F488:I488)</f>
        <v>0</v>
      </c>
      <c r="F488" s="12">
        <f>SUMIF('On The Board'!H$5:H$219,"&lt;="&amp;$B488,'On The Board'!$M$5:$M$219)-SUM(G488:I488)</f>
        <v>5</v>
      </c>
      <c r="G488" s="12">
        <f>SUMIF('On The Board'!I$5:I$219,"&lt;="&amp;$B488,'On The Board'!$M$5:$M$219)-SUM(H488,I488)</f>
        <v>2</v>
      </c>
      <c r="H488" s="12">
        <f>SUMIF('On The Board'!J$5:J$219,"&lt;="&amp;$B488,'On The Board'!$M$5:$M$219)-SUM(I488)</f>
        <v>0</v>
      </c>
      <c r="I488" s="12">
        <f>SUMIF('On The Board'!K$5:K$219,"&lt;="&amp;$B488,'On The Board'!$M$5:$M$219)</f>
        <v>70</v>
      </c>
      <c r="J488" s="10">
        <f t="shared" si="68"/>
        <v>77</v>
      </c>
      <c r="K488" s="10" t="e">
        <f t="shared" ca="1" si="69"/>
        <v>#N/A</v>
      </c>
      <c r="L488" s="44" t="e">
        <f t="shared" ca="1" si="73"/>
        <v>#N/A</v>
      </c>
      <c r="M488" s="44" t="e">
        <f t="shared" ca="1" si="72"/>
        <v>#N/A</v>
      </c>
      <c r="N488" s="44" t="e">
        <f t="shared" ca="1" si="71"/>
        <v>#N/A</v>
      </c>
      <c r="O488" s="53" t="e">
        <f t="shared" ca="1" si="74"/>
        <v>#N/A</v>
      </c>
      <c r="P488" s="53" t="str">
        <f ca="1">IFERROR(DayByDayTable[[#This Row],[Lead Time]],"")</f>
        <v/>
      </c>
      <c r="Q488" s="44" t="e">
        <f t="shared" ca="1" si="75"/>
        <v>#N/A</v>
      </c>
      <c r="R488" s="44">
        <f ca="1">ROUND(PERCENTILE(DayByDayTable[[#Data],[BlankLeadTime]],0.8),0)</f>
        <v>8</v>
      </c>
    </row>
    <row r="489" spans="1:18">
      <c r="A489" s="51">
        <f t="shared" si="67"/>
        <v>43111</v>
      </c>
      <c r="B489" s="11">
        <f t="shared" si="70"/>
        <v>43111</v>
      </c>
      <c r="C489" s="47">
        <f>SUMIFS('On The Board'!$M$5:$M$219,'On The Board'!F$5:F$219,"&lt;="&amp;$B489,'On The Board'!E$5:E$219,"="&amp;FutureWork)</f>
        <v>43</v>
      </c>
      <c r="D489" s="12">
        <f ca="1">IF(TodaysDate&gt;=B489,SUMIF('On The Board'!F$5:F$219,"&lt;="&amp;$B489,'On The Board'!$M$5:$M$219)-SUM(E489:I489),D488)</f>
        <v>47</v>
      </c>
      <c r="E489" s="12">
        <f>SUMIF('On The Board'!G$5:G$219,"&lt;="&amp;$B489,'On The Board'!$M$5:$M$219)-SUM(F489:I489)</f>
        <v>0</v>
      </c>
      <c r="F489" s="12">
        <f>SUMIF('On The Board'!H$5:H$219,"&lt;="&amp;$B489,'On The Board'!$M$5:$M$219)-SUM(G489:I489)</f>
        <v>5</v>
      </c>
      <c r="G489" s="12">
        <f>SUMIF('On The Board'!I$5:I$219,"&lt;="&amp;$B489,'On The Board'!$M$5:$M$219)-SUM(H489,I489)</f>
        <v>2</v>
      </c>
      <c r="H489" s="12">
        <f>SUMIF('On The Board'!J$5:J$219,"&lt;="&amp;$B489,'On The Board'!$M$5:$M$219)-SUM(I489)</f>
        <v>0</v>
      </c>
      <c r="I489" s="12">
        <f>SUMIF('On The Board'!K$5:K$219,"&lt;="&amp;$B489,'On The Board'!$M$5:$M$219)</f>
        <v>70</v>
      </c>
      <c r="J489" s="10">
        <f t="shared" si="68"/>
        <v>77</v>
      </c>
      <c r="K489" s="10" t="e">
        <f t="shared" ca="1" si="69"/>
        <v>#N/A</v>
      </c>
      <c r="L489" s="44" t="e">
        <f t="shared" ca="1" si="73"/>
        <v>#N/A</v>
      </c>
      <c r="M489" s="44" t="e">
        <f t="shared" ca="1" si="72"/>
        <v>#N/A</v>
      </c>
      <c r="N489" s="44" t="e">
        <f t="shared" ca="1" si="71"/>
        <v>#N/A</v>
      </c>
      <c r="O489" s="53" t="e">
        <f t="shared" ca="1" si="74"/>
        <v>#N/A</v>
      </c>
      <c r="P489" s="53" t="str">
        <f ca="1">IFERROR(DayByDayTable[[#This Row],[Lead Time]],"")</f>
        <v/>
      </c>
      <c r="Q489" s="44" t="e">
        <f t="shared" ca="1" si="75"/>
        <v>#N/A</v>
      </c>
      <c r="R489" s="44">
        <f ca="1">ROUND(PERCENTILE(DayByDayTable[[#Data],[BlankLeadTime]],0.8),0)</f>
        <v>8</v>
      </c>
    </row>
    <row r="490" spans="1:18">
      <c r="A490" s="51">
        <f t="shared" si="67"/>
        <v>43112</v>
      </c>
      <c r="B490" s="11">
        <f t="shared" si="70"/>
        <v>43112</v>
      </c>
      <c r="C490" s="47">
        <f>SUMIFS('On The Board'!$M$5:$M$219,'On The Board'!F$5:F$219,"&lt;="&amp;$B490,'On The Board'!E$5:E$219,"="&amp;FutureWork)</f>
        <v>43</v>
      </c>
      <c r="D490" s="12">
        <f ca="1">IF(TodaysDate&gt;=B490,SUMIF('On The Board'!F$5:F$219,"&lt;="&amp;$B490,'On The Board'!$M$5:$M$219)-SUM(E490:I490),D489)</f>
        <v>47</v>
      </c>
      <c r="E490" s="12">
        <f>SUMIF('On The Board'!G$5:G$219,"&lt;="&amp;$B490,'On The Board'!$M$5:$M$219)-SUM(F490:I490)</f>
        <v>0</v>
      </c>
      <c r="F490" s="12">
        <f>SUMIF('On The Board'!H$5:H$219,"&lt;="&amp;$B490,'On The Board'!$M$5:$M$219)-SUM(G490:I490)</f>
        <v>5</v>
      </c>
      <c r="G490" s="12">
        <f>SUMIF('On The Board'!I$5:I$219,"&lt;="&amp;$B490,'On The Board'!$M$5:$M$219)-SUM(H490,I490)</f>
        <v>2</v>
      </c>
      <c r="H490" s="12">
        <f>SUMIF('On The Board'!J$5:J$219,"&lt;="&amp;$B490,'On The Board'!$M$5:$M$219)-SUM(I490)</f>
        <v>0</v>
      </c>
      <c r="I490" s="12">
        <f>SUMIF('On The Board'!K$5:K$219,"&lt;="&amp;$B490,'On The Board'!$M$5:$M$219)</f>
        <v>70</v>
      </c>
      <c r="J490" s="10">
        <f t="shared" si="68"/>
        <v>77</v>
      </c>
      <c r="K490" s="10" t="e">
        <f t="shared" ca="1" si="69"/>
        <v>#N/A</v>
      </c>
      <c r="L490" s="44" t="e">
        <f t="shared" ca="1" si="73"/>
        <v>#N/A</v>
      </c>
      <c r="M490" s="44" t="e">
        <f t="shared" ca="1" si="72"/>
        <v>#N/A</v>
      </c>
      <c r="N490" s="44" t="e">
        <f t="shared" ca="1" si="71"/>
        <v>#N/A</v>
      </c>
      <c r="O490" s="53" t="e">
        <f t="shared" ca="1" si="74"/>
        <v>#N/A</v>
      </c>
      <c r="P490" s="53" t="str">
        <f ca="1">IFERROR(DayByDayTable[[#This Row],[Lead Time]],"")</f>
        <v/>
      </c>
      <c r="Q490" s="44" t="e">
        <f t="shared" ca="1" si="75"/>
        <v>#N/A</v>
      </c>
      <c r="R490" s="44">
        <f ca="1">ROUND(PERCENTILE(DayByDayTable[[#Data],[BlankLeadTime]],0.8),0)</f>
        <v>8</v>
      </c>
    </row>
    <row r="491" spans="1:18">
      <c r="A491" s="51">
        <f t="shared" si="67"/>
        <v>43115</v>
      </c>
      <c r="B491" s="11">
        <f t="shared" si="70"/>
        <v>43115</v>
      </c>
      <c r="C491" s="47">
        <f>SUMIFS('On The Board'!$M$5:$M$219,'On The Board'!F$5:F$219,"&lt;="&amp;$B491,'On The Board'!E$5:E$219,"="&amp;FutureWork)</f>
        <v>43</v>
      </c>
      <c r="D491" s="12">
        <f ca="1">IF(TodaysDate&gt;=B491,SUMIF('On The Board'!F$5:F$219,"&lt;="&amp;$B491,'On The Board'!$M$5:$M$219)-SUM(E491:I491),D490)</f>
        <v>47</v>
      </c>
      <c r="E491" s="12">
        <f>SUMIF('On The Board'!G$5:G$219,"&lt;="&amp;$B491,'On The Board'!$M$5:$M$219)-SUM(F491:I491)</f>
        <v>0</v>
      </c>
      <c r="F491" s="12">
        <f>SUMIF('On The Board'!H$5:H$219,"&lt;="&amp;$B491,'On The Board'!$M$5:$M$219)-SUM(G491:I491)</f>
        <v>5</v>
      </c>
      <c r="G491" s="12">
        <f>SUMIF('On The Board'!I$5:I$219,"&lt;="&amp;$B491,'On The Board'!$M$5:$M$219)-SUM(H491,I491)</f>
        <v>2</v>
      </c>
      <c r="H491" s="12">
        <f>SUMIF('On The Board'!J$5:J$219,"&lt;="&amp;$B491,'On The Board'!$M$5:$M$219)-SUM(I491)</f>
        <v>0</v>
      </c>
      <c r="I491" s="12">
        <f>SUMIF('On The Board'!K$5:K$219,"&lt;="&amp;$B491,'On The Board'!$M$5:$M$219)</f>
        <v>70</v>
      </c>
      <c r="J491" s="10">
        <f t="shared" si="68"/>
        <v>77</v>
      </c>
      <c r="K491" s="10" t="e">
        <f t="shared" ca="1" si="69"/>
        <v>#N/A</v>
      </c>
      <c r="L491" s="44" t="e">
        <f t="shared" ca="1" si="73"/>
        <v>#N/A</v>
      </c>
      <c r="M491" s="44" t="e">
        <f t="shared" ca="1" si="72"/>
        <v>#N/A</v>
      </c>
      <c r="N491" s="44" t="e">
        <f t="shared" ca="1" si="71"/>
        <v>#N/A</v>
      </c>
      <c r="O491" s="53" t="e">
        <f t="shared" ca="1" si="74"/>
        <v>#N/A</v>
      </c>
      <c r="P491" s="53" t="str">
        <f ca="1">IFERROR(DayByDayTable[[#This Row],[Lead Time]],"")</f>
        <v/>
      </c>
      <c r="Q491" s="44" t="e">
        <f t="shared" ca="1" si="75"/>
        <v>#N/A</v>
      </c>
      <c r="R491" s="44">
        <f ca="1">ROUND(PERCENTILE(DayByDayTable[[#Data],[BlankLeadTime]],0.8),0)</f>
        <v>8</v>
      </c>
    </row>
    <row r="492" spans="1:18">
      <c r="A492" s="51">
        <f t="shared" si="67"/>
        <v>43116</v>
      </c>
      <c r="B492" s="11">
        <f t="shared" si="70"/>
        <v>43116</v>
      </c>
      <c r="C492" s="47">
        <f>SUMIFS('On The Board'!$M$5:$M$219,'On The Board'!F$5:F$219,"&lt;="&amp;$B492,'On The Board'!E$5:E$219,"="&amp;FutureWork)</f>
        <v>43</v>
      </c>
      <c r="D492" s="12">
        <f ca="1">IF(TodaysDate&gt;=B492,SUMIF('On The Board'!F$5:F$219,"&lt;="&amp;$B492,'On The Board'!$M$5:$M$219)-SUM(E492:I492),D491)</f>
        <v>47</v>
      </c>
      <c r="E492" s="12">
        <f>SUMIF('On The Board'!G$5:G$219,"&lt;="&amp;$B492,'On The Board'!$M$5:$M$219)-SUM(F492:I492)</f>
        <v>0</v>
      </c>
      <c r="F492" s="12">
        <f>SUMIF('On The Board'!H$5:H$219,"&lt;="&amp;$B492,'On The Board'!$M$5:$M$219)-SUM(G492:I492)</f>
        <v>5</v>
      </c>
      <c r="G492" s="12">
        <f>SUMIF('On The Board'!I$5:I$219,"&lt;="&amp;$B492,'On The Board'!$M$5:$M$219)-SUM(H492,I492)</f>
        <v>2</v>
      </c>
      <c r="H492" s="12">
        <f>SUMIF('On The Board'!J$5:J$219,"&lt;="&amp;$B492,'On The Board'!$M$5:$M$219)-SUM(I492)</f>
        <v>0</v>
      </c>
      <c r="I492" s="12">
        <f>SUMIF('On The Board'!K$5:K$219,"&lt;="&amp;$B492,'On The Board'!$M$5:$M$219)</f>
        <v>70</v>
      </c>
      <c r="J492" s="10">
        <f t="shared" si="68"/>
        <v>77</v>
      </c>
      <c r="K492" s="10" t="e">
        <f t="shared" ca="1" si="69"/>
        <v>#N/A</v>
      </c>
      <c r="L492" s="44" t="e">
        <f t="shared" ca="1" si="73"/>
        <v>#N/A</v>
      </c>
      <c r="M492" s="44" t="e">
        <f t="shared" ca="1" si="72"/>
        <v>#N/A</v>
      </c>
      <c r="N492" s="44" t="e">
        <f t="shared" ca="1" si="71"/>
        <v>#N/A</v>
      </c>
      <c r="O492" s="53" t="e">
        <f t="shared" ca="1" si="74"/>
        <v>#N/A</v>
      </c>
      <c r="P492" s="53" t="str">
        <f ca="1">IFERROR(DayByDayTable[[#This Row],[Lead Time]],"")</f>
        <v/>
      </c>
      <c r="Q492" s="44" t="e">
        <f t="shared" ca="1" si="75"/>
        <v>#N/A</v>
      </c>
      <c r="R492" s="44">
        <f ca="1">ROUND(PERCENTILE(DayByDayTable[[#Data],[BlankLeadTime]],0.8),0)</f>
        <v>8</v>
      </c>
    </row>
    <row r="493" spans="1:18">
      <c r="A493" s="51">
        <f t="shared" si="67"/>
        <v>43117</v>
      </c>
      <c r="B493" s="11">
        <f t="shared" si="70"/>
        <v>43117</v>
      </c>
      <c r="C493" s="47">
        <f>SUMIFS('On The Board'!$M$5:$M$219,'On The Board'!F$5:F$219,"&lt;="&amp;$B493,'On The Board'!E$5:E$219,"="&amp;FutureWork)</f>
        <v>43</v>
      </c>
      <c r="D493" s="12">
        <f ca="1">IF(TodaysDate&gt;=B493,SUMIF('On The Board'!F$5:F$219,"&lt;="&amp;$B493,'On The Board'!$M$5:$M$219)-SUM(E493:I493),D492)</f>
        <v>47</v>
      </c>
      <c r="E493" s="12">
        <f>SUMIF('On The Board'!G$5:G$219,"&lt;="&amp;$B493,'On The Board'!$M$5:$M$219)-SUM(F493:I493)</f>
        <v>0</v>
      </c>
      <c r="F493" s="12">
        <f>SUMIF('On The Board'!H$5:H$219,"&lt;="&amp;$B493,'On The Board'!$M$5:$M$219)-SUM(G493:I493)</f>
        <v>5</v>
      </c>
      <c r="G493" s="12">
        <f>SUMIF('On The Board'!I$5:I$219,"&lt;="&amp;$B493,'On The Board'!$M$5:$M$219)-SUM(H493,I493)</f>
        <v>2</v>
      </c>
      <c r="H493" s="12">
        <f>SUMIF('On The Board'!J$5:J$219,"&lt;="&amp;$B493,'On The Board'!$M$5:$M$219)-SUM(I493)</f>
        <v>0</v>
      </c>
      <c r="I493" s="12">
        <f>SUMIF('On The Board'!K$5:K$219,"&lt;="&amp;$B493,'On The Board'!$M$5:$M$219)</f>
        <v>70</v>
      </c>
      <c r="J493" s="10">
        <f t="shared" si="68"/>
        <v>77</v>
      </c>
      <c r="K493" s="10" t="e">
        <f t="shared" ca="1" si="69"/>
        <v>#N/A</v>
      </c>
      <c r="L493" s="44" t="e">
        <f t="shared" ca="1" si="73"/>
        <v>#N/A</v>
      </c>
      <c r="M493" s="44" t="e">
        <f t="shared" ca="1" si="72"/>
        <v>#N/A</v>
      </c>
      <c r="N493" s="44" t="e">
        <f t="shared" ca="1" si="71"/>
        <v>#N/A</v>
      </c>
      <c r="O493" s="53" t="e">
        <f t="shared" ca="1" si="74"/>
        <v>#N/A</v>
      </c>
      <c r="P493" s="53" t="str">
        <f ca="1">IFERROR(DayByDayTable[[#This Row],[Lead Time]],"")</f>
        <v/>
      </c>
      <c r="Q493" s="44" t="e">
        <f t="shared" ca="1" si="75"/>
        <v>#N/A</v>
      </c>
      <c r="R493" s="44">
        <f ca="1">ROUND(PERCENTILE(DayByDayTable[[#Data],[BlankLeadTime]],0.8),0)</f>
        <v>8</v>
      </c>
    </row>
    <row r="494" spans="1:18">
      <c r="A494" s="51">
        <f t="shared" si="67"/>
        <v>43118</v>
      </c>
      <c r="B494" s="11">
        <f t="shared" si="70"/>
        <v>43118</v>
      </c>
      <c r="C494" s="47">
        <f>SUMIFS('On The Board'!$M$5:$M$219,'On The Board'!F$5:F$219,"&lt;="&amp;$B494,'On The Board'!E$5:E$219,"="&amp;FutureWork)</f>
        <v>43</v>
      </c>
      <c r="D494" s="12">
        <f ca="1">IF(TodaysDate&gt;=B494,SUMIF('On The Board'!F$5:F$219,"&lt;="&amp;$B494,'On The Board'!$M$5:$M$219)-SUM(E494:I494),D493)</f>
        <v>47</v>
      </c>
      <c r="E494" s="12">
        <f>SUMIF('On The Board'!G$5:G$219,"&lt;="&amp;$B494,'On The Board'!$M$5:$M$219)-SUM(F494:I494)</f>
        <v>0</v>
      </c>
      <c r="F494" s="12">
        <f>SUMIF('On The Board'!H$5:H$219,"&lt;="&amp;$B494,'On The Board'!$M$5:$M$219)-SUM(G494:I494)</f>
        <v>5</v>
      </c>
      <c r="G494" s="12">
        <f>SUMIF('On The Board'!I$5:I$219,"&lt;="&amp;$B494,'On The Board'!$M$5:$M$219)-SUM(H494,I494)</f>
        <v>2</v>
      </c>
      <c r="H494" s="12">
        <f>SUMIF('On The Board'!J$5:J$219,"&lt;="&amp;$B494,'On The Board'!$M$5:$M$219)-SUM(I494)</f>
        <v>0</v>
      </c>
      <c r="I494" s="12">
        <f>SUMIF('On The Board'!K$5:K$219,"&lt;="&amp;$B494,'On The Board'!$M$5:$M$219)</f>
        <v>70</v>
      </c>
      <c r="J494" s="10">
        <f t="shared" si="68"/>
        <v>77</v>
      </c>
      <c r="K494" s="10" t="e">
        <f t="shared" ca="1" si="69"/>
        <v>#N/A</v>
      </c>
      <c r="L494" s="44" t="e">
        <f t="shared" ca="1" si="73"/>
        <v>#N/A</v>
      </c>
      <c r="M494" s="44" t="e">
        <f t="shared" ca="1" si="72"/>
        <v>#N/A</v>
      </c>
      <c r="N494" s="44" t="e">
        <f t="shared" ca="1" si="71"/>
        <v>#N/A</v>
      </c>
      <c r="O494" s="53" t="e">
        <f t="shared" ca="1" si="74"/>
        <v>#N/A</v>
      </c>
      <c r="P494" s="53" t="str">
        <f ca="1">IFERROR(DayByDayTable[[#This Row],[Lead Time]],"")</f>
        <v/>
      </c>
      <c r="Q494" s="44" t="e">
        <f t="shared" ca="1" si="75"/>
        <v>#N/A</v>
      </c>
      <c r="R494" s="44">
        <f ca="1">ROUND(PERCENTILE(DayByDayTable[[#Data],[BlankLeadTime]],0.8),0)</f>
        <v>8</v>
      </c>
    </row>
    <row r="495" spans="1:18">
      <c r="A495" s="51">
        <f t="shared" si="67"/>
        <v>43119</v>
      </c>
      <c r="B495" s="11">
        <f t="shared" si="70"/>
        <v>43119</v>
      </c>
      <c r="C495" s="47">
        <f>SUMIFS('On The Board'!$M$5:$M$219,'On The Board'!F$5:F$219,"&lt;="&amp;$B495,'On The Board'!E$5:E$219,"="&amp;FutureWork)</f>
        <v>43</v>
      </c>
      <c r="D495" s="12">
        <f ca="1">IF(TodaysDate&gt;=B495,SUMIF('On The Board'!F$5:F$219,"&lt;="&amp;$B495,'On The Board'!$M$5:$M$219)-SUM(E495:I495),D494)</f>
        <v>47</v>
      </c>
      <c r="E495" s="12">
        <f>SUMIF('On The Board'!G$5:G$219,"&lt;="&amp;$B495,'On The Board'!$M$5:$M$219)-SUM(F495:I495)</f>
        <v>0</v>
      </c>
      <c r="F495" s="12">
        <f>SUMIF('On The Board'!H$5:H$219,"&lt;="&amp;$B495,'On The Board'!$M$5:$M$219)-SUM(G495:I495)</f>
        <v>5</v>
      </c>
      <c r="G495" s="12">
        <f>SUMIF('On The Board'!I$5:I$219,"&lt;="&amp;$B495,'On The Board'!$M$5:$M$219)-SUM(H495,I495)</f>
        <v>2</v>
      </c>
      <c r="H495" s="12">
        <f>SUMIF('On The Board'!J$5:J$219,"&lt;="&amp;$B495,'On The Board'!$M$5:$M$219)-SUM(I495)</f>
        <v>0</v>
      </c>
      <c r="I495" s="12">
        <f>SUMIF('On The Board'!K$5:K$219,"&lt;="&amp;$B495,'On The Board'!$M$5:$M$219)</f>
        <v>70</v>
      </c>
      <c r="J495" s="10">
        <f t="shared" si="68"/>
        <v>77</v>
      </c>
      <c r="K495" s="10" t="e">
        <f t="shared" ca="1" si="69"/>
        <v>#N/A</v>
      </c>
      <c r="L495" s="44" t="e">
        <f t="shared" ca="1" si="73"/>
        <v>#N/A</v>
      </c>
      <c r="M495" s="44" t="e">
        <f t="shared" ca="1" si="72"/>
        <v>#N/A</v>
      </c>
      <c r="N495" s="44" t="e">
        <f t="shared" ca="1" si="71"/>
        <v>#N/A</v>
      </c>
      <c r="O495" s="53" t="e">
        <f t="shared" ca="1" si="74"/>
        <v>#N/A</v>
      </c>
      <c r="P495" s="53" t="str">
        <f ca="1">IFERROR(DayByDayTable[[#This Row],[Lead Time]],"")</f>
        <v/>
      </c>
      <c r="Q495" s="44" t="e">
        <f t="shared" ca="1" si="75"/>
        <v>#N/A</v>
      </c>
      <c r="R495" s="44">
        <f ca="1">ROUND(PERCENTILE(DayByDayTable[[#Data],[BlankLeadTime]],0.8),0)</f>
        <v>8</v>
      </c>
    </row>
    <row r="496" spans="1:18">
      <c r="A496" s="51">
        <f t="shared" si="67"/>
        <v>43122</v>
      </c>
      <c r="B496" s="11">
        <f t="shared" si="70"/>
        <v>43122</v>
      </c>
      <c r="C496" s="47">
        <f>SUMIFS('On The Board'!$M$5:$M$219,'On The Board'!F$5:F$219,"&lt;="&amp;$B496,'On The Board'!E$5:E$219,"="&amp;FutureWork)</f>
        <v>43</v>
      </c>
      <c r="D496" s="12">
        <f ca="1">IF(TodaysDate&gt;=B496,SUMIF('On The Board'!F$5:F$219,"&lt;="&amp;$B496,'On The Board'!$M$5:$M$219)-SUM(E496:I496),D495)</f>
        <v>47</v>
      </c>
      <c r="E496" s="12">
        <f>SUMIF('On The Board'!G$5:G$219,"&lt;="&amp;$B496,'On The Board'!$M$5:$M$219)-SUM(F496:I496)</f>
        <v>0</v>
      </c>
      <c r="F496" s="12">
        <f>SUMIF('On The Board'!H$5:H$219,"&lt;="&amp;$B496,'On The Board'!$M$5:$M$219)-SUM(G496:I496)</f>
        <v>5</v>
      </c>
      <c r="G496" s="12">
        <f>SUMIF('On The Board'!I$5:I$219,"&lt;="&amp;$B496,'On The Board'!$M$5:$M$219)-SUM(H496,I496)</f>
        <v>2</v>
      </c>
      <c r="H496" s="12">
        <f>SUMIF('On The Board'!J$5:J$219,"&lt;="&amp;$B496,'On The Board'!$M$5:$M$219)-SUM(I496)</f>
        <v>0</v>
      </c>
      <c r="I496" s="12">
        <f>SUMIF('On The Board'!K$5:K$219,"&lt;="&amp;$B496,'On The Board'!$M$5:$M$219)</f>
        <v>70</v>
      </c>
      <c r="J496" s="10">
        <f t="shared" si="68"/>
        <v>77</v>
      </c>
      <c r="K496" s="10" t="e">
        <f t="shared" ca="1" si="69"/>
        <v>#N/A</v>
      </c>
      <c r="L496" s="44" t="e">
        <f t="shared" ca="1" si="73"/>
        <v>#N/A</v>
      </c>
      <c r="M496" s="44" t="e">
        <f t="shared" ca="1" si="72"/>
        <v>#N/A</v>
      </c>
      <c r="N496" s="44" t="e">
        <f t="shared" ca="1" si="71"/>
        <v>#N/A</v>
      </c>
      <c r="O496" s="53" t="e">
        <f t="shared" ca="1" si="74"/>
        <v>#N/A</v>
      </c>
      <c r="P496" s="53" t="str">
        <f ca="1">IFERROR(DayByDayTable[[#This Row],[Lead Time]],"")</f>
        <v/>
      </c>
      <c r="Q496" s="44" t="e">
        <f t="shared" ca="1" si="75"/>
        <v>#N/A</v>
      </c>
      <c r="R496" s="44">
        <f ca="1">ROUND(PERCENTILE(DayByDayTable[[#Data],[BlankLeadTime]],0.8),0)</f>
        <v>8</v>
      </c>
    </row>
    <row r="497" spans="1:18">
      <c r="A497" s="51">
        <f t="shared" si="67"/>
        <v>43123</v>
      </c>
      <c r="B497" s="11">
        <f t="shared" si="70"/>
        <v>43123</v>
      </c>
      <c r="C497" s="47">
        <f>SUMIFS('On The Board'!$M$5:$M$219,'On The Board'!F$5:F$219,"&lt;="&amp;$B497,'On The Board'!E$5:E$219,"="&amp;FutureWork)</f>
        <v>43</v>
      </c>
      <c r="D497" s="12">
        <f ca="1">IF(TodaysDate&gt;=B497,SUMIF('On The Board'!F$5:F$219,"&lt;="&amp;$B497,'On The Board'!$M$5:$M$219)-SUM(E497:I497),D496)</f>
        <v>47</v>
      </c>
      <c r="E497" s="12">
        <f>SUMIF('On The Board'!G$5:G$219,"&lt;="&amp;$B497,'On The Board'!$M$5:$M$219)-SUM(F497:I497)</f>
        <v>0</v>
      </c>
      <c r="F497" s="12">
        <f>SUMIF('On The Board'!H$5:H$219,"&lt;="&amp;$B497,'On The Board'!$M$5:$M$219)-SUM(G497:I497)</f>
        <v>5</v>
      </c>
      <c r="G497" s="12">
        <f>SUMIF('On The Board'!I$5:I$219,"&lt;="&amp;$B497,'On The Board'!$M$5:$M$219)-SUM(H497,I497)</f>
        <v>2</v>
      </c>
      <c r="H497" s="12">
        <f>SUMIF('On The Board'!J$5:J$219,"&lt;="&amp;$B497,'On The Board'!$M$5:$M$219)-SUM(I497)</f>
        <v>0</v>
      </c>
      <c r="I497" s="12">
        <f>SUMIF('On The Board'!K$5:K$219,"&lt;="&amp;$B497,'On The Board'!$M$5:$M$219)</f>
        <v>70</v>
      </c>
      <c r="J497" s="10">
        <f t="shared" si="68"/>
        <v>77</v>
      </c>
      <c r="K497" s="10" t="e">
        <f t="shared" ca="1" si="69"/>
        <v>#N/A</v>
      </c>
      <c r="L497" s="44" t="e">
        <f t="shared" ca="1" si="73"/>
        <v>#N/A</v>
      </c>
      <c r="M497" s="44" t="e">
        <f t="shared" ca="1" si="72"/>
        <v>#N/A</v>
      </c>
      <c r="N497" s="44" t="e">
        <f t="shared" ca="1" si="71"/>
        <v>#N/A</v>
      </c>
      <c r="O497" s="53" t="e">
        <f t="shared" ca="1" si="74"/>
        <v>#N/A</v>
      </c>
      <c r="P497" s="53" t="str">
        <f ca="1">IFERROR(DayByDayTable[[#This Row],[Lead Time]],"")</f>
        <v/>
      </c>
      <c r="Q497" s="44" t="e">
        <f t="shared" ca="1" si="75"/>
        <v>#N/A</v>
      </c>
      <c r="R497" s="44">
        <f ca="1">ROUND(PERCENTILE(DayByDayTable[[#Data],[BlankLeadTime]],0.8),0)</f>
        <v>8</v>
      </c>
    </row>
    <row r="498" spans="1:18">
      <c r="A498" s="51">
        <f t="shared" si="67"/>
        <v>43124</v>
      </c>
      <c r="B498" s="11">
        <f t="shared" si="70"/>
        <v>43124</v>
      </c>
      <c r="C498" s="47">
        <f>SUMIFS('On The Board'!$M$5:$M$219,'On The Board'!F$5:F$219,"&lt;="&amp;$B498,'On The Board'!E$5:E$219,"="&amp;FutureWork)</f>
        <v>43</v>
      </c>
      <c r="D498" s="12">
        <f ca="1">IF(TodaysDate&gt;=B498,SUMIF('On The Board'!F$5:F$219,"&lt;="&amp;$B498,'On The Board'!$M$5:$M$219)-SUM(E498:I498),D497)</f>
        <v>47</v>
      </c>
      <c r="E498" s="12">
        <f>SUMIF('On The Board'!G$5:G$219,"&lt;="&amp;$B498,'On The Board'!$M$5:$M$219)-SUM(F498:I498)</f>
        <v>0</v>
      </c>
      <c r="F498" s="12">
        <f>SUMIF('On The Board'!H$5:H$219,"&lt;="&amp;$B498,'On The Board'!$M$5:$M$219)-SUM(G498:I498)</f>
        <v>5</v>
      </c>
      <c r="G498" s="12">
        <f>SUMIF('On The Board'!I$5:I$219,"&lt;="&amp;$B498,'On The Board'!$M$5:$M$219)-SUM(H498,I498)</f>
        <v>2</v>
      </c>
      <c r="H498" s="12">
        <f>SUMIF('On The Board'!J$5:J$219,"&lt;="&amp;$B498,'On The Board'!$M$5:$M$219)-SUM(I498)</f>
        <v>0</v>
      </c>
      <c r="I498" s="12">
        <f>SUMIF('On The Board'!K$5:K$219,"&lt;="&amp;$B498,'On The Board'!$M$5:$M$219)</f>
        <v>70</v>
      </c>
      <c r="J498" s="10">
        <f t="shared" si="68"/>
        <v>77</v>
      </c>
      <c r="K498" s="10" t="e">
        <f t="shared" ca="1" si="69"/>
        <v>#N/A</v>
      </c>
      <c r="L498" s="44" t="e">
        <f t="shared" ca="1" si="73"/>
        <v>#N/A</v>
      </c>
      <c r="M498" s="44" t="e">
        <f t="shared" ca="1" si="72"/>
        <v>#N/A</v>
      </c>
      <c r="N498" s="44" t="e">
        <f t="shared" ca="1" si="71"/>
        <v>#N/A</v>
      </c>
      <c r="O498" s="53" t="e">
        <f t="shared" ca="1" si="74"/>
        <v>#N/A</v>
      </c>
      <c r="P498" s="53" t="str">
        <f ca="1">IFERROR(DayByDayTable[[#This Row],[Lead Time]],"")</f>
        <v/>
      </c>
      <c r="Q498" s="44" t="e">
        <f t="shared" ca="1" si="75"/>
        <v>#N/A</v>
      </c>
      <c r="R498" s="44">
        <f ca="1">ROUND(PERCENTILE(DayByDayTable[[#Data],[BlankLeadTime]],0.8),0)</f>
        <v>8</v>
      </c>
    </row>
    <row r="499" spans="1:18">
      <c r="A499" s="51">
        <f t="shared" si="67"/>
        <v>43125</v>
      </c>
      <c r="B499" s="11">
        <f t="shared" si="70"/>
        <v>43125</v>
      </c>
      <c r="C499" s="47">
        <f>SUMIFS('On The Board'!$M$5:$M$219,'On The Board'!F$5:F$219,"&lt;="&amp;$B499,'On The Board'!E$5:E$219,"="&amp;FutureWork)</f>
        <v>43</v>
      </c>
      <c r="D499" s="12">
        <f ca="1">IF(TodaysDate&gt;=B499,SUMIF('On The Board'!F$5:F$219,"&lt;="&amp;$B499,'On The Board'!$M$5:$M$219)-SUM(E499:I499),D498)</f>
        <v>47</v>
      </c>
      <c r="E499" s="12">
        <f>SUMIF('On The Board'!G$5:G$219,"&lt;="&amp;$B499,'On The Board'!$M$5:$M$219)-SUM(F499:I499)</f>
        <v>0</v>
      </c>
      <c r="F499" s="12">
        <f>SUMIF('On The Board'!H$5:H$219,"&lt;="&amp;$B499,'On The Board'!$M$5:$M$219)-SUM(G499:I499)</f>
        <v>5</v>
      </c>
      <c r="G499" s="12">
        <f>SUMIF('On The Board'!I$5:I$219,"&lt;="&amp;$B499,'On The Board'!$M$5:$M$219)-SUM(H499,I499)</f>
        <v>2</v>
      </c>
      <c r="H499" s="12">
        <f>SUMIF('On The Board'!J$5:J$219,"&lt;="&amp;$B499,'On The Board'!$M$5:$M$219)-SUM(I499)</f>
        <v>0</v>
      </c>
      <c r="I499" s="12">
        <f>SUMIF('On The Board'!K$5:K$219,"&lt;="&amp;$B499,'On The Board'!$M$5:$M$219)</f>
        <v>70</v>
      </c>
      <c r="J499" s="10">
        <f t="shared" si="68"/>
        <v>77</v>
      </c>
      <c r="K499" s="10" t="e">
        <f t="shared" ca="1" si="69"/>
        <v>#N/A</v>
      </c>
      <c r="L499" s="44" t="e">
        <f t="shared" ca="1" si="73"/>
        <v>#N/A</v>
      </c>
      <c r="M499" s="44" t="e">
        <f t="shared" ca="1" si="72"/>
        <v>#N/A</v>
      </c>
      <c r="N499" s="44" t="e">
        <f t="shared" ca="1" si="71"/>
        <v>#N/A</v>
      </c>
      <c r="O499" s="53" t="e">
        <f t="shared" ca="1" si="74"/>
        <v>#N/A</v>
      </c>
      <c r="P499" s="53" t="str">
        <f ca="1">IFERROR(DayByDayTable[[#This Row],[Lead Time]],"")</f>
        <v/>
      </c>
      <c r="Q499" s="44" t="e">
        <f t="shared" ca="1" si="75"/>
        <v>#N/A</v>
      </c>
      <c r="R499" s="44">
        <f ca="1">ROUND(PERCENTILE(DayByDayTable[[#Data],[BlankLeadTime]],0.8),0)</f>
        <v>8</v>
      </c>
    </row>
    <row r="500" spans="1:18">
      <c r="A500" s="51">
        <f t="shared" si="67"/>
        <v>43126</v>
      </c>
      <c r="B500" s="11">
        <f t="shared" si="70"/>
        <v>43126</v>
      </c>
      <c r="C500" s="47">
        <f>SUMIFS('On The Board'!$M$5:$M$219,'On The Board'!F$5:F$219,"&lt;="&amp;$B500,'On The Board'!E$5:E$219,"="&amp;FutureWork)</f>
        <v>43</v>
      </c>
      <c r="D500" s="12">
        <f ca="1">IF(TodaysDate&gt;=B500,SUMIF('On The Board'!F$5:F$219,"&lt;="&amp;$B500,'On The Board'!$M$5:$M$219)-SUM(E500:I500),D499)</f>
        <v>47</v>
      </c>
      <c r="E500" s="12">
        <f>SUMIF('On The Board'!G$5:G$219,"&lt;="&amp;$B500,'On The Board'!$M$5:$M$219)-SUM(F500:I500)</f>
        <v>0</v>
      </c>
      <c r="F500" s="12">
        <f>SUMIF('On The Board'!H$5:H$219,"&lt;="&amp;$B500,'On The Board'!$M$5:$M$219)-SUM(G500:I500)</f>
        <v>5</v>
      </c>
      <c r="G500" s="12">
        <f>SUMIF('On The Board'!I$5:I$219,"&lt;="&amp;$B500,'On The Board'!$M$5:$M$219)-SUM(H500,I500)</f>
        <v>2</v>
      </c>
      <c r="H500" s="12">
        <f>SUMIF('On The Board'!J$5:J$219,"&lt;="&amp;$B500,'On The Board'!$M$5:$M$219)-SUM(I500)</f>
        <v>0</v>
      </c>
      <c r="I500" s="12">
        <f>SUMIF('On The Board'!K$5:K$219,"&lt;="&amp;$B500,'On The Board'!$M$5:$M$219)</f>
        <v>70</v>
      </c>
      <c r="J500" s="10">
        <f t="shared" si="68"/>
        <v>77</v>
      </c>
      <c r="K500" s="10" t="e">
        <f t="shared" ca="1" si="69"/>
        <v>#N/A</v>
      </c>
      <c r="L500" s="44" t="e">
        <f t="shared" ca="1" si="73"/>
        <v>#N/A</v>
      </c>
      <c r="M500" s="44" t="e">
        <f t="shared" ca="1" si="72"/>
        <v>#N/A</v>
      </c>
      <c r="N500" s="44" t="e">
        <f t="shared" ca="1" si="71"/>
        <v>#N/A</v>
      </c>
      <c r="O500" s="53" t="e">
        <f t="shared" ca="1" si="74"/>
        <v>#N/A</v>
      </c>
      <c r="P500" s="53" t="str">
        <f ca="1">IFERROR(DayByDayTable[[#This Row],[Lead Time]],"")</f>
        <v/>
      </c>
      <c r="Q500" s="44" t="e">
        <f t="shared" ca="1" si="75"/>
        <v>#N/A</v>
      </c>
      <c r="R500" s="44">
        <f ca="1">ROUND(PERCENTILE(DayByDayTable[[#Data],[BlankLeadTime]],0.8),0)</f>
        <v>8</v>
      </c>
    </row>
    <row r="501" spans="1:18">
      <c r="A501" s="51">
        <f t="shared" si="67"/>
        <v>43129</v>
      </c>
      <c r="B501" s="11">
        <f t="shared" si="70"/>
        <v>43129</v>
      </c>
      <c r="C501" s="47">
        <f>SUMIFS('On The Board'!$M$5:$M$219,'On The Board'!F$5:F$219,"&lt;="&amp;$B501,'On The Board'!E$5:E$219,"="&amp;FutureWork)</f>
        <v>43</v>
      </c>
      <c r="D501" s="12">
        <f ca="1">IF(TodaysDate&gt;=B501,SUMIF('On The Board'!F$5:F$219,"&lt;="&amp;$B501,'On The Board'!$M$5:$M$219)-SUM(E501:I501),D500)</f>
        <v>47</v>
      </c>
      <c r="E501" s="12">
        <f>SUMIF('On The Board'!G$5:G$219,"&lt;="&amp;$B501,'On The Board'!$M$5:$M$219)-SUM(F501:I501)</f>
        <v>0</v>
      </c>
      <c r="F501" s="12">
        <f>SUMIF('On The Board'!H$5:H$219,"&lt;="&amp;$B501,'On The Board'!$M$5:$M$219)-SUM(G501:I501)</f>
        <v>5</v>
      </c>
      <c r="G501" s="12">
        <f>SUMIF('On The Board'!I$5:I$219,"&lt;="&amp;$B501,'On The Board'!$M$5:$M$219)-SUM(H501,I501)</f>
        <v>2</v>
      </c>
      <c r="H501" s="12">
        <f>SUMIF('On The Board'!J$5:J$219,"&lt;="&amp;$B501,'On The Board'!$M$5:$M$219)-SUM(I501)</f>
        <v>0</v>
      </c>
      <c r="I501" s="12">
        <f>SUMIF('On The Board'!K$5:K$219,"&lt;="&amp;$B501,'On The Board'!$M$5:$M$219)</f>
        <v>70</v>
      </c>
      <c r="J501" s="10">
        <f t="shared" si="68"/>
        <v>77</v>
      </c>
      <c r="K501" s="10" t="e">
        <f t="shared" ca="1" si="69"/>
        <v>#N/A</v>
      </c>
      <c r="L501" s="44" t="e">
        <f t="shared" ca="1" si="73"/>
        <v>#N/A</v>
      </c>
      <c r="M501" s="44" t="e">
        <f t="shared" ca="1" si="72"/>
        <v>#N/A</v>
      </c>
      <c r="N501" s="44" t="e">
        <f t="shared" ca="1" si="71"/>
        <v>#N/A</v>
      </c>
      <c r="O501" s="53" t="e">
        <f t="shared" ca="1" si="74"/>
        <v>#N/A</v>
      </c>
      <c r="P501" s="53" t="str">
        <f ca="1">IFERROR(DayByDayTable[[#This Row],[Lead Time]],"")</f>
        <v/>
      </c>
      <c r="Q501" s="44" t="e">
        <f t="shared" ca="1" si="75"/>
        <v>#N/A</v>
      </c>
      <c r="R501" s="44">
        <f ca="1">ROUND(PERCENTILE(DayByDayTable[[#Data],[BlankLeadTime]],0.8),0)</f>
        <v>8</v>
      </c>
    </row>
    <row r="502" spans="1:18">
      <c r="A502" s="51">
        <f t="shared" si="67"/>
        <v>43130</v>
      </c>
      <c r="B502" s="11">
        <f t="shared" si="70"/>
        <v>43130</v>
      </c>
      <c r="C502" s="47">
        <f>SUMIFS('On The Board'!$M$5:$M$219,'On The Board'!F$5:F$219,"&lt;="&amp;$B502,'On The Board'!E$5:E$219,"="&amp;FutureWork)</f>
        <v>43</v>
      </c>
      <c r="D502" s="12">
        <f ca="1">IF(TodaysDate&gt;=B502,SUMIF('On The Board'!F$5:F$219,"&lt;="&amp;$B502,'On The Board'!$M$5:$M$219)-SUM(E502:I502),D501)</f>
        <v>47</v>
      </c>
      <c r="E502" s="12">
        <f>SUMIF('On The Board'!G$5:G$219,"&lt;="&amp;$B502,'On The Board'!$M$5:$M$219)-SUM(F502:I502)</f>
        <v>0</v>
      </c>
      <c r="F502" s="12">
        <f>SUMIF('On The Board'!H$5:H$219,"&lt;="&amp;$B502,'On The Board'!$M$5:$M$219)-SUM(G502:I502)</f>
        <v>5</v>
      </c>
      <c r="G502" s="12">
        <f>SUMIF('On The Board'!I$5:I$219,"&lt;="&amp;$B502,'On The Board'!$M$5:$M$219)-SUM(H502,I502)</f>
        <v>2</v>
      </c>
      <c r="H502" s="12">
        <f>SUMIF('On The Board'!J$5:J$219,"&lt;="&amp;$B502,'On The Board'!$M$5:$M$219)-SUM(I502)</f>
        <v>0</v>
      </c>
      <c r="I502" s="12">
        <f>SUMIF('On The Board'!K$5:K$219,"&lt;="&amp;$B502,'On The Board'!$M$5:$M$219)</f>
        <v>70</v>
      </c>
      <c r="J502" s="10">
        <f t="shared" si="68"/>
        <v>77</v>
      </c>
      <c r="K502" s="10" t="e">
        <f t="shared" ca="1" si="69"/>
        <v>#N/A</v>
      </c>
      <c r="L502" s="44" t="e">
        <f t="shared" ca="1" si="73"/>
        <v>#N/A</v>
      </c>
      <c r="M502" s="44" t="e">
        <f t="shared" ca="1" si="72"/>
        <v>#N/A</v>
      </c>
      <c r="N502" s="44" t="e">
        <f t="shared" ca="1" si="71"/>
        <v>#N/A</v>
      </c>
      <c r="O502" s="53" t="e">
        <f t="shared" ca="1" si="74"/>
        <v>#N/A</v>
      </c>
      <c r="P502" s="53" t="str">
        <f ca="1">IFERROR(DayByDayTable[[#This Row],[Lead Time]],"")</f>
        <v/>
      </c>
      <c r="Q502" s="44" t="e">
        <f t="shared" ca="1" si="75"/>
        <v>#N/A</v>
      </c>
      <c r="R502" s="44">
        <f ca="1">ROUND(PERCENTILE(DayByDayTable[[#Data],[BlankLeadTime]],0.8),0)</f>
        <v>8</v>
      </c>
    </row>
    <row r="503" spans="1:18">
      <c r="A503" s="51">
        <f t="shared" si="67"/>
        <v>43131</v>
      </c>
      <c r="B503" s="11">
        <f t="shared" si="70"/>
        <v>43131</v>
      </c>
      <c r="C503" s="47">
        <f>SUMIFS('On The Board'!$M$5:$M$219,'On The Board'!F$5:F$219,"&lt;="&amp;$B503,'On The Board'!E$5:E$219,"="&amp;FutureWork)</f>
        <v>43</v>
      </c>
      <c r="D503" s="12">
        <f ca="1">IF(TodaysDate&gt;=B503,SUMIF('On The Board'!F$5:F$219,"&lt;="&amp;$B503,'On The Board'!$M$5:$M$219)-SUM(E503:I503),D502)</f>
        <v>47</v>
      </c>
      <c r="E503" s="12">
        <f>SUMIF('On The Board'!G$5:G$219,"&lt;="&amp;$B503,'On The Board'!$M$5:$M$219)-SUM(F503:I503)</f>
        <v>0</v>
      </c>
      <c r="F503" s="12">
        <f>SUMIF('On The Board'!H$5:H$219,"&lt;="&amp;$B503,'On The Board'!$M$5:$M$219)-SUM(G503:I503)</f>
        <v>5</v>
      </c>
      <c r="G503" s="12">
        <f>SUMIF('On The Board'!I$5:I$219,"&lt;="&amp;$B503,'On The Board'!$M$5:$M$219)-SUM(H503,I503)</f>
        <v>2</v>
      </c>
      <c r="H503" s="12">
        <f>SUMIF('On The Board'!J$5:J$219,"&lt;="&amp;$B503,'On The Board'!$M$5:$M$219)-SUM(I503)</f>
        <v>0</v>
      </c>
      <c r="I503" s="12">
        <f>SUMIF('On The Board'!K$5:K$219,"&lt;="&amp;$B503,'On The Board'!$M$5:$M$219)</f>
        <v>70</v>
      </c>
      <c r="J503" s="10">
        <f t="shared" si="68"/>
        <v>77</v>
      </c>
      <c r="K503" s="10" t="e">
        <f t="shared" ca="1" si="69"/>
        <v>#N/A</v>
      </c>
      <c r="L503" s="44" t="e">
        <f t="shared" ca="1" si="73"/>
        <v>#N/A</v>
      </c>
      <c r="M503" s="44" t="e">
        <f t="shared" ca="1" si="72"/>
        <v>#N/A</v>
      </c>
      <c r="N503" s="44" t="e">
        <f t="shared" ca="1" si="71"/>
        <v>#N/A</v>
      </c>
      <c r="O503" s="53" t="e">
        <f t="shared" ca="1" si="74"/>
        <v>#N/A</v>
      </c>
      <c r="P503" s="53" t="str">
        <f ca="1">IFERROR(DayByDayTable[[#This Row],[Lead Time]],"")</f>
        <v/>
      </c>
      <c r="Q503" s="44" t="e">
        <f t="shared" ca="1" si="75"/>
        <v>#N/A</v>
      </c>
      <c r="R503" s="44">
        <f ca="1">ROUND(PERCENTILE(DayByDayTable[[#Data],[BlankLeadTime]],0.8),0)</f>
        <v>8</v>
      </c>
    </row>
    <row r="504" spans="1:18">
      <c r="A504" s="51">
        <f t="shared" si="67"/>
        <v>43132</v>
      </c>
      <c r="B504" s="11">
        <f t="shared" si="70"/>
        <v>43132</v>
      </c>
      <c r="C504" s="47">
        <f>SUMIFS('On The Board'!$M$5:$M$219,'On The Board'!F$5:F$219,"&lt;="&amp;$B504,'On The Board'!E$5:E$219,"="&amp;FutureWork)</f>
        <v>43</v>
      </c>
      <c r="D504" s="12">
        <f ca="1">IF(TodaysDate&gt;=B504,SUMIF('On The Board'!F$5:F$219,"&lt;="&amp;$B504,'On The Board'!$M$5:$M$219)-SUM(E504:I504),D503)</f>
        <v>47</v>
      </c>
      <c r="E504" s="12">
        <f>SUMIF('On The Board'!G$5:G$219,"&lt;="&amp;$B504,'On The Board'!$M$5:$M$219)-SUM(F504:I504)</f>
        <v>0</v>
      </c>
      <c r="F504" s="12">
        <f>SUMIF('On The Board'!H$5:H$219,"&lt;="&amp;$B504,'On The Board'!$M$5:$M$219)-SUM(G504:I504)</f>
        <v>5</v>
      </c>
      <c r="G504" s="12">
        <f>SUMIF('On The Board'!I$5:I$219,"&lt;="&amp;$B504,'On The Board'!$M$5:$M$219)-SUM(H504,I504)</f>
        <v>2</v>
      </c>
      <c r="H504" s="12">
        <f>SUMIF('On The Board'!J$5:J$219,"&lt;="&amp;$B504,'On The Board'!$M$5:$M$219)-SUM(I504)</f>
        <v>0</v>
      </c>
      <c r="I504" s="12">
        <f>SUMIF('On The Board'!K$5:K$219,"&lt;="&amp;$B504,'On The Board'!$M$5:$M$219)</f>
        <v>70</v>
      </c>
      <c r="J504" s="10">
        <f t="shared" si="68"/>
        <v>77</v>
      </c>
      <c r="K504" s="10" t="e">
        <f t="shared" ca="1" si="69"/>
        <v>#N/A</v>
      </c>
      <c r="L504" s="44" t="e">
        <f t="shared" ca="1" si="73"/>
        <v>#N/A</v>
      </c>
      <c r="M504" s="44" t="e">
        <f t="shared" ca="1" si="72"/>
        <v>#N/A</v>
      </c>
      <c r="N504" s="44" t="e">
        <f t="shared" ca="1" si="71"/>
        <v>#N/A</v>
      </c>
      <c r="O504" s="53" t="e">
        <f t="shared" ca="1" si="74"/>
        <v>#N/A</v>
      </c>
      <c r="P504" s="53" t="str">
        <f ca="1">IFERROR(DayByDayTable[[#This Row],[Lead Time]],"")</f>
        <v/>
      </c>
      <c r="Q504" s="44" t="e">
        <f t="shared" ca="1" si="75"/>
        <v>#N/A</v>
      </c>
      <c r="R504" s="44">
        <f ca="1">ROUND(PERCENTILE(DayByDayTable[[#Data],[BlankLeadTime]],0.8),0)</f>
        <v>8</v>
      </c>
    </row>
    <row r="505" spans="1:18">
      <c r="A505" s="51">
        <f t="shared" si="67"/>
        <v>43133</v>
      </c>
      <c r="B505" s="11">
        <f t="shared" si="70"/>
        <v>43133</v>
      </c>
      <c r="C505" s="47">
        <f>SUMIFS('On The Board'!$M$5:$M$219,'On The Board'!F$5:F$219,"&lt;="&amp;$B505,'On The Board'!E$5:E$219,"="&amp;FutureWork)</f>
        <v>43</v>
      </c>
      <c r="D505" s="12">
        <f ca="1">IF(TodaysDate&gt;=B505,SUMIF('On The Board'!F$5:F$219,"&lt;="&amp;$B505,'On The Board'!$M$5:$M$219)-SUM(E505:I505),D504)</f>
        <v>47</v>
      </c>
      <c r="E505" s="12">
        <f>SUMIF('On The Board'!G$5:G$219,"&lt;="&amp;$B505,'On The Board'!$M$5:$M$219)-SUM(F505:I505)</f>
        <v>0</v>
      </c>
      <c r="F505" s="12">
        <f>SUMIF('On The Board'!H$5:H$219,"&lt;="&amp;$B505,'On The Board'!$M$5:$M$219)-SUM(G505:I505)</f>
        <v>5</v>
      </c>
      <c r="G505" s="12">
        <f>SUMIF('On The Board'!I$5:I$219,"&lt;="&amp;$B505,'On The Board'!$M$5:$M$219)-SUM(H505,I505)</f>
        <v>2</v>
      </c>
      <c r="H505" s="12">
        <f>SUMIF('On The Board'!J$5:J$219,"&lt;="&amp;$B505,'On The Board'!$M$5:$M$219)-SUM(I505)</f>
        <v>0</v>
      </c>
      <c r="I505" s="12">
        <f>SUMIF('On The Board'!K$5:K$219,"&lt;="&amp;$B505,'On The Board'!$M$5:$M$219)</f>
        <v>70</v>
      </c>
      <c r="J505" s="10">
        <f t="shared" si="68"/>
        <v>77</v>
      </c>
      <c r="K505" s="10" t="e">
        <f t="shared" ca="1" si="69"/>
        <v>#N/A</v>
      </c>
      <c r="L505" s="44" t="e">
        <f t="shared" ca="1" si="73"/>
        <v>#N/A</v>
      </c>
      <c r="M505" s="44" t="e">
        <f t="shared" ca="1" si="72"/>
        <v>#N/A</v>
      </c>
      <c r="N505" s="44" t="e">
        <f t="shared" ca="1" si="71"/>
        <v>#N/A</v>
      </c>
      <c r="O505" s="53" t="e">
        <f t="shared" ca="1" si="74"/>
        <v>#N/A</v>
      </c>
      <c r="P505" s="53" t="str">
        <f ca="1">IFERROR(DayByDayTable[[#This Row],[Lead Time]],"")</f>
        <v/>
      </c>
      <c r="Q505" s="44" t="e">
        <f t="shared" ca="1" si="75"/>
        <v>#N/A</v>
      </c>
      <c r="R505" s="44">
        <f ca="1">ROUND(PERCENTILE(DayByDayTable[[#Data],[BlankLeadTime]],0.8),0)</f>
        <v>8</v>
      </c>
    </row>
    <row r="506" spans="1:18">
      <c r="A506" s="51">
        <f t="shared" si="67"/>
        <v>43136</v>
      </c>
      <c r="B506" s="11">
        <f t="shared" si="70"/>
        <v>43136</v>
      </c>
      <c r="C506" s="47">
        <f>SUMIFS('On The Board'!$M$5:$M$219,'On The Board'!F$5:F$219,"&lt;="&amp;$B506,'On The Board'!E$5:E$219,"="&amp;FutureWork)</f>
        <v>43</v>
      </c>
      <c r="D506" s="12">
        <f ca="1">IF(TodaysDate&gt;=B506,SUMIF('On The Board'!F$5:F$219,"&lt;="&amp;$B506,'On The Board'!$M$5:$M$219)-SUM(E506:I506),D505)</f>
        <v>47</v>
      </c>
      <c r="E506" s="12">
        <f>SUMIF('On The Board'!G$5:G$219,"&lt;="&amp;$B506,'On The Board'!$M$5:$M$219)-SUM(F506:I506)</f>
        <v>0</v>
      </c>
      <c r="F506" s="12">
        <f>SUMIF('On The Board'!H$5:H$219,"&lt;="&amp;$B506,'On The Board'!$M$5:$M$219)-SUM(G506:I506)</f>
        <v>5</v>
      </c>
      <c r="G506" s="12">
        <f>SUMIF('On The Board'!I$5:I$219,"&lt;="&amp;$B506,'On The Board'!$M$5:$M$219)-SUM(H506,I506)</f>
        <v>2</v>
      </c>
      <c r="H506" s="12">
        <f>SUMIF('On The Board'!J$5:J$219,"&lt;="&amp;$B506,'On The Board'!$M$5:$M$219)-SUM(I506)</f>
        <v>0</v>
      </c>
      <c r="I506" s="12">
        <f>SUMIF('On The Board'!K$5:K$219,"&lt;="&amp;$B506,'On The Board'!$M$5:$M$219)</f>
        <v>70</v>
      </c>
      <c r="J506" s="10">
        <f t="shared" si="68"/>
        <v>77</v>
      </c>
      <c r="K506" s="10" t="e">
        <f t="shared" ca="1" si="69"/>
        <v>#N/A</v>
      </c>
      <c r="L506" s="44" t="e">
        <f t="shared" ca="1" si="73"/>
        <v>#N/A</v>
      </c>
      <c r="M506" s="44" t="e">
        <f t="shared" ca="1" si="72"/>
        <v>#N/A</v>
      </c>
      <c r="N506" s="44" t="e">
        <f t="shared" ca="1" si="71"/>
        <v>#N/A</v>
      </c>
      <c r="O506" s="53" t="e">
        <f t="shared" ca="1" si="74"/>
        <v>#N/A</v>
      </c>
      <c r="P506" s="53" t="str">
        <f ca="1">IFERROR(DayByDayTable[[#This Row],[Lead Time]],"")</f>
        <v/>
      </c>
      <c r="Q506" s="44" t="e">
        <f t="shared" ca="1" si="75"/>
        <v>#N/A</v>
      </c>
      <c r="R506" s="44">
        <f ca="1">ROUND(PERCENTILE(DayByDayTable[[#Data],[BlankLeadTime]],0.8),0)</f>
        <v>8</v>
      </c>
    </row>
    <row r="507" spans="1:18">
      <c r="A507" s="51">
        <f t="shared" si="67"/>
        <v>43137</v>
      </c>
      <c r="B507" s="11">
        <f t="shared" si="70"/>
        <v>43137</v>
      </c>
      <c r="C507" s="47">
        <f>SUMIFS('On The Board'!$M$5:$M$219,'On The Board'!F$5:F$219,"&lt;="&amp;$B507,'On The Board'!E$5:E$219,"="&amp;FutureWork)</f>
        <v>43</v>
      </c>
      <c r="D507" s="12">
        <f ca="1">IF(TodaysDate&gt;=B507,SUMIF('On The Board'!F$5:F$219,"&lt;="&amp;$B507,'On The Board'!$M$5:$M$219)-SUM(E507:I507),D506)</f>
        <v>47</v>
      </c>
      <c r="E507" s="12">
        <f>SUMIF('On The Board'!G$5:G$219,"&lt;="&amp;$B507,'On The Board'!$M$5:$M$219)-SUM(F507:I507)</f>
        <v>0</v>
      </c>
      <c r="F507" s="12">
        <f>SUMIF('On The Board'!H$5:H$219,"&lt;="&amp;$B507,'On The Board'!$M$5:$M$219)-SUM(G507:I507)</f>
        <v>5</v>
      </c>
      <c r="G507" s="12">
        <f>SUMIF('On The Board'!I$5:I$219,"&lt;="&amp;$B507,'On The Board'!$M$5:$M$219)-SUM(H507,I507)</f>
        <v>2</v>
      </c>
      <c r="H507" s="12">
        <f>SUMIF('On The Board'!J$5:J$219,"&lt;="&amp;$B507,'On The Board'!$M$5:$M$219)-SUM(I507)</f>
        <v>0</v>
      </c>
      <c r="I507" s="12">
        <f>SUMIF('On The Board'!K$5:K$219,"&lt;="&amp;$B507,'On The Board'!$M$5:$M$219)</f>
        <v>70</v>
      </c>
      <c r="J507" s="10">
        <f t="shared" si="68"/>
        <v>77</v>
      </c>
      <c r="K507" s="10" t="e">
        <f t="shared" ca="1" si="69"/>
        <v>#N/A</v>
      </c>
      <c r="L507" s="44" t="e">
        <f t="shared" ca="1" si="73"/>
        <v>#N/A</v>
      </c>
      <c r="M507" s="44" t="e">
        <f t="shared" ca="1" si="72"/>
        <v>#N/A</v>
      </c>
      <c r="N507" s="44" t="e">
        <f t="shared" ca="1" si="71"/>
        <v>#N/A</v>
      </c>
      <c r="O507" s="53" t="e">
        <f t="shared" ca="1" si="74"/>
        <v>#N/A</v>
      </c>
      <c r="P507" s="53" t="str">
        <f ca="1">IFERROR(DayByDayTable[[#This Row],[Lead Time]],"")</f>
        <v/>
      </c>
      <c r="Q507" s="44" t="e">
        <f t="shared" ca="1" si="75"/>
        <v>#N/A</v>
      </c>
      <c r="R507" s="44">
        <f ca="1">ROUND(PERCENTILE(DayByDayTable[[#Data],[BlankLeadTime]],0.8),0)</f>
        <v>8</v>
      </c>
    </row>
    <row r="508" spans="1:18">
      <c r="A508" s="51">
        <f t="shared" si="67"/>
        <v>43138</v>
      </c>
      <c r="B508" s="11">
        <f t="shared" si="70"/>
        <v>43138</v>
      </c>
      <c r="C508" s="47">
        <f>SUMIFS('On The Board'!$M$5:$M$219,'On The Board'!F$5:F$219,"&lt;="&amp;$B508,'On The Board'!E$5:E$219,"="&amp;FutureWork)</f>
        <v>43</v>
      </c>
      <c r="D508" s="12">
        <f ca="1">IF(TodaysDate&gt;=B508,SUMIF('On The Board'!F$5:F$219,"&lt;="&amp;$B508,'On The Board'!$M$5:$M$219)-SUM(E508:I508),D507)</f>
        <v>47</v>
      </c>
      <c r="E508" s="12">
        <f>SUMIF('On The Board'!G$5:G$219,"&lt;="&amp;$B508,'On The Board'!$M$5:$M$219)-SUM(F508:I508)</f>
        <v>0</v>
      </c>
      <c r="F508" s="12">
        <f>SUMIF('On The Board'!H$5:H$219,"&lt;="&amp;$B508,'On The Board'!$M$5:$M$219)-SUM(G508:I508)</f>
        <v>5</v>
      </c>
      <c r="G508" s="12">
        <f>SUMIF('On The Board'!I$5:I$219,"&lt;="&amp;$B508,'On The Board'!$M$5:$M$219)-SUM(H508,I508)</f>
        <v>2</v>
      </c>
      <c r="H508" s="12">
        <f>SUMIF('On The Board'!J$5:J$219,"&lt;="&amp;$B508,'On The Board'!$M$5:$M$219)-SUM(I508)</f>
        <v>0</v>
      </c>
      <c r="I508" s="12">
        <f>SUMIF('On The Board'!K$5:K$219,"&lt;="&amp;$B508,'On The Board'!$M$5:$M$219)</f>
        <v>70</v>
      </c>
      <c r="J508" s="10">
        <f t="shared" si="68"/>
        <v>77</v>
      </c>
      <c r="K508" s="10" t="e">
        <f t="shared" ca="1" si="69"/>
        <v>#N/A</v>
      </c>
      <c r="L508" s="44" t="e">
        <f t="shared" ca="1" si="73"/>
        <v>#N/A</v>
      </c>
      <c r="M508" s="44" t="e">
        <f t="shared" ca="1" si="72"/>
        <v>#N/A</v>
      </c>
      <c r="N508" s="44" t="e">
        <f t="shared" ca="1" si="71"/>
        <v>#N/A</v>
      </c>
      <c r="O508" s="53" t="e">
        <f t="shared" ca="1" si="74"/>
        <v>#N/A</v>
      </c>
      <c r="P508" s="53" t="str">
        <f ca="1">IFERROR(DayByDayTable[[#This Row],[Lead Time]],"")</f>
        <v/>
      </c>
      <c r="Q508" s="44" t="e">
        <f t="shared" ca="1" si="75"/>
        <v>#N/A</v>
      </c>
      <c r="R508" s="44">
        <f ca="1">ROUND(PERCENTILE(DayByDayTable[[#Data],[BlankLeadTime]],0.8),0)</f>
        <v>8</v>
      </c>
    </row>
    <row r="509" spans="1:18">
      <c r="A509" s="51">
        <f t="shared" si="67"/>
        <v>43139</v>
      </c>
      <c r="B509" s="11">
        <f t="shared" si="70"/>
        <v>43139</v>
      </c>
      <c r="C509" s="47">
        <f>SUMIFS('On The Board'!$M$5:$M$219,'On The Board'!F$5:F$219,"&lt;="&amp;$B509,'On The Board'!E$5:E$219,"="&amp;FutureWork)</f>
        <v>43</v>
      </c>
      <c r="D509" s="12">
        <f ca="1">IF(TodaysDate&gt;=B509,SUMIF('On The Board'!F$5:F$219,"&lt;="&amp;$B509,'On The Board'!$M$5:$M$219)-SUM(E509:I509),D508)</f>
        <v>47</v>
      </c>
      <c r="E509" s="12">
        <f>SUMIF('On The Board'!G$5:G$219,"&lt;="&amp;$B509,'On The Board'!$M$5:$M$219)-SUM(F509:I509)</f>
        <v>0</v>
      </c>
      <c r="F509" s="12">
        <f>SUMIF('On The Board'!H$5:H$219,"&lt;="&amp;$B509,'On The Board'!$M$5:$M$219)-SUM(G509:I509)</f>
        <v>5</v>
      </c>
      <c r="G509" s="12">
        <f>SUMIF('On The Board'!I$5:I$219,"&lt;="&amp;$B509,'On The Board'!$M$5:$M$219)-SUM(H509,I509)</f>
        <v>2</v>
      </c>
      <c r="H509" s="12">
        <f>SUMIF('On The Board'!J$5:J$219,"&lt;="&amp;$B509,'On The Board'!$M$5:$M$219)-SUM(I509)</f>
        <v>0</v>
      </c>
      <c r="I509" s="12">
        <f>SUMIF('On The Board'!K$5:K$219,"&lt;="&amp;$B509,'On The Board'!$M$5:$M$219)</f>
        <v>70</v>
      </c>
      <c r="J509" s="10">
        <f t="shared" si="68"/>
        <v>77</v>
      </c>
      <c r="K509" s="10" t="e">
        <f t="shared" ca="1" si="69"/>
        <v>#N/A</v>
      </c>
      <c r="L509" s="44" t="e">
        <f t="shared" ca="1" si="73"/>
        <v>#N/A</v>
      </c>
      <c r="M509" s="44" t="e">
        <f t="shared" ca="1" si="72"/>
        <v>#N/A</v>
      </c>
      <c r="N509" s="44" t="e">
        <f t="shared" ca="1" si="71"/>
        <v>#N/A</v>
      </c>
      <c r="O509" s="53" t="e">
        <f t="shared" ca="1" si="74"/>
        <v>#N/A</v>
      </c>
      <c r="P509" s="53" t="str">
        <f ca="1">IFERROR(DayByDayTable[[#This Row],[Lead Time]],"")</f>
        <v/>
      </c>
      <c r="Q509" s="44" t="e">
        <f t="shared" ca="1" si="75"/>
        <v>#N/A</v>
      </c>
      <c r="R509" s="44">
        <f ca="1">ROUND(PERCENTILE(DayByDayTable[[#Data],[BlankLeadTime]],0.8),0)</f>
        <v>8</v>
      </c>
    </row>
    <row r="510" spans="1:18">
      <c r="A510" s="51">
        <f t="shared" si="67"/>
        <v>43140</v>
      </c>
      <c r="B510" s="11">
        <f t="shared" si="70"/>
        <v>43140</v>
      </c>
      <c r="C510" s="47">
        <f>SUMIFS('On The Board'!$M$5:$M$219,'On The Board'!F$5:F$219,"&lt;="&amp;$B510,'On The Board'!E$5:E$219,"="&amp;FutureWork)</f>
        <v>43</v>
      </c>
      <c r="D510" s="12">
        <f ca="1">IF(TodaysDate&gt;=B510,SUMIF('On The Board'!F$5:F$219,"&lt;="&amp;$B510,'On The Board'!$M$5:$M$219)-SUM(E510:I510),D509)</f>
        <v>47</v>
      </c>
      <c r="E510" s="12">
        <f>SUMIF('On The Board'!G$5:G$219,"&lt;="&amp;$B510,'On The Board'!$M$5:$M$219)-SUM(F510:I510)</f>
        <v>0</v>
      </c>
      <c r="F510" s="12">
        <f>SUMIF('On The Board'!H$5:H$219,"&lt;="&amp;$B510,'On The Board'!$M$5:$M$219)-SUM(G510:I510)</f>
        <v>5</v>
      </c>
      <c r="G510" s="12">
        <f>SUMIF('On The Board'!I$5:I$219,"&lt;="&amp;$B510,'On The Board'!$M$5:$M$219)-SUM(H510,I510)</f>
        <v>2</v>
      </c>
      <c r="H510" s="12">
        <f>SUMIF('On The Board'!J$5:J$219,"&lt;="&amp;$B510,'On The Board'!$M$5:$M$219)-SUM(I510)</f>
        <v>0</v>
      </c>
      <c r="I510" s="12">
        <f>SUMIF('On The Board'!K$5:K$219,"&lt;="&amp;$B510,'On The Board'!$M$5:$M$219)</f>
        <v>70</v>
      </c>
      <c r="J510" s="10">
        <f t="shared" si="68"/>
        <v>77</v>
      </c>
      <c r="K510" s="10" t="e">
        <f t="shared" ca="1" si="69"/>
        <v>#N/A</v>
      </c>
      <c r="L510" s="44" t="e">
        <f t="shared" ca="1" si="73"/>
        <v>#N/A</v>
      </c>
      <c r="M510" s="44" t="e">
        <f t="shared" ca="1" si="72"/>
        <v>#N/A</v>
      </c>
      <c r="N510" s="44" t="e">
        <f t="shared" ca="1" si="71"/>
        <v>#N/A</v>
      </c>
      <c r="O510" s="53" t="e">
        <f t="shared" ca="1" si="74"/>
        <v>#N/A</v>
      </c>
      <c r="P510" s="53" t="str">
        <f ca="1">IFERROR(DayByDayTable[[#This Row],[Lead Time]],"")</f>
        <v/>
      </c>
      <c r="Q510" s="44" t="e">
        <f t="shared" ca="1" si="75"/>
        <v>#N/A</v>
      </c>
      <c r="R510" s="44">
        <f ca="1">ROUND(PERCENTILE(DayByDayTable[[#Data],[BlankLeadTime]],0.8),0)</f>
        <v>8</v>
      </c>
    </row>
    <row r="511" spans="1:18">
      <c r="A511" s="51">
        <f t="shared" ref="A511:A574" si="76">B511</f>
        <v>43143</v>
      </c>
      <c r="B511" s="11">
        <f t="shared" si="70"/>
        <v>43143</v>
      </c>
      <c r="C511" s="47">
        <f>SUMIFS('On The Board'!$M$5:$M$219,'On The Board'!F$5:F$219,"&lt;="&amp;$B511,'On The Board'!E$5:E$219,"="&amp;FutureWork)</f>
        <v>43</v>
      </c>
      <c r="D511" s="12">
        <f ca="1">IF(TodaysDate&gt;=B511,SUMIF('On The Board'!F$5:F$219,"&lt;="&amp;$B511,'On The Board'!$M$5:$M$219)-SUM(E511:I511),D510)</f>
        <v>47</v>
      </c>
      <c r="E511" s="12">
        <f>SUMIF('On The Board'!G$5:G$219,"&lt;="&amp;$B511,'On The Board'!$M$5:$M$219)-SUM(F511:I511)</f>
        <v>0</v>
      </c>
      <c r="F511" s="12">
        <f>SUMIF('On The Board'!H$5:H$219,"&lt;="&amp;$B511,'On The Board'!$M$5:$M$219)-SUM(G511:I511)</f>
        <v>5</v>
      </c>
      <c r="G511" s="12">
        <f>SUMIF('On The Board'!I$5:I$219,"&lt;="&amp;$B511,'On The Board'!$M$5:$M$219)-SUM(H511,I511)</f>
        <v>2</v>
      </c>
      <c r="H511" s="12">
        <f>SUMIF('On The Board'!J$5:J$219,"&lt;="&amp;$B511,'On The Board'!$M$5:$M$219)-SUM(I511)</f>
        <v>0</v>
      </c>
      <c r="I511" s="12">
        <f>SUMIF('On The Board'!K$5:K$219,"&lt;="&amp;$B511,'On The Board'!$M$5:$M$219)</f>
        <v>70</v>
      </c>
      <c r="J511" s="10">
        <f t="shared" ref="J511:J574" si="77">SUM(E511:I511)</f>
        <v>77</v>
      </c>
      <c r="K511" s="10" t="e">
        <f t="shared" ca="1" si="69"/>
        <v>#N/A</v>
      </c>
      <c r="L511" s="44" t="e">
        <f t="shared" ca="1" si="73"/>
        <v>#N/A</v>
      </c>
      <c r="M511" s="44" t="e">
        <f t="shared" ca="1" si="72"/>
        <v>#N/A</v>
      </c>
      <c r="N511" s="44" t="e">
        <f t="shared" ca="1" si="71"/>
        <v>#N/A</v>
      </c>
      <c r="O511" s="53" t="e">
        <f t="shared" ca="1" si="74"/>
        <v>#N/A</v>
      </c>
      <c r="P511" s="53" t="str">
        <f ca="1">IFERROR(DayByDayTable[[#This Row],[Lead Time]],"")</f>
        <v/>
      </c>
      <c r="Q511" s="44" t="e">
        <f t="shared" ca="1" si="75"/>
        <v>#N/A</v>
      </c>
      <c r="R511" s="44">
        <f ca="1">ROUND(PERCENTILE(DayByDayTable[[#Data],[BlankLeadTime]],0.8),0)</f>
        <v>8</v>
      </c>
    </row>
    <row r="512" spans="1:18">
      <c r="A512" s="51">
        <f t="shared" si="76"/>
        <v>43144</v>
      </c>
      <c r="B512" s="11">
        <f t="shared" si="70"/>
        <v>43144</v>
      </c>
      <c r="C512" s="47">
        <f>SUMIFS('On The Board'!$M$5:$M$219,'On The Board'!F$5:F$219,"&lt;="&amp;$B512,'On The Board'!E$5:E$219,"="&amp;FutureWork)</f>
        <v>43</v>
      </c>
      <c r="D512" s="12">
        <f ca="1">IF(TodaysDate&gt;=B512,SUMIF('On The Board'!F$5:F$219,"&lt;="&amp;$B512,'On The Board'!$M$5:$M$219)-SUM(E512:I512),D511)</f>
        <v>47</v>
      </c>
      <c r="E512" s="12">
        <f>SUMIF('On The Board'!G$5:G$219,"&lt;="&amp;$B512,'On The Board'!$M$5:$M$219)-SUM(F512:I512)</f>
        <v>0</v>
      </c>
      <c r="F512" s="12">
        <f>SUMIF('On The Board'!H$5:H$219,"&lt;="&amp;$B512,'On The Board'!$M$5:$M$219)-SUM(G512:I512)</f>
        <v>5</v>
      </c>
      <c r="G512" s="12">
        <f>SUMIF('On The Board'!I$5:I$219,"&lt;="&amp;$B512,'On The Board'!$M$5:$M$219)-SUM(H512,I512)</f>
        <v>2</v>
      </c>
      <c r="H512" s="12">
        <f>SUMIF('On The Board'!J$5:J$219,"&lt;="&amp;$B512,'On The Board'!$M$5:$M$219)-SUM(I512)</f>
        <v>0</v>
      </c>
      <c r="I512" s="12">
        <f>SUMIF('On The Board'!K$5:K$219,"&lt;="&amp;$B512,'On The Board'!$M$5:$M$219)</f>
        <v>70</v>
      </c>
      <c r="J512" s="10">
        <f t="shared" si="77"/>
        <v>77</v>
      </c>
      <c r="K512" s="10" t="e">
        <f t="shared" ca="1" si="69"/>
        <v>#N/A</v>
      </c>
      <c r="L512" s="44" t="e">
        <f t="shared" ca="1" si="73"/>
        <v>#N/A</v>
      </c>
      <c r="M512" s="44" t="e">
        <f t="shared" ca="1" si="72"/>
        <v>#N/A</v>
      </c>
      <c r="N512" s="44" t="e">
        <f t="shared" ca="1" si="71"/>
        <v>#N/A</v>
      </c>
      <c r="O512" s="53" t="e">
        <f t="shared" ca="1" si="74"/>
        <v>#N/A</v>
      </c>
      <c r="P512" s="53" t="str">
        <f ca="1">IFERROR(DayByDayTable[[#This Row],[Lead Time]],"")</f>
        <v/>
      </c>
      <c r="Q512" s="44" t="e">
        <f t="shared" ca="1" si="75"/>
        <v>#N/A</v>
      </c>
      <c r="R512" s="44">
        <f ca="1">ROUND(PERCENTILE(DayByDayTable[[#Data],[BlankLeadTime]],0.8),0)</f>
        <v>8</v>
      </c>
    </row>
    <row r="513" spans="1:18">
      <c r="A513" s="51">
        <f t="shared" si="76"/>
        <v>43145</v>
      </c>
      <c r="B513" s="11">
        <f t="shared" si="70"/>
        <v>43145</v>
      </c>
      <c r="C513" s="47">
        <f>SUMIFS('On The Board'!$M$5:$M$219,'On The Board'!F$5:F$219,"&lt;="&amp;$B513,'On The Board'!E$5:E$219,"="&amp;FutureWork)</f>
        <v>43</v>
      </c>
      <c r="D513" s="12">
        <f ca="1">IF(TodaysDate&gt;=B513,SUMIF('On The Board'!F$5:F$219,"&lt;="&amp;$B513,'On The Board'!$M$5:$M$219)-SUM(E513:I513),D512)</f>
        <v>47</v>
      </c>
      <c r="E513" s="12">
        <f>SUMIF('On The Board'!G$5:G$219,"&lt;="&amp;$B513,'On The Board'!$M$5:$M$219)-SUM(F513:I513)</f>
        <v>0</v>
      </c>
      <c r="F513" s="12">
        <f>SUMIF('On The Board'!H$5:H$219,"&lt;="&amp;$B513,'On The Board'!$M$5:$M$219)-SUM(G513:I513)</f>
        <v>5</v>
      </c>
      <c r="G513" s="12">
        <f>SUMIF('On The Board'!I$5:I$219,"&lt;="&amp;$B513,'On The Board'!$M$5:$M$219)-SUM(H513,I513)</f>
        <v>2</v>
      </c>
      <c r="H513" s="12">
        <f>SUMIF('On The Board'!J$5:J$219,"&lt;="&amp;$B513,'On The Board'!$M$5:$M$219)-SUM(I513)</f>
        <v>0</v>
      </c>
      <c r="I513" s="12">
        <f>SUMIF('On The Board'!K$5:K$219,"&lt;="&amp;$B513,'On The Board'!$M$5:$M$219)</f>
        <v>70</v>
      </c>
      <c r="J513" s="10">
        <f t="shared" si="77"/>
        <v>77</v>
      </c>
      <c r="K513" s="10" t="e">
        <f t="shared" ca="1" si="69"/>
        <v>#N/A</v>
      </c>
      <c r="L513" s="44" t="e">
        <f t="shared" ca="1" si="73"/>
        <v>#N/A</v>
      </c>
      <c r="M513" s="44" t="e">
        <f t="shared" ca="1" si="72"/>
        <v>#N/A</v>
      </c>
      <c r="N513" s="44" t="e">
        <f t="shared" ca="1" si="71"/>
        <v>#N/A</v>
      </c>
      <c r="O513" s="53" t="e">
        <f t="shared" ca="1" si="74"/>
        <v>#N/A</v>
      </c>
      <c r="P513" s="53" t="str">
        <f ca="1">IFERROR(DayByDayTable[[#This Row],[Lead Time]],"")</f>
        <v/>
      </c>
      <c r="Q513" s="44" t="e">
        <f t="shared" ca="1" si="75"/>
        <v>#N/A</v>
      </c>
      <c r="R513" s="44">
        <f ca="1">ROUND(PERCENTILE(DayByDayTable[[#Data],[BlankLeadTime]],0.8),0)</f>
        <v>8</v>
      </c>
    </row>
    <row r="514" spans="1:18">
      <c r="A514" s="51">
        <f t="shared" si="76"/>
        <v>43146</v>
      </c>
      <c r="B514" s="11">
        <f t="shared" si="70"/>
        <v>43146</v>
      </c>
      <c r="C514" s="47">
        <f>SUMIFS('On The Board'!$M$5:$M$219,'On The Board'!F$5:F$219,"&lt;="&amp;$B514,'On The Board'!E$5:E$219,"="&amp;FutureWork)</f>
        <v>43</v>
      </c>
      <c r="D514" s="12">
        <f ca="1">IF(TodaysDate&gt;=B514,SUMIF('On The Board'!F$5:F$219,"&lt;="&amp;$B514,'On The Board'!$M$5:$M$219)-SUM(E514:I514),D513)</f>
        <v>47</v>
      </c>
      <c r="E514" s="12">
        <f>SUMIF('On The Board'!G$5:G$219,"&lt;="&amp;$B514,'On The Board'!$M$5:$M$219)-SUM(F514:I514)</f>
        <v>0</v>
      </c>
      <c r="F514" s="12">
        <f>SUMIF('On The Board'!H$5:H$219,"&lt;="&amp;$B514,'On The Board'!$M$5:$M$219)-SUM(G514:I514)</f>
        <v>5</v>
      </c>
      <c r="G514" s="12">
        <f>SUMIF('On The Board'!I$5:I$219,"&lt;="&amp;$B514,'On The Board'!$M$5:$M$219)-SUM(H514,I514)</f>
        <v>2</v>
      </c>
      <c r="H514" s="12">
        <f>SUMIF('On The Board'!J$5:J$219,"&lt;="&amp;$B514,'On The Board'!$M$5:$M$219)-SUM(I514)</f>
        <v>0</v>
      </c>
      <c r="I514" s="12">
        <f>SUMIF('On The Board'!K$5:K$219,"&lt;="&amp;$B514,'On The Board'!$M$5:$M$219)</f>
        <v>70</v>
      </c>
      <c r="J514" s="10">
        <f t="shared" si="77"/>
        <v>77</v>
      </c>
      <c r="K514" s="10" t="e">
        <f t="shared" ref="K514:K577" ca="1" si="78">IF(TodaysDate&gt;=B514,SUM(E514:H514),NA())</f>
        <v>#N/A</v>
      </c>
      <c r="L514" s="44" t="e">
        <f t="shared" ca="1" si="73"/>
        <v>#N/A</v>
      </c>
      <c r="M514" s="44" t="e">
        <f t="shared" ca="1" si="72"/>
        <v>#N/A</v>
      </c>
      <c r="N514" s="44" t="e">
        <f t="shared" ca="1" si="71"/>
        <v>#N/A</v>
      </c>
      <c r="O514" s="53" t="e">
        <f t="shared" ca="1" si="74"/>
        <v>#N/A</v>
      </c>
      <c r="P514" s="53" t="str">
        <f ca="1">IFERROR(DayByDayTable[[#This Row],[Lead Time]],"")</f>
        <v/>
      </c>
      <c r="Q514" s="44" t="e">
        <f t="shared" ca="1" si="75"/>
        <v>#N/A</v>
      </c>
      <c r="R514" s="44">
        <f ca="1">ROUND(PERCENTILE(DayByDayTable[[#Data],[BlankLeadTime]],0.8),0)</f>
        <v>8</v>
      </c>
    </row>
    <row r="515" spans="1:18">
      <c r="A515" s="51">
        <f t="shared" si="76"/>
        <v>43147</v>
      </c>
      <c r="B515" s="11">
        <f t="shared" ref="B515:B578" si="79">IF(NETWORKDAYS(B514,B514+1,BankHolidays)=2,B514+1,IF(NETWORKDAYS(B514,B514+2,BankHolidays)=2,B514+2,IF(NETWORKDAYS(B514,B514+3,BankHolidays)=2,B514+3,IF(NETWORKDAYS(B514,B514+4,BankHolidays)=2,B514+4,IF(NETWORKDAYS(B514,B514+5,BankHolidays)=2,B514+5,NA())))))</f>
        <v>43147</v>
      </c>
      <c r="C515" s="47">
        <f>SUMIFS('On The Board'!$M$5:$M$219,'On The Board'!F$5:F$219,"&lt;="&amp;$B515,'On The Board'!E$5:E$219,"="&amp;FutureWork)</f>
        <v>43</v>
      </c>
      <c r="D515" s="12">
        <f ca="1">IF(TodaysDate&gt;=B515,SUMIF('On The Board'!F$5:F$219,"&lt;="&amp;$B515,'On The Board'!$M$5:$M$219)-SUM(E515:I515),D514)</f>
        <v>47</v>
      </c>
      <c r="E515" s="12">
        <f>SUMIF('On The Board'!G$5:G$219,"&lt;="&amp;$B515,'On The Board'!$M$5:$M$219)-SUM(F515:I515)</f>
        <v>0</v>
      </c>
      <c r="F515" s="12">
        <f>SUMIF('On The Board'!H$5:H$219,"&lt;="&amp;$B515,'On The Board'!$M$5:$M$219)-SUM(G515:I515)</f>
        <v>5</v>
      </c>
      <c r="G515" s="12">
        <f>SUMIF('On The Board'!I$5:I$219,"&lt;="&amp;$B515,'On The Board'!$M$5:$M$219)-SUM(H515,I515)</f>
        <v>2</v>
      </c>
      <c r="H515" s="12">
        <f>SUMIF('On The Board'!J$5:J$219,"&lt;="&amp;$B515,'On The Board'!$M$5:$M$219)-SUM(I515)</f>
        <v>0</v>
      </c>
      <c r="I515" s="12">
        <f>SUMIF('On The Board'!K$5:K$219,"&lt;="&amp;$B515,'On The Board'!$M$5:$M$219)</f>
        <v>70</v>
      </c>
      <c r="J515" s="10">
        <f t="shared" si="77"/>
        <v>77</v>
      </c>
      <c r="K515" s="10" t="e">
        <f t="shared" ca="1" si="78"/>
        <v>#N/A</v>
      </c>
      <c r="L515" s="44" t="e">
        <f t="shared" ca="1" si="73"/>
        <v>#N/A</v>
      </c>
      <c r="M515" s="44" t="e">
        <f t="shared" ca="1" si="72"/>
        <v>#N/A</v>
      </c>
      <c r="N515" s="44" t="e">
        <f t="shared" ref="N515:N578" ca="1" si="80">IF(M515&gt;0,L515/M515,NA())</f>
        <v>#N/A</v>
      </c>
      <c r="O515" s="53" t="e">
        <f t="shared" ca="1" si="74"/>
        <v>#N/A</v>
      </c>
      <c r="P515" s="53" t="str">
        <f ca="1">IFERROR(DayByDayTable[[#This Row],[Lead Time]],"")</f>
        <v/>
      </c>
      <c r="Q515" s="44" t="e">
        <f t="shared" ca="1" si="75"/>
        <v>#N/A</v>
      </c>
      <c r="R515" s="44">
        <f ca="1">ROUND(PERCENTILE(DayByDayTable[[#Data],[BlankLeadTime]],0.8),0)</f>
        <v>8</v>
      </c>
    </row>
    <row r="516" spans="1:18">
      <c r="A516" s="51">
        <f t="shared" si="76"/>
        <v>43150</v>
      </c>
      <c r="B516" s="11">
        <f t="shared" si="79"/>
        <v>43150</v>
      </c>
      <c r="C516" s="47">
        <f>SUMIFS('On The Board'!$M$5:$M$219,'On The Board'!F$5:F$219,"&lt;="&amp;$B516,'On The Board'!E$5:E$219,"="&amp;FutureWork)</f>
        <v>43</v>
      </c>
      <c r="D516" s="12">
        <f ca="1">IF(TodaysDate&gt;=B516,SUMIF('On The Board'!F$5:F$219,"&lt;="&amp;$B516,'On The Board'!$M$5:$M$219)-SUM(E516:I516),D515)</f>
        <v>47</v>
      </c>
      <c r="E516" s="12">
        <f>SUMIF('On The Board'!G$5:G$219,"&lt;="&amp;$B516,'On The Board'!$M$5:$M$219)-SUM(F516:I516)</f>
        <v>0</v>
      </c>
      <c r="F516" s="12">
        <f>SUMIF('On The Board'!H$5:H$219,"&lt;="&amp;$B516,'On The Board'!$M$5:$M$219)-SUM(G516:I516)</f>
        <v>5</v>
      </c>
      <c r="G516" s="12">
        <f>SUMIF('On The Board'!I$5:I$219,"&lt;="&amp;$B516,'On The Board'!$M$5:$M$219)-SUM(H516,I516)</f>
        <v>2</v>
      </c>
      <c r="H516" s="12">
        <f>SUMIF('On The Board'!J$5:J$219,"&lt;="&amp;$B516,'On The Board'!$M$5:$M$219)-SUM(I516)</f>
        <v>0</v>
      </c>
      <c r="I516" s="12">
        <f>SUMIF('On The Board'!K$5:K$219,"&lt;="&amp;$B516,'On The Board'!$M$5:$M$219)</f>
        <v>70</v>
      </c>
      <c r="J516" s="10">
        <f t="shared" si="77"/>
        <v>77</v>
      </c>
      <c r="K516" s="10" t="e">
        <f t="shared" ca="1" si="78"/>
        <v>#N/A</v>
      </c>
      <c r="L516" s="44" t="e">
        <f t="shared" ca="1" si="73"/>
        <v>#N/A</v>
      </c>
      <c r="M516" s="44" t="e">
        <f t="shared" ca="1" si="72"/>
        <v>#N/A</v>
      </c>
      <c r="N516" s="44" t="e">
        <f t="shared" ca="1" si="80"/>
        <v>#N/A</v>
      </c>
      <c r="O516" s="53" t="e">
        <f t="shared" ca="1" si="74"/>
        <v>#N/A</v>
      </c>
      <c r="P516" s="53" t="str">
        <f ca="1">IFERROR(DayByDayTable[[#This Row],[Lead Time]],"")</f>
        <v/>
      </c>
      <c r="Q516" s="44" t="e">
        <f t="shared" ca="1" si="75"/>
        <v>#N/A</v>
      </c>
      <c r="R516" s="44">
        <f ca="1">ROUND(PERCENTILE(DayByDayTable[[#Data],[BlankLeadTime]],0.8),0)</f>
        <v>8</v>
      </c>
    </row>
    <row r="517" spans="1:18">
      <c r="A517" s="51">
        <f t="shared" si="76"/>
        <v>43151</v>
      </c>
      <c r="B517" s="11">
        <f t="shared" si="79"/>
        <v>43151</v>
      </c>
      <c r="C517" s="47">
        <f>SUMIFS('On The Board'!$M$5:$M$219,'On The Board'!F$5:F$219,"&lt;="&amp;$B517,'On The Board'!E$5:E$219,"="&amp;FutureWork)</f>
        <v>43</v>
      </c>
      <c r="D517" s="12">
        <f ca="1">IF(TodaysDate&gt;=B517,SUMIF('On The Board'!F$5:F$219,"&lt;="&amp;$B517,'On The Board'!$M$5:$M$219)-SUM(E517:I517),D516)</f>
        <v>47</v>
      </c>
      <c r="E517" s="12">
        <f>SUMIF('On The Board'!G$5:G$219,"&lt;="&amp;$B517,'On The Board'!$M$5:$M$219)-SUM(F517:I517)</f>
        <v>0</v>
      </c>
      <c r="F517" s="12">
        <f>SUMIF('On The Board'!H$5:H$219,"&lt;="&amp;$B517,'On The Board'!$M$5:$M$219)-SUM(G517:I517)</f>
        <v>5</v>
      </c>
      <c r="G517" s="12">
        <f>SUMIF('On The Board'!I$5:I$219,"&lt;="&amp;$B517,'On The Board'!$M$5:$M$219)-SUM(H517,I517)</f>
        <v>2</v>
      </c>
      <c r="H517" s="12">
        <f>SUMIF('On The Board'!J$5:J$219,"&lt;="&amp;$B517,'On The Board'!$M$5:$M$219)-SUM(I517)</f>
        <v>0</v>
      </c>
      <c r="I517" s="12">
        <f>SUMIF('On The Board'!K$5:K$219,"&lt;="&amp;$B517,'On The Board'!$M$5:$M$219)</f>
        <v>70</v>
      </c>
      <c r="J517" s="10">
        <f t="shared" si="77"/>
        <v>77</v>
      </c>
      <c r="K517" s="10" t="e">
        <f t="shared" ca="1" si="78"/>
        <v>#N/A</v>
      </c>
      <c r="L517" s="44" t="e">
        <f t="shared" ca="1" si="73"/>
        <v>#N/A</v>
      </c>
      <c r="M517" s="44" t="e">
        <f t="shared" ca="1" si="72"/>
        <v>#N/A</v>
      </c>
      <c r="N517" s="44" t="e">
        <f t="shared" ca="1" si="80"/>
        <v>#N/A</v>
      </c>
      <c r="O517" s="53" t="e">
        <f t="shared" ca="1" si="74"/>
        <v>#N/A</v>
      </c>
      <c r="P517" s="53" t="str">
        <f ca="1">IFERROR(DayByDayTable[[#This Row],[Lead Time]],"")</f>
        <v/>
      </c>
      <c r="Q517" s="44" t="e">
        <f t="shared" ca="1" si="75"/>
        <v>#N/A</v>
      </c>
      <c r="R517" s="44">
        <f ca="1">ROUND(PERCENTILE(DayByDayTable[[#Data],[BlankLeadTime]],0.8),0)</f>
        <v>8</v>
      </c>
    </row>
    <row r="518" spans="1:18">
      <c r="A518" s="51">
        <f t="shared" si="76"/>
        <v>43152</v>
      </c>
      <c r="B518" s="11">
        <f t="shared" si="79"/>
        <v>43152</v>
      </c>
      <c r="C518" s="47">
        <f>SUMIFS('On The Board'!$M$5:$M$219,'On The Board'!F$5:F$219,"&lt;="&amp;$B518,'On The Board'!E$5:E$219,"="&amp;FutureWork)</f>
        <v>43</v>
      </c>
      <c r="D518" s="12">
        <f ca="1">IF(TodaysDate&gt;=B518,SUMIF('On The Board'!F$5:F$219,"&lt;="&amp;$B518,'On The Board'!$M$5:$M$219)-SUM(E518:I518),D517)</f>
        <v>47</v>
      </c>
      <c r="E518" s="12">
        <f>SUMIF('On The Board'!G$5:G$219,"&lt;="&amp;$B518,'On The Board'!$M$5:$M$219)-SUM(F518:I518)</f>
        <v>0</v>
      </c>
      <c r="F518" s="12">
        <f>SUMIF('On The Board'!H$5:H$219,"&lt;="&amp;$B518,'On The Board'!$M$5:$M$219)-SUM(G518:I518)</f>
        <v>5</v>
      </c>
      <c r="G518" s="12">
        <f>SUMIF('On The Board'!I$5:I$219,"&lt;="&amp;$B518,'On The Board'!$M$5:$M$219)-SUM(H518,I518)</f>
        <v>2</v>
      </c>
      <c r="H518" s="12">
        <f>SUMIF('On The Board'!J$5:J$219,"&lt;="&amp;$B518,'On The Board'!$M$5:$M$219)-SUM(I518)</f>
        <v>0</v>
      </c>
      <c r="I518" s="12">
        <f>SUMIF('On The Board'!K$5:K$219,"&lt;="&amp;$B518,'On The Board'!$M$5:$M$219)</f>
        <v>70</v>
      </c>
      <c r="J518" s="10">
        <f t="shared" si="77"/>
        <v>77</v>
      </c>
      <c r="K518" s="10" t="e">
        <f t="shared" ca="1" si="78"/>
        <v>#N/A</v>
      </c>
      <c r="L518" s="44" t="e">
        <f t="shared" ca="1" si="73"/>
        <v>#N/A</v>
      </c>
      <c r="M518" s="44" t="e">
        <f t="shared" ca="1" si="72"/>
        <v>#N/A</v>
      </c>
      <c r="N518" s="44" t="e">
        <f t="shared" ca="1" si="80"/>
        <v>#N/A</v>
      </c>
      <c r="O518" s="53" t="e">
        <f t="shared" ca="1" si="74"/>
        <v>#N/A</v>
      </c>
      <c r="P518" s="53" t="str">
        <f ca="1">IFERROR(DayByDayTable[[#This Row],[Lead Time]],"")</f>
        <v/>
      </c>
      <c r="Q518" s="44" t="e">
        <f t="shared" ca="1" si="75"/>
        <v>#N/A</v>
      </c>
      <c r="R518" s="44">
        <f ca="1">ROUND(PERCENTILE(DayByDayTable[[#Data],[BlankLeadTime]],0.8),0)</f>
        <v>8</v>
      </c>
    </row>
    <row r="519" spans="1:18">
      <c r="A519" s="51">
        <f t="shared" si="76"/>
        <v>43153</v>
      </c>
      <c r="B519" s="11">
        <f t="shared" si="79"/>
        <v>43153</v>
      </c>
      <c r="C519" s="47">
        <f>SUMIFS('On The Board'!$M$5:$M$219,'On The Board'!F$5:F$219,"&lt;="&amp;$B519,'On The Board'!E$5:E$219,"="&amp;FutureWork)</f>
        <v>43</v>
      </c>
      <c r="D519" s="12">
        <f ca="1">IF(TodaysDate&gt;=B519,SUMIF('On The Board'!F$5:F$219,"&lt;="&amp;$B519,'On The Board'!$M$5:$M$219)-SUM(E519:I519),D518)</f>
        <v>47</v>
      </c>
      <c r="E519" s="12">
        <f>SUMIF('On The Board'!G$5:G$219,"&lt;="&amp;$B519,'On The Board'!$M$5:$M$219)-SUM(F519:I519)</f>
        <v>0</v>
      </c>
      <c r="F519" s="12">
        <f>SUMIF('On The Board'!H$5:H$219,"&lt;="&amp;$B519,'On The Board'!$M$5:$M$219)-SUM(G519:I519)</f>
        <v>5</v>
      </c>
      <c r="G519" s="12">
        <f>SUMIF('On The Board'!I$5:I$219,"&lt;="&amp;$B519,'On The Board'!$M$5:$M$219)-SUM(H519,I519)</f>
        <v>2</v>
      </c>
      <c r="H519" s="12">
        <f>SUMIF('On The Board'!J$5:J$219,"&lt;="&amp;$B519,'On The Board'!$M$5:$M$219)-SUM(I519)</f>
        <v>0</v>
      </c>
      <c r="I519" s="12">
        <f>SUMIF('On The Board'!K$5:K$219,"&lt;="&amp;$B519,'On The Board'!$M$5:$M$219)</f>
        <v>70</v>
      </c>
      <c r="J519" s="10">
        <f t="shared" si="77"/>
        <v>77</v>
      </c>
      <c r="K519" s="10" t="e">
        <f t="shared" ca="1" si="78"/>
        <v>#N/A</v>
      </c>
      <c r="L519" s="44" t="e">
        <f t="shared" ca="1" si="73"/>
        <v>#N/A</v>
      </c>
      <c r="M519" s="44" t="e">
        <f t="shared" ca="1" si="72"/>
        <v>#N/A</v>
      </c>
      <c r="N519" s="44" t="e">
        <f t="shared" ca="1" si="80"/>
        <v>#N/A</v>
      </c>
      <c r="O519" s="53" t="e">
        <f t="shared" ca="1" si="74"/>
        <v>#N/A</v>
      </c>
      <c r="P519" s="53" t="str">
        <f ca="1">IFERROR(DayByDayTable[[#This Row],[Lead Time]],"")</f>
        <v/>
      </c>
      <c r="Q519" s="44" t="e">
        <f t="shared" ca="1" si="75"/>
        <v>#N/A</v>
      </c>
      <c r="R519" s="44">
        <f ca="1">ROUND(PERCENTILE(DayByDayTable[[#Data],[BlankLeadTime]],0.8),0)</f>
        <v>8</v>
      </c>
    </row>
    <row r="520" spans="1:18">
      <c r="A520" s="51">
        <f t="shared" si="76"/>
        <v>43154</v>
      </c>
      <c r="B520" s="11">
        <f t="shared" si="79"/>
        <v>43154</v>
      </c>
      <c r="C520" s="47">
        <f>SUMIFS('On The Board'!$M$5:$M$219,'On The Board'!F$5:F$219,"&lt;="&amp;$B520,'On The Board'!E$5:E$219,"="&amp;FutureWork)</f>
        <v>43</v>
      </c>
      <c r="D520" s="12">
        <f ca="1">IF(TodaysDate&gt;=B520,SUMIF('On The Board'!F$5:F$219,"&lt;="&amp;$B520,'On The Board'!$M$5:$M$219)-SUM(E520:I520),D519)</f>
        <v>47</v>
      </c>
      <c r="E520" s="12">
        <f>SUMIF('On The Board'!G$5:G$219,"&lt;="&amp;$B520,'On The Board'!$M$5:$M$219)-SUM(F520:I520)</f>
        <v>0</v>
      </c>
      <c r="F520" s="12">
        <f>SUMIF('On The Board'!H$5:H$219,"&lt;="&amp;$B520,'On The Board'!$M$5:$M$219)-SUM(G520:I520)</f>
        <v>5</v>
      </c>
      <c r="G520" s="12">
        <f>SUMIF('On The Board'!I$5:I$219,"&lt;="&amp;$B520,'On The Board'!$M$5:$M$219)-SUM(H520,I520)</f>
        <v>2</v>
      </c>
      <c r="H520" s="12">
        <f>SUMIF('On The Board'!J$5:J$219,"&lt;="&amp;$B520,'On The Board'!$M$5:$M$219)-SUM(I520)</f>
        <v>0</v>
      </c>
      <c r="I520" s="12">
        <f>SUMIF('On The Board'!K$5:K$219,"&lt;="&amp;$B520,'On The Board'!$M$5:$M$219)</f>
        <v>70</v>
      </c>
      <c r="J520" s="10">
        <f t="shared" si="77"/>
        <v>77</v>
      </c>
      <c r="K520" s="10" t="e">
        <f t="shared" ca="1" si="78"/>
        <v>#N/A</v>
      </c>
      <c r="L520" s="44" t="e">
        <f t="shared" ca="1" si="73"/>
        <v>#N/A</v>
      </c>
      <c r="M520" s="44" t="e">
        <f t="shared" ca="1" si="72"/>
        <v>#N/A</v>
      </c>
      <c r="N520" s="44" t="e">
        <f t="shared" ca="1" si="80"/>
        <v>#N/A</v>
      </c>
      <c r="O520" s="53" t="e">
        <f t="shared" ca="1" si="74"/>
        <v>#N/A</v>
      </c>
      <c r="P520" s="53" t="str">
        <f ca="1">IFERROR(DayByDayTable[[#This Row],[Lead Time]],"")</f>
        <v/>
      </c>
      <c r="Q520" s="44" t="e">
        <f t="shared" ca="1" si="75"/>
        <v>#N/A</v>
      </c>
      <c r="R520" s="44">
        <f ca="1">ROUND(PERCENTILE(DayByDayTable[[#Data],[BlankLeadTime]],0.8),0)</f>
        <v>8</v>
      </c>
    </row>
    <row r="521" spans="1:18">
      <c r="A521" s="51">
        <f t="shared" si="76"/>
        <v>43157</v>
      </c>
      <c r="B521" s="11">
        <f t="shared" si="79"/>
        <v>43157</v>
      </c>
      <c r="C521" s="47">
        <f>SUMIFS('On The Board'!$M$5:$M$219,'On The Board'!F$5:F$219,"&lt;="&amp;$B521,'On The Board'!E$5:E$219,"="&amp;FutureWork)</f>
        <v>43</v>
      </c>
      <c r="D521" s="12">
        <f ca="1">IF(TodaysDate&gt;=B521,SUMIF('On The Board'!F$5:F$219,"&lt;="&amp;$B521,'On The Board'!$M$5:$M$219)-SUM(E521:I521),D520)</f>
        <v>47</v>
      </c>
      <c r="E521" s="12">
        <f>SUMIF('On The Board'!G$5:G$219,"&lt;="&amp;$B521,'On The Board'!$M$5:$M$219)-SUM(F521:I521)</f>
        <v>0</v>
      </c>
      <c r="F521" s="12">
        <f>SUMIF('On The Board'!H$5:H$219,"&lt;="&amp;$B521,'On The Board'!$M$5:$M$219)-SUM(G521:I521)</f>
        <v>5</v>
      </c>
      <c r="G521" s="12">
        <f>SUMIF('On The Board'!I$5:I$219,"&lt;="&amp;$B521,'On The Board'!$M$5:$M$219)-SUM(H521,I521)</f>
        <v>2</v>
      </c>
      <c r="H521" s="12">
        <f>SUMIF('On The Board'!J$5:J$219,"&lt;="&amp;$B521,'On The Board'!$M$5:$M$219)-SUM(I521)</f>
        <v>0</v>
      </c>
      <c r="I521" s="12">
        <f>SUMIF('On The Board'!K$5:K$219,"&lt;="&amp;$B521,'On The Board'!$M$5:$M$219)</f>
        <v>70</v>
      </c>
      <c r="J521" s="10">
        <f t="shared" si="77"/>
        <v>77</v>
      </c>
      <c r="K521" s="10" t="e">
        <f t="shared" ca="1" si="78"/>
        <v>#N/A</v>
      </c>
      <c r="L521" s="44" t="e">
        <f t="shared" ca="1" si="73"/>
        <v>#N/A</v>
      </c>
      <c r="M521" s="44" t="e">
        <f t="shared" ca="1" si="72"/>
        <v>#N/A</v>
      </c>
      <c r="N521" s="44" t="e">
        <f t="shared" ca="1" si="80"/>
        <v>#N/A</v>
      </c>
      <c r="O521" s="53" t="e">
        <f t="shared" ca="1" si="74"/>
        <v>#N/A</v>
      </c>
      <c r="P521" s="53" t="str">
        <f ca="1">IFERROR(DayByDayTable[[#This Row],[Lead Time]],"")</f>
        <v/>
      </c>
      <c r="Q521" s="44" t="e">
        <f t="shared" ca="1" si="75"/>
        <v>#N/A</v>
      </c>
      <c r="R521" s="44">
        <f ca="1">ROUND(PERCENTILE(DayByDayTable[[#Data],[BlankLeadTime]],0.8),0)</f>
        <v>8</v>
      </c>
    </row>
    <row r="522" spans="1:18">
      <c r="A522" s="51">
        <f t="shared" si="76"/>
        <v>43158</v>
      </c>
      <c r="B522" s="11">
        <f t="shared" si="79"/>
        <v>43158</v>
      </c>
      <c r="C522" s="47">
        <f>SUMIFS('On The Board'!$M$5:$M$219,'On The Board'!F$5:F$219,"&lt;="&amp;$B522,'On The Board'!E$5:E$219,"="&amp;FutureWork)</f>
        <v>43</v>
      </c>
      <c r="D522" s="12">
        <f ca="1">IF(TodaysDate&gt;=B522,SUMIF('On The Board'!F$5:F$219,"&lt;="&amp;$B522,'On The Board'!$M$5:$M$219)-SUM(E522:I522),D521)</f>
        <v>47</v>
      </c>
      <c r="E522" s="12">
        <f>SUMIF('On The Board'!G$5:G$219,"&lt;="&amp;$B522,'On The Board'!$M$5:$M$219)-SUM(F522:I522)</f>
        <v>0</v>
      </c>
      <c r="F522" s="12">
        <f>SUMIF('On The Board'!H$5:H$219,"&lt;="&amp;$B522,'On The Board'!$M$5:$M$219)-SUM(G522:I522)</f>
        <v>5</v>
      </c>
      <c r="G522" s="12">
        <f>SUMIF('On The Board'!I$5:I$219,"&lt;="&amp;$B522,'On The Board'!$M$5:$M$219)-SUM(H522,I522)</f>
        <v>2</v>
      </c>
      <c r="H522" s="12">
        <f>SUMIF('On The Board'!J$5:J$219,"&lt;="&amp;$B522,'On The Board'!$M$5:$M$219)-SUM(I522)</f>
        <v>0</v>
      </c>
      <c r="I522" s="12">
        <f>SUMIF('On The Board'!K$5:K$219,"&lt;="&amp;$B522,'On The Board'!$M$5:$M$219)</f>
        <v>70</v>
      </c>
      <c r="J522" s="10">
        <f t="shared" si="77"/>
        <v>77</v>
      </c>
      <c r="K522" s="10" t="e">
        <f t="shared" ca="1" si="78"/>
        <v>#N/A</v>
      </c>
      <c r="L522" s="44" t="e">
        <f t="shared" ca="1" si="73"/>
        <v>#N/A</v>
      </c>
      <c r="M522" s="44" t="e">
        <f t="shared" ca="1" si="72"/>
        <v>#N/A</v>
      </c>
      <c r="N522" s="44" t="e">
        <f t="shared" ca="1" si="80"/>
        <v>#N/A</v>
      </c>
      <c r="O522" s="53" t="e">
        <f t="shared" ca="1" si="74"/>
        <v>#N/A</v>
      </c>
      <c r="P522" s="53" t="str">
        <f ca="1">IFERROR(DayByDayTable[[#This Row],[Lead Time]],"")</f>
        <v/>
      </c>
      <c r="Q522" s="44" t="e">
        <f t="shared" ca="1" si="75"/>
        <v>#N/A</v>
      </c>
      <c r="R522" s="44">
        <f ca="1">ROUND(PERCENTILE(DayByDayTable[[#Data],[BlankLeadTime]],0.8),0)</f>
        <v>8</v>
      </c>
    </row>
    <row r="523" spans="1:18">
      <c r="A523" s="51">
        <f t="shared" si="76"/>
        <v>43159</v>
      </c>
      <c r="B523" s="11">
        <f t="shared" si="79"/>
        <v>43159</v>
      </c>
      <c r="C523" s="47">
        <f>SUMIFS('On The Board'!$M$5:$M$219,'On The Board'!F$5:F$219,"&lt;="&amp;$B523,'On The Board'!E$5:E$219,"="&amp;FutureWork)</f>
        <v>43</v>
      </c>
      <c r="D523" s="12">
        <f ca="1">IF(TodaysDate&gt;=B523,SUMIF('On The Board'!F$5:F$219,"&lt;="&amp;$B523,'On The Board'!$M$5:$M$219)-SUM(E523:I523),D522)</f>
        <v>47</v>
      </c>
      <c r="E523" s="12">
        <f>SUMIF('On The Board'!G$5:G$219,"&lt;="&amp;$B523,'On The Board'!$M$5:$M$219)-SUM(F523:I523)</f>
        <v>0</v>
      </c>
      <c r="F523" s="12">
        <f>SUMIF('On The Board'!H$5:H$219,"&lt;="&amp;$B523,'On The Board'!$M$5:$M$219)-SUM(G523:I523)</f>
        <v>5</v>
      </c>
      <c r="G523" s="12">
        <f>SUMIF('On The Board'!I$5:I$219,"&lt;="&amp;$B523,'On The Board'!$M$5:$M$219)-SUM(H523,I523)</f>
        <v>2</v>
      </c>
      <c r="H523" s="12">
        <f>SUMIF('On The Board'!J$5:J$219,"&lt;="&amp;$B523,'On The Board'!$M$5:$M$219)-SUM(I523)</f>
        <v>0</v>
      </c>
      <c r="I523" s="12">
        <f>SUMIF('On The Board'!K$5:K$219,"&lt;="&amp;$B523,'On The Board'!$M$5:$M$219)</f>
        <v>70</v>
      </c>
      <c r="J523" s="10">
        <f t="shared" si="77"/>
        <v>77</v>
      </c>
      <c r="K523" s="10" t="e">
        <f t="shared" ca="1" si="78"/>
        <v>#N/A</v>
      </c>
      <c r="L523" s="44" t="e">
        <f t="shared" ca="1" si="73"/>
        <v>#N/A</v>
      </c>
      <c r="M523" s="44" t="e">
        <f t="shared" ca="1" si="72"/>
        <v>#N/A</v>
      </c>
      <c r="N523" s="44" t="e">
        <f t="shared" ca="1" si="80"/>
        <v>#N/A</v>
      </c>
      <c r="O523" s="53" t="e">
        <f t="shared" ca="1" si="74"/>
        <v>#N/A</v>
      </c>
      <c r="P523" s="53" t="str">
        <f ca="1">IFERROR(DayByDayTable[[#This Row],[Lead Time]],"")</f>
        <v/>
      </c>
      <c r="Q523" s="44" t="e">
        <f t="shared" ca="1" si="75"/>
        <v>#N/A</v>
      </c>
      <c r="R523" s="44">
        <f ca="1">ROUND(PERCENTILE(DayByDayTable[[#Data],[BlankLeadTime]],0.8),0)</f>
        <v>8</v>
      </c>
    </row>
    <row r="524" spans="1:18">
      <c r="A524" s="51">
        <f t="shared" si="76"/>
        <v>43160</v>
      </c>
      <c r="B524" s="11">
        <f t="shared" si="79"/>
        <v>43160</v>
      </c>
      <c r="C524" s="47">
        <f>SUMIFS('On The Board'!$M$5:$M$219,'On The Board'!F$5:F$219,"&lt;="&amp;$B524,'On The Board'!E$5:E$219,"="&amp;FutureWork)</f>
        <v>43</v>
      </c>
      <c r="D524" s="12">
        <f ca="1">IF(TodaysDate&gt;=B524,SUMIF('On The Board'!F$5:F$219,"&lt;="&amp;$B524,'On The Board'!$M$5:$M$219)-SUM(E524:I524),D523)</f>
        <v>47</v>
      </c>
      <c r="E524" s="12">
        <f>SUMIF('On The Board'!G$5:G$219,"&lt;="&amp;$B524,'On The Board'!$M$5:$M$219)-SUM(F524:I524)</f>
        <v>0</v>
      </c>
      <c r="F524" s="12">
        <f>SUMIF('On The Board'!H$5:H$219,"&lt;="&amp;$B524,'On The Board'!$M$5:$M$219)-SUM(G524:I524)</f>
        <v>5</v>
      </c>
      <c r="G524" s="12">
        <f>SUMIF('On The Board'!I$5:I$219,"&lt;="&amp;$B524,'On The Board'!$M$5:$M$219)-SUM(H524,I524)</f>
        <v>2</v>
      </c>
      <c r="H524" s="12">
        <f>SUMIF('On The Board'!J$5:J$219,"&lt;="&amp;$B524,'On The Board'!$M$5:$M$219)-SUM(I524)</f>
        <v>0</v>
      </c>
      <c r="I524" s="12">
        <f>SUMIF('On The Board'!K$5:K$219,"&lt;="&amp;$B524,'On The Board'!$M$5:$M$219)</f>
        <v>70</v>
      </c>
      <c r="J524" s="10">
        <f t="shared" si="77"/>
        <v>77</v>
      </c>
      <c r="K524" s="10" t="e">
        <f t="shared" ca="1" si="78"/>
        <v>#N/A</v>
      </c>
      <c r="L524" s="44" t="e">
        <f t="shared" ca="1" si="73"/>
        <v>#N/A</v>
      </c>
      <c r="M524" s="44" t="e">
        <f t="shared" ref="M524:M587" ca="1" si="81">IF(ISNUMBER(L524),(I524-I514)/NETWORKDAYS(B514,B524,BankHolidays),NA())</f>
        <v>#N/A</v>
      </c>
      <c r="N524" s="44" t="e">
        <f t="shared" ca="1" si="80"/>
        <v>#N/A</v>
      </c>
      <c r="O524" s="53" t="e">
        <f t="shared" ca="1" si="74"/>
        <v>#N/A</v>
      </c>
      <c r="P524" s="53" t="str">
        <f ca="1">IFERROR(DayByDayTable[[#This Row],[Lead Time]],"")</f>
        <v/>
      </c>
      <c r="Q524" s="44" t="e">
        <f t="shared" ca="1" si="75"/>
        <v>#N/A</v>
      </c>
      <c r="R524" s="44">
        <f ca="1">ROUND(PERCENTILE(DayByDayTable[[#Data],[BlankLeadTime]],0.8),0)</f>
        <v>8</v>
      </c>
    </row>
    <row r="525" spans="1:18">
      <c r="A525" s="51">
        <f t="shared" si="76"/>
        <v>43161</v>
      </c>
      <c r="B525" s="11">
        <f t="shared" si="79"/>
        <v>43161</v>
      </c>
      <c r="C525" s="47">
        <f>SUMIFS('On The Board'!$M$5:$M$219,'On The Board'!F$5:F$219,"&lt;="&amp;$B525,'On The Board'!E$5:E$219,"="&amp;FutureWork)</f>
        <v>43</v>
      </c>
      <c r="D525" s="12">
        <f ca="1">IF(TodaysDate&gt;=B525,SUMIF('On The Board'!F$5:F$219,"&lt;="&amp;$B525,'On The Board'!$M$5:$M$219)-SUM(E525:I525),D524)</f>
        <v>47</v>
      </c>
      <c r="E525" s="12">
        <f>SUMIF('On The Board'!G$5:G$219,"&lt;="&amp;$B525,'On The Board'!$M$5:$M$219)-SUM(F525:I525)</f>
        <v>0</v>
      </c>
      <c r="F525" s="12">
        <f>SUMIF('On The Board'!H$5:H$219,"&lt;="&amp;$B525,'On The Board'!$M$5:$M$219)-SUM(G525:I525)</f>
        <v>5</v>
      </c>
      <c r="G525" s="12">
        <f>SUMIF('On The Board'!I$5:I$219,"&lt;="&amp;$B525,'On The Board'!$M$5:$M$219)-SUM(H525,I525)</f>
        <v>2</v>
      </c>
      <c r="H525" s="12">
        <f>SUMIF('On The Board'!J$5:J$219,"&lt;="&amp;$B525,'On The Board'!$M$5:$M$219)-SUM(I525)</f>
        <v>0</v>
      </c>
      <c r="I525" s="12">
        <f>SUMIF('On The Board'!K$5:K$219,"&lt;="&amp;$B525,'On The Board'!$M$5:$M$219)</f>
        <v>70</v>
      </c>
      <c r="J525" s="10">
        <f t="shared" si="77"/>
        <v>77</v>
      </c>
      <c r="K525" s="10" t="e">
        <f t="shared" ca="1" si="78"/>
        <v>#N/A</v>
      </c>
      <c r="L525" s="44" t="e">
        <f t="shared" ref="L525:L588" ca="1" si="82">AVERAGE(K515:K525)</f>
        <v>#N/A</v>
      </c>
      <c r="M525" s="44" t="e">
        <f t="shared" ca="1" si="81"/>
        <v>#N/A</v>
      </c>
      <c r="N525" s="44" t="e">
        <f t="shared" ca="1" si="80"/>
        <v>#N/A</v>
      </c>
      <c r="O525" s="53" t="e">
        <f t="shared" ref="O525:O588" ca="1" si="83">AVERAGE(N515:N525)</f>
        <v>#N/A</v>
      </c>
      <c r="P525" s="53" t="str">
        <f ca="1">IFERROR(DayByDayTable[[#This Row],[Lead Time]],"")</f>
        <v/>
      </c>
      <c r="Q525" s="44" t="e">
        <f t="shared" ca="1" si="75"/>
        <v>#N/A</v>
      </c>
      <c r="R525" s="44">
        <f ca="1">ROUND(PERCENTILE(DayByDayTable[[#Data],[BlankLeadTime]],0.8),0)</f>
        <v>8</v>
      </c>
    </row>
    <row r="526" spans="1:18">
      <c r="A526" s="51">
        <f t="shared" si="76"/>
        <v>43164</v>
      </c>
      <c r="B526" s="11">
        <f t="shared" si="79"/>
        <v>43164</v>
      </c>
      <c r="C526" s="47">
        <f>SUMIFS('On The Board'!$M$5:$M$219,'On The Board'!F$5:F$219,"&lt;="&amp;$B526,'On The Board'!E$5:E$219,"="&amp;FutureWork)</f>
        <v>43</v>
      </c>
      <c r="D526" s="12">
        <f ca="1">IF(TodaysDate&gt;=B526,SUMIF('On The Board'!F$5:F$219,"&lt;="&amp;$B526,'On The Board'!$M$5:$M$219)-SUM(E526:I526),D525)</f>
        <v>47</v>
      </c>
      <c r="E526" s="12">
        <f>SUMIF('On The Board'!G$5:G$219,"&lt;="&amp;$B526,'On The Board'!$M$5:$M$219)-SUM(F526:I526)</f>
        <v>0</v>
      </c>
      <c r="F526" s="12">
        <f>SUMIF('On The Board'!H$5:H$219,"&lt;="&amp;$B526,'On The Board'!$M$5:$M$219)-SUM(G526:I526)</f>
        <v>5</v>
      </c>
      <c r="G526" s="12">
        <f>SUMIF('On The Board'!I$5:I$219,"&lt;="&amp;$B526,'On The Board'!$M$5:$M$219)-SUM(H526,I526)</f>
        <v>2</v>
      </c>
      <c r="H526" s="12">
        <f>SUMIF('On The Board'!J$5:J$219,"&lt;="&amp;$B526,'On The Board'!$M$5:$M$219)-SUM(I526)</f>
        <v>0</v>
      </c>
      <c r="I526" s="12">
        <f>SUMIF('On The Board'!K$5:K$219,"&lt;="&amp;$B526,'On The Board'!$M$5:$M$219)</f>
        <v>70</v>
      </c>
      <c r="J526" s="10">
        <f t="shared" si="77"/>
        <v>77</v>
      </c>
      <c r="K526" s="10" t="e">
        <f t="shared" ca="1" si="78"/>
        <v>#N/A</v>
      </c>
      <c r="L526" s="44" t="e">
        <f t="shared" ca="1" si="82"/>
        <v>#N/A</v>
      </c>
      <c r="M526" s="44" t="e">
        <f t="shared" ca="1" si="81"/>
        <v>#N/A</v>
      </c>
      <c r="N526" s="44" t="e">
        <f t="shared" ca="1" si="80"/>
        <v>#N/A</v>
      </c>
      <c r="O526" s="53" t="e">
        <f t="shared" ca="1" si="83"/>
        <v>#N/A</v>
      </c>
      <c r="P526" s="53" t="str">
        <f ca="1">IFERROR(DayByDayTable[[#This Row],[Lead Time]],"")</f>
        <v/>
      </c>
      <c r="Q526" s="44" t="e">
        <f t="shared" ca="1" si="75"/>
        <v>#N/A</v>
      </c>
      <c r="R526" s="44">
        <f ca="1">ROUND(PERCENTILE(DayByDayTable[[#Data],[BlankLeadTime]],0.8),0)</f>
        <v>8</v>
      </c>
    </row>
    <row r="527" spans="1:18">
      <c r="A527" s="51">
        <f t="shared" si="76"/>
        <v>43165</v>
      </c>
      <c r="B527" s="11">
        <f t="shared" si="79"/>
        <v>43165</v>
      </c>
      <c r="C527" s="47">
        <f>SUMIFS('On The Board'!$M$5:$M$219,'On The Board'!F$5:F$219,"&lt;="&amp;$B527,'On The Board'!E$5:E$219,"="&amp;FutureWork)</f>
        <v>43</v>
      </c>
      <c r="D527" s="12">
        <f ca="1">IF(TodaysDate&gt;=B527,SUMIF('On The Board'!F$5:F$219,"&lt;="&amp;$B527,'On The Board'!$M$5:$M$219)-SUM(E527:I527),D526)</f>
        <v>47</v>
      </c>
      <c r="E527" s="12">
        <f>SUMIF('On The Board'!G$5:G$219,"&lt;="&amp;$B527,'On The Board'!$M$5:$M$219)-SUM(F527:I527)</f>
        <v>0</v>
      </c>
      <c r="F527" s="12">
        <f>SUMIF('On The Board'!H$5:H$219,"&lt;="&amp;$B527,'On The Board'!$M$5:$M$219)-SUM(G527:I527)</f>
        <v>5</v>
      </c>
      <c r="G527" s="12">
        <f>SUMIF('On The Board'!I$5:I$219,"&lt;="&amp;$B527,'On The Board'!$M$5:$M$219)-SUM(H527,I527)</f>
        <v>2</v>
      </c>
      <c r="H527" s="12">
        <f>SUMIF('On The Board'!J$5:J$219,"&lt;="&amp;$B527,'On The Board'!$M$5:$M$219)-SUM(I527)</f>
        <v>0</v>
      </c>
      <c r="I527" s="12">
        <f>SUMIF('On The Board'!K$5:K$219,"&lt;="&amp;$B527,'On The Board'!$M$5:$M$219)</f>
        <v>70</v>
      </c>
      <c r="J527" s="10">
        <f t="shared" si="77"/>
        <v>77</v>
      </c>
      <c r="K527" s="10" t="e">
        <f t="shared" ca="1" si="78"/>
        <v>#N/A</v>
      </c>
      <c r="L527" s="44" t="e">
        <f t="shared" ca="1" si="82"/>
        <v>#N/A</v>
      </c>
      <c r="M527" s="44" t="e">
        <f t="shared" ca="1" si="81"/>
        <v>#N/A</v>
      </c>
      <c r="N527" s="44" t="e">
        <f t="shared" ca="1" si="80"/>
        <v>#N/A</v>
      </c>
      <c r="O527" s="53" t="e">
        <f t="shared" ca="1" si="83"/>
        <v>#N/A</v>
      </c>
      <c r="P527" s="53" t="str">
        <f ca="1">IFERROR(DayByDayTable[[#This Row],[Lead Time]],"")</f>
        <v/>
      </c>
      <c r="Q527" s="44" t="e">
        <f t="shared" ca="1" si="75"/>
        <v>#N/A</v>
      </c>
      <c r="R527" s="44">
        <f ca="1">ROUND(PERCENTILE(DayByDayTable[[#Data],[BlankLeadTime]],0.8),0)</f>
        <v>8</v>
      </c>
    </row>
    <row r="528" spans="1:18">
      <c r="A528" s="51">
        <f t="shared" si="76"/>
        <v>43166</v>
      </c>
      <c r="B528" s="11">
        <f t="shared" si="79"/>
        <v>43166</v>
      </c>
      <c r="C528" s="47">
        <f>SUMIFS('On The Board'!$M$5:$M$219,'On The Board'!F$5:F$219,"&lt;="&amp;$B528,'On The Board'!E$5:E$219,"="&amp;FutureWork)</f>
        <v>43</v>
      </c>
      <c r="D528" s="12">
        <f ca="1">IF(TodaysDate&gt;=B528,SUMIF('On The Board'!F$5:F$219,"&lt;="&amp;$B528,'On The Board'!$M$5:$M$219)-SUM(E528:I528),D527)</f>
        <v>47</v>
      </c>
      <c r="E528" s="12">
        <f>SUMIF('On The Board'!G$5:G$219,"&lt;="&amp;$B528,'On The Board'!$M$5:$M$219)-SUM(F528:I528)</f>
        <v>0</v>
      </c>
      <c r="F528" s="12">
        <f>SUMIF('On The Board'!H$5:H$219,"&lt;="&amp;$B528,'On The Board'!$M$5:$M$219)-SUM(G528:I528)</f>
        <v>5</v>
      </c>
      <c r="G528" s="12">
        <f>SUMIF('On The Board'!I$5:I$219,"&lt;="&amp;$B528,'On The Board'!$M$5:$M$219)-SUM(H528,I528)</f>
        <v>2</v>
      </c>
      <c r="H528" s="12">
        <f>SUMIF('On The Board'!J$5:J$219,"&lt;="&amp;$B528,'On The Board'!$M$5:$M$219)-SUM(I528)</f>
        <v>0</v>
      </c>
      <c r="I528" s="12">
        <f>SUMIF('On The Board'!K$5:K$219,"&lt;="&amp;$B528,'On The Board'!$M$5:$M$219)</f>
        <v>70</v>
      </c>
      <c r="J528" s="10">
        <f t="shared" si="77"/>
        <v>77</v>
      </c>
      <c r="K528" s="10" t="e">
        <f t="shared" ca="1" si="78"/>
        <v>#N/A</v>
      </c>
      <c r="L528" s="44" t="e">
        <f t="shared" ca="1" si="82"/>
        <v>#N/A</v>
      </c>
      <c r="M528" s="44" t="e">
        <f t="shared" ca="1" si="81"/>
        <v>#N/A</v>
      </c>
      <c r="N528" s="44" t="e">
        <f t="shared" ca="1" si="80"/>
        <v>#N/A</v>
      </c>
      <c r="O528" s="53" t="e">
        <f t="shared" ca="1" si="83"/>
        <v>#N/A</v>
      </c>
      <c r="P528" s="53" t="str">
        <f ca="1">IFERROR(DayByDayTable[[#This Row],[Lead Time]],"")</f>
        <v/>
      </c>
      <c r="Q528" s="44" t="e">
        <f t="shared" ref="Q528:Q591" ca="1" si="84">PERCENTILE(N517:N528,0.8)</f>
        <v>#N/A</v>
      </c>
      <c r="R528" s="44">
        <f ca="1">ROUND(PERCENTILE(DayByDayTable[[#Data],[BlankLeadTime]],0.8),0)</f>
        <v>8</v>
      </c>
    </row>
    <row r="529" spans="1:18">
      <c r="A529" s="51">
        <f t="shared" si="76"/>
        <v>43167</v>
      </c>
      <c r="B529" s="11">
        <f t="shared" si="79"/>
        <v>43167</v>
      </c>
      <c r="C529" s="47">
        <f>SUMIFS('On The Board'!$M$5:$M$219,'On The Board'!F$5:F$219,"&lt;="&amp;$B529,'On The Board'!E$5:E$219,"="&amp;FutureWork)</f>
        <v>43</v>
      </c>
      <c r="D529" s="12">
        <f ca="1">IF(TodaysDate&gt;=B529,SUMIF('On The Board'!F$5:F$219,"&lt;="&amp;$B529,'On The Board'!$M$5:$M$219)-SUM(E529:I529),D528)</f>
        <v>47</v>
      </c>
      <c r="E529" s="12">
        <f>SUMIF('On The Board'!G$5:G$219,"&lt;="&amp;$B529,'On The Board'!$M$5:$M$219)-SUM(F529:I529)</f>
        <v>0</v>
      </c>
      <c r="F529" s="12">
        <f>SUMIF('On The Board'!H$5:H$219,"&lt;="&amp;$B529,'On The Board'!$M$5:$M$219)-SUM(G529:I529)</f>
        <v>5</v>
      </c>
      <c r="G529" s="12">
        <f>SUMIF('On The Board'!I$5:I$219,"&lt;="&amp;$B529,'On The Board'!$M$5:$M$219)-SUM(H529,I529)</f>
        <v>2</v>
      </c>
      <c r="H529" s="12">
        <f>SUMIF('On The Board'!J$5:J$219,"&lt;="&amp;$B529,'On The Board'!$M$5:$M$219)-SUM(I529)</f>
        <v>0</v>
      </c>
      <c r="I529" s="12">
        <f>SUMIF('On The Board'!K$5:K$219,"&lt;="&amp;$B529,'On The Board'!$M$5:$M$219)</f>
        <v>70</v>
      </c>
      <c r="J529" s="10">
        <f t="shared" si="77"/>
        <v>77</v>
      </c>
      <c r="K529" s="10" t="e">
        <f t="shared" ca="1" si="78"/>
        <v>#N/A</v>
      </c>
      <c r="L529" s="44" t="e">
        <f t="shared" ca="1" si="82"/>
        <v>#N/A</v>
      </c>
      <c r="M529" s="44" t="e">
        <f t="shared" ca="1" si="81"/>
        <v>#N/A</v>
      </c>
      <c r="N529" s="44" t="e">
        <f t="shared" ca="1" si="80"/>
        <v>#N/A</v>
      </c>
      <c r="O529" s="53" t="e">
        <f t="shared" ca="1" si="83"/>
        <v>#N/A</v>
      </c>
      <c r="P529" s="53" t="str">
        <f ca="1">IFERROR(DayByDayTable[[#This Row],[Lead Time]],"")</f>
        <v/>
      </c>
      <c r="Q529" s="44" t="e">
        <f t="shared" ca="1" si="84"/>
        <v>#N/A</v>
      </c>
      <c r="R529" s="44">
        <f ca="1">ROUND(PERCENTILE(DayByDayTable[[#Data],[BlankLeadTime]],0.8),0)</f>
        <v>8</v>
      </c>
    </row>
    <row r="530" spans="1:18">
      <c r="A530" s="51">
        <f t="shared" si="76"/>
        <v>43168</v>
      </c>
      <c r="B530" s="11">
        <f t="shared" si="79"/>
        <v>43168</v>
      </c>
      <c r="C530" s="47">
        <f>SUMIFS('On The Board'!$M$5:$M$219,'On The Board'!F$5:F$219,"&lt;="&amp;$B530,'On The Board'!E$5:E$219,"="&amp;FutureWork)</f>
        <v>43</v>
      </c>
      <c r="D530" s="12">
        <f ca="1">IF(TodaysDate&gt;=B530,SUMIF('On The Board'!F$5:F$219,"&lt;="&amp;$B530,'On The Board'!$M$5:$M$219)-SUM(E530:I530),D529)</f>
        <v>47</v>
      </c>
      <c r="E530" s="12">
        <f>SUMIF('On The Board'!G$5:G$219,"&lt;="&amp;$B530,'On The Board'!$M$5:$M$219)-SUM(F530:I530)</f>
        <v>0</v>
      </c>
      <c r="F530" s="12">
        <f>SUMIF('On The Board'!H$5:H$219,"&lt;="&amp;$B530,'On The Board'!$M$5:$M$219)-SUM(G530:I530)</f>
        <v>5</v>
      </c>
      <c r="G530" s="12">
        <f>SUMIF('On The Board'!I$5:I$219,"&lt;="&amp;$B530,'On The Board'!$M$5:$M$219)-SUM(H530,I530)</f>
        <v>2</v>
      </c>
      <c r="H530" s="12">
        <f>SUMIF('On The Board'!J$5:J$219,"&lt;="&amp;$B530,'On The Board'!$M$5:$M$219)-SUM(I530)</f>
        <v>0</v>
      </c>
      <c r="I530" s="12">
        <f>SUMIF('On The Board'!K$5:K$219,"&lt;="&amp;$B530,'On The Board'!$M$5:$M$219)</f>
        <v>70</v>
      </c>
      <c r="J530" s="10">
        <f t="shared" si="77"/>
        <v>77</v>
      </c>
      <c r="K530" s="10" t="e">
        <f t="shared" ca="1" si="78"/>
        <v>#N/A</v>
      </c>
      <c r="L530" s="44" t="e">
        <f t="shared" ca="1" si="82"/>
        <v>#N/A</v>
      </c>
      <c r="M530" s="44" t="e">
        <f t="shared" ca="1" si="81"/>
        <v>#N/A</v>
      </c>
      <c r="N530" s="44" t="e">
        <f t="shared" ca="1" si="80"/>
        <v>#N/A</v>
      </c>
      <c r="O530" s="53" t="e">
        <f t="shared" ca="1" si="83"/>
        <v>#N/A</v>
      </c>
      <c r="P530" s="53" t="str">
        <f ca="1">IFERROR(DayByDayTable[[#This Row],[Lead Time]],"")</f>
        <v/>
      </c>
      <c r="Q530" s="44" t="e">
        <f t="shared" ca="1" si="84"/>
        <v>#N/A</v>
      </c>
      <c r="R530" s="44">
        <f ca="1">ROUND(PERCENTILE(DayByDayTable[[#Data],[BlankLeadTime]],0.8),0)</f>
        <v>8</v>
      </c>
    </row>
    <row r="531" spans="1:18">
      <c r="A531" s="51">
        <f t="shared" si="76"/>
        <v>43171</v>
      </c>
      <c r="B531" s="11">
        <f t="shared" si="79"/>
        <v>43171</v>
      </c>
      <c r="C531" s="47">
        <f>SUMIFS('On The Board'!$M$5:$M$219,'On The Board'!F$5:F$219,"&lt;="&amp;$B531,'On The Board'!E$5:E$219,"="&amp;FutureWork)</f>
        <v>43</v>
      </c>
      <c r="D531" s="12">
        <f ca="1">IF(TodaysDate&gt;=B531,SUMIF('On The Board'!F$5:F$219,"&lt;="&amp;$B531,'On The Board'!$M$5:$M$219)-SUM(E531:I531),D530)</f>
        <v>47</v>
      </c>
      <c r="E531" s="12">
        <f>SUMIF('On The Board'!G$5:G$219,"&lt;="&amp;$B531,'On The Board'!$M$5:$M$219)-SUM(F531:I531)</f>
        <v>0</v>
      </c>
      <c r="F531" s="12">
        <f>SUMIF('On The Board'!H$5:H$219,"&lt;="&amp;$B531,'On The Board'!$M$5:$M$219)-SUM(G531:I531)</f>
        <v>5</v>
      </c>
      <c r="G531" s="12">
        <f>SUMIF('On The Board'!I$5:I$219,"&lt;="&amp;$B531,'On The Board'!$M$5:$M$219)-SUM(H531,I531)</f>
        <v>2</v>
      </c>
      <c r="H531" s="12">
        <f>SUMIF('On The Board'!J$5:J$219,"&lt;="&amp;$B531,'On The Board'!$M$5:$M$219)-SUM(I531)</f>
        <v>0</v>
      </c>
      <c r="I531" s="12">
        <f>SUMIF('On The Board'!K$5:K$219,"&lt;="&amp;$B531,'On The Board'!$M$5:$M$219)</f>
        <v>70</v>
      </c>
      <c r="J531" s="10">
        <f t="shared" si="77"/>
        <v>77</v>
      </c>
      <c r="K531" s="10" t="e">
        <f t="shared" ca="1" si="78"/>
        <v>#N/A</v>
      </c>
      <c r="L531" s="44" t="e">
        <f t="shared" ca="1" si="82"/>
        <v>#N/A</v>
      </c>
      <c r="M531" s="44" t="e">
        <f t="shared" ca="1" si="81"/>
        <v>#N/A</v>
      </c>
      <c r="N531" s="44" t="e">
        <f t="shared" ca="1" si="80"/>
        <v>#N/A</v>
      </c>
      <c r="O531" s="53" t="e">
        <f t="shared" ca="1" si="83"/>
        <v>#N/A</v>
      </c>
      <c r="P531" s="53" t="str">
        <f ca="1">IFERROR(DayByDayTable[[#This Row],[Lead Time]],"")</f>
        <v/>
      </c>
      <c r="Q531" s="44" t="e">
        <f t="shared" ca="1" si="84"/>
        <v>#N/A</v>
      </c>
      <c r="R531" s="44">
        <f ca="1">ROUND(PERCENTILE(DayByDayTable[[#Data],[BlankLeadTime]],0.8),0)</f>
        <v>8</v>
      </c>
    </row>
    <row r="532" spans="1:18">
      <c r="A532" s="51">
        <f t="shared" si="76"/>
        <v>43172</v>
      </c>
      <c r="B532" s="11">
        <f t="shared" si="79"/>
        <v>43172</v>
      </c>
      <c r="C532" s="47">
        <f>SUMIFS('On The Board'!$M$5:$M$219,'On The Board'!F$5:F$219,"&lt;="&amp;$B532,'On The Board'!E$5:E$219,"="&amp;FutureWork)</f>
        <v>43</v>
      </c>
      <c r="D532" s="12">
        <f ca="1">IF(TodaysDate&gt;=B532,SUMIF('On The Board'!F$5:F$219,"&lt;="&amp;$B532,'On The Board'!$M$5:$M$219)-SUM(E532:I532),D531)</f>
        <v>47</v>
      </c>
      <c r="E532" s="12">
        <f>SUMIF('On The Board'!G$5:G$219,"&lt;="&amp;$B532,'On The Board'!$M$5:$M$219)-SUM(F532:I532)</f>
        <v>0</v>
      </c>
      <c r="F532" s="12">
        <f>SUMIF('On The Board'!H$5:H$219,"&lt;="&amp;$B532,'On The Board'!$M$5:$M$219)-SUM(G532:I532)</f>
        <v>5</v>
      </c>
      <c r="G532" s="12">
        <f>SUMIF('On The Board'!I$5:I$219,"&lt;="&amp;$B532,'On The Board'!$M$5:$M$219)-SUM(H532,I532)</f>
        <v>2</v>
      </c>
      <c r="H532" s="12">
        <f>SUMIF('On The Board'!J$5:J$219,"&lt;="&amp;$B532,'On The Board'!$M$5:$M$219)-SUM(I532)</f>
        <v>0</v>
      </c>
      <c r="I532" s="12">
        <f>SUMIF('On The Board'!K$5:K$219,"&lt;="&amp;$B532,'On The Board'!$M$5:$M$219)</f>
        <v>70</v>
      </c>
      <c r="J532" s="10">
        <f t="shared" si="77"/>
        <v>77</v>
      </c>
      <c r="K532" s="10" t="e">
        <f t="shared" ca="1" si="78"/>
        <v>#N/A</v>
      </c>
      <c r="L532" s="44" t="e">
        <f t="shared" ca="1" si="82"/>
        <v>#N/A</v>
      </c>
      <c r="M532" s="44" t="e">
        <f t="shared" ca="1" si="81"/>
        <v>#N/A</v>
      </c>
      <c r="N532" s="44" t="e">
        <f t="shared" ca="1" si="80"/>
        <v>#N/A</v>
      </c>
      <c r="O532" s="53" t="e">
        <f t="shared" ca="1" si="83"/>
        <v>#N/A</v>
      </c>
      <c r="P532" s="53" t="str">
        <f ca="1">IFERROR(DayByDayTable[[#This Row],[Lead Time]],"")</f>
        <v/>
      </c>
      <c r="Q532" s="44" t="e">
        <f t="shared" ca="1" si="84"/>
        <v>#N/A</v>
      </c>
      <c r="R532" s="44">
        <f ca="1">ROUND(PERCENTILE(DayByDayTable[[#Data],[BlankLeadTime]],0.8),0)</f>
        <v>8</v>
      </c>
    </row>
    <row r="533" spans="1:18">
      <c r="A533" s="51">
        <f t="shared" si="76"/>
        <v>43173</v>
      </c>
      <c r="B533" s="11">
        <f t="shared" si="79"/>
        <v>43173</v>
      </c>
      <c r="C533" s="47">
        <f>SUMIFS('On The Board'!$M$5:$M$219,'On The Board'!F$5:F$219,"&lt;="&amp;$B533,'On The Board'!E$5:E$219,"="&amp;FutureWork)</f>
        <v>43</v>
      </c>
      <c r="D533" s="12">
        <f ca="1">IF(TodaysDate&gt;=B533,SUMIF('On The Board'!F$5:F$219,"&lt;="&amp;$B533,'On The Board'!$M$5:$M$219)-SUM(E533:I533),D532)</f>
        <v>47</v>
      </c>
      <c r="E533" s="12">
        <f>SUMIF('On The Board'!G$5:G$219,"&lt;="&amp;$B533,'On The Board'!$M$5:$M$219)-SUM(F533:I533)</f>
        <v>0</v>
      </c>
      <c r="F533" s="12">
        <f>SUMIF('On The Board'!H$5:H$219,"&lt;="&amp;$B533,'On The Board'!$M$5:$M$219)-SUM(G533:I533)</f>
        <v>5</v>
      </c>
      <c r="G533" s="12">
        <f>SUMIF('On The Board'!I$5:I$219,"&lt;="&amp;$B533,'On The Board'!$M$5:$M$219)-SUM(H533,I533)</f>
        <v>2</v>
      </c>
      <c r="H533" s="12">
        <f>SUMIF('On The Board'!J$5:J$219,"&lt;="&amp;$B533,'On The Board'!$M$5:$M$219)-SUM(I533)</f>
        <v>0</v>
      </c>
      <c r="I533" s="12">
        <f>SUMIF('On The Board'!K$5:K$219,"&lt;="&amp;$B533,'On The Board'!$M$5:$M$219)</f>
        <v>70</v>
      </c>
      <c r="J533" s="10">
        <f t="shared" si="77"/>
        <v>77</v>
      </c>
      <c r="K533" s="10" t="e">
        <f t="shared" ca="1" si="78"/>
        <v>#N/A</v>
      </c>
      <c r="L533" s="44" t="e">
        <f t="shared" ca="1" si="82"/>
        <v>#N/A</v>
      </c>
      <c r="M533" s="44" t="e">
        <f t="shared" ca="1" si="81"/>
        <v>#N/A</v>
      </c>
      <c r="N533" s="44" t="e">
        <f t="shared" ca="1" si="80"/>
        <v>#N/A</v>
      </c>
      <c r="O533" s="53" t="e">
        <f t="shared" ca="1" si="83"/>
        <v>#N/A</v>
      </c>
      <c r="P533" s="53" t="str">
        <f ca="1">IFERROR(DayByDayTable[[#This Row],[Lead Time]],"")</f>
        <v/>
      </c>
      <c r="Q533" s="44" t="e">
        <f t="shared" ca="1" si="84"/>
        <v>#N/A</v>
      </c>
      <c r="R533" s="44">
        <f ca="1">ROUND(PERCENTILE(DayByDayTable[[#Data],[BlankLeadTime]],0.8),0)</f>
        <v>8</v>
      </c>
    </row>
    <row r="534" spans="1:18">
      <c r="A534" s="51">
        <f t="shared" si="76"/>
        <v>43174</v>
      </c>
      <c r="B534" s="11">
        <f t="shared" si="79"/>
        <v>43174</v>
      </c>
      <c r="C534" s="47">
        <f>SUMIFS('On The Board'!$M$5:$M$219,'On The Board'!F$5:F$219,"&lt;="&amp;$B534,'On The Board'!E$5:E$219,"="&amp;FutureWork)</f>
        <v>43</v>
      </c>
      <c r="D534" s="12">
        <f ca="1">IF(TodaysDate&gt;=B534,SUMIF('On The Board'!F$5:F$219,"&lt;="&amp;$B534,'On The Board'!$M$5:$M$219)-SUM(E534:I534),D533)</f>
        <v>47</v>
      </c>
      <c r="E534" s="12">
        <f>SUMIF('On The Board'!G$5:G$219,"&lt;="&amp;$B534,'On The Board'!$M$5:$M$219)-SUM(F534:I534)</f>
        <v>0</v>
      </c>
      <c r="F534" s="12">
        <f>SUMIF('On The Board'!H$5:H$219,"&lt;="&amp;$B534,'On The Board'!$M$5:$M$219)-SUM(G534:I534)</f>
        <v>5</v>
      </c>
      <c r="G534" s="12">
        <f>SUMIF('On The Board'!I$5:I$219,"&lt;="&amp;$B534,'On The Board'!$M$5:$M$219)-SUM(H534,I534)</f>
        <v>2</v>
      </c>
      <c r="H534" s="12">
        <f>SUMIF('On The Board'!J$5:J$219,"&lt;="&amp;$B534,'On The Board'!$M$5:$M$219)-SUM(I534)</f>
        <v>0</v>
      </c>
      <c r="I534" s="12">
        <f>SUMIF('On The Board'!K$5:K$219,"&lt;="&amp;$B534,'On The Board'!$M$5:$M$219)</f>
        <v>70</v>
      </c>
      <c r="J534" s="10">
        <f t="shared" si="77"/>
        <v>77</v>
      </c>
      <c r="K534" s="10" t="e">
        <f t="shared" ca="1" si="78"/>
        <v>#N/A</v>
      </c>
      <c r="L534" s="44" t="e">
        <f t="shared" ca="1" si="82"/>
        <v>#N/A</v>
      </c>
      <c r="M534" s="44" t="e">
        <f t="shared" ca="1" si="81"/>
        <v>#N/A</v>
      </c>
      <c r="N534" s="44" t="e">
        <f t="shared" ca="1" si="80"/>
        <v>#N/A</v>
      </c>
      <c r="O534" s="53" t="e">
        <f t="shared" ca="1" si="83"/>
        <v>#N/A</v>
      </c>
      <c r="P534" s="53" t="str">
        <f ca="1">IFERROR(DayByDayTable[[#This Row],[Lead Time]],"")</f>
        <v/>
      </c>
      <c r="Q534" s="44" t="e">
        <f t="shared" ca="1" si="84"/>
        <v>#N/A</v>
      </c>
      <c r="R534" s="44">
        <f ca="1">ROUND(PERCENTILE(DayByDayTable[[#Data],[BlankLeadTime]],0.8),0)</f>
        <v>8</v>
      </c>
    </row>
    <row r="535" spans="1:18">
      <c r="A535" s="51">
        <f t="shared" si="76"/>
        <v>43175</v>
      </c>
      <c r="B535" s="11">
        <f t="shared" si="79"/>
        <v>43175</v>
      </c>
      <c r="C535" s="47">
        <f>SUMIFS('On The Board'!$M$5:$M$219,'On The Board'!F$5:F$219,"&lt;="&amp;$B535,'On The Board'!E$5:E$219,"="&amp;FutureWork)</f>
        <v>43</v>
      </c>
      <c r="D535" s="12">
        <f ca="1">IF(TodaysDate&gt;=B535,SUMIF('On The Board'!F$5:F$219,"&lt;="&amp;$B535,'On The Board'!$M$5:$M$219)-SUM(E535:I535),D534)</f>
        <v>47</v>
      </c>
      <c r="E535" s="12">
        <f>SUMIF('On The Board'!G$5:G$219,"&lt;="&amp;$B535,'On The Board'!$M$5:$M$219)-SUM(F535:I535)</f>
        <v>0</v>
      </c>
      <c r="F535" s="12">
        <f>SUMIF('On The Board'!H$5:H$219,"&lt;="&amp;$B535,'On The Board'!$M$5:$M$219)-SUM(G535:I535)</f>
        <v>5</v>
      </c>
      <c r="G535" s="12">
        <f>SUMIF('On The Board'!I$5:I$219,"&lt;="&amp;$B535,'On The Board'!$M$5:$M$219)-SUM(H535,I535)</f>
        <v>2</v>
      </c>
      <c r="H535" s="12">
        <f>SUMIF('On The Board'!J$5:J$219,"&lt;="&amp;$B535,'On The Board'!$M$5:$M$219)-SUM(I535)</f>
        <v>0</v>
      </c>
      <c r="I535" s="12">
        <f>SUMIF('On The Board'!K$5:K$219,"&lt;="&amp;$B535,'On The Board'!$M$5:$M$219)</f>
        <v>70</v>
      </c>
      <c r="J535" s="10">
        <f t="shared" si="77"/>
        <v>77</v>
      </c>
      <c r="K535" s="10" t="e">
        <f t="shared" ca="1" si="78"/>
        <v>#N/A</v>
      </c>
      <c r="L535" s="44" t="e">
        <f t="shared" ca="1" si="82"/>
        <v>#N/A</v>
      </c>
      <c r="M535" s="44" t="e">
        <f t="shared" ca="1" si="81"/>
        <v>#N/A</v>
      </c>
      <c r="N535" s="44" t="e">
        <f t="shared" ca="1" si="80"/>
        <v>#N/A</v>
      </c>
      <c r="O535" s="53" t="e">
        <f t="shared" ca="1" si="83"/>
        <v>#N/A</v>
      </c>
      <c r="P535" s="53" t="str">
        <f ca="1">IFERROR(DayByDayTable[[#This Row],[Lead Time]],"")</f>
        <v/>
      </c>
      <c r="Q535" s="44" t="e">
        <f t="shared" ca="1" si="84"/>
        <v>#N/A</v>
      </c>
      <c r="R535" s="44">
        <f ca="1">ROUND(PERCENTILE(DayByDayTable[[#Data],[BlankLeadTime]],0.8),0)</f>
        <v>8</v>
      </c>
    </row>
    <row r="536" spans="1:18">
      <c r="A536" s="51">
        <f t="shared" si="76"/>
        <v>43178</v>
      </c>
      <c r="B536" s="11">
        <f t="shared" si="79"/>
        <v>43178</v>
      </c>
      <c r="C536" s="47">
        <f>SUMIFS('On The Board'!$M$5:$M$219,'On The Board'!F$5:F$219,"&lt;="&amp;$B536,'On The Board'!E$5:E$219,"="&amp;FutureWork)</f>
        <v>43</v>
      </c>
      <c r="D536" s="12">
        <f ca="1">IF(TodaysDate&gt;=B536,SUMIF('On The Board'!F$5:F$219,"&lt;="&amp;$B536,'On The Board'!$M$5:$M$219)-SUM(E536:I536),D535)</f>
        <v>47</v>
      </c>
      <c r="E536" s="12">
        <f>SUMIF('On The Board'!G$5:G$219,"&lt;="&amp;$B536,'On The Board'!$M$5:$M$219)-SUM(F536:I536)</f>
        <v>0</v>
      </c>
      <c r="F536" s="12">
        <f>SUMIF('On The Board'!H$5:H$219,"&lt;="&amp;$B536,'On The Board'!$M$5:$M$219)-SUM(G536:I536)</f>
        <v>5</v>
      </c>
      <c r="G536" s="12">
        <f>SUMIF('On The Board'!I$5:I$219,"&lt;="&amp;$B536,'On The Board'!$M$5:$M$219)-SUM(H536,I536)</f>
        <v>2</v>
      </c>
      <c r="H536" s="12">
        <f>SUMIF('On The Board'!J$5:J$219,"&lt;="&amp;$B536,'On The Board'!$M$5:$M$219)-SUM(I536)</f>
        <v>0</v>
      </c>
      <c r="I536" s="12">
        <f>SUMIF('On The Board'!K$5:K$219,"&lt;="&amp;$B536,'On The Board'!$M$5:$M$219)</f>
        <v>70</v>
      </c>
      <c r="J536" s="10">
        <f t="shared" si="77"/>
        <v>77</v>
      </c>
      <c r="K536" s="10" t="e">
        <f t="shared" ca="1" si="78"/>
        <v>#N/A</v>
      </c>
      <c r="L536" s="44" t="e">
        <f t="shared" ca="1" si="82"/>
        <v>#N/A</v>
      </c>
      <c r="M536" s="44" t="e">
        <f t="shared" ca="1" si="81"/>
        <v>#N/A</v>
      </c>
      <c r="N536" s="44" t="e">
        <f t="shared" ca="1" si="80"/>
        <v>#N/A</v>
      </c>
      <c r="O536" s="53" t="e">
        <f t="shared" ca="1" si="83"/>
        <v>#N/A</v>
      </c>
      <c r="P536" s="53" t="str">
        <f ca="1">IFERROR(DayByDayTable[[#This Row],[Lead Time]],"")</f>
        <v/>
      </c>
      <c r="Q536" s="44" t="e">
        <f t="shared" ca="1" si="84"/>
        <v>#N/A</v>
      </c>
      <c r="R536" s="44">
        <f ca="1">ROUND(PERCENTILE(DayByDayTable[[#Data],[BlankLeadTime]],0.8),0)</f>
        <v>8</v>
      </c>
    </row>
    <row r="537" spans="1:18">
      <c r="A537" s="51">
        <f t="shared" si="76"/>
        <v>43179</v>
      </c>
      <c r="B537" s="11">
        <f t="shared" si="79"/>
        <v>43179</v>
      </c>
      <c r="C537" s="47">
        <f>SUMIFS('On The Board'!$M$5:$M$219,'On The Board'!F$5:F$219,"&lt;="&amp;$B537,'On The Board'!E$5:E$219,"="&amp;FutureWork)</f>
        <v>43</v>
      </c>
      <c r="D537" s="12">
        <f ca="1">IF(TodaysDate&gt;=B537,SUMIF('On The Board'!F$5:F$219,"&lt;="&amp;$B537,'On The Board'!$M$5:$M$219)-SUM(E537:I537),D536)</f>
        <v>47</v>
      </c>
      <c r="E537" s="12">
        <f>SUMIF('On The Board'!G$5:G$219,"&lt;="&amp;$B537,'On The Board'!$M$5:$M$219)-SUM(F537:I537)</f>
        <v>0</v>
      </c>
      <c r="F537" s="12">
        <f>SUMIF('On The Board'!H$5:H$219,"&lt;="&amp;$B537,'On The Board'!$M$5:$M$219)-SUM(G537:I537)</f>
        <v>5</v>
      </c>
      <c r="G537" s="12">
        <f>SUMIF('On The Board'!I$5:I$219,"&lt;="&amp;$B537,'On The Board'!$M$5:$M$219)-SUM(H537,I537)</f>
        <v>2</v>
      </c>
      <c r="H537" s="12">
        <f>SUMIF('On The Board'!J$5:J$219,"&lt;="&amp;$B537,'On The Board'!$M$5:$M$219)-SUM(I537)</f>
        <v>0</v>
      </c>
      <c r="I537" s="12">
        <f>SUMIF('On The Board'!K$5:K$219,"&lt;="&amp;$B537,'On The Board'!$M$5:$M$219)</f>
        <v>70</v>
      </c>
      <c r="J537" s="10">
        <f t="shared" si="77"/>
        <v>77</v>
      </c>
      <c r="K537" s="10" t="e">
        <f t="shared" ca="1" si="78"/>
        <v>#N/A</v>
      </c>
      <c r="L537" s="44" t="e">
        <f t="shared" ca="1" si="82"/>
        <v>#N/A</v>
      </c>
      <c r="M537" s="44" t="e">
        <f t="shared" ca="1" si="81"/>
        <v>#N/A</v>
      </c>
      <c r="N537" s="44" t="e">
        <f t="shared" ca="1" si="80"/>
        <v>#N/A</v>
      </c>
      <c r="O537" s="53" t="e">
        <f t="shared" ca="1" si="83"/>
        <v>#N/A</v>
      </c>
      <c r="P537" s="53" t="str">
        <f ca="1">IFERROR(DayByDayTable[[#This Row],[Lead Time]],"")</f>
        <v/>
      </c>
      <c r="Q537" s="44" t="e">
        <f t="shared" ca="1" si="84"/>
        <v>#N/A</v>
      </c>
      <c r="R537" s="44">
        <f ca="1">ROUND(PERCENTILE(DayByDayTable[[#Data],[BlankLeadTime]],0.8),0)</f>
        <v>8</v>
      </c>
    </row>
    <row r="538" spans="1:18">
      <c r="A538" s="51">
        <f t="shared" si="76"/>
        <v>43180</v>
      </c>
      <c r="B538" s="11">
        <f t="shared" si="79"/>
        <v>43180</v>
      </c>
      <c r="C538" s="47">
        <f>SUMIFS('On The Board'!$M$5:$M$219,'On The Board'!F$5:F$219,"&lt;="&amp;$B538,'On The Board'!E$5:E$219,"="&amp;FutureWork)</f>
        <v>43</v>
      </c>
      <c r="D538" s="12">
        <f ca="1">IF(TodaysDate&gt;=B538,SUMIF('On The Board'!F$5:F$219,"&lt;="&amp;$B538,'On The Board'!$M$5:$M$219)-SUM(E538:I538),D537)</f>
        <v>47</v>
      </c>
      <c r="E538" s="12">
        <f>SUMIF('On The Board'!G$5:G$219,"&lt;="&amp;$B538,'On The Board'!$M$5:$M$219)-SUM(F538:I538)</f>
        <v>0</v>
      </c>
      <c r="F538" s="12">
        <f>SUMIF('On The Board'!H$5:H$219,"&lt;="&amp;$B538,'On The Board'!$M$5:$M$219)-SUM(G538:I538)</f>
        <v>5</v>
      </c>
      <c r="G538" s="12">
        <f>SUMIF('On The Board'!I$5:I$219,"&lt;="&amp;$B538,'On The Board'!$M$5:$M$219)-SUM(H538,I538)</f>
        <v>2</v>
      </c>
      <c r="H538" s="12">
        <f>SUMIF('On The Board'!J$5:J$219,"&lt;="&amp;$B538,'On The Board'!$M$5:$M$219)-SUM(I538)</f>
        <v>0</v>
      </c>
      <c r="I538" s="12">
        <f>SUMIF('On The Board'!K$5:K$219,"&lt;="&amp;$B538,'On The Board'!$M$5:$M$219)</f>
        <v>70</v>
      </c>
      <c r="J538" s="10">
        <f t="shared" si="77"/>
        <v>77</v>
      </c>
      <c r="K538" s="10" t="e">
        <f t="shared" ca="1" si="78"/>
        <v>#N/A</v>
      </c>
      <c r="L538" s="44" t="e">
        <f t="shared" ca="1" si="82"/>
        <v>#N/A</v>
      </c>
      <c r="M538" s="44" t="e">
        <f t="shared" ca="1" si="81"/>
        <v>#N/A</v>
      </c>
      <c r="N538" s="44" t="e">
        <f t="shared" ca="1" si="80"/>
        <v>#N/A</v>
      </c>
      <c r="O538" s="53" t="e">
        <f t="shared" ca="1" si="83"/>
        <v>#N/A</v>
      </c>
      <c r="P538" s="53" t="str">
        <f ca="1">IFERROR(DayByDayTable[[#This Row],[Lead Time]],"")</f>
        <v/>
      </c>
      <c r="Q538" s="44" t="e">
        <f t="shared" ca="1" si="84"/>
        <v>#N/A</v>
      </c>
      <c r="R538" s="44">
        <f ca="1">ROUND(PERCENTILE(DayByDayTable[[#Data],[BlankLeadTime]],0.8),0)</f>
        <v>8</v>
      </c>
    </row>
    <row r="539" spans="1:18">
      <c r="A539" s="51">
        <f t="shared" si="76"/>
        <v>43181</v>
      </c>
      <c r="B539" s="11">
        <f t="shared" si="79"/>
        <v>43181</v>
      </c>
      <c r="C539" s="47">
        <f>SUMIFS('On The Board'!$M$5:$M$219,'On The Board'!F$5:F$219,"&lt;="&amp;$B539,'On The Board'!E$5:E$219,"="&amp;FutureWork)</f>
        <v>43</v>
      </c>
      <c r="D539" s="12">
        <f ca="1">IF(TodaysDate&gt;=B539,SUMIF('On The Board'!F$5:F$219,"&lt;="&amp;$B539,'On The Board'!$M$5:$M$219)-SUM(E539:I539),D538)</f>
        <v>47</v>
      </c>
      <c r="E539" s="12">
        <f>SUMIF('On The Board'!G$5:G$219,"&lt;="&amp;$B539,'On The Board'!$M$5:$M$219)-SUM(F539:I539)</f>
        <v>0</v>
      </c>
      <c r="F539" s="12">
        <f>SUMIF('On The Board'!H$5:H$219,"&lt;="&amp;$B539,'On The Board'!$M$5:$M$219)-SUM(G539:I539)</f>
        <v>5</v>
      </c>
      <c r="G539" s="12">
        <f>SUMIF('On The Board'!I$5:I$219,"&lt;="&amp;$B539,'On The Board'!$M$5:$M$219)-SUM(H539,I539)</f>
        <v>2</v>
      </c>
      <c r="H539" s="12">
        <f>SUMIF('On The Board'!J$5:J$219,"&lt;="&amp;$B539,'On The Board'!$M$5:$M$219)-SUM(I539)</f>
        <v>0</v>
      </c>
      <c r="I539" s="12">
        <f>SUMIF('On The Board'!K$5:K$219,"&lt;="&amp;$B539,'On The Board'!$M$5:$M$219)</f>
        <v>70</v>
      </c>
      <c r="J539" s="10">
        <f t="shared" si="77"/>
        <v>77</v>
      </c>
      <c r="K539" s="10" t="e">
        <f t="shared" ca="1" si="78"/>
        <v>#N/A</v>
      </c>
      <c r="L539" s="44" t="e">
        <f t="shared" ca="1" si="82"/>
        <v>#N/A</v>
      </c>
      <c r="M539" s="44" t="e">
        <f t="shared" ca="1" si="81"/>
        <v>#N/A</v>
      </c>
      <c r="N539" s="44" t="e">
        <f t="shared" ca="1" si="80"/>
        <v>#N/A</v>
      </c>
      <c r="O539" s="53" t="e">
        <f t="shared" ca="1" si="83"/>
        <v>#N/A</v>
      </c>
      <c r="P539" s="53" t="str">
        <f ca="1">IFERROR(DayByDayTable[[#This Row],[Lead Time]],"")</f>
        <v/>
      </c>
      <c r="Q539" s="44" t="e">
        <f t="shared" ca="1" si="84"/>
        <v>#N/A</v>
      </c>
      <c r="R539" s="44">
        <f ca="1">ROUND(PERCENTILE(DayByDayTable[[#Data],[BlankLeadTime]],0.8),0)</f>
        <v>8</v>
      </c>
    </row>
    <row r="540" spans="1:18">
      <c r="A540" s="51">
        <f t="shared" si="76"/>
        <v>43182</v>
      </c>
      <c r="B540" s="11">
        <f t="shared" si="79"/>
        <v>43182</v>
      </c>
      <c r="C540" s="47">
        <f>SUMIFS('On The Board'!$M$5:$M$219,'On The Board'!F$5:F$219,"&lt;="&amp;$B540,'On The Board'!E$5:E$219,"="&amp;FutureWork)</f>
        <v>43</v>
      </c>
      <c r="D540" s="12">
        <f ca="1">IF(TodaysDate&gt;=B540,SUMIF('On The Board'!F$5:F$219,"&lt;="&amp;$B540,'On The Board'!$M$5:$M$219)-SUM(E540:I540),D539)</f>
        <v>47</v>
      </c>
      <c r="E540" s="12">
        <f>SUMIF('On The Board'!G$5:G$219,"&lt;="&amp;$B540,'On The Board'!$M$5:$M$219)-SUM(F540:I540)</f>
        <v>0</v>
      </c>
      <c r="F540" s="12">
        <f>SUMIF('On The Board'!H$5:H$219,"&lt;="&amp;$B540,'On The Board'!$M$5:$M$219)-SUM(G540:I540)</f>
        <v>5</v>
      </c>
      <c r="G540" s="12">
        <f>SUMIF('On The Board'!I$5:I$219,"&lt;="&amp;$B540,'On The Board'!$M$5:$M$219)-SUM(H540,I540)</f>
        <v>2</v>
      </c>
      <c r="H540" s="12">
        <f>SUMIF('On The Board'!J$5:J$219,"&lt;="&amp;$B540,'On The Board'!$M$5:$M$219)-SUM(I540)</f>
        <v>0</v>
      </c>
      <c r="I540" s="12">
        <f>SUMIF('On The Board'!K$5:K$219,"&lt;="&amp;$B540,'On The Board'!$M$5:$M$219)</f>
        <v>70</v>
      </c>
      <c r="J540" s="10">
        <f t="shared" si="77"/>
        <v>77</v>
      </c>
      <c r="K540" s="10" t="e">
        <f t="shared" ca="1" si="78"/>
        <v>#N/A</v>
      </c>
      <c r="L540" s="44" t="e">
        <f t="shared" ca="1" si="82"/>
        <v>#N/A</v>
      </c>
      <c r="M540" s="44" t="e">
        <f t="shared" ca="1" si="81"/>
        <v>#N/A</v>
      </c>
      <c r="N540" s="44" t="e">
        <f t="shared" ca="1" si="80"/>
        <v>#N/A</v>
      </c>
      <c r="O540" s="53" t="e">
        <f t="shared" ca="1" si="83"/>
        <v>#N/A</v>
      </c>
      <c r="P540" s="53" t="str">
        <f ca="1">IFERROR(DayByDayTable[[#This Row],[Lead Time]],"")</f>
        <v/>
      </c>
      <c r="Q540" s="44" t="e">
        <f t="shared" ca="1" si="84"/>
        <v>#N/A</v>
      </c>
      <c r="R540" s="44">
        <f ca="1">ROUND(PERCENTILE(DayByDayTable[[#Data],[BlankLeadTime]],0.8),0)</f>
        <v>8</v>
      </c>
    </row>
    <row r="541" spans="1:18">
      <c r="A541" s="51">
        <f t="shared" si="76"/>
        <v>43185</v>
      </c>
      <c r="B541" s="11">
        <f t="shared" si="79"/>
        <v>43185</v>
      </c>
      <c r="C541" s="47">
        <f>SUMIFS('On The Board'!$M$5:$M$219,'On The Board'!F$5:F$219,"&lt;="&amp;$B541,'On The Board'!E$5:E$219,"="&amp;FutureWork)</f>
        <v>43</v>
      </c>
      <c r="D541" s="12">
        <f ca="1">IF(TodaysDate&gt;=B541,SUMIF('On The Board'!F$5:F$219,"&lt;="&amp;$B541,'On The Board'!$M$5:$M$219)-SUM(E541:I541),D540)</f>
        <v>47</v>
      </c>
      <c r="E541" s="12">
        <f>SUMIF('On The Board'!G$5:G$219,"&lt;="&amp;$B541,'On The Board'!$M$5:$M$219)-SUM(F541:I541)</f>
        <v>0</v>
      </c>
      <c r="F541" s="12">
        <f>SUMIF('On The Board'!H$5:H$219,"&lt;="&amp;$B541,'On The Board'!$M$5:$M$219)-SUM(G541:I541)</f>
        <v>5</v>
      </c>
      <c r="G541" s="12">
        <f>SUMIF('On The Board'!I$5:I$219,"&lt;="&amp;$B541,'On The Board'!$M$5:$M$219)-SUM(H541,I541)</f>
        <v>2</v>
      </c>
      <c r="H541" s="12">
        <f>SUMIF('On The Board'!J$5:J$219,"&lt;="&amp;$B541,'On The Board'!$M$5:$M$219)-SUM(I541)</f>
        <v>0</v>
      </c>
      <c r="I541" s="12">
        <f>SUMIF('On The Board'!K$5:K$219,"&lt;="&amp;$B541,'On The Board'!$M$5:$M$219)</f>
        <v>70</v>
      </c>
      <c r="J541" s="10">
        <f t="shared" si="77"/>
        <v>77</v>
      </c>
      <c r="K541" s="10" t="e">
        <f t="shared" ca="1" si="78"/>
        <v>#N/A</v>
      </c>
      <c r="L541" s="44" t="e">
        <f t="shared" ca="1" si="82"/>
        <v>#N/A</v>
      </c>
      <c r="M541" s="44" t="e">
        <f t="shared" ca="1" si="81"/>
        <v>#N/A</v>
      </c>
      <c r="N541" s="44" t="e">
        <f t="shared" ca="1" si="80"/>
        <v>#N/A</v>
      </c>
      <c r="O541" s="53" t="e">
        <f t="shared" ca="1" si="83"/>
        <v>#N/A</v>
      </c>
      <c r="P541" s="53" t="str">
        <f ca="1">IFERROR(DayByDayTable[[#This Row],[Lead Time]],"")</f>
        <v/>
      </c>
      <c r="Q541" s="44" t="e">
        <f t="shared" ca="1" si="84"/>
        <v>#N/A</v>
      </c>
      <c r="R541" s="44">
        <f ca="1">ROUND(PERCENTILE(DayByDayTable[[#Data],[BlankLeadTime]],0.8),0)</f>
        <v>8</v>
      </c>
    </row>
    <row r="542" spans="1:18">
      <c r="A542" s="51">
        <f t="shared" si="76"/>
        <v>43186</v>
      </c>
      <c r="B542" s="11">
        <f t="shared" si="79"/>
        <v>43186</v>
      </c>
      <c r="C542" s="47">
        <f>SUMIFS('On The Board'!$M$5:$M$219,'On The Board'!F$5:F$219,"&lt;="&amp;$B542,'On The Board'!E$5:E$219,"="&amp;FutureWork)</f>
        <v>43</v>
      </c>
      <c r="D542" s="12">
        <f ca="1">IF(TodaysDate&gt;=B542,SUMIF('On The Board'!F$5:F$219,"&lt;="&amp;$B542,'On The Board'!$M$5:$M$219)-SUM(E542:I542),D541)</f>
        <v>47</v>
      </c>
      <c r="E542" s="12">
        <f>SUMIF('On The Board'!G$5:G$219,"&lt;="&amp;$B542,'On The Board'!$M$5:$M$219)-SUM(F542:I542)</f>
        <v>0</v>
      </c>
      <c r="F542" s="12">
        <f>SUMIF('On The Board'!H$5:H$219,"&lt;="&amp;$B542,'On The Board'!$M$5:$M$219)-SUM(G542:I542)</f>
        <v>5</v>
      </c>
      <c r="G542" s="12">
        <f>SUMIF('On The Board'!I$5:I$219,"&lt;="&amp;$B542,'On The Board'!$M$5:$M$219)-SUM(H542,I542)</f>
        <v>2</v>
      </c>
      <c r="H542" s="12">
        <f>SUMIF('On The Board'!J$5:J$219,"&lt;="&amp;$B542,'On The Board'!$M$5:$M$219)-SUM(I542)</f>
        <v>0</v>
      </c>
      <c r="I542" s="12">
        <f>SUMIF('On The Board'!K$5:K$219,"&lt;="&amp;$B542,'On The Board'!$M$5:$M$219)</f>
        <v>70</v>
      </c>
      <c r="J542" s="10">
        <f t="shared" si="77"/>
        <v>77</v>
      </c>
      <c r="K542" s="10" t="e">
        <f t="shared" ca="1" si="78"/>
        <v>#N/A</v>
      </c>
      <c r="L542" s="44" t="e">
        <f t="shared" ca="1" si="82"/>
        <v>#N/A</v>
      </c>
      <c r="M542" s="44" t="e">
        <f t="shared" ca="1" si="81"/>
        <v>#N/A</v>
      </c>
      <c r="N542" s="44" t="e">
        <f t="shared" ca="1" si="80"/>
        <v>#N/A</v>
      </c>
      <c r="O542" s="53" t="e">
        <f t="shared" ca="1" si="83"/>
        <v>#N/A</v>
      </c>
      <c r="P542" s="53" t="str">
        <f ca="1">IFERROR(DayByDayTable[[#This Row],[Lead Time]],"")</f>
        <v/>
      </c>
      <c r="Q542" s="44" t="e">
        <f t="shared" ca="1" si="84"/>
        <v>#N/A</v>
      </c>
      <c r="R542" s="44">
        <f ca="1">ROUND(PERCENTILE(DayByDayTable[[#Data],[BlankLeadTime]],0.8),0)</f>
        <v>8</v>
      </c>
    </row>
    <row r="543" spans="1:18">
      <c r="A543" s="51">
        <f t="shared" si="76"/>
        <v>43187</v>
      </c>
      <c r="B543" s="11">
        <f t="shared" si="79"/>
        <v>43187</v>
      </c>
      <c r="C543" s="47">
        <f>SUMIFS('On The Board'!$M$5:$M$219,'On The Board'!F$5:F$219,"&lt;="&amp;$B543,'On The Board'!E$5:E$219,"="&amp;FutureWork)</f>
        <v>43</v>
      </c>
      <c r="D543" s="12">
        <f ca="1">IF(TodaysDate&gt;=B543,SUMIF('On The Board'!F$5:F$219,"&lt;="&amp;$B543,'On The Board'!$M$5:$M$219)-SUM(E543:I543),D542)</f>
        <v>47</v>
      </c>
      <c r="E543" s="12">
        <f>SUMIF('On The Board'!G$5:G$219,"&lt;="&amp;$B543,'On The Board'!$M$5:$M$219)-SUM(F543:I543)</f>
        <v>0</v>
      </c>
      <c r="F543" s="12">
        <f>SUMIF('On The Board'!H$5:H$219,"&lt;="&amp;$B543,'On The Board'!$M$5:$M$219)-SUM(G543:I543)</f>
        <v>5</v>
      </c>
      <c r="G543" s="12">
        <f>SUMIF('On The Board'!I$5:I$219,"&lt;="&amp;$B543,'On The Board'!$M$5:$M$219)-SUM(H543,I543)</f>
        <v>2</v>
      </c>
      <c r="H543" s="12">
        <f>SUMIF('On The Board'!J$5:J$219,"&lt;="&amp;$B543,'On The Board'!$M$5:$M$219)-SUM(I543)</f>
        <v>0</v>
      </c>
      <c r="I543" s="12">
        <f>SUMIF('On The Board'!K$5:K$219,"&lt;="&amp;$B543,'On The Board'!$M$5:$M$219)</f>
        <v>70</v>
      </c>
      <c r="J543" s="10">
        <f t="shared" si="77"/>
        <v>77</v>
      </c>
      <c r="K543" s="10" t="e">
        <f t="shared" ca="1" si="78"/>
        <v>#N/A</v>
      </c>
      <c r="L543" s="44" t="e">
        <f t="shared" ca="1" si="82"/>
        <v>#N/A</v>
      </c>
      <c r="M543" s="44" t="e">
        <f t="shared" ca="1" si="81"/>
        <v>#N/A</v>
      </c>
      <c r="N543" s="44" t="e">
        <f t="shared" ca="1" si="80"/>
        <v>#N/A</v>
      </c>
      <c r="O543" s="53" t="e">
        <f t="shared" ca="1" si="83"/>
        <v>#N/A</v>
      </c>
      <c r="P543" s="53" t="str">
        <f ca="1">IFERROR(DayByDayTable[[#This Row],[Lead Time]],"")</f>
        <v/>
      </c>
      <c r="Q543" s="44" t="e">
        <f t="shared" ca="1" si="84"/>
        <v>#N/A</v>
      </c>
      <c r="R543" s="44">
        <f ca="1">ROUND(PERCENTILE(DayByDayTable[[#Data],[BlankLeadTime]],0.8),0)</f>
        <v>8</v>
      </c>
    </row>
    <row r="544" spans="1:18">
      <c r="A544" s="51">
        <f t="shared" si="76"/>
        <v>43188</v>
      </c>
      <c r="B544" s="11">
        <f t="shared" si="79"/>
        <v>43188</v>
      </c>
      <c r="C544" s="47">
        <f>SUMIFS('On The Board'!$M$5:$M$219,'On The Board'!F$5:F$219,"&lt;="&amp;$B544,'On The Board'!E$5:E$219,"="&amp;FutureWork)</f>
        <v>43</v>
      </c>
      <c r="D544" s="12">
        <f ca="1">IF(TodaysDate&gt;=B544,SUMIF('On The Board'!F$5:F$219,"&lt;="&amp;$B544,'On The Board'!$M$5:$M$219)-SUM(E544:I544),D543)</f>
        <v>47</v>
      </c>
      <c r="E544" s="12">
        <f>SUMIF('On The Board'!G$5:G$219,"&lt;="&amp;$B544,'On The Board'!$M$5:$M$219)-SUM(F544:I544)</f>
        <v>0</v>
      </c>
      <c r="F544" s="12">
        <f>SUMIF('On The Board'!H$5:H$219,"&lt;="&amp;$B544,'On The Board'!$M$5:$M$219)-SUM(G544:I544)</f>
        <v>5</v>
      </c>
      <c r="G544" s="12">
        <f>SUMIF('On The Board'!I$5:I$219,"&lt;="&amp;$B544,'On The Board'!$M$5:$M$219)-SUM(H544,I544)</f>
        <v>2</v>
      </c>
      <c r="H544" s="12">
        <f>SUMIF('On The Board'!J$5:J$219,"&lt;="&amp;$B544,'On The Board'!$M$5:$M$219)-SUM(I544)</f>
        <v>0</v>
      </c>
      <c r="I544" s="12">
        <f>SUMIF('On The Board'!K$5:K$219,"&lt;="&amp;$B544,'On The Board'!$M$5:$M$219)</f>
        <v>70</v>
      </c>
      <c r="J544" s="10">
        <f t="shared" si="77"/>
        <v>77</v>
      </c>
      <c r="K544" s="10" t="e">
        <f t="shared" ca="1" si="78"/>
        <v>#N/A</v>
      </c>
      <c r="L544" s="44" t="e">
        <f t="shared" ca="1" si="82"/>
        <v>#N/A</v>
      </c>
      <c r="M544" s="44" t="e">
        <f t="shared" ca="1" si="81"/>
        <v>#N/A</v>
      </c>
      <c r="N544" s="44" t="e">
        <f t="shared" ca="1" si="80"/>
        <v>#N/A</v>
      </c>
      <c r="O544" s="53" t="e">
        <f t="shared" ca="1" si="83"/>
        <v>#N/A</v>
      </c>
      <c r="P544" s="53" t="str">
        <f ca="1">IFERROR(DayByDayTable[[#This Row],[Lead Time]],"")</f>
        <v/>
      </c>
      <c r="Q544" s="44" t="e">
        <f t="shared" ca="1" si="84"/>
        <v>#N/A</v>
      </c>
      <c r="R544" s="44">
        <f ca="1">ROUND(PERCENTILE(DayByDayTable[[#Data],[BlankLeadTime]],0.8),0)</f>
        <v>8</v>
      </c>
    </row>
    <row r="545" spans="1:18">
      <c r="A545" s="51">
        <f t="shared" si="76"/>
        <v>43193</v>
      </c>
      <c r="B545" s="11">
        <f t="shared" si="79"/>
        <v>43193</v>
      </c>
      <c r="C545" s="47">
        <f>SUMIFS('On The Board'!$M$5:$M$219,'On The Board'!F$5:F$219,"&lt;="&amp;$B545,'On The Board'!E$5:E$219,"="&amp;FutureWork)</f>
        <v>43</v>
      </c>
      <c r="D545" s="12">
        <f ca="1">IF(TodaysDate&gt;=B545,SUMIF('On The Board'!F$5:F$219,"&lt;="&amp;$B545,'On The Board'!$M$5:$M$219)-SUM(E545:I545),D544)</f>
        <v>47</v>
      </c>
      <c r="E545" s="12">
        <f>SUMIF('On The Board'!G$5:G$219,"&lt;="&amp;$B545,'On The Board'!$M$5:$M$219)-SUM(F545:I545)</f>
        <v>0</v>
      </c>
      <c r="F545" s="12">
        <f>SUMIF('On The Board'!H$5:H$219,"&lt;="&amp;$B545,'On The Board'!$M$5:$M$219)-SUM(G545:I545)</f>
        <v>5</v>
      </c>
      <c r="G545" s="12">
        <f>SUMIF('On The Board'!I$5:I$219,"&lt;="&amp;$B545,'On The Board'!$M$5:$M$219)-SUM(H545,I545)</f>
        <v>2</v>
      </c>
      <c r="H545" s="12">
        <f>SUMIF('On The Board'!J$5:J$219,"&lt;="&amp;$B545,'On The Board'!$M$5:$M$219)-SUM(I545)</f>
        <v>0</v>
      </c>
      <c r="I545" s="12">
        <f>SUMIF('On The Board'!K$5:K$219,"&lt;="&amp;$B545,'On The Board'!$M$5:$M$219)</f>
        <v>70</v>
      </c>
      <c r="J545" s="10">
        <f t="shared" si="77"/>
        <v>77</v>
      </c>
      <c r="K545" s="10" t="e">
        <f t="shared" ca="1" si="78"/>
        <v>#N/A</v>
      </c>
      <c r="L545" s="44" t="e">
        <f t="shared" ca="1" si="82"/>
        <v>#N/A</v>
      </c>
      <c r="M545" s="44" t="e">
        <f t="shared" ca="1" si="81"/>
        <v>#N/A</v>
      </c>
      <c r="N545" s="44" t="e">
        <f t="shared" ca="1" si="80"/>
        <v>#N/A</v>
      </c>
      <c r="O545" s="53" t="e">
        <f t="shared" ca="1" si="83"/>
        <v>#N/A</v>
      </c>
      <c r="P545" s="53" t="str">
        <f ca="1">IFERROR(DayByDayTable[[#This Row],[Lead Time]],"")</f>
        <v/>
      </c>
      <c r="Q545" s="44" t="e">
        <f t="shared" ca="1" si="84"/>
        <v>#N/A</v>
      </c>
      <c r="R545" s="44">
        <f ca="1">ROUND(PERCENTILE(DayByDayTable[[#Data],[BlankLeadTime]],0.8),0)</f>
        <v>8</v>
      </c>
    </row>
    <row r="546" spans="1:18">
      <c r="A546" s="51">
        <f t="shared" si="76"/>
        <v>43194</v>
      </c>
      <c r="B546" s="11">
        <f t="shared" si="79"/>
        <v>43194</v>
      </c>
      <c r="C546" s="47">
        <f>SUMIFS('On The Board'!$M$5:$M$219,'On The Board'!F$5:F$219,"&lt;="&amp;$B546,'On The Board'!E$5:E$219,"="&amp;FutureWork)</f>
        <v>43</v>
      </c>
      <c r="D546" s="12">
        <f ca="1">IF(TodaysDate&gt;=B546,SUMIF('On The Board'!F$5:F$219,"&lt;="&amp;$B546,'On The Board'!$M$5:$M$219)-SUM(E546:I546),D545)</f>
        <v>47</v>
      </c>
      <c r="E546" s="12">
        <f>SUMIF('On The Board'!G$5:G$219,"&lt;="&amp;$B546,'On The Board'!$M$5:$M$219)-SUM(F546:I546)</f>
        <v>0</v>
      </c>
      <c r="F546" s="12">
        <f>SUMIF('On The Board'!H$5:H$219,"&lt;="&amp;$B546,'On The Board'!$M$5:$M$219)-SUM(G546:I546)</f>
        <v>5</v>
      </c>
      <c r="G546" s="12">
        <f>SUMIF('On The Board'!I$5:I$219,"&lt;="&amp;$B546,'On The Board'!$M$5:$M$219)-SUM(H546,I546)</f>
        <v>2</v>
      </c>
      <c r="H546" s="12">
        <f>SUMIF('On The Board'!J$5:J$219,"&lt;="&amp;$B546,'On The Board'!$M$5:$M$219)-SUM(I546)</f>
        <v>0</v>
      </c>
      <c r="I546" s="12">
        <f>SUMIF('On The Board'!K$5:K$219,"&lt;="&amp;$B546,'On The Board'!$M$5:$M$219)</f>
        <v>70</v>
      </c>
      <c r="J546" s="10">
        <f t="shared" si="77"/>
        <v>77</v>
      </c>
      <c r="K546" s="10" t="e">
        <f t="shared" ca="1" si="78"/>
        <v>#N/A</v>
      </c>
      <c r="L546" s="44" t="e">
        <f t="shared" ca="1" si="82"/>
        <v>#N/A</v>
      </c>
      <c r="M546" s="44" t="e">
        <f t="shared" ca="1" si="81"/>
        <v>#N/A</v>
      </c>
      <c r="N546" s="44" t="e">
        <f t="shared" ca="1" si="80"/>
        <v>#N/A</v>
      </c>
      <c r="O546" s="53" t="e">
        <f t="shared" ca="1" si="83"/>
        <v>#N/A</v>
      </c>
      <c r="P546" s="53" t="str">
        <f ca="1">IFERROR(DayByDayTable[[#This Row],[Lead Time]],"")</f>
        <v/>
      </c>
      <c r="Q546" s="44" t="e">
        <f t="shared" ca="1" si="84"/>
        <v>#N/A</v>
      </c>
      <c r="R546" s="44">
        <f ca="1">ROUND(PERCENTILE(DayByDayTable[[#Data],[BlankLeadTime]],0.8),0)</f>
        <v>8</v>
      </c>
    </row>
    <row r="547" spans="1:18">
      <c r="A547" s="51">
        <f t="shared" si="76"/>
        <v>43195</v>
      </c>
      <c r="B547" s="11">
        <f t="shared" si="79"/>
        <v>43195</v>
      </c>
      <c r="C547" s="47">
        <f>SUMIFS('On The Board'!$M$5:$M$219,'On The Board'!F$5:F$219,"&lt;="&amp;$B547,'On The Board'!E$5:E$219,"="&amp;FutureWork)</f>
        <v>43</v>
      </c>
      <c r="D547" s="12">
        <f ca="1">IF(TodaysDate&gt;=B547,SUMIF('On The Board'!F$5:F$219,"&lt;="&amp;$B547,'On The Board'!$M$5:$M$219)-SUM(E547:I547),D546)</f>
        <v>47</v>
      </c>
      <c r="E547" s="12">
        <f>SUMIF('On The Board'!G$5:G$219,"&lt;="&amp;$B547,'On The Board'!$M$5:$M$219)-SUM(F547:I547)</f>
        <v>0</v>
      </c>
      <c r="F547" s="12">
        <f>SUMIF('On The Board'!H$5:H$219,"&lt;="&amp;$B547,'On The Board'!$M$5:$M$219)-SUM(G547:I547)</f>
        <v>5</v>
      </c>
      <c r="G547" s="12">
        <f>SUMIF('On The Board'!I$5:I$219,"&lt;="&amp;$B547,'On The Board'!$M$5:$M$219)-SUM(H547,I547)</f>
        <v>2</v>
      </c>
      <c r="H547" s="12">
        <f>SUMIF('On The Board'!J$5:J$219,"&lt;="&amp;$B547,'On The Board'!$M$5:$M$219)-SUM(I547)</f>
        <v>0</v>
      </c>
      <c r="I547" s="12">
        <f>SUMIF('On The Board'!K$5:K$219,"&lt;="&amp;$B547,'On The Board'!$M$5:$M$219)</f>
        <v>70</v>
      </c>
      <c r="J547" s="10">
        <f t="shared" si="77"/>
        <v>77</v>
      </c>
      <c r="K547" s="10" t="e">
        <f t="shared" ca="1" si="78"/>
        <v>#N/A</v>
      </c>
      <c r="L547" s="44" t="e">
        <f t="shared" ca="1" si="82"/>
        <v>#N/A</v>
      </c>
      <c r="M547" s="44" t="e">
        <f t="shared" ca="1" si="81"/>
        <v>#N/A</v>
      </c>
      <c r="N547" s="44" t="e">
        <f t="shared" ca="1" si="80"/>
        <v>#N/A</v>
      </c>
      <c r="O547" s="53" t="e">
        <f t="shared" ca="1" si="83"/>
        <v>#N/A</v>
      </c>
      <c r="P547" s="53" t="str">
        <f ca="1">IFERROR(DayByDayTable[[#This Row],[Lead Time]],"")</f>
        <v/>
      </c>
      <c r="Q547" s="44" t="e">
        <f t="shared" ca="1" si="84"/>
        <v>#N/A</v>
      </c>
      <c r="R547" s="44">
        <f ca="1">ROUND(PERCENTILE(DayByDayTable[[#Data],[BlankLeadTime]],0.8),0)</f>
        <v>8</v>
      </c>
    </row>
    <row r="548" spans="1:18">
      <c r="A548" s="51">
        <f t="shared" si="76"/>
        <v>43196</v>
      </c>
      <c r="B548" s="11">
        <f t="shared" si="79"/>
        <v>43196</v>
      </c>
      <c r="C548" s="47">
        <f>SUMIFS('On The Board'!$M$5:$M$219,'On The Board'!F$5:F$219,"&lt;="&amp;$B548,'On The Board'!E$5:E$219,"="&amp;FutureWork)</f>
        <v>43</v>
      </c>
      <c r="D548" s="12">
        <f ca="1">IF(TodaysDate&gt;=B548,SUMIF('On The Board'!F$5:F$219,"&lt;="&amp;$B548,'On The Board'!$M$5:$M$219)-SUM(E548:I548),D547)</f>
        <v>47</v>
      </c>
      <c r="E548" s="12">
        <f>SUMIF('On The Board'!G$5:G$219,"&lt;="&amp;$B548,'On The Board'!$M$5:$M$219)-SUM(F548:I548)</f>
        <v>0</v>
      </c>
      <c r="F548" s="12">
        <f>SUMIF('On The Board'!H$5:H$219,"&lt;="&amp;$B548,'On The Board'!$M$5:$M$219)-SUM(G548:I548)</f>
        <v>5</v>
      </c>
      <c r="G548" s="12">
        <f>SUMIF('On The Board'!I$5:I$219,"&lt;="&amp;$B548,'On The Board'!$M$5:$M$219)-SUM(H548,I548)</f>
        <v>2</v>
      </c>
      <c r="H548" s="12">
        <f>SUMIF('On The Board'!J$5:J$219,"&lt;="&amp;$B548,'On The Board'!$M$5:$M$219)-SUM(I548)</f>
        <v>0</v>
      </c>
      <c r="I548" s="12">
        <f>SUMIF('On The Board'!K$5:K$219,"&lt;="&amp;$B548,'On The Board'!$M$5:$M$219)</f>
        <v>70</v>
      </c>
      <c r="J548" s="10">
        <f t="shared" si="77"/>
        <v>77</v>
      </c>
      <c r="K548" s="10" t="e">
        <f t="shared" ca="1" si="78"/>
        <v>#N/A</v>
      </c>
      <c r="L548" s="44" t="e">
        <f t="shared" ca="1" si="82"/>
        <v>#N/A</v>
      </c>
      <c r="M548" s="44" t="e">
        <f t="shared" ca="1" si="81"/>
        <v>#N/A</v>
      </c>
      <c r="N548" s="44" t="e">
        <f t="shared" ca="1" si="80"/>
        <v>#N/A</v>
      </c>
      <c r="O548" s="53" t="e">
        <f t="shared" ca="1" si="83"/>
        <v>#N/A</v>
      </c>
      <c r="P548" s="53" t="str">
        <f ca="1">IFERROR(DayByDayTable[[#This Row],[Lead Time]],"")</f>
        <v/>
      </c>
      <c r="Q548" s="44" t="e">
        <f t="shared" ca="1" si="84"/>
        <v>#N/A</v>
      </c>
      <c r="R548" s="44">
        <f ca="1">ROUND(PERCENTILE(DayByDayTable[[#Data],[BlankLeadTime]],0.8),0)</f>
        <v>8</v>
      </c>
    </row>
    <row r="549" spans="1:18">
      <c r="A549" s="51">
        <f t="shared" si="76"/>
        <v>43199</v>
      </c>
      <c r="B549" s="11">
        <f t="shared" si="79"/>
        <v>43199</v>
      </c>
      <c r="C549" s="47">
        <f>SUMIFS('On The Board'!$M$5:$M$219,'On The Board'!F$5:F$219,"&lt;="&amp;$B549,'On The Board'!E$5:E$219,"="&amp;FutureWork)</f>
        <v>43</v>
      </c>
      <c r="D549" s="12">
        <f ca="1">IF(TodaysDate&gt;=B549,SUMIF('On The Board'!F$5:F$219,"&lt;="&amp;$B549,'On The Board'!$M$5:$M$219)-SUM(E549:I549),D548)</f>
        <v>47</v>
      </c>
      <c r="E549" s="12">
        <f>SUMIF('On The Board'!G$5:G$219,"&lt;="&amp;$B549,'On The Board'!$M$5:$M$219)-SUM(F549:I549)</f>
        <v>0</v>
      </c>
      <c r="F549" s="12">
        <f>SUMIF('On The Board'!H$5:H$219,"&lt;="&amp;$B549,'On The Board'!$M$5:$M$219)-SUM(G549:I549)</f>
        <v>5</v>
      </c>
      <c r="G549" s="12">
        <f>SUMIF('On The Board'!I$5:I$219,"&lt;="&amp;$B549,'On The Board'!$M$5:$M$219)-SUM(H549,I549)</f>
        <v>2</v>
      </c>
      <c r="H549" s="12">
        <f>SUMIF('On The Board'!J$5:J$219,"&lt;="&amp;$B549,'On The Board'!$M$5:$M$219)-SUM(I549)</f>
        <v>0</v>
      </c>
      <c r="I549" s="12">
        <f>SUMIF('On The Board'!K$5:K$219,"&lt;="&amp;$B549,'On The Board'!$M$5:$M$219)</f>
        <v>70</v>
      </c>
      <c r="J549" s="10">
        <f t="shared" si="77"/>
        <v>77</v>
      </c>
      <c r="K549" s="10" t="e">
        <f t="shared" ca="1" si="78"/>
        <v>#N/A</v>
      </c>
      <c r="L549" s="44" t="e">
        <f t="shared" ca="1" si="82"/>
        <v>#N/A</v>
      </c>
      <c r="M549" s="44" t="e">
        <f t="shared" ca="1" si="81"/>
        <v>#N/A</v>
      </c>
      <c r="N549" s="44" t="e">
        <f t="shared" ca="1" si="80"/>
        <v>#N/A</v>
      </c>
      <c r="O549" s="53" t="e">
        <f t="shared" ca="1" si="83"/>
        <v>#N/A</v>
      </c>
      <c r="P549" s="53" t="str">
        <f ca="1">IFERROR(DayByDayTable[[#This Row],[Lead Time]],"")</f>
        <v/>
      </c>
      <c r="Q549" s="44" t="e">
        <f t="shared" ca="1" si="84"/>
        <v>#N/A</v>
      </c>
      <c r="R549" s="44">
        <f ca="1">ROUND(PERCENTILE(DayByDayTable[[#Data],[BlankLeadTime]],0.8),0)</f>
        <v>8</v>
      </c>
    </row>
    <row r="550" spans="1:18">
      <c r="A550" s="51">
        <f t="shared" si="76"/>
        <v>43200</v>
      </c>
      <c r="B550" s="11">
        <f t="shared" si="79"/>
        <v>43200</v>
      </c>
      <c r="C550" s="47">
        <f>SUMIFS('On The Board'!$M$5:$M$219,'On The Board'!F$5:F$219,"&lt;="&amp;$B550,'On The Board'!E$5:E$219,"="&amp;FutureWork)</f>
        <v>43</v>
      </c>
      <c r="D550" s="12">
        <f ca="1">IF(TodaysDate&gt;=B550,SUMIF('On The Board'!F$5:F$219,"&lt;="&amp;$B550,'On The Board'!$M$5:$M$219)-SUM(E550:I550),D549)</f>
        <v>47</v>
      </c>
      <c r="E550" s="12">
        <f>SUMIF('On The Board'!G$5:G$219,"&lt;="&amp;$B550,'On The Board'!$M$5:$M$219)-SUM(F550:I550)</f>
        <v>0</v>
      </c>
      <c r="F550" s="12">
        <f>SUMIF('On The Board'!H$5:H$219,"&lt;="&amp;$B550,'On The Board'!$M$5:$M$219)-SUM(G550:I550)</f>
        <v>5</v>
      </c>
      <c r="G550" s="12">
        <f>SUMIF('On The Board'!I$5:I$219,"&lt;="&amp;$B550,'On The Board'!$M$5:$M$219)-SUM(H550,I550)</f>
        <v>2</v>
      </c>
      <c r="H550" s="12">
        <f>SUMIF('On The Board'!J$5:J$219,"&lt;="&amp;$B550,'On The Board'!$M$5:$M$219)-SUM(I550)</f>
        <v>0</v>
      </c>
      <c r="I550" s="12">
        <f>SUMIF('On The Board'!K$5:K$219,"&lt;="&amp;$B550,'On The Board'!$M$5:$M$219)</f>
        <v>70</v>
      </c>
      <c r="J550" s="10">
        <f t="shared" si="77"/>
        <v>77</v>
      </c>
      <c r="K550" s="10" t="e">
        <f t="shared" ca="1" si="78"/>
        <v>#N/A</v>
      </c>
      <c r="L550" s="44" t="e">
        <f t="shared" ca="1" si="82"/>
        <v>#N/A</v>
      </c>
      <c r="M550" s="44" t="e">
        <f t="shared" ca="1" si="81"/>
        <v>#N/A</v>
      </c>
      <c r="N550" s="44" t="e">
        <f t="shared" ca="1" si="80"/>
        <v>#N/A</v>
      </c>
      <c r="O550" s="53" t="e">
        <f t="shared" ca="1" si="83"/>
        <v>#N/A</v>
      </c>
      <c r="P550" s="53" t="str">
        <f ca="1">IFERROR(DayByDayTable[[#This Row],[Lead Time]],"")</f>
        <v/>
      </c>
      <c r="Q550" s="44" t="e">
        <f t="shared" ca="1" si="84"/>
        <v>#N/A</v>
      </c>
      <c r="R550" s="44">
        <f ca="1">ROUND(PERCENTILE(DayByDayTable[[#Data],[BlankLeadTime]],0.8),0)</f>
        <v>8</v>
      </c>
    </row>
    <row r="551" spans="1:18">
      <c r="A551" s="51">
        <f t="shared" si="76"/>
        <v>43201</v>
      </c>
      <c r="B551" s="11">
        <f t="shared" si="79"/>
        <v>43201</v>
      </c>
      <c r="C551" s="47">
        <f>SUMIFS('On The Board'!$M$5:$M$219,'On The Board'!F$5:F$219,"&lt;="&amp;$B551,'On The Board'!E$5:E$219,"="&amp;FutureWork)</f>
        <v>43</v>
      </c>
      <c r="D551" s="12">
        <f ca="1">IF(TodaysDate&gt;=B551,SUMIF('On The Board'!F$5:F$219,"&lt;="&amp;$B551,'On The Board'!$M$5:$M$219)-SUM(E551:I551),D550)</f>
        <v>47</v>
      </c>
      <c r="E551" s="12">
        <f>SUMIF('On The Board'!G$5:G$219,"&lt;="&amp;$B551,'On The Board'!$M$5:$M$219)-SUM(F551:I551)</f>
        <v>0</v>
      </c>
      <c r="F551" s="12">
        <f>SUMIF('On The Board'!H$5:H$219,"&lt;="&amp;$B551,'On The Board'!$M$5:$M$219)-SUM(G551:I551)</f>
        <v>5</v>
      </c>
      <c r="G551" s="12">
        <f>SUMIF('On The Board'!I$5:I$219,"&lt;="&amp;$B551,'On The Board'!$M$5:$M$219)-SUM(H551,I551)</f>
        <v>2</v>
      </c>
      <c r="H551" s="12">
        <f>SUMIF('On The Board'!J$5:J$219,"&lt;="&amp;$B551,'On The Board'!$M$5:$M$219)-SUM(I551)</f>
        <v>0</v>
      </c>
      <c r="I551" s="12">
        <f>SUMIF('On The Board'!K$5:K$219,"&lt;="&amp;$B551,'On The Board'!$M$5:$M$219)</f>
        <v>70</v>
      </c>
      <c r="J551" s="10">
        <f t="shared" si="77"/>
        <v>77</v>
      </c>
      <c r="K551" s="10" t="e">
        <f t="shared" ca="1" si="78"/>
        <v>#N/A</v>
      </c>
      <c r="L551" s="44" t="e">
        <f t="shared" ca="1" si="82"/>
        <v>#N/A</v>
      </c>
      <c r="M551" s="44" t="e">
        <f t="shared" ca="1" si="81"/>
        <v>#N/A</v>
      </c>
      <c r="N551" s="44" t="e">
        <f t="shared" ca="1" si="80"/>
        <v>#N/A</v>
      </c>
      <c r="O551" s="53" t="e">
        <f t="shared" ca="1" si="83"/>
        <v>#N/A</v>
      </c>
      <c r="P551" s="53" t="str">
        <f ca="1">IFERROR(DayByDayTable[[#This Row],[Lead Time]],"")</f>
        <v/>
      </c>
      <c r="Q551" s="44" t="e">
        <f t="shared" ca="1" si="84"/>
        <v>#N/A</v>
      </c>
      <c r="R551" s="44">
        <f ca="1">ROUND(PERCENTILE(DayByDayTable[[#Data],[BlankLeadTime]],0.8),0)</f>
        <v>8</v>
      </c>
    </row>
    <row r="552" spans="1:18">
      <c r="A552" s="51">
        <f t="shared" si="76"/>
        <v>43202</v>
      </c>
      <c r="B552" s="11">
        <f t="shared" si="79"/>
        <v>43202</v>
      </c>
      <c r="C552" s="47">
        <f>SUMIFS('On The Board'!$M$5:$M$219,'On The Board'!F$5:F$219,"&lt;="&amp;$B552,'On The Board'!E$5:E$219,"="&amp;FutureWork)</f>
        <v>43</v>
      </c>
      <c r="D552" s="12">
        <f ca="1">IF(TodaysDate&gt;=B552,SUMIF('On The Board'!F$5:F$219,"&lt;="&amp;$B552,'On The Board'!$M$5:$M$219)-SUM(E552:I552),D551)</f>
        <v>47</v>
      </c>
      <c r="E552" s="12">
        <f>SUMIF('On The Board'!G$5:G$219,"&lt;="&amp;$B552,'On The Board'!$M$5:$M$219)-SUM(F552:I552)</f>
        <v>0</v>
      </c>
      <c r="F552" s="12">
        <f>SUMIF('On The Board'!H$5:H$219,"&lt;="&amp;$B552,'On The Board'!$M$5:$M$219)-SUM(G552:I552)</f>
        <v>5</v>
      </c>
      <c r="G552" s="12">
        <f>SUMIF('On The Board'!I$5:I$219,"&lt;="&amp;$B552,'On The Board'!$M$5:$M$219)-SUM(H552,I552)</f>
        <v>2</v>
      </c>
      <c r="H552" s="12">
        <f>SUMIF('On The Board'!J$5:J$219,"&lt;="&amp;$B552,'On The Board'!$M$5:$M$219)-SUM(I552)</f>
        <v>0</v>
      </c>
      <c r="I552" s="12">
        <f>SUMIF('On The Board'!K$5:K$219,"&lt;="&amp;$B552,'On The Board'!$M$5:$M$219)</f>
        <v>70</v>
      </c>
      <c r="J552" s="10">
        <f t="shared" si="77"/>
        <v>77</v>
      </c>
      <c r="K552" s="10" t="e">
        <f t="shared" ca="1" si="78"/>
        <v>#N/A</v>
      </c>
      <c r="L552" s="44" t="e">
        <f t="shared" ca="1" si="82"/>
        <v>#N/A</v>
      </c>
      <c r="M552" s="44" t="e">
        <f t="shared" ca="1" si="81"/>
        <v>#N/A</v>
      </c>
      <c r="N552" s="44" t="e">
        <f t="shared" ca="1" si="80"/>
        <v>#N/A</v>
      </c>
      <c r="O552" s="53" t="e">
        <f t="shared" ca="1" si="83"/>
        <v>#N/A</v>
      </c>
      <c r="P552" s="53" t="str">
        <f ca="1">IFERROR(DayByDayTable[[#This Row],[Lead Time]],"")</f>
        <v/>
      </c>
      <c r="Q552" s="44" t="e">
        <f t="shared" ca="1" si="84"/>
        <v>#N/A</v>
      </c>
      <c r="R552" s="44">
        <f ca="1">ROUND(PERCENTILE(DayByDayTable[[#Data],[BlankLeadTime]],0.8),0)</f>
        <v>8</v>
      </c>
    </row>
    <row r="553" spans="1:18">
      <c r="A553" s="51">
        <f t="shared" si="76"/>
        <v>43203</v>
      </c>
      <c r="B553" s="11">
        <f t="shared" si="79"/>
        <v>43203</v>
      </c>
      <c r="C553" s="47">
        <f>SUMIFS('On The Board'!$M$5:$M$219,'On The Board'!F$5:F$219,"&lt;="&amp;$B553,'On The Board'!E$5:E$219,"="&amp;FutureWork)</f>
        <v>43</v>
      </c>
      <c r="D553" s="12">
        <f ca="1">IF(TodaysDate&gt;=B553,SUMIF('On The Board'!F$5:F$219,"&lt;="&amp;$B553,'On The Board'!$M$5:$M$219)-SUM(E553:I553),D552)</f>
        <v>47</v>
      </c>
      <c r="E553" s="12">
        <f>SUMIF('On The Board'!G$5:G$219,"&lt;="&amp;$B553,'On The Board'!$M$5:$M$219)-SUM(F553:I553)</f>
        <v>0</v>
      </c>
      <c r="F553" s="12">
        <f>SUMIF('On The Board'!H$5:H$219,"&lt;="&amp;$B553,'On The Board'!$M$5:$M$219)-SUM(G553:I553)</f>
        <v>5</v>
      </c>
      <c r="G553" s="12">
        <f>SUMIF('On The Board'!I$5:I$219,"&lt;="&amp;$B553,'On The Board'!$M$5:$M$219)-SUM(H553,I553)</f>
        <v>2</v>
      </c>
      <c r="H553" s="12">
        <f>SUMIF('On The Board'!J$5:J$219,"&lt;="&amp;$B553,'On The Board'!$M$5:$M$219)-SUM(I553)</f>
        <v>0</v>
      </c>
      <c r="I553" s="12">
        <f>SUMIF('On The Board'!K$5:K$219,"&lt;="&amp;$B553,'On The Board'!$M$5:$M$219)</f>
        <v>70</v>
      </c>
      <c r="J553" s="10">
        <f t="shared" si="77"/>
        <v>77</v>
      </c>
      <c r="K553" s="10" t="e">
        <f t="shared" ca="1" si="78"/>
        <v>#N/A</v>
      </c>
      <c r="L553" s="44" t="e">
        <f t="shared" ca="1" si="82"/>
        <v>#N/A</v>
      </c>
      <c r="M553" s="44" t="e">
        <f t="shared" ca="1" si="81"/>
        <v>#N/A</v>
      </c>
      <c r="N553" s="44" t="e">
        <f t="shared" ca="1" si="80"/>
        <v>#N/A</v>
      </c>
      <c r="O553" s="53" t="e">
        <f t="shared" ca="1" si="83"/>
        <v>#N/A</v>
      </c>
      <c r="P553" s="53" t="str">
        <f ca="1">IFERROR(DayByDayTable[[#This Row],[Lead Time]],"")</f>
        <v/>
      </c>
      <c r="Q553" s="44" t="e">
        <f t="shared" ca="1" si="84"/>
        <v>#N/A</v>
      </c>
      <c r="R553" s="44">
        <f ca="1">ROUND(PERCENTILE(DayByDayTable[[#Data],[BlankLeadTime]],0.8),0)</f>
        <v>8</v>
      </c>
    </row>
    <row r="554" spans="1:18">
      <c r="A554" s="51">
        <f t="shared" si="76"/>
        <v>43206</v>
      </c>
      <c r="B554" s="11">
        <f t="shared" si="79"/>
        <v>43206</v>
      </c>
      <c r="C554" s="47">
        <f>SUMIFS('On The Board'!$M$5:$M$219,'On The Board'!F$5:F$219,"&lt;="&amp;$B554,'On The Board'!E$5:E$219,"="&amp;FutureWork)</f>
        <v>43</v>
      </c>
      <c r="D554" s="12">
        <f ca="1">IF(TodaysDate&gt;=B554,SUMIF('On The Board'!F$5:F$219,"&lt;="&amp;$B554,'On The Board'!$M$5:$M$219)-SUM(E554:I554),D553)</f>
        <v>47</v>
      </c>
      <c r="E554" s="12">
        <f>SUMIF('On The Board'!G$5:G$219,"&lt;="&amp;$B554,'On The Board'!$M$5:$M$219)-SUM(F554:I554)</f>
        <v>0</v>
      </c>
      <c r="F554" s="12">
        <f>SUMIF('On The Board'!H$5:H$219,"&lt;="&amp;$B554,'On The Board'!$M$5:$M$219)-SUM(G554:I554)</f>
        <v>5</v>
      </c>
      <c r="G554" s="12">
        <f>SUMIF('On The Board'!I$5:I$219,"&lt;="&amp;$B554,'On The Board'!$M$5:$M$219)-SUM(H554,I554)</f>
        <v>2</v>
      </c>
      <c r="H554" s="12">
        <f>SUMIF('On The Board'!J$5:J$219,"&lt;="&amp;$B554,'On The Board'!$M$5:$M$219)-SUM(I554)</f>
        <v>0</v>
      </c>
      <c r="I554" s="12">
        <f>SUMIF('On The Board'!K$5:K$219,"&lt;="&amp;$B554,'On The Board'!$M$5:$M$219)</f>
        <v>70</v>
      </c>
      <c r="J554" s="10">
        <f t="shared" si="77"/>
        <v>77</v>
      </c>
      <c r="K554" s="10" t="e">
        <f t="shared" ca="1" si="78"/>
        <v>#N/A</v>
      </c>
      <c r="L554" s="44" t="e">
        <f t="shared" ca="1" si="82"/>
        <v>#N/A</v>
      </c>
      <c r="M554" s="44" t="e">
        <f t="shared" ca="1" si="81"/>
        <v>#N/A</v>
      </c>
      <c r="N554" s="44" t="e">
        <f t="shared" ca="1" si="80"/>
        <v>#N/A</v>
      </c>
      <c r="O554" s="53" t="e">
        <f t="shared" ca="1" si="83"/>
        <v>#N/A</v>
      </c>
      <c r="P554" s="53" t="str">
        <f ca="1">IFERROR(DayByDayTable[[#This Row],[Lead Time]],"")</f>
        <v/>
      </c>
      <c r="Q554" s="44" t="e">
        <f t="shared" ca="1" si="84"/>
        <v>#N/A</v>
      </c>
      <c r="R554" s="44">
        <f ca="1">ROUND(PERCENTILE(DayByDayTable[[#Data],[BlankLeadTime]],0.8),0)</f>
        <v>8</v>
      </c>
    </row>
    <row r="555" spans="1:18">
      <c r="A555" s="51">
        <f t="shared" si="76"/>
        <v>43207</v>
      </c>
      <c r="B555" s="11">
        <f t="shared" si="79"/>
        <v>43207</v>
      </c>
      <c r="C555" s="47">
        <f>SUMIFS('On The Board'!$M$5:$M$219,'On The Board'!F$5:F$219,"&lt;="&amp;$B555,'On The Board'!E$5:E$219,"="&amp;FutureWork)</f>
        <v>43</v>
      </c>
      <c r="D555" s="12">
        <f ca="1">IF(TodaysDate&gt;=B555,SUMIF('On The Board'!F$5:F$219,"&lt;="&amp;$B555,'On The Board'!$M$5:$M$219)-SUM(E555:I555),D554)</f>
        <v>47</v>
      </c>
      <c r="E555" s="12">
        <f>SUMIF('On The Board'!G$5:G$219,"&lt;="&amp;$B555,'On The Board'!$M$5:$M$219)-SUM(F555:I555)</f>
        <v>0</v>
      </c>
      <c r="F555" s="12">
        <f>SUMIF('On The Board'!H$5:H$219,"&lt;="&amp;$B555,'On The Board'!$M$5:$M$219)-SUM(G555:I555)</f>
        <v>5</v>
      </c>
      <c r="G555" s="12">
        <f>SUMIF('On The Board'!I$5:I$219,"&lt;="&amp;$B555,'On The Board'!$M$5:$M$219)-SUM(H555,I555)</f>
        <v>2</v>
      </c>
      <c r="H555" s="12">
        <f>SUMIF('On The Board'!J$5:J$219,"&lt;="&amp;$B555,'On The Board'!$M$5:$M$219)-SUM(I555)</f>
        <v>0</v>
      </c>
      <c r="I555" s="12">
        <f>SUMIF('On The Board'!K$5:K$219,"&lt;="&amp;$B555,'On The Board'!$M$5:$M$219)</f>
        <v>70</v>
      </c>
      <c r="J555" s="10">
        <f t="shared" si="77"/>
        <v>77</v>
      </c>
      <c r="K555" s="10" t="e">
        <f t="shared" ca="1" si="78"/>
        <v>#N/A</v>
      </c>
      <c r="L555" s="44" t="e">
        <f t="shared" ca="1" si="82"/>
        <v>#N/A</v>
      </c>
      <c r="M555" s="44" t="e">
        <f t="shared" ca="1" si="81"/>
        <v>#N/A</v>
      </c>
      <c r="N555" s="44" t="e">
        <f t="shared" ca="1" si="80"/>
        <v>#N/A</v>
      </c>
      <c r="O555" s="53" t="e">
        <f t="shared" ca="1" si="83"/>
        <v>#N/A</v>
      </c>
      <c r="P555" s="53" t="str">
        <f ca="1">IFERROR(DayByDayTable[[#This Row],[Lead Time]],"")</f>
        <v/>
      </c>
      <c r="Q555" s="44" t="e">
        <f t="shared" ca="1" si="84"/>
        <v>#N/A</v>
      </c>
      <c r="R555" s="44">
        <f ca="1">ROUND(PERCENTILE(DayByDayTable[[#Data],[BlankLeadTime]],0.8),0)</f>
        <v>8</v>
      </c>
    </row>
    <row r="556" spans="1:18">
      <c r="A556" s="51">
        <f t="shared" si="76"/>
        <v>43208</v>
      </c>
      <c r="B556" s="11">
        <f t="shared" si="79"/>
        <v>43208</v>
      </c>
      <c r="C556" s="47">
        <f>SUMIFS('On The Board'!$M$5:$M$219,'On The Board'!F$5:F$219,"&lt;="&amp;$B556,'On The Board'!E$5:E$219,"="&amp;FutureWork)</f>
        <v>43</v>
      </c>
      <c r="D556" s="12">
        <f ca="1">IF(TodaysDate&gt;=B556,SUMIF('On The Board'!F$5:F$219,"&lt;="&amp;$B556,'On The Board'!$M$5:$M$219)-SUM(E556:I556),D555)</f>
        <v>47</v>
      </c>
      <c r="E556" s="12">
        <f>SUMIF('On The Board'!G$5:G$219,"&lt;="&amp;$B556,'On The Board'!$M$5:$M$219)-SUM(F556:I556)</f>
        <v>0</v>
      </c>
      <c r="F556" s="12">
        <f>SUMIF('On The Board'!H$5:H$219,"&lt;="&amp;$B556,'On The Board'!$M$5:$M$219)-SUM(G556:I556)</f>
        <v>5</v>
      </c>
      <c r="G556" s="12">
        <f>SUMIF('On The Board'!I$5:I$219,"&lt;="&amp;$B556,'On The Board'!$M$5:$M$219)-SUM(H556,I556)</f>
        <v>2</v>
      </c>
      <c r="H556" s="12">
        <f>SUMIF('On The Board'!J$5:J$219,"&lt;="&amp;$B556,'On The Board'!$M$5:$M$219)-SUM(I556)</f>
        <v>0</v>
      </c>
      <c r="I556" s="12">
        <f>SUMIF('On The Board'!K$5:K$219,"&lt;="&amp;$B556,'On The Board'!$M$5:$M$219)</f>
        <v>70</v>
      </c>
      <c r="J556" s="10">
        <f t="shared" si="77"/>
        <v>77</v>
      </c>
      <c r="K556" s="10" t="e">
        <f t="shared" ca="1" si="78"/>
        <v>#N/A</v>
      </c>
      <c r="L556" s="44" t="e">
        <f t="shared" ca="1" si="82"/>
        <v>#N/A</v>
      </c>
      <c r="M556" s="44" t="e">
        <f t="shared" ca="1" si="81"/>
        <v>#N/A</v>
      </c>
      <c r="N556" s="44" t="e">
        <f t="shared" ca="1" si="80"/>
        <v>#N/A</v>
      </c>
      <c r="O556" s="53" t="e">
        <f t="shared" ca="1" si="83"/>
        <v>#N/A</v>
      </c>
      <c r="P556" s="53" t="str">
        <f ca="1">IFERROR(DayByDayTable[[#This Row],[Lead Time]],"")</f>
        <v/>
      </c>
      <c r="Q556" s="44" t="e">
        <f t="shared" ca="1" si="84"/>
        <v>#N/A</v>
      </c>
      <c r="R556" s="44">
        <f ca="1">ROUND(PERCENTILE(DayByDayTable[[#Data],[BlankLeadTime]],0.8),0)</f>
        <v>8</v>
      </c>
    </row>
    <row r="557" spans="1:18">
      <c r="A557" s="51">
        <f t="shared" si="76"/>
        <v>43209</v>
      </c>
      <c r="B557" s="11">
        <f t="shared" si="79"/>
        <v>43209</v>
      </c>
      <c r="C557" s="47">
        <f>SUMIFS('On The Board'!$M$5:$M$219,'On The Board'!F$5:F$219,"&lt;="&amp;$B557,'On The Board'!E$5:E$219,"="&amp;FutureWork)</f>
        <v>43</v>
      </c>
      <c r="D557" s="12">
        <f ca="1">IF(TodaysDate&gt;=B557,SUMIF('On The Board'!F$5:F$219,"&lt;="&amp;$B557,'On The Board'!$M$5:$M$219)-SUM(E557:I557),D556)</f>
        <v>47</v>
      </c>
      <c r="E557" s="12">
        <f>SUMIF('On The Board'!G$5:G$219,"&lt;="&amp;$B557,'On The Board'!$M$5:$M$219)-SUM(F557:I557)</f>
        <v>0</v>
      </c>
      <c r="F557" s="12">
        <f>SUMIF('On The Board'!H$5:H$219,"&lt;="&amp;$B557,'On The Board'!$M$5:$M$219)-SUM(G557:I557)</f>
        <v>5</v>
      </c>
      <c r="G557" s="12">
        <f>SUMIF('On The Board'!I$5:I$219,"&lt;="&amp;$B557,'On The Board'!$M$5:$M$219)-SUM(H557,I557)</f>
        <v>2</v>
      </c>
      <c r="H557" s="12">
        <f>SUMIF('On The Board'!J$5:J$219,"&lt;="&amp;$B557,'On The Board'!$M$5:$M$219)-SUM(I557)</f>
        <v>0</v>
      </c>
      <c r="I557" s="12">
        <f>SUMIF('On The Board'!K$5:K$219,"&lt;="&amp;$B557,'On The Board'!$M$5:$M$219)</f>
        <v>70</v>
      </c>
      <c r="J557" s="10">
        <f t="shared" si="77"/>
        <v>77</v>
      </c>
      <c r="K557" s="10" t="e">
        <f t="shared" ca="1" si="78"/>
        <v>#N/A</v>
      </c>
      <c r="L557" s="44" t="e">
        <f t="shared" ca="1" si="82"/>
        <v>#N/A</v>
      </c>
      <c r="M557" s="44" t="e">
        <f t="shared" ca="1" si="81"/>
        <v>#N/A</v>
      </c>
      <c r="N557" s="44" t="e">
        <f t="shared" ca="1" si="80"/>
        <v>#N/A</v>
      </c>
      <c r="O557" s="53" t="e">
        <f t="shared" ca="1" si="83"/>
        <v>#N/A</v>
      </c>
      <c r="P557" s="53" t="str">
        <f ca="1">IFERROR(DayByDayTable[[#This Row],[Lead Time]],"")</f>
        <v/>
      </c>
      <c r="Q557" s="44" t="e">
        <f t="shared" ca="1" si="84"/>
        <v>#N/A</v>
      </c>
      <c r="R557" s="44">
        <f ca="1">ROUND(PERCENTILE(DayByDayTable[[#Data],[BlankLeadTime]],0.8),0)</f>
        <v>8</v>
      </c>
    </row>
    <row r="558" spans="1:18">
      <c r="A558" s="51">
        <f t="shared" si="76"/>
        <v>43210</v>
      </c>
      <c r="B558" s="11">
        <f t="shared" si="79"/>
        <v>43210</v>
      </c>
      <c r="C558" s="47">
        <f>SUMIFS('On The Board'!$M$5:$M$219,'On The Board'!F$5:F$219,"&lt;="&amp;$B558,'On The Board'!E$5:E$219,"="&amp;FutureWork)</f>
        <v>43</v>
      </c>
      <c r="D558" s="12">
        <f ca="1">IF(TodaysDate&gt;=B558,SUMIF('On The Board'!F$5:F$219,"&lt;="&amp;$B558,'On The Board'!$M$5:$M$219)-SUM(E558:I558),D557)</f>
        <v>47</v>
      </c>
      <c r="E558" s="12">
        <f>SUMIF('On The Board'!G$5:G$219,"&lt;="&amp;$B558,'On The Board'!$M$5:$M$219)-SUM(F558:I558)</f>
        <v>0</v>
      </c>
      <c r="F558" s="12">
        <f>SUMIF('On The Board'!H$5:H$219,"&lt;="&amp;$B558,'On The Board'!$M$5:$M$219)-SUM(G558:I558)</f>
        <v>5</v>
      </c>
      <c r="G558" s="12">
        <f>SUMIF('On The Board'!I$5:I$219,"&lt;="&amp;$B558,'On The Board'!$M$5:$M$219)-SUM(H558,I558)</f>
        <v>2</v>
      </c>
      <c r="H558" s="12">
        <f>SUMIF('On The Board'!J$5:J$219,"&lt;="&amp;$B558,'On The Board'!$M$5:$M$219)-SUM(I558)</f>
        <v>0</v>
      </c>
      <c r="I558" s="12">
        <f>SUMIF('On The Board'!K$5:K$219,"&lt;="&amp;$B558,'On The Board'!$M$5:$M$219)</f>
        <v>70</v>
      </c>
      <c r="J558" s="10">
        <f t="shared" si="77"/>
        <v>77</v>
      </c>
      <c r="K558" s="10" t="e">
        <f t="shared" ca="1" si="78"/>
        <v>#N/A</v>
      </c>
      <c r="L558" s="44" t="e">
        <f t="shared" ca="1" si="82"/>
        <v>#N/A</v>
      </c>
      <c r="M558" s="44" t="e">
        <f t="shared" ca="1" si="81"/>
        <v>#N/A</v>
      </c>
      <c r="N558" s="44" t="e">
        <f t="shared" ca="1" si="80"/>
        <v>#N/A</v>
      </c>
      <c r="O558" s="53" t="e">
        <f t="shared" ca="1" si="83"/>
        <v>#N/A</v>
      </c>
      <c r="P558" s="53" t="str">
        <f ca="1">IFERROR(DayByDayTable[[#This Row],[Lead Time]],"")</f>
        <v/>
      </c>
      <c r="Q558" s="44" t="e">
        <f t="shared" ca="1" si="84"/>
        <v>#N/A</v>
      </c>
      <c r="R558" s="44">
        <f ca="1">ROUND(PERCENTILE(DayByDayTable[[#Data],[BlankLeadTime]],0.8),0)</f>
        <v>8</v>
      </c>
    </row>
    <row r="559" spans="1:18">
      <c r="A559" s="51">
        <f t="shared" si="76"/>
        <v>43213</v>
      </c>
      <c r="B559" s="11">
        <f t="shared" si="79"/>
        <v>43213</v>
      </c>
      <c r="C559" s="47">
        <f>SUMIFS('On The Board'!$M$5:$M$219,'On The Board'!F$5:F$219,"&lt;="&amp;$B559,'On The Board'!E$5:E$219,"="&amp;FutureWork)</f>
        <v>43</v>
      </c>
      <c r="D559" s="12">
        <f ca="1">IF(TodaysDate&gt;=B559,SUMIF('On The Board'!F$5:F$219,"&lt;="&amp;$B559,'On The Board'!$M$5:$M$219)-SUM(E559:I559),D558)</f>
        <v>47</v>
      </c>
      <c r="E559" s="12">
        <f>SUMIF('On The Board'!G$5:G$219,"&lt;="&amp;$B559,'On The Board'!$M$5:$M$219)-SUM(F559:I559)</f>
        <v>0</v>
      </c>
      <c r="F559" s="12">
        <f>SUMIF('On The Board'!H$5:H$219,"&lt;="&amp;$B559,'On The Board'!$M$5:$M$219)-SUM(G559:I559)</f>
        <v>5</v>
      </c>
      <c r="G559" s="12">
        <f>SUMIF('On The Board'!I$5:I$219,"&lt;="&amp;$B559,'On The Board'!$M$5:$M$219)-SUM(H559,I559)</f>
        <v>2</v>
      </c>
      <c r="H559" s="12">
        <f>SUMIF('On The Board'!J$5:J$219,"&lt;="&amp;$B559,'On The Board'!$M$5:$M$219)-SUM(I559)</f>
        <v>0</v>
      </c>
      <c r="I559" s="12">
        <f>SUMIF('On The Board'!K$5:K$219,"&lt;="&amp;$B559,'On The Board'!$M$5:$M$219)</f>
        <v>70</v>
      </c>
      <c r="J559" s="10">
        <f t="shared" si="77"/>
        <v>77</v>
      </c>
      <c r="K559" s="10" t="e">
        <f t="shared" ca="1" si="78"/>
        <v>#N/A</v>
      </c>
      <c r="L559" s="44" t="e">
        <f t="shared" ca="1" si="82"/>
        <v>#N/A</v>
      </c>
      <c r="M559" s="44" t="e">
        <f t="shared" ca="1" si="81"/>
        <v>#N/A</v>
      </c>
      <c r="N559" s="44" t="e">
        <f t="shared" ca="1" si="80"/>
        <v>#N/A</v>
      </c>
      <c r="O559" s="53" t="e">
        <f t="shared" ca="1" si="83"/>
        <v>#N/A</v>
      </c>
      <c r="P559" s="53" t="str">
        <f ca="1">IFERROR(DayByDayTable[[#This Row],[Lead Time]],"")</f>
        <v/>
      </c>
      <c r="Q559" s="44" t="e">
        <f t="shared" ca="1" si="84"/>
        <v>#N/A</v>
      </c>
      <c r="R559" s="44">
        <f ca="1">ROUND(PERCENTILE(DayByDayTable[[#Data],[BlankLeadTime]],0.8),0)</f>
        <v>8</v>
      </c>
    </row>
    <row r="560" spans="1:18">
      <c r="A560" s="51">
        <f t="shared" si="76"/>
        <v>43214</v>
      </c>
      <c r="B560" s="11">
        <f t="shared" si="79"/>
        <v>43214</v>
      </c>
      <c r="C560" s="47">
        <f>SUMIFS('On The Board'!$M$5:$M$219,'On The Board'!F$5:F$219,"&lt;="&amp;$B560,'On The Board'!E$5:E$219,"="&amp;FutureWork)</f>
        <v>43</v>
      </c>
      <c r="D560" s="12">
        <f ca="1">IF(TodaysDate&gt;=B560,SUMIF('On The Board'!F$5:F$219,"&lt;="&amp;$B560,'On The Board'!$M$5:$M$219)-SUM(E560:I560),D559)</f>
        <v>47</v>
      </c>
      <c r="E560" s="12">
        <f>SUMIF('On The Board'!G$5:G$219,"&lt;="&amp;$B560,'On The Board'!$M$5:$M$219)-SUM(F560:I560)</f>
        <v>0</v>
      </c>
      <c r="F560" s="12">
        <f>SUMIF('On The Board'!H$5:H$219,"&lt;="&amp;$B560,'On The Board'!$M$5:$M$219)-SUM(G560:I560)</f>
        <v>5</v>
      </c>
      <c r="G560" s="12">
        <f>SUMIF('On The Board'!I$5:I$219,"&lt;="&amp;$B560,'On The Board'!$M$5:$M$219)-SUM(H560,I560)</f>
        <v>2</v>
      </c>
      <c r="H560" s="12">
        <f>SUMIF('On The Board'!J$5:J$219,"&lt;="&amp;$B560,'On The Board'!$M$5:$M$219)-SUM(I560)</f>
        <v>0</v>
      </c>
      <c r="I560" s="12">
        <f>SUMIF('On The Board'!K$5:K$219,"&lt;="&amp;$B560,'On The Board'!$M$5:$M$219)</f>
        <v>70</v>
      </c>
      <c r="J560" s="10">
        <f t="shared" si="77"/>
        <v>77</v>
      </c>
      <c r="K560" s="10" t="e">
        <f t="shared" ca="1" si="78"/>
        <v>#N/A</v>
      </c>
      <c r="L560" s="44" t="e">
        <f t="shared" ca="1" si="82"/>
        <v>#N/A</v>
      </c>
      <c r="M560" s="44" t="e">
        <f t="shared" ca="1" si="81"/>
        <v>#N/A</v>
      </c>
      <c r="N560" s="44" t="e">
        <f t="shared" ca="1" si="80"/>
        <v>#N/A</v>
      </c>
      <c r="O560" s="53" t="e">
        <f t="shared" ca="1" si="83"/>
        <v>#N/A</v>
      </c>
      <c r="P560" s="53" t="str">
        <f ca="1">IFERROR(DayByDayTable[[#This Row],[Lead Time]],"")</f>
        <v/>
      </c>
      <c r="Q560" s="44" t="e">
        <f t="shared" ca="1" si="84"/>
        <v>#N/A</v>
      </c>
      <c r="R560" s="44">
        <f ca="1">ROUND(PERCENTILE(DayByDayTable[[#Data],[BlankLeadTime]],0.8),0)</f>
        <v>8</v>
      </c>
    </row>
    <row r="561" spans="1:18">
      <c r="A561" s="51">
        <f t="shared" si="76"/>
        <v>43215</v>
      </c>
      <c r="B561" s="11">
        <f t="shared" si="79"/>
        <v>43215</v>
      </c>
      <c r="C561" s="47">
        <f>SUMIFS('On The Board'!$M$5:$M$219,'On The Board'!F$5:F$219,"&lt;="&amp;$B561,'On The Board'!E$5:E$219,"="&amp;FutureWork)</f>
        <v>43</v>
      </c>
      <c r="D561" s="12">
        <f ca="1">IF(TodaysDate&gt;=B561,SUMIF('On The Board'!F$5:F$219,"&lt;="&amp;$B561,'On The Board'!$M$5:$M$219)-SUM(E561:I561),D560)</f>
        <v>47</v>
      </c>
      <c r="E561" s="12">
        <f>SUMIF('On The Board'!G$5:G$219,"&lt;="&amp;$B561,'On The Board'!$M$5:$M$219)-SUM(F561:I561)</f>
        <v>0</v>
      </c>
      <c r="F561" s="12">
        <f>SUMIF('On The Board'!H$5:H$219,"&lt;="&amp;$B561,'On The Board'!$M$5:$M$219)-SUM(G561:I561)</f>
        <v>5</v>
      </c>
      <c r="G561" s="12">
        <f>SUMIF('On The Board'!I$5:I$219,"&lt;="&amp;$B561,'On The Board'!$M$5:$M$219)-SUM(H561,I561)</f>
        <v>2</v>
      </c>
      <c r="H561" s="12">
        <f>SUMIF('On The Board'!J$5:J$219,"&lt;="&amp;$B561,'On The Board'!$M$5:$M$219)-SUM(I561)</f>
        <v>0</v>
      </c>
      <c r="I561" s="12">
        <f>SUMIF('On The Board'!K$5:K$219,"&lt;="&amp;$B561,'On The Board'!$M$5:$M$219)</f>
        <v>70</v>
      </c>
      <c r="J561" s="10">
        <f t="shared" si="77"/>
        <v>77</v>
      </c>
      <c r="K561" s="10" t="e">
        <f t="shared" ca="1" si="78"/>
        <v>#N/A</v>
      </c>
      <c r="L561" s="44" t="e">
        <f t="shared" ca="1" si="82"/>
        <v>#N/A</v>
      </c>
      <c r="M561" s="44" t="e">
        <f t="shared" ca="1" si="81"/>
        <v>#N/A</v>
      </c>
      <c r="N561" s="44" t="e">
        <f t="shared" ca="1" si="80"/>
        <v>#N/A</v>
      </c>
      <c r="O561" s="53" t="e">
        <f t="shared" ca="1" si="83"/>
        <v>#N/A</v>
      </c>
      <c r="P561" s="53" t="str">
        <f ca="1">IFERROR(DayByDayTable[[#This Row],[Lead Time]],"")</f>
        <v/>
      </c>
      <c r="Q561" s="44" t="e">
        <f t="shared" ca="1" si="84"/>
        <v>#N/A</v>
      </c>
      <c r="R561" s="44">
        <f ca="1">ROUND(PERCENTILE(DayByDayTable[[#Data],[BlankLeadTime]],0.8),0)</f>
        <v>8</v>
      </c>
    </row>
    <row r="562" spans="1:18">
      <c r="A562" s="51">
        <f t="shared" si="76"/>
        <v>43216</v>
      </c>
      <c r="B562" s="11">
        <f t="shared" si="79"/>
        <v>43216</v>
      </c>
      <c r="C562" s="47">
        <f>SUMIFS('On The Board'!$M$5:$M$219,'On The Board'!F$5:F$219,"&lt;="&amp;$B562,'On The Board'!E$5:E$219,"="&amp;FutureWork)</f>
        <v>43</v>
      </c>
      <c r="D562" s="12">
        <f ca="1">IF(TodaysDate&gt;=B562,SUMIF('On The Board'!F$5:F$219,"&lt;="&amp;$B562,'On The Board'!$M$5:$M$219)-SUM(E562:I562),D561)</f>
        <v>47</v>
      </c>
      <c r="E562" s="12">
        <f>SUMIF('On The Board'!G$5:G$219,"&lt;="&amp;$B562,'On The Board'!$M$5:$M$219)-SUM(F562:I562)</f>
        <v>0</v>
      </c>
      <c r="F562" s="12">
        <f>SUMIF('On The Board'!H$5:H$219,"&lt;="&amp;$B562,'On The Board'!$M$5:$M$219)-SUM(G562:I562)</f>
        <v>5</v>
      </c>
      <c r="G562" s="12">
        <f>SUMIF('On The Board'!I$5:I$219,"&lt;="&amp;$B562,'On The Board'!$M$5:$M$219)-SUM(H562,I562)</f>
        <v>2</v>
      </c>
      <c r="H562" s="12">
        <f>SUMIF('On The Board'!J$5:J$219,"&lt;="&amp;$B562,'On The Board'!$M$5:$M$219)-SUM(I562)</f>
        <v>0</v>
      </c>
      <c r="I562" s="12">
        <f>SUMIF('On The Board'!K$5:K$219,"&lt;="&amp;$B562,'On The Board'!$M$5:$M$219)</f>
        <v>70</v>
      </c>
      <c r="J562" s="10">
        <f t="shared" si="77"/>
        <v>77</v>
      </c>
      <c r="K562" s="10" t="e">
        <f t="shared" ca="1" si="78"/>
        <v>#N/A</v>
      </c>
      <c r="L562" s="44" t="e">
        <f t="shared" ca="1" si="82"/>
        <v>#N/A</v>
      </c>
      <c r="M562" s="44" t="e">
        <f t="shared" ca="1" si="81"/>
        <v>#N/A</v>
      </c>
      <c r="N562" s="44" t="e">
        <f t="shared" ca="1" si="80"/>
        <v>#N/A</v>
      </c>
      <c r="O562" s="53" t="e">
        <f t="shared" ca="1" si="83"/>
        <v>#N/A</v>
      </c>
      <c r="P562" s="53" t="str">
        <f ca="1">IFERROR(DayByDayTable[[#This Row],[Lead Time]],"")</f>
        <v/>
      </c>
      <c r="Q562" s="44" t="e">
        <f t="shared" ca="1" si="84"/>
        <v>#N/A</v>
      </c>
      <c r="R562" s="44">
        <f ca="1">ROUND(PERCENTILE(DayByDayTable[[#Data],[BlankLeadTime]],0.8),0)</f>
        <v>8</v>
      </c>
    </row>
    <row r="563" spans="1:18">
      <c r="A563" s="51">
        <f t="shared" si="76"/>
        <v>43217</v>
      </c>
      <c r="B563" s="11">
        <f t="shared" si="79"/>
        <v>43217</v>
      </c>
      <c r="C563" s="47">
        <f>SUMIFS('On The Board'!$M$5:$M$219,'On The Board'!F$5:F$219,"&lt;="&amp;$B563,'On The Board'!E$5:E$219,"="&amp;FutureWork)</f>
        <v>43</v>
      </c>
      <c r="D563" s="12">
        <f ca="1">IF(TodaysDate&gt;=B563,SUMIF('On The Board'!F$5:F$219,"&lt;="&amp;$B563,'On The Board'!$M$5:$M$219)-SUM(E563:I563),D562)</f>
        <v>47</v>
      </c>
      <c r="E563" s="12">
        <f>SUMIF('On The Board'!G$5:G$219,"&lt;="&amp;$B563,'On The Board'!$M$5:$M$219)-SUM(F563:I563)</f>
        <v>0</v>
      </c>
      <c r="F563" s="12">
        <f>SUMIF('On The Board'!H$5:H$219,"&lt;="&amp;$B563,'On The Board'!$M$5:$M$219)-SUM(G563:I563)</f>
        <v>5</v>
      </c>
      <c r="G563" s="12">
        <f>SUMIF('On The Board'!I$5:I$219,"&lt;="&amp;$B563,'On The Board'!$M$5:$M$219)-SUM(H563,I563)</f>
        <v>2</v>
      </c>
      <c r="H563" s="12">
        <f>SUMIF('On The Board'!J$5:J$219,"&lt;="&amp;$B563,'On The Board'!$M$5:$M$219)-SUM(I563)</f>
        <v>0</v>
      </c>
      <c r="I563" s="12">
        <f>SUMIF('On The Board'!K$5:K$219,"&lt;="&amp;$B563,'On The Board'!$M$5:$M$219)</f>
        <v>70</v>
      </c>
      <c r="J563" s="10">
        <f t="shared" si="77"/>
        <v>77</v>
      </c>
      <c r="K563" s="10" t="e">
        <f t="shared" ca="1" si="78"/>
        <v>#N/A</v>
      </c>
      <c r="L563" s="44" t="e">
        <f t="shared" ca="1" si="82"/>
        <v>#N/A</v>
      </c>
      <c r="M563" s="44" t="e">
        <f t="shared" ca="1" si="81"/>
        <v>#N/A</v>
      </c>
      <c r="N563" s="44" t="e">
        <f t="shared" ca="1" si="80"/>
        <v>#N/A</v>
      </c>
      <c r="O563" s="53" t="e">
        <f t="shared" ca="1" si="83"/>
        <v>#N/A</v>
      </c>
      <c r="P563" s="53" t="str">
        <f ca="1">IFERROR(DayByDayTable[[#This Row],[Lead Time]],"")</f>
        <v/>
      </c>
      <c r="Q563" s="44" t="e">
        <f t="shared" ca="1" si="84"/>
        <v>#N/A</v>
      </c>
      <c r="R563" s="44">
        <f ca="1">ROUND(PERCENTILE(DayByDayTable[[#Data],[BlankLeadTime]],0.8),0)</f>
        <v>8</v>
      </c>
    </row>
    <row r="564" spans="1:18">
      <c r="A564" s="51">
        <f t="shared" si="76"/>
        <v>43220</v>
      </c>
      <c r="B564" s="11">
        <f t="shared" si="79"/>
        <v>43220</v>
      </c>
      <c r="C564" s="47">
        <f>SUMIFS('On The Board'!$M$5:$M$219,'On The Board'!F$5:F$219,"&lt;="&amp;$B564,'On The Board'!E$5:E$219,"="&amp;FutureWork)</f>
        <v>43</v>
      </c>
      <c r="D564" s="12">
        <f ca="1">IF(TodaysDate&gt;=B564,SUMIF('On The Board'!F$5:F$219,"&lt;="&amp;$B564,'On The Board'!$M$5:$M$219)-SUM(E564:I564),D563)</f>
        <v>47</v>
      </c>
      <c r="E564" s="12">
        <f>SUMIF('On The Board'!G$5:G$219,"&lt;="&amp;$B564,'On The Board'!$M$5:$M$219)-SUM(F564:I564)</f>
        <v>0</v>
      </c>
      <c r="F564" s="12">
        <f>SUMIF('On The Board'!H$5:H$219,"&lt;="&amp;$B564,'On The Board'!$M$5:$M$219)-SUM(G564:I564)</f>
        <v>5</v>
      </c>
      <c r="G564" s="12">
        <f>SUMIF('On The Board'!I$5:I$219,"&lt;="&amp;$B564,'On The Board'!$M$5:$M$219)-SUM(H564,I564)</f>
        <v>2</v>
      </c>
      <c r="H564" s="12">
        <f>SUMIF('On The Board'!J$5:J$219,"&lt;="&amp;$B564,'On The Board'!$M$5:$M$219)-SUM(I564)</f>
        <v>0</v>
      </c>
      <c r="I564" s="12">
        <f>SUMIF('On The Board'!K$5:K$219,"&lt;="&amp;$B564,'On The Board'!$M$5:$M$219)</f>
        <v>70</v>
      </c>
      <c r="J564" s="10">
        <f t="shared" si="77"/>
        <v>77</v>
      </c>
      <c r="K564" s="10" t="e">
        <f t="shared" ca="1" si="78"/>
        <v>#N/A</v>
      </c>
      <c r="L564" s="44" t="e">
        <f t="shared" ca="1" si="82"/>
        <v>#N/A</v>
      </c>
      <c r="M564" s="44" t="e">
        <f t="shared" ca="1" si="81"/>
        <v>#N/A</v>
      </c>
      <c r="N564" s="44" t="e">
        <f t="shared" ca="1" si="80"/>
        <v>#N/A</v>
      </c>
      <c r="O564" s="53" t="e">
        <f t="shared" ca="1" si="83"/>
        <v>#N/A</v>
      </c>
      <c r="P564" s="53" t="str">
        <f ca="1">IFERROR(DayByDayTable[[#This Row],[Lead Time]],"")</f>
        <v/>
      </c>
      <c r="Q564" s="44" t="e">
        <f t="shared" ca="1" si="84"/>
        <v>#N/A</v>
      </c>
      <c r="R564" s="44">
        <f ca="1">ROUND(PERCENTILE(DayByDayTable[[#Data],[BlankLeadTime]],0.8),0)</f>
        <v>8</v>
      </c>
    </row>
    <row r="565" spans="1:18">
      <c r="A565" s="51">
        <f t="shared" si="76"/>
        <v>43221</v>
      </c>
      <c r="B565" s="11">
        <f t="shared" si="79"/>
        <v>43221</v>
      </c>
      <c r="C565" s="47">
        <f>SUMIFS('On The Board'!$M$5:$M$219,'On The Board'!F$5:F$219,"&lt;="&amp;$B565,'On The Board'!E$5:E$219,"="&amp;FutureWork)</f>
        <v>43</v>
      </c>
      <c r="D565" s="12">
        <f ca="1">IF(TodaysDate&gt;=B565,SUMIF('On The Board'!F$5:F$219,"&lt;="&amp;$B565,'On The Board'!$M$5:$M$219)-SUM(E565:I565),D564)</f>
        <v>47</v>
      </c>
      <c r="E565" s="12">
        <f>SUMIF('On The Board'!G$5:G$219,"&lt;="&amp;$B565,'On The Board'!$M$5:$M$219)-SUM(F565:I565)</f>
        <v>0</v>
      </c>
      <c r="F565" s="12">
        <f>SUMIF('On The Board'!H$5:H$219,"&lt;="&amp;$B565,'On The Board'!$M$5:$M$219)-SUM(G565:I565)</f>
        <v>5</v>
      </c>
      <c r="G565" s="12">
        <f>SUMIF('On The Board'!I$5:I$219,"&lt;="&amp;$B565,'On The Board'!$M$5:$M$219)-SUM(H565,I565)</f>
        <v>2</v>
      </c>
      <c r="H565" s="12">
        <f>SUMIF('On The Board'!J$5:J$219,"&lt;="&amp;$B565,'On The Board'!$M$5:$M$219)-SUM(I565)</f>
        <v>0</v>
      </c>
      <c r="I565" s="12">
        <f>SUMIF('On The Board'!K$5:K$219,"&lt;="&amp;$B565,'On The Board'!$M$5:$M$219)</f>
        <v>70</v>
      </c>
      <c r="J565" s="10">
        <f t="shared" si="77"/>
        <v>77</v>
      </c>
      <c r="K565" s="10" t="e">
        <f t="shared" ca="1" si="78"/>
        <v>#N/A</v>
      </c>
      <c r="L565" s="44" t="e">
        <f t="shared" ca="1" si="82"/>
        <v>#N/A</v>
      </c>
      <c r="M565" s="44" t="e">
        <f t="shared" ca="1" si="81"/>
        <v>#N/A</v>
      </c>
      <c r="N565" s="44" t="e">
        <f t="shared" ca="1" si="80"/>
        <v>#N/A</v>
      </c>
      <c r="O565" s="53" t="e">
        <f t="shared" ca="1" si="83"/>
        <v>#N/A</v>
      </c>
      <c r="P565" s="53" t="str">
        <f ca="1">IFERROR(DayByDayTable[[#This Row],[Lead Time]],"")</f>
        <v/>
      </c>
      <c r="Q565" s="44" t="e">
        <f t="shared" ca="1" si="84"/>
        <v>#N/A</v>
      </c>
      <c r="R565" s="44">
        <f ca="1">ROUND(PERCENTILE(DayByDayTable[[#Data],[BlankLeadTime]],0.8),0)</f>
        <v>8</v>
      </c>
    </row>
    <row r="566" spans="1:18">
      <c r="A566" s="51">
        <f t="shared" si="76"/>
        <v>43222</v>
      </c>
      <c r="B566" s="11">
        <f t="shared" si="79"/>
        <v>43222</v>
      </c>
      <c r="C566" s="47">
        <f>SUMIFS('On The Board'!$M$5:$M$219,'On The Board'!F$5:F$219,"&lt;="&amp;$B566,'On The Board'!E$5:E$219,"="&amp;FutureWork)</f>
        <v>43</v>
      </c>
      <c r="D566" s="12">
        <f ca="1">IF(TodaysDate&gt;=B566,SUMIF('On The Board'!F$5:F$219,"&lt;="&amp;$B566,'On The Board'!$M$5:$M$219)-SUM(E566:I566),D565)</f>
        <v>47</v>
      </c>
      <c r="E566" s="12">
        <f>SUMIF('On The Board'!G$5:G$219,"&lt;="&amp;$B566,'On The Board'!$M$5:$M$219)-SUM(F566:I566)</f>
        <v>0</v>
      </c>
      <c r="F566" s="12">
        <f>SUMIF('On The Board'!H$5:H$219,"&lt;="&amp;$B566,'On The Board'!$M$5:$M$219)-SUM(G566:I566)</f>
        <v>5</v>
      </c>
      <c r="G566" s="12">
        <f>SUMIF('On The Board'!I$5:I$219,"&lt;="&amp;$B566,'On The Board'!$M$5:$M$219)-SUM(H566,I566)</f>
        <v>2</v>
      </c>
      <c r="H566" s="12">
        <f>SUMIF('On The Board'!J$5:J$219,"&lt;="&amp;$B566,'On The Board'!$M$5:$M$219)-SUM(I566)</f>
        <v>0</v>
      </c>
      <c r="I566" s="12">
        <f>SUMIF('On The Board'!K$5:K$219,"&lt;="&amp;$B566,'On The Board'!$M$5:$M$219)</f>
        <v>70</v>
      </c>
      <c r="J566" s="10">
        <f t="shared" si="77"/>
        <v>77</v>
      </c>
      <c r="K566" s="10" t="e">
        <f t="shared" ca="1" si="78"/>
        <v>#N/A</v>
      </c>
      <c r="L566" s="44" t="e">
        <f t="shared" ca="1" si="82"/>
        <v>#N/A</v>
      </c>
      <c r="M566" s="44" t="e">
        <f t="shared" ca="1" si="81"/>
        <v>#N/A</v>
      </c>
      <c r="N566" s="44" t="e">
        <f t="shared" ca="1" si="80"/>
        <v>#N/A</v>
      </c>
      <c r="O566" s="53" t="e">
        <f t="shared" ca="1" si="83"/>
        <v>#N/A</v>
      </c>
      <c r="P566" s="53" t="str">
        <f ca="1">IFERROR(DayByDayTable[[#This Row],[Lead Time]],"")</f>
        <v/>
      </c>
      <c r="Q566" s="44" t="e">
        <f t="shared" ca="1" si="84"/>
        <v>#N/A</v>
      </c>
      <c r="R566" s="44">
        <f ca="1">ROUND(PERCENTILE(DayByDayTable[[#Data],[BlankLeadTime]],0.8),0)</f>
        <v>8</v>
      </c>
    </row>
    <row r="567" spans="1:18">
      <c r="A567" s="51">
        <f t="shared" si="76"/>
        <v>43223</v>
      </c>
      <c r="B567" s="11">
        <f t="shared" si="79"/>
        <v>43223</v>
      </c>
      <c r="C567" s="47">
        <f>SUMIFS('On The Board'!$M$5:$M$219,'On The Board'!F$5:F$219,"&lt;="&amp;$B567,'On The Board'!E$5:E$219,"="&amp;FutureWork)</f>
        <v>43</v>
      </c>
      <c r="D567" s="12">
        <f ca="1">IF(TodaysDate&gt;=B567,SUMIF('On The Board'!F$5:F$219,"&lt;="&amp;$B567,'On The Board'!$M$5:$M$219)-SUM(E567:I567),D566)</f>
        <v>47</v>
      </c>
      <c r="E567" s="12">
        <f>SUMIF('On The Board'!G$5:G$219,"&lt;="&amp;$B567,'On The Board'!$M$5:$M$219)-SUM(F567:I567)</f>
        <v>0</v>
      </c>
      <c r="F567" s="12">
        <f>SUMIF('On The Board'!H$5:H$219,"&lt;="&amp;$B567,'On The Board'!$M$5:$M$219)-SUM(G567:I567)</f>
        <v>5</v>
      </c>
      <c r="G567" s="12">
        <f>SUMIF('On The Board'!I$5:I$219,"&lt;="&amp;$B567,'On The Board'!$M$5:$M$219)-SUM(H567,I567)</f>
        <v>2</v>
      </c>
      <c r="H567" s="12">
        <f>SUMIF('On The Board'!J$5:J$219,"&lt;="&amp;$B567,'On The Board'!$M$5:$M$219)-SUM(I567)</f>
        <v>0</v>
      </c>
      <c r="I567" s="12">
        <f>SUMIF('On The Board'!K$5:K$219,"&lt;="&amp;$B567,'On The Board'!$M$5:$M$219)</f>
        <v>70</v>
      </c>
      <c r="J567" s="10">
        <f t="shared" si="77"/>
        <v>77</v>
      </c>
      <c r="K567" s="10" t="e">
        <f t="shared" ca="1" si="78"/>
        <v>#N/A</v>
      </c>
      <c r="L567" s="44" t="e">
        <f t="shared" ca="1" si="82"/>
        <v>#N/A</v>
      </c>
      <c r="M567" s="44" t="e">
        <f t="shared" ca="1" si="81"/>
        <v>#N/A</v>
      </c>
      <c r="N567" s="44" t="e">
        <f t="shared" ca="1" si="80"/>
        <v>#N/A</v>
      </c>
      <c r="O567" s="53" t="e">
        <f t="shared" ca="1" si="83"/>
        <v>#N/A</v>
      </c>
      <c r="P567" s="53" t="str">
        <f ca="1">IFERROR(DayByDayTable[[#This Row],[Lead Time]],"")</f>
        <v/>
      </c>
      <c r="Q567" s="44" t="e">
        <f t="shared" ca="1" si="84"/>
        <v>#N/A</v>
      </c>
      <c r="R567" s="44">
        <f ca="1">ROUND(PERCENTILE(DayByDayTable[[#Data],[BlankLeadTime]],0.8),0)</f>
        <v>8</v>
      </c>
    </row>
    <row r="568" spans="1:18">
      <c r="A568" s="51">
        <f t="shared" si="76"/>
        <v>43224</v>
      </c>
      <c r="B568" s="11">
        <f t="shared" si="79"/>
        <v>43224</v>
      </c>
      <c r="C568" s="47">
        <f>SUMIFS('On The Board'!$M$5:$M$219,'On The Board'!F$5:F$219,"&lt;="&amp;$B568,'On The Board'!E$5:E$219,"="&amp;FutureWork)</f>
        <v>43</v>
      </c>
      <c r="D568" s="12">
        <f ca="1">IF(TodaysDate&gt;=B568,SUMIF('On The Board'!F$5:F$219,"&lt;="&amp;$B568,'On The Board'!$M$5:$M$219)-SUM(E568:I568),D567)</f>
        <v>47</v>
      </c>
      <c r="E568" s="12">
        <f>SUMIF('On The Board'!G$5:G$219,"&lt;="&amp;$B568,'On The Board'!$M$5:$M$219)-SUM(F568:I568)</f>
        <v>0</v>
      </c>
      <c r="F568" s="12">
        <f>SUMIF('On The Board'!H$5:H$219,"&lt;="&amp;$B568,'On The Board'!$M$5:$M$219)-SUM(G568:I568)</f>
        <v>5</v>
      </c>
      <c r="G568" s="12">
        <f>SUMIF('On The Board'!I$5:I$219,"&lt;="&amp;$B568,'On The Board'!$M$5:$M$219)-SUM(H568,I568)</f>
        <v>2</v>
      </c>
      <c r="H568" s="12">
        <f>SUMIF('On The Board'!J$5:J$219,"&lt;="&amp;$B568,'On The Board'!$M$5:$M$219)-SUM(I568)</f>
        <v>0</v>
      </c>
      <c r="I568" s="12">
        <f>SUMIF('On The Board'!K$5:K$219,"&lt;="&amp;$B568,'On The Board'!$M$5:$M$219)</f>
        <v>70</v>
      </c>
      <c r="J568" s="10">
        <f t="shared" si="77"/>
        <v>77</v>
      </c>
      <c r="K568" s="10" t="e">
        <f t="shared" ca="1" si="78"/>
        <v>#N/A</v>
      </c>
      <c r="L568" s="44" t="e">
        <f t="shared" ca="1" si="82"/>
        <v>#N/A</v>
      </c>
      <c r="M568" s="44" t="e">
        <f t="shared" ca="1" si="81"/>
        <v>#N/A</v>
      </c>
      <c r="N568" s="44" t="e">
        <f t="shared" ca="1" si="80"/>
        <v>#N/A</v>
      </c>
      <c r="O568" s="53" t="e">
        <f t="shared" ca="1" si="83"/>
        <v>#N/A</v>
      </c>
      <c r="P568" s="53" t="str">
        <f ca="1">IFERROR(DayByDayTable[[#This Row],[Lead Time]],"")</f>
        <v/>
      </c>
      <c r="Q568" s="44" t="e">
        <f t="shared" ca="1" si="84"/>
        <v>#N/A</v>
      </c>
      <c r="R568" s="44">
        <f ca="1">ROUND(PERCENTILE(DayByDayTable[[#Data],[BlankLeadTime]],0.8),0)</f>
        <v>8</v>
      </c>
    </row>
    <row r="569" spans="1:18">
      <c r="A569" s="51">
        <f t="shared" si="76"/>
        <v>43228</v>
      </c>
      <c r="B569" s="11">
        <f t="shared" si="79"/>
        <v>43228</v>
      </c>
      <c r="C569" s="47">
        <f>SUMIFS('On The Board'!$M$5:$M$219,'On The Board'!F$5:F$219,"&lt;="&amp;$B569,'On The Board'!E$5:E$219,"="&amp;FutureWork)</f>
        <v>43</v>
      </c>
      <c r="D569" s="12">
        <f ca="1">IF(TodaysDate&gt;=B569,SUMIF('On The Board'!F$5:F$219,"&lt;="&amp;$B569,'On The Board'!$M$5:$M$219)-SUM(E569:I569),D568)</f>
        <v>47</v>
      </c>
      <c r="E569" s="12">
        <f>SUMIF('On The Board'!G$5:G$219,"&lt;="&amp;$B569,'On The Board'!$M$5:$M$219)-SUM(F569:I569)</f>
        <v>0</v>
      </c>
      <c r="F569" s="12">
        <f>SUMIF('On The Board'!H$5:H$219,"&lt;="&amp;$B569,'On The Board'!$M$5:$M$219)-SUM(G569:I569)</f>
        <v>5</v>
      </c>
      <c r="G569" s="12">
        <f>SUMIF('On The Board'!I$5:I$219,"&lt;="&amp;$B569,'On The Board'!$M$5:$M$219)-SUM(H569,I569)</f>
        <v>2</v>
      </c>
      <c r="H569" s="12">
        <f>SUMIF('On The Board'!J$5:J$219,"&lt;="&amp;$B569,'On The Board'!$M$5:$M$219)-SUM(I569)</f>
        <v>0</v>
      </c>
      <c r="I569" s="12">
        <f>SUMIF('On The Board'!K$5:K$219,"&lt;="&amp;$B569,'On The Board'!$M$5:$M$219)</f>
        <v>70</v>
      </c>
      <c r="J569" s="10">
        <f t="shared" si="77"/>
        <v>77</v>
      </c>
      <c r="K569" s="10" t="e">
        <f t="shared" ca="1" si="78"/>
        <v>#N/A</v>
      </c>
      <c r="L569" s="44" t="e">
        <f t="shared" ca="1" si="82"/>
        <v>#N/A</v>
      </c>
      <c r="M569" s="44" t="e">
        <f t="shared" ca="1" si="81"/>
        <v>#N/A</v>
      </c>
      <c r="N569" s="44" t="e">
        <f t="shared" ca="1" si="80"/>
        <v>#N/A</v>
      </c>
      <c r="O569" s="53" t="e">
        <f t="shared" ca="1" si="83"/>
        <v>#N/A</v>
      </c>
      <c r="P569" s="53" t="str">
        <f ca="1">IFERROR(DayByDayTable[[#This Row],[Lead Time]],"")</f>
        <v/>
      </c>
      <c r="Q569" s="44" t="e">
        <f t="shared" ca="1" si="84"/>
        <v>#N/A</v>
      </c>
      <c r="R569" s="44">
        <f ca="1">ROUND(PERCENTILE(DayByDayTable[[#Data],[BlankLeadTime]],0.8),0)</f>
        <v>8</v>
      </c>
    </row>
    <row r="570" spans="1:18">
      <c r="A570" s="51">
        <f t="shared" si="76"/>
        <v>43229</v>
      </c>
      <c r="B570" s="11">
        <f t="shared" si="79"/>
        <v>43229</v>
      </c>
      <c r="C570" s="47">
        <f>SUMIFS('On The Board'!$M$5:$M$219,'On The Board'!F$5:F$219,"&lt;="&amp;$B570,'On The Board'!E$5:E$219,"="&amp;FutureWork)</f>
        <v>43</v>
      </c>
      <c r="D570" s="12">
        <f ca="1">IF(TodaysDate&gt;=B570,SUMIF('On The Board'!F$5:F$219,"&lt;="&amp;$B570,'On The Board'!$M$5:$M$219)-SUM(E570:I570),D569)</f>
        <v>47</v>
      </c>
      <c r="E570" s="12">
        <f>SUMIF('On The Board'!G$5:G$219,"&lt;="&amp;$B570,'On The Board'!$M$5:$M$219)-SUM(F570:I570)</f>
        <v>0</v>
      </c>
      <c r="F570" s="12">
        <f>SUMIF('On The Board'!H$5:H$219,"&lt;="&amp;$B570,'On The Board'!$M$5:$M$219)-SUM(G570:I570)</f>
        <v>5</v>
      </c>
      <c r="G570" s="12">
        <f>SUMIF('On The Board'!I$5:I$219,"&lt;="&amp;$B570,'On The Board'!$M$5:$M$219)-SUM(H570,I570)</f>
        <v>2</v>
      </c>
      <c r="H570" s="12">
        <f>SUMIF('On The Board'!J$5:J$219,"&lt;="&amp;$B570,'On The Board'!$M$5:$M$219)-SUM(I570)</f>
        <v>0</v>
      </c>
      <c r="I570" s="12">
        <f>SUMIF('On The Board'!K$5:K$219,"&lt;="&amp;$B570,'On The Board'!$M$5:$M$219)</f>
        <v>70</v>
      </c>
      <c r="J570" s="10">
        <f t="shared" si="77"/>
        <v>77</v>
      </c>
      <c r="K570" s="10" t="e">
        <f t="shared" ca="1" si="78"/>
        <v>#N/A</v>
      </c>
      <c r="L570" s="44" t="e">
        <f t="shared" ca="1" si="82"/>
        <v>#N/A</v>
      </c>
      <c r="M570" s="44" t="e">
        <f t="shared" ca="1" si="81"/>
        <v>#N/A</v>
      </c>
      <c r="N570" s="44" t="e">
        <f t="shared" ca="1" si="80"/>
        <v>#N/A</v>
      </c>
      <c r="O570" s="53" t="e">
        <f t="shared" ca="1" si="83"/>
        <v>#N/A</v>
      </c>
      <c r="P570" s="53" t="str">
        <f ca="1">IFERROR(DayByDayTable[[#This Row],[Lead Time]],"")</f>
        <v/>
      </c>
      <c r="Q570" s="44" t="e">
        <f t="shared" ca="1" si="84"/>
        <v>#N/A</v>
      </c>
      <c r="R570" s="44">
        <f ca="1">ROUND(PERCENTILE(DayByDayTable[[#Data],[BlankLeadTime]],0.8),0)</f>
        <v>8</v>
      </c>
    </row>
    <row r="571" spans="1:18">
      <c r="A571" s="51">
        <f t="shared" si="76"/>
        <v>43230</v>
      </c>
      <c r="B571" s="11">
        <f t="shared" si="79"/>
        <v>43230</v>
      </c>
      <c r="C571" s="47">
        <f>SUMIFS('On The Board'!$M$5:$M$219,'On The Board'!F$5:F$219,"&lt;="&amp;$B571,'On The Board'!E$5:E$219,"="&amp;FutureWork)</f>
        <v>43</v>
      </c>
      <c r="D571" s="12">
        <f ca="1">IF(TodaysDate&gt;=B571,SUMIF('On The Board'!F$5:F$219,"&lt;="&amp;$B571,'On The Board'!$M$5:$M$219)-SUM(E571:I571),D570)</f>
        <v>47</v>
      </c>
      <c r="E571" s="12">
        <f>SUMIF('On The Board'!G$5:G$219,"&lt;="&amp;$B571,'On The Board'!$M$5:$M$219)-SUM(F571:I571)</f>
        <v>0</v>
      </c>
      <c r="F571" s="12">
        <f>SUMIF('On The Board'!H$5:H$219,"&lt;="&amp;$B571,'On The Board'!$M$5:$M$219)-SUM(G571:I571)</f>
        <v>5</v>
      </c>
      <c r="G571" s="12">
        <f>SUMIF('On The Board'!I$5:I$219,"&lt;="&amp;$B571,'On The Board'!$M$5:$M$219)-SUM(H571,I571)</f>
        <v>2</v>
      </c>
      <c r="H571" s="12">
        <f>SUMIF('On The Board'!J$5:J$219,"&lt;="&amp;$B571,'On The Board'!$M$5:$M$219)-SUM(I571)</f>
        <v>0</v>
      </c>
      <c r="I571" s="12">
        <f>SUMIF('On The Board'!K$5:K$219,"&lt;="&amp;$B571,'On The Board'!$M$5:$M$219)</f>
        <v>70</v>
      </c>
      <c r="J571" s="10">
        <f t="shared" si="77"/>
        <v>77</v>
      </c>
      <c r="K571" s="10" t="e">
        <f t="shared" ca="1" si="78"/>
        <v>#N/A</v>
      </c>
      <c r="L571" s="44" t="e">
        <f t="shared" ca="1" si="82"/>
        <v>#N/A</v>
      </c>
      <c r="M571" s="44" t="e">
        <f t="shared" ca="1" si="81"/>
        <v>#N/A</v>
      </c>
      <c r="N571" s="44" t="e">
        <f t="shared" ca="1" si="80"/>
        <v>#N/A</v>
      </c>
      <c r="O571" s="53" t="e">
        <f t="shared" ca="1" si="83"/>
        <v>#N/A</v>
      </c>
      <c r="P571" s="53" t="str">
        <f ca="1">IFERROR(DayByDayTable[[#This Row],[Lead Time]],"")</f>
        <v/>
      </c>
      <c r="Q571" s="44" t="e">
        <f t="shared" ca="1" si="84"/>
        <v>#N/A</v>
      </c>
      <c r="R571" s="44">
        <f ca="1">ROUND(PERCENTILE(DayByDayTable[[#Data],[BlankLeadTime]],0.8),0)</f>
        <v>8</v>
      </c>
    </row>
    <row r="572" spans="1:18">
      <c r="A572" s="51">
        <f t="shared" si="76"/>
        <v>43231</v>
      </c>
      <c r="B572" s="11">
        <f t="shared" si="79"/>
        <v>43231</v>
      </c>
      <c r="C572" s="47">
        <f>SUMIFS('On The Board'!$M$5:$M$219,'On The Board'!F$5:F$219,"&lt;="&amp;$B572,'On The Board'!E$5:E$219,"="&amp;FutureWork)</f>
        <v>43</v>
      </c>
      <c r="D572" s="12">
        <f ca="1">IF(TodaysDate&gt;=B572,SUMIF('On The Board'!F$5:F$219,"&lt;="&amp;$B572,'On The Board'!$M$5:$M$219)-SUM(E572:I572),D571)</f>
        <v>47</v>
      </c>
      <c r="E572" s="12">
        <f>SUMIF('On The Board'!G$5:G$219,"&lt;="&amp;$B572,'On The Board'!$M$5:$M$219)-SUM(F572:I572)</f>
        <v>0</v>
      </c>
      <c r="F572" s="12">
        <f>SUMIF('On The Board'!H$5:H$219,"&lt;="&amp;$B572,'On The Board'!$M$5:$M$219)-SUM(G572:I572)</f>
        <v>5</v>
      </c>
      <c r="G572" s="12">
        <f>SUMIF('On The Board'!I$5:I$219,"&lt;="&amp;$B572,'On The Board'!$M$5:$M$219)-SUM(H572,I572)</f>
        <v>2</v>
      </c>
      <c r="H572" s="12">
        <f>SUMIF('On The Board'!J$5:J$219,"&lt;="&amp;$B572,'On The Board'!$M$5:$M$219)-SUM(I572)</f>
        <v>0</v>
      </c>
      <c r="I572" s="12">
        <f>SUMIF('On The Board'!K$5:K$219,"&lt;="&amp;$B572,'On The Board'!$M$5:$M$219)</f>
        <v>70</v>
      </c>
      <c r="J572" s="10">
        <f t="shared" si="77"/>
        <v>77</v>
      </c>
      <c r="K572" s="10" t="e">
        <f t="shared" ca="1" si="78"/>
        <v>#N/A</v>
      </c>
      <c r="L572" s="44" t="e">
        <f t="shared" ca="1" si="82"/>
        <v>#N/A</v>
      </c>
      <c r="M572" s="44" t="e">
        <f t="shared" ca="1" si="81"/>
        <v>#N/A</v>
      </c>
      <c r="N572" s="44" t="e">
        <f t="shared" ca="1" si="80"/>
        <v>#N/A</v>
      </c>
      <c r="O572" s="53" t="e">
        <f t="shared" ca="1" si="83"/>
        <v>#N/A</v>
      </c>
      <c r="P572" s="53" t="str">
        <f ca="1">IFERROR(DayByDayTable[[#This Row],[Lead Time]],"")</f>
        <v/>
      </c>
      <c r="Q572" s="44" t="e">
        <f t="shared" ca="1" si="84"/>
        <v>#N/A</v>
      </c>
      <c r="R572" s="44">
        <f ca="1">ROUND(PERCENTILE(DayByDayTable[[#Data],[BlankLeadTime]],0.8),0)</f>
        <v>8</v>
      </c>
    </row>
    <row r="573" spans="1:18">
      <c r="A573" s="51">
        <f t="shared" si="76"/>
        <v>43234</v>
      </c>
      <c r="B573" s="11">
        <f t="shared" si="79"/>
        <v>43234</v>
      </c>
      <c r="C573" s="47">
        <f>SUMIFS('On The Board'!$M$5:$M$219,'On The Board'!F$5:F$219,"&lt;="&amp;$B573,'On The Board'!E$5:E$219,"="&amp;FutureWork)</f>
        <v>43</v>
      </c>
      <c r="D573" s="12">
        <f ca="1">IF(TodaysDate&gt;=B573,SUMIF('On The Board'!F$5:F$219,"&lt;="&amp;$B573,'On The Board'!$M$5:$M$219)-SUM(E573:I573),D572)</f>
        <v>47</v>
      </c>
      <c r="E573" s="12">
        <f>SUMIF('On The Board'!G$5:G$219,"&lt;="&amp;$B573,'On The Board'!$M$5:$M$219)-SUM(F573:I573)</f>
        <v>0</v>
      </c>
      <c r="F573" s="12">
        <f>SUMIF('On The Board'!H$5:H$219,"&lt;="&amp;$B573,'On The Board'!$M$5:$M$219)-SUM(G573:I573)</f>
        <v>5</v>
      </c>
      <c r="G573" s="12">
        <f>SUMIF('On The Board'!I$5:I$219,"&lt;="&amp;$B573,'On The Board'!$M$5:$M$219)-SUM(H573,I573)</f>
        <v>2</v>
      </c>
      <c r="H573" s="12">
        <f>SUMIF('On The Board'!J$5:J$219,"&lt;="&amp;$B573,'On The Board'!$M$5:$M$219)-SUM(I573)</f>
        <v>0</v>
      </c>
      <c r="I573" s="12">
        <f>SUMIF('On The Board'!K$5:K$219,"&lt;="&amp;$B573,'On The Board'!$M$5:$M$219)</f>
        <v>70</v>
      </c>
      <c r="J573" s="10">
        <f t="shared" si="77"/>
        <v>77</v>
      </c>
      <c r="K573" s="10" t="e">
        <f t="shared" ca="1" si="78"/>
        <v>#N/A</v>
      </c>
      <c r="L573" s="44" t="e">
        <f t="shared" ca="1" si="82"/>
        <v>#N/A</v>
      </c>
      <c r="M573" s="44" t="e">
        <f t="shared" ca="1" si="81"/>
        <v>#N/A</v>
      </c>
      <c r="N573" s="44" t="e">
        <f t="shared" ca="1" si="80"/>
        <v>#N/A</v>
      </c>
      <c r="O573" s="53" t="e">
        <f t="shared" ca="1" si="83"/>
        <v>#N/A</v>
      </c>
      <c r="P573" s="53" t="str">
        <f ca="1">IFERROR(DayByDayTable[[#This Row],[Lead Time]],"")</f>
        <v/>
      </c>
      <c r="Q573" s="44" t="e">
        <f t="shared" ca="1" si="84"/>
        <v>#N/A</v>
      </c>
      <c r="R573" s="44">
        <f ca="1">ROUND(PERCENTILE(DayByDayTable[[#Data],[BlankLeadTime]],0.8),0)</f>
        <v>8</v>
      </c>
    </row>
    <row r="574" spans="1:18">
      <c r="A574" s="51">
        <f t="shared" si="76"/>
        <v>43235</v>
      </c>
      <c r="B574" s="11">
        <f t="shared" si="79"/>
        <v>43235</v>
      </c>
      <c r="C574" s="47">
        <f>SUMIFS('On The Board'!$M$5:$M$219,'On The Board'!F$5:F$219,"&lt;="&amp;$B574,'On The Board'!E$5:E$219,"="&amp;FutureWork)</f>
        <v>43</v>
      </c>
      <c r="D574" s="12">
        <f ca="1">IF(TodaysDate&gt;=B574,SUMIF('On The Board'!F$5:F$219,"&lt;="&amp;$B574,'On The Board'!$M$5:$M$219)-SUM(E574:I574),D573)</f>
        <v>47</v>
      </c>
      <c r="E574" s="12">
        <f>SUMIF('On The Board'!G$5:G$219,"&lt;="&amp;$B574,'On The Board'!$M$5:$M$219)-SUM(F574:I574)</f>
        <v>0</v>
      </c>
      <c r="F574" s="12">
        <f>SUMIF('On The Board'!H$5:H$219,"&lt;="&amp;$B574,'On The Board'!$M$5:$M$219)-SUM(G574:I574)</f>
        <v>5</v>
      </c>
      <c r="G574" s="12">
        <f>SUMIF('On The Board'!I$5:I$219,"&lt;="&amp;$B574,'On The Board'!$M$5:$M$219)-SUM(H574,I574)</f>
        <v>2</v>
      </c>
      <c r="H574" s="12">
        <f>SUMIF('On The Board'!J$5:J$219,"&lt;="&amp;$B574,'On The Board'!$M$5:$M$219)-SUM(I574)</f>
        <v>0</v>
      </c>
      <c r="I574" s="12">
        <f>SUMIF('On The Board'!K$5:K$219,"&lt;="&amp;$B574,'On The Board'!$M$5:$M$219)</f>
        <v>70</v>
      </c>
      <c r="J574" s="10">
        <f t="shared" si="77"/>
        <v>77</v>
      </c>
      <c r="K574" s="10" t="e">
        <f t="shared" ca="1" si="78"/>
        <v>#N/A</v>
      </c>
      <c r="L574" s="44" t="e">
        <f t="shared" ca="1" si="82"/>
        <v>#N/A</v>
      </c>
      <c r="M574" s="44" t="e">
        <f t="shared" ca="1" si="81"/>
        <v>#N/A</v>
      </c>
      <c r="N574" s="44" t="e">
        <f t="shared" ca="1" si="80"/>
        <v>#N/A</v>
      </c>
      <c r="O574" s="53" t="e">
        <f t="shared" ca="1" si="83"/>
        <v>#N/A</v>
      </c>
      <c r="P574" s="53" t="str">
        <f ca="1">IFERROR(DayByDayTable[[#This Row],[Lead Time]],"")</f>
        <v/>
      </c>
      <c r="Q574" s="44" t="e">
        <f t="shared" ca="1" si="84"/>
        <v>#N/A</v>
      </c>
      <c r="R574" s="44">
        <f ca="1">ROUND(PERCENTILE(DayByDayTable[[#Data],[BlankLeadTime]],0.8),0)</f>
        <v>8</v>
      </c>
    </row>
    <row r="575" spans="1:18">
      <c r="A575" s="51">
        <f t="shared" ref="A575:A589" si="85">B575</f>
        <v>43236</v>
      </c>
      <c r="B575" s="11">
        <f t="shared" si="79"/>
        <v>43236</v>
      </c>
      <c r="C575" s="47">
        <f>SUMIFS('On The Board'!$M$5:$M$219,'On The Board'!F$5:F$219,"&lt;="&amp;$B575,'On The Board'!E$5:E$219,"="&amp;FutureWork)</f>
        <v>43</v>
      </c>
      <c r="D575" s="12">
        <f ca="1">IF(TodaysDate&gt;=B575,SUMIF('On The Board'!F$5:F$219,"&lt;="&amp;$B575,'On The Board'!$M$5:$M$219)-SUM(E575:I575),D574)</f>
        <v>47</v>
      </c>
      <c r="E575" s="12">
        <f>SUMIF('On The Board'!G$5:G$219,"&lt;="&amp;$B575,'On The Board'!$M$5:$M$219)-SUM(F575:I575)</f>
        <v>0</v>
      </c>
      <c r="F575" s="12">
        <f>SUMIF('On The Board'!H$5:H$219,"&lt;="&amp;$B575,'On The Board'!$M$5:$M$219)-SUM(G575:I575)</f>
        <v>5</v>
      </c>
      <c r="G575" s="12">
        <f>SUMIF('On The Board'!I$5:I$219,"&lt;="&amp;$B575,'On The Board'!$M$5:$M$219)-SUM(H575,I575)</f>
        <v>2</v>
      </c>
      <c r="H575" s="12">
        <f>SUMIF('On The Board'!J$5:J$219,"&lt;="&amp;$B575,'On The Board'!$M$5:$M$219)-SUM(I575)</f>
        <v>0</v>
      </c>
      <c r="I575" s="12">
        <f>SUMIF('On The Board'!K$5:K$219,"&lt;="&amp;$B575,'On The Board'!$M$5:$M$219)</f>
        <v>70</v>
      </c>
      <c r="J575" s="10">
        <f t="shared" ref="J575:J589" si="86">SUM(E575:I575)</f>
        <v>77</v>
      </c>
      <c r="K575" s="10" t="e">
        <f t="shared" ca="1" si="78"/>
        <v>#N/A</v>
      </c>
      <c r="L575" s="44" t="e">
        <f t="shared" ca="1" si="82"/>
        <v>#N/A</v>
      </c>
      <c r="M575" s="44" t="e">
        <f t="shared" ca="1" si="81"/>
        <v>#N/A</v>
      </c>
      <c r="N575" s="44" t="e">
        <f t="shared" ca="1" si="80"/>
        <v>#N/A</v>
      </c>
      <c r="O575" s="53" t="e">
        <f t="shared" ca="1" si="83"/>
        <v>#N/A</v>
      </c>
      <c r="P575" s="53" t="str">
        <f ca="1">IFERROR(DayByDayTable[[#This Row],[Lead Time]],"")</f>
        <v/>
      </c>
      <c r="Q575" s="44" t="e">
        <f t="shared" ca="1" si="84"/>
        <v>#N/A</v>
      </c>
      <c r="R575" s="44">
        <f ca="1">ROUND(PERCENTILE(DayByDayTable[[#Data],[BlankLeadTime]],0.8),0)</f>
        <v>8</v>
      </c>
    </row>
    <row r="576" spans="1:18">
      <c r="A576" s="51">
        <f t="shared" si="85"/>
        <v>43237</v>
      </c>
      <c r="B576" s="11">
        <f t="shared" si="79"/>
        <v>43237</v>
      </c>
      <c r="C576" s="47">
        <f>SUMIFS('On The Board'!$M$5:$M$219,'On The Board'!F$5:F$219,"&lt;="&amp;$B576,'On The Board'!E$5:E$219,"="&amp;FutureWork)</f>
        <v>43</v>
      </c>
      <c r="D576" s="12">
        <f ca="1">IF(TodaysDate&gt;=B576,SUMIF('On The Board'!F$5:F$219,"&lt;="&amp;$B576,'On The Board'!$M$5:$M$219)-SUM(E576:I576),D575)</f>
        <v>47</v>
      </c>
      <c r="E576" s="12">
        <f>SUMIF('On The Board'!G$5:G$219,"&lt;="&amp;$B576,'On The Board'!$M$5:$M$219)-SUM(F576:I576)</f>
        <v>0</v>
      </c>
      <c r="F576" s="12">
        <f>SUMIF('On The Board'!H$5:H$219,"&lt;="&amp;$B576,'On The Board'!$M$5:$M$219)-SUM(G576:I576)</f>
        <v>5</v>
      </c>
      <c r="G576" s="12">
        <f>SUMIF('On The Board'!I$5:I$219,"&lt;="&amp;$B576,'On The Board'!$M$5:$M$219)-SUM(H576,I576)</f>
        <v>2</v>
      </c>
      <c r="H576" s="12">
        <f>SUMIF('On The Board'!J$5:J$219,"&lt;="&amp;$B576,'On The Board'!$M$5:$M$219)-SUM(I576)</f>
        <v>0</v>
      </c>
      <c r="I576" s="12">
        <f>SUMIF('On The Board'!K$5:K$219,"&lt;="&amp;$B576,'On The Board'!$M$5:$M$219)</f>
        <v>70</v>
      </c>
      <c r="J576" s="10">
        <f t="shared" si="86"/>
        <v>77</v>
      </c>
      <c r="K576" s="10" t="e">
        <f t="shared" ca="1" si="78"/>
        <v>#N/A</v>
      </c>
      <c r="L576" s="44" t="e">
        <f t="shared" ca="1" si="82"/>
        <v>#N/A</v>
      </c>
      <c r="M576" s="44" t="e">
        <f t="shared" ca="1" si="81"/>
        <v>#N/A</v>
      </c>
      <c r="N576" s="44" t="e">
        <f t="shared" ca="1" si="80"/>
        <v>#N/A</v>
      </c>
      <c r="O576" s="53" t="e">
        <f t="shared" ca="1" si="83"/>
        <v>#N/A</v>
      </c>
      <c r="P576" s="53" t="str">
        <f ca="1">IFERROR(DayByDayTable[[#This Row],[Lead Time]],"")</f>
        <v/>
      </c>
      <c r="Q576" s="44" t="e">
        <f t="shared" ca="1" si="84"/>
        <v>#N/A</v>
      </c>
      <c r="R576" s="44">
        <f ca="1">ROUND(PERCENTILE(DayByDayTable[[#Data],[BlankLeadTime]],0.8),0)</f>
        <v>8</v>
      </c>
    </row>
    <row r="577" spans="1:18">
      <c r="A577" s="51">
        <f t="shared" si="85"/>
        <v>43238</v>
      </c>
      <c r="B577" s="11">
        <f t="shared" si="79"/>
        <v>43238</v>
      </c>
      <c r="C577" s="47">
        <f>SUMIFS('On The Board'!$M$5:$M$219,'On The Board'!F$5:F$219,"&lt;="&amp;$B577,'On The Board'!E$5:E$219,"="&amp;FutureWork)</f>
        <v>43</v>
      </c>
      <c r="D577" s="12">
        <f ca="1">IF(TodaysDate&gt;=B577,SUMIF('On The Board'!F$5:F$219,"&lt;="&amp;$B577,'On The Board'!$M$5:$M$219)-SUM(E577:I577),D576)</f>
        <v>47</v>
      </c>
      <c r="E577" s="12">
        <f>SUMIF('On The Board'!G$5:G$219,"&lt;="&amp;$B577,'On The Board'!$M$5:$M$219)-SUM(F577:I577)</f>
        <v>0</v>
      </c>
      <c r="F577" s="12">
        <f>SUMIF('On The Board'!H$5:H$219,"&lt;="&amp;$B577,'On The Board'!$M$5:$M$219)-SUM(G577:I577)</f>
        <v>5</v>
      </c>
      <c r="G577" s="12">
        <f>SUMIF('On The Board'!I$5:I$219,"&lt;="&amp;$B577,'On The Board'!$M$5:$M$219)-SUM(H577,I577)</f>
        <v>2</v>
      </c>
      <c r="H577" s="12">
        <f>SUMIF('On The Board'!J$5:J$219,"&lt;="&amp;$B577,'On The Board'!$M$5:$M$219)-SUM(I577)</f>
        <v>0</v>
      </c>
      <c r="I577" s="12">
        <f>SUMIF('On The Board'!K$5:K$219,"&lt;="&amp;$B577,'On The Board'!$M$5:$M$219)</f>
        <v>70</v>
      </c>
      <c r="J577" s="10">
        <f t="shared" si="86"/>
        <v>77</v>
      </c>
      <c r="K577" s="10" t="e">
        <f t="shared" ca="1" si="78"/>
        <v>#N/A</v>
      </c>
      <c r="L577" s="44" t="e">
        <f t="shared" ca="1" si="82"/>
        <v>#N/A</v>
      </c>
      <c r="M577" s="44" t="e">
        <f t="shared" ca="1" si="81"/>
        <v>#N/A</v>
      </c>
      <c r="N577" s="44" t="e">
        <f t="shared" ca="1" si="80"/>
        <v>#N/A</v>
      </c>
      <c r="O577" s="53" t="e">
        <f t="shared" ca="1" si="83"/>
        <v>#N/A</v>
      </c>
      <c r="P577" s="53" t="str">
        <f ca="1">IFERROR(DayByDayTable[[#This Row],[Lead Time]],"")</f>
        <v/>
      </c>
      <c r="Q577" s="44" t="e">
        <f t="shared" ca="1" si="84"/>
        <v>#N/A</v>
      </c>
      <c r="R577" s="44">
        <f ca="1">ROUND(PERCENTILE(DayByDayTable[[#Data],[BlankLeadTime]],0.8),0)</f>
        <v>8</v>
      </c>
    </row>
    <row r="578" spans="1:18">
      <c r="A578" s="51">
        <f t="shared" si="85"/>
        <v>43241</v>
      </c>
      <c r="B578" s="11">
        <f t="shared" si="79"/>
        <v>43241</v>
      </c>
      <c r="C578" s="47">
        <f>SUMIFS('On The Board'!$M$5:$M$219,'On The Board'!F$5:F$219,"&lt;="&amp;$B578,'On The Board'!E$5:E$219,"="&amp;FutureWork)</f>
        <v>43</v>
      </c>
      <c r="D578" s="12">
        <f ca="1">IF(TodaysDate&gt;=B578,SUMIF('On The Board'!F$5:F$219,"&lt;="&amp;$B578,'On The Board'!$M$5:$M$219)-SUM(E578:I578),D577)</f>
        <v>47</v>
      </c>
      <c r="E578" s="12">
        <f>SUMIF('On The Board'!G$5:G$219,"&lt;="&amp;$B578,'On The Board'!$M$5:$M$219)-SUM(F578:I578)</f>
        <v>0</v>
      </c>
      <c r="F578" s="12">
        <f>SUMIF('On The Board'!H$5:H$219,"&lt;="&amp;$B578,'On The Board'!$M$5:$M$219)-SUM(G578:I578)</f>
        <v>5</v>
      </c>
      <c r="G578" s="12">
        <f>SUMIF('On The Board'!I$5:I$219,"&lt;="&amp;$B578,'On The Board'!$M$5:$M$219)-SUM(H578,I578)</f>
        <v>2</v>
      </c>
      <c r="H578" s="12">
        <f>SUMIF('On The Board'!J$5:J$219,"&lt;="&amp;$B578,'On The Board'!$M$5:$M$219)-SUM(I578)</f>
        <v>0</v>
      </c>
      <c r="I578" s="12">
        <f>SUMIF('On The Board'!K$5:K$219,"&lt;="&amp;$B578,'On The Board'!$M$5:$M$219)</f>
        <v>70</v>
      </c>
      <c r="J578" s="10">
        <f t="shared" si="86"/>
        <v>77</v>
      </c>
      <c r="K578" s="10" t="e">
        <f t="shared" ref="K578:K600" ca="1" si="87">IF(TodaysDate&gt;=B578,SUM(E578:H578),NA())</f>
        <v>#N/A</v>
      </c>
      <c r="L578" s="44" t="e">
        <f t="shared" ca="1" si="82"/>
        <v>#N/A</v>
      </c>
      <c r="M578" s="44" t="e">
        <f t="shared" ca="1" si="81"/>
        <v>#N/A</v>
      </c>
      <c r="N578" s="44" t="e">
        <f t="shared" ca="1" si="80"/>
        <v>#N/A</v>
      </c>
      <c r="O578" s="53" t="e">
        <f t="shared" ca="1" si="83"/>
        <v>#N/A</v>
      </c>
      <c r="P578" s="53" t="str">
        <f ca="1">IFERROR(DayByDayTable[[#This Row],[Lead Time]],"")</f>
        <v/>
      </c>
      <c r="Q578" s="44" t="e">
        <f t="shared" ca="1" si="84"/>
        <v>#N/A</v>
      </c>
      <c r="R578" s="44">
        <f ca="1">ROUND(PERCENTILE(DayByDayTable[[#Data],[BlankLeadTime]],0.8),0)</f>
        <v>8</v>
      </c>
    </row>
    <row r="579" spans="1:18">
      <c r="A579" s="51">
        <f t="shared" si="85"/>
        <v>43242</v>
      </c>
      <c r="B579" s="11">
        <f t="shared" ref="B579:B600" si="88">IF(NETWORKDAYS(B578,B578+1,BankHolidays)=2,B578+1,IF(NETWORKDAYS(B578,B578+2,BankHolidays)=2,B578+2,IF(NETWORKDAYS(B578,B578+3,BankHolidays)=2,B578+3,IF(NETWORKDAYS(B578,B578+4,BankHolidays)=2,B578+4,IF(NETWORKDAYS(B578,B578+5,BankHolidays)=2,B578+5,NA())))))</f>
        <v>43242</v>
      </c>
      <c r="C579" s="47">
        <f>SUMIFS('On The Board'!$M$5:$M$219,'On The Board'!F$5:F$219,"&lt;="&amp;$B579,'On The Board'!E$5:E$219,"="&amp;FutureWork)</f>
        <v>43</v>
      </c>
      <c r="D579" s="12">
        <f ca="1">IF(TodaysDate&gt;=B579,SUMIF('On The Board'!F$5:F$219,"&lt;="&amp;$B579,'On The Board'!$M$5:$M$219)-SUM(E579:I579),D578)</f>
        <v>47</v>
      </c>
      <c r="E579" s="12">
        <f>SUMIF('On The Board'!G$5:G$219,"&lt;="&amp;$B579,'On The Board'!$M$5:$M$219)-SUM(F579:I579)</f>
        <v>0</v>
      </c>
      <c r="F579" s="12">
        <f>SUMIF('On The Board'!H$5:H$219,"&lt;="&amp;$B579,'On The Board'!$M$5:$M$219)-SUM(G579:I579)</f>
        <v>5</v>
      </c>
      <c r="G579" s="12">
        <f>SUMIF('On The Board'!I$5:I$219,"&lt;="&amp;$B579,'On The Board'!$M$5:$M$219)-SUM(H579,I579)</f>
        <v>2</v>
      </c>
      <c r="H579" s="12">
        <f>SUMIF('On The Board'!J$5:J$219,"&lt;="&amp;$B579,'On The Board'!$M$5:$M$219)-SUM(I579)</f>
        <v>0</v>
      </c>
      <c r="I579" s="12">
        <f>SUMIF('On The Board'!K$5:K$219,"&lt;="&amp;$B579,'On The Board'!$M$5:$M$219)</f>
        <v>70</v>
      </c>
      <c r="J579" s="10">
        <f t="shared" si="86"/>
        <v>77</v>
      </c>
      <c r="K579" s="10" t="e">
        <f t="shared" ca="1" si="87"/>
        <v>#N/A</v>
      </c>
      <c r="L579" s="44" t="e">
        <f t="shared" ca="1" si="82"/>
        <v>#N/A</v>
      </c>
      <c r="M579" s="44" t="e">
        <f t="shared" ca="1" si="81"/>
        <v>#N/A</v>
      </c>
      <c r="N579" s="44" t="e">
        <f t="shared" ref="N579:N589" ca="1" si="89">IF(M579&gt;0,L579/M579,NA())</f>
        <v>#N/A</v>
      </c>
      <c r="O579" s="53" t="e">
        <f t="shared" ca="1" si="83"/>
        <v>#N/A</v>
      </c>
      <c r="P579" s="53" t="str">
        <f ca="1">IFERROR(DayByDayTable[[#This Row],[Lead Time]],"")</f>
        <v/>
      </c>
      <c r="Q579" s="44" t="e">
        <f t="shared" ca="1" si="84"/>
        <v>#N/A</v>
      </c>
      <c r="R579" s="44">
        <f ca="1">ROUND(PERCENTILE(DayByDayTable[[#Data],[BlankLeadTime]],0.8),0)</f>
        <v>8</v>
      </c>
    </row>
    <row r="580" spans="1:18">
      <c r="A580" s="51">
        <f t="shared" si="85"/>
        <v>43243</v>
      </c>
      <c r="B580" s="11">
        <f t="shared" si="88"/>
        <v>43243</v>
      </c>
      <c r="C580" s="47">
        <f>SUMIFS('On The Board'!$M$5:$M$219,'On The Board'!F$5:F$219,"&lt;="&amp;$B580,'On The Board'!E$5:E$219,"="&amp;FutureWork)</f>
        <v>43</v>
      </c>
      <c r="D580" s="12">
        <f ca="1">IF(TodaysDate&gt;=B580,SUMIF('On The Board'!F$5:F$219,"&lt;="&amp;$B580,'On The Board'!$M$5:$M$219)-SUM(E580:I580),D579)</f>
        <v>47</v>
      </c>
      <c r="E580" s="12">
        <f>SUMIF('On The Board'!G$5:G$219,"&lt;="&amp;$B580,'On The Board'!$M$5:$M$219)-SUM(F580:I580)</f>
        <v>0</v>
      </c>
      <c r="F580" s="12">
        <f>SUMIF('On The Board'!H$5:H$219,"&lt;="&amp;$B580,'On The Board'!$M$5:$M$219)-SUM(G580:I580)</f>
        <v>5</v>
      </c>
      <c r="G580" s="12">
        <f>SUMIF('On The Board'!I$5:I$219,"&lt;="&amp;$B580,'On The Board'!$M$5:$M$219)-SUM(H580,I580)</f>
        <v>2</v>
      </c>
      <c r="H580" s="12">
        <f>SUMIF('On The Board'!J$5:J$219,"&lt;="&amp;$B580,'On The Board'!$M$5:$M$219)-SUM(I580)</f>
        <v>0</v>
      </c>
      <c r="I580" s="12">
        <f>SUMIF('On The Board'!K$5:K$219,"&lt;="&amp;$B580,'On The Board'!$M$5:$M$219)</f>
        <v>70</v>
      </c>
      <c r="J580" s="10">
        <f t="shared" si="86"/>
        <v>77</v>
      </c>
      <c r="K580" s="10" t="e">
        <f t="shared" ca="1" si="87"/>
        <v>#N/A</v>
      </c>
      <c r="L580" s="44" t="e">
        <f t="shared" ca="1" si="82"/>
        <v>#N/A</v>
      </c>
      <c r="M580" s="44" t="e">
        <f t="shared" ca="1" si="81"/>
        <v>#N/A</v>
      </c>
      <c r="N580" s="44" t="e">
        <f t="shared" ca="1" si="89"/>
        <v>#N/A</v>
      </c>
      <c r="O580" s="53" t="e">
        <f t="shared" ca="1" si="83"/>
        <v>#N/A</v>
      </c>
      <c r="P580" s="53" t="str">
        <f ca="1">IFERROR(DayByDayTable[[#This Row],[Lead Time]],"")</f>
        <v/>
      </c>
      <c r="Q580" s="44" t="e">
        <f t="shared" ca="1" si="84"/>
        <v>#N/A</v>
      </c>
      <c r="R580" s="44">
        <f ca="1">ROUND(PERCENTILE(DayByDayTable[[#Data],[BlankLeadTime]],0.8),0)</f>
        <v>8</v>
      </c>
    </row>
    <row r="581" spans="1:18">
      <c r="A581" s="51">
        <f t="shared" si="85"/>
        <v>43244</v>
      </c>
      <c r="B581" s="11">
        <f t="shared" si="88"/>
        <v>43244</v>
      </c>
      <c r="C581" s="47">
        <f>SUMIFS('On The Board'!$M$5:$M$219,'On The Board'!F$5:F$219,"&lt;="&amp;$B581,'On The Board'!E$5:E$219,"="&amp;FutureWork)</f>
        <v>43</v>
      </c>
      <c r="D581" s="12">
        <f ca="1">IF(TodaysDate&gt;=B581,SUMIF('On The Board'!F$5:F$219,"&lt;="&amp;$B581,'On The Board'!$M$5:$M$219)-SUM(E581:I581),D580)</f>
        <v>47</v>
      </c>
      <c r="E581" s="12">
        <f>SUMIF('On The Board'!G$5:G$219,"&lt;="&amp;$B581,'On The Board'!$M$5:$M$219)-SUM(F581:I581)</f>
        <v>0</v>
      </c>
      <c r="F581" s="12">
        <f>SUMIF('On The Board'!H$5:H$219,"&lt;="&amp;$B581,'On The Board'!$M$5:$M$219)-SUM(G581:I581)</f>
        <v>5</v>
      </c>
      <c r="G581" s="12">
        <f>SUMIF('On The Board'!I$5:I$219,"&lt;="&amp;$B581,'On The Board'!$M$5:$M$219)-SUM(H581,I581)</f>
        <v>2</v>
      </c>
      <c r="H581" s="12">
        <f>SUMIF('On The Board'!J$5:J$219,"&lt;="&amp;$B581,'On The Board'!$M$5:$M$219)-SUM(I581)</f>
        <v>0</v>
      </c>
      <c r="I581" s="12">
        <f>SUMIF('On The Board'!K$5:K$219,"&lt;="&amp;$B581,'On The Board'!$M$5:$M$219)</f>
        <v>70</v>
      </c>
      <c r="J581" s="10">
        <f t="shared" si="86"/>
        <v>77</v>
      </c>
      <c r="K581" s="10" t="e">
        <f t="shared" ca="1" si="87"/>
        <v>#N/A</v>
      </c>
      <c r="L581" s="44" t="e">
        <f t="shared" ca="1" si="82"/>
        <v>#N/A</v>
      </c>
      <c r="M581" s="44" t="e">
        <f t="shared" ca="1" si="81"/>
        <v>#N/A</v>
      </c>
      <c r="N581" s="44" t="e">
        <f t="shared" ca="1" si="89"/>
        <v>#N/A</v>
      </c>
      <c r="O581" s="53" t="e">
        <f t="shared" ca="1" si="83"/>
        <v>#N/A</v>
      </c>
      <c r="P581" s="53" t="str">
        <f ca="1">IFERROR(DayByDayTable[[#This Row],[Lead Time]],"")</f>
        <v/>
      </c>
      <c r="Q581" s="44" t="e">
        <f t="shared" ca="1" si="84"/>
        <v>#N/A</v>
      </c>
      <c r="R581" s="44">
        <f ca="1">ROUND(PERCENTILE(DayByDayTable[[#Data],[BlankLeadTime]],0.8),0)</f>
        <v>8</v>
      </c>
    </row>
    <row r="582" spans="1:18">
      <c r="A582" s="51">
        <f t="shared" si="85"/>
        <v>43245</v>
      </c>
      <c r="B582" s="11">
        <f t="shared" si="88"/>
        <v>43245</v>
      </c>
      <c r="C582" s="47">
        <f>SUMIFS('On The Board'!$M$5:$M$219,'On The Board'!F$5:F$219,"&lt;="&amp;$B582,'On The Board'!E$5:E$219,"="&amp;FutureWork)</f>
        <v>43</v>
      </c>
      <c r="D582" s="12">
        <f ca="1">IF(TodaysDate&gt;=B582,SUMIF('On The Board'!F$5:F$219,"&lt;="&amp;$B582,'On The Board'!$M$5:$M$219)-SUM(E582:I582),D581)</f>
        <v>47</v>
      </c>
      <c r="E582" s="12">
        <f>SUMIF('On The Board'!G$5:G$219,"&lt;="&amp;$B582,'On The Board'!$M$5:$M$219)-SUM(F582:I582)</f>
        <v>0</v>
      </c>
      <c r="F582" s="12">
        <f>SUMIF('On The Board'!H$5:H$219,"&lt;="&amp;$B582,'On The Board'!$M$5:$M$219)-SUM(G582:I582)</f>
        <v>5</v>
      </c>
      <c r="G582" s="12">
        <f>SUMIF('On The Board'!I$5:I$219,"&lt;="&amp;$B582,'On The Board'!$M$5:$M$219)-SUM(H582,I582)</f>
        <v>2</v>
      </c>
      <c r="H582" s="12">
        <f>SUMIF('On The Board'!J$5:J$219,"&lt;="&amp;$B582,'On The Board'!$M$5:$M$219)-SUM(I582)</f>
        <v>0</v>
      </c>
      <c r="I582" s="12">
        <f>SUMIF('On The Board'!K$5:K$219,"&lt;="&amp;$B582,'On The Board'!$M$5:$M$219)</f>
        <v>70</v>
      </c>
      <c r="J582" s="10">
        <f t="shared" si="86"/>
        <v>77</v>
      </c>
      <c r="K582" s="10" t="e">
        <f t="shared" ca="1" si="87"/>
        <v>#N/A</v>
      </c>
      <c r="L582" s="44" t="e">
        <f t="shared" ca="1" si="82"/>
        <v>#N/A</v>
      </c>
      <c r="M582" s="44" t="e">
        <f t="shared" ca="1" si="81"/>
        <v>#N/A</v>
      </c>
      <c r="N582" s="44" t="e">
        <f t="shared" ca="1" si="89"/>
        <v>#N/A</v>
      </c>
      <c r="O582" s="53" t="e">
        <f t="shared" ca="1" si="83"/>
        <v>#N/A</v>
      </c>
      <c r="P582" s="53" t="str">
        <f ca="1">IFERROR(DayByDayTable[[#This Row],[Lead Time]],"")</f>
        <v/>
      </c>
      <c r="Q582" s="44" t="e">
        <f t="shared" ca="1" si="84"/>
        <v>#N/A</v>
      </c>
      <c r="R582" s="44">
        <f ca="1">ROUND(PERCENTILE(DayByDayTable[[#Data],[BlankLeadTime]],0.8),0)</f>
        <v>8</v>
      </c>
    </row>
    <row r="583" spans="1:18">
      <c r="A583" s="51">
        <f t="shared" si="85"/>
        <v>43249</v>
      </c>
      <c r="B583" s="11">
        <f t="shared" si="88"/>
        <v>43249</v>
      </c>
      <c r="C583" s="47">
        <f>SUMIFS('On The Board'!$M$5:$M$219,'On The Board'!F$5:F$219,"&lt;="&amp;$B583,'On The Board'!E$5:E$219,"="&amp;FutureWork)</f>
        <v>43</v>
      </c>
      <c r="D583" s="12">
        <f ca="1">IF(TodaysDate&gt;=B583,SUMIF('On The Board'!F$5:F$219,"&lt;="&amp;$B583,'On The Board'!$M$5:$M$219)-SUM(E583:I583),D582)</f>
        <v>47</v>
      </c>
      <c r="E583" s="12">
        <f>SUMIF('On The Board'!G$5:G$219,"&lt;="&amp;$B583,'On The Board'!$M$5:$M$219)-SUM(F583:I583)</f>
        <v>0</v>
      </c>
      <c r="F583" s="12">
        <f>SUMIF('On The Board'!H$5:H$219,"&lt;="&amp;$B583,'On The Board'!$M$5:$M$219)-SUM(G583:I583)</f>
        <v>5</v>
      </c>
      <c r="G583" s="12">
        <f>SUMIF('On The Board'!I$5:I$219,"&lt;="&amp;$B583,'On The Board'!$M$5:$M$219)-SUM(H583,I583)</f>
        <v>2</v>
      </c>
      <c r="H583" s="12">
        <f>SUMIF('On The Board'!J$5:J$219,"&lt;="&amp;$B583,'On The Board'!$M$5:$M$219)-SUM(I583)</f>
        <v>0</v>
      </c>
      <c r="I583" s="12">
        <f>SUMIF('On The Board'!K$5:K$219,"&lt;="&amp;$B583,'On The Board'!$M$5:$M$219)</f>
        <v>70</v>
      </c>
      <c r="J583" s="10">
        <f t="shared" si="86"/>
        <v>77</v>
      </c>
      <c r="K583" s="10" t="e">
        <f t="shared" ca="1" si="87"/>
        <v>#N/A</v>
      </c>
      <c r="L583" s="44" t="e">
        <f t="shared" ca="1" si="82"/>
        <v>#N/A</v>
      </c>
      <c r="M583" s="44" t="e">
        <f t="shared" ca="1" si="81"/>
        <v>#N/A</v>
      </c>
      <c r="N583" s="44" t="e">
        <f t="shared" ca="1" si="89"/>
        <v>#N/A</v>
      </c>
      <c r="O583" s="53" t="e">
        <f t="shared" ca="1" si="83"/>
        <v>#N/A</v>
      </c>
      <c r="P583" s="53" t="str">
        <f ca="1">IFERROR(DayByDayTable[[#This Row],[Lead Time]],"")</f>
        <v/>
      </c>
      <c r="Q583" s="44" t="e">
        <f t="shared" ca="1" si="84"/>
        <v>#N/A</v>
      </c>
      <c r="R583" s="44">
        <f ca="1">ROUND(PERCENTILE(DayByDayTable[[#Data],[BlankLeadTime]],0.8),0)</f>
        <v>8</v>
      </c>
    </row>
    <row r="584" spans="1:18">
      <c r="A584" s="51">
        <f t="shared" si="85"/>
        <v>43250</v>
      </c>
      <c r="B584" s="11">
        <f t="shared" si="88"/>
        <v>43250</v>
      </c>
      <c r="C584" s="47">
        <f>SUMIFS('On The Board'!$M$5:$M$219,'On The Board'!F$5:F$219,"&lt;="&amp;$B584,'On The Board'!E$5:E$219,"="&amp;FutureWork)</f>
        <v>43</v>
      </c>
      <c r="D584" s="12">
        <f ca="1">IF(TodaysDate&gt;=B584,SUMIF('On The Board'!F$5:F$219,"&lt;="&amp;$B584,'On The Board'!$M$5:$M$219)-SUM(E584:I584),D583)</f>
        <v>47</v>
      </c>
      <c r="E584" s="12">
        <f>SUMIF('On The Board'!G$5:G$219,"&lt;="&amp;$B584,'On The Board'!$M$5:$M$219)-SUM(F584:I584)</f>
        <v>0</v>
      </c>
      <c r="F584" s="12">
        <f>SUMIF('On The Board'!H$5:H$219,"&lt;="&amp;$B584,'On The Board'!$M$5:$M$219)-SUM(G584:I584)</f>
        <v>5</v>
      </c>
      <c r="G584" s="12">
        <f>SUMIF('On The Board'!I$5:I$219,"&lt;="&amp;$B584,'On The Board'!$M$5:$M$219)-SUM(H584,I584)</f>
        <v>2</v>
      </c>
      <c r="H584" s="12">
        <f>SUMIF('On The Board'!J$5:J$219,"&lt;="&amp;$B584,'On The Board'!$M$5:$M$219)-SUM(I584)</f>
        <v>0</v>
      </c>
      <c r="I584" s="12">
        <f>SUMIF('On The Board'!K$5:K$219,"&lt;="&amp;$B584,'On The Board'!$M$5:$M$219)</f>
        <v>70</v>
      </c>
      <c r="J584" s="10">
        <f t="shared" si="86"/>
        <v>77</v>
      </c>
      <c r="K584" s="10" t="e">
        <f t="shared" ca="1" si="87"/>
        <v>#N/A</v>
      </c>
      <c r="L584" s="44" t="e">
        <f t="shared" ca="1" si="82"/>
        <v>#N/A</v>
      </c>
      <c r="M584" s="44" t="e">
        <f t="shared" ca="1" si="81"/>
        <v>#N/A</v>
      </c>
      <c r="N584" s="44" t="e">
        <f t="shared" ca="1" si="89"/>
        <v>#N/A</v>
      </c>
      <c r="O584" s="53" t="e">
        <f t="shared" ca="1" si="83"/>
        <v>#N/A</v>
      </c>
      <c r="P584" s="53" t="str">
        <f ca="1">IFERROR(DayByDayTable[[#This Row],[Lead Time]],"")</f>
        <v/>
      </c>
      <c r="Q584" s="44" t="e">
        <f t="shared" ca="1" si="84"/>
        <v>#N/A</v>
      </c>
      <c r="R584" s="44">
        <f ca="1">ROUND(PERCENTILE(DayByDayTable[[#Data],[BlankLeadTime]],0.8),0)</f>
        <v>8</v>
      </c>
    </row>
    <row r="585" spans="1:18">
      <c r="A585" s="51">
        <f t="shared" si="85"/>
        <v>43251</v>
      </c>
      <c r="B585" s="11">
        <f t="shared" si="88"/>
        <v>43251</v>
      </c>
      <c r="C585" s="47">
        <f>SUMIFS('On The Board'!$M$5:$M$219,'On The Board'!F$5:F$219,"&lt;="&amp;$B585,'On The Board'!E$5:E$219,"="&amp;FutureWork)</f>
        <v>43</v>
      </c>
      <c r="D585" s="12">
        <f ca="1">IF(TodaysDate&gt;=B585,SUMIF('On The Board'!F$5:F$219,"&lt;="&amp;$B585,'On The Board'!$M$5:$M$219)-SUM(E585:I585),D584)</f>
        <v>47</v>
      </c>
      <c r="E585" s="12">
        <f>SUMIF('On The Board'!G$5:G$219,"&lt;="&amp;$B585,'On The Board'!$M$5:$M$219)-SUM(F585:I585)</f>
        <v>0</v>
      </c>
      <c r="F585" s="12">
        <f>SUMIF('On The Board'!H$5:H$219,"&lt;="&amp;$B585,'On The Board'!$M$5:$M$219)-SUM(G585:I585)</f>
        <v>5</v>
      </c>
      <c r="G585" s="12">
        <f>SUMIF('On The Board'!I$5:I$219,"&lt;="&amp;$B585,'On The Board'!$M$5:$M$219)-SUM(H585,I585)</f>
        <v>2</v>
      </c>
      <c r="H585" s="12">
        <f>SUMIF('On The Board'!J$5:J$219,"&lt;="&amp;$B585,'On The Board'!$M$5:$M$219)-SUM(I585)</f>
        <v>0</v>
      </c>
      <c r="I585" s="12">
        <f>SUMIF('On The Board'!K$5:K$219,"&lt;="&amp;$B585,'On The Board'!$M$5:$M$219)</f>
        <v>70</v>
      </c>
      <c r="J585" s="10">
        <f t="shared" si="86"/>
        <v>77</v>
      </c>
      <c r="K585" s="10" t="e">
        <f t="shared" ca="1" si="87"/>
        <v>#N/A</v>
      </c>
      <c r="L585" s="44" t="e">
        <f t="shared" ca="1" si="82"/>
        <v>#N/A</v>
      </c>
      <c r="M585" s="44" t="e">
        <f t="shared" ca="1" si="81"/>
        <v>#N/A</v>
      </c>
      <c r="N585" s="44" t="e">
        <f t="shared" ca="1" si="89"/>
        <v>#N/A</v>
      </c>
      <c r="O585" s="53" t="e">
        <f t="shared" ca="1" si="83"/>
        <v>#N/A</v>
      </c>
      <c r="P585" s="53" t="str">
        <f ca="1">IFERROR(DayByDayTable[[#This Row],[Lead Time]],"")</f>
        <v/>
      </c>
      <c r="Q585" s="44" t="e">
        <f t="shared" ca="1" si="84"/>
        <v>#N/A</v>
      </c>
      <c r="R585" s="44">
        <f ca="1">ROUND(PERCENTILE(DayByDayTable[[#Data],[BlankLeadTime]],0.8),0)</f>
        <v>8</v>
      </c>
    </row>
    <row r="586" spans="1:18">
      <c r="A586" s="51">
        <f t="shared" si="85"/>
        <v>43252</v>
      </c>
      <c r="B586" s="11">
        <f t="shared" si="88"/>
        <v>43252</v>
      </c>
      <c r="C586" s="47">
        <f>SUMIFS('On The Board'!$M$5:$M$219,'On The Board'!F$5:F$219,"&lt;="&amp;$B586,'On The Board'!E$5:E$219,"="&amp;FutureWork)</f>
        <v>43</v>
      </c>
      <c r="D586" s="12">
        <f ca="1">IF(TodaysDate&gt;=B586,SUMIF('On The Board'!F$5:F$219,"&lt;="&amp;$B586,'On The Board'!$M$5:$M$219)-SUM(E586:I586),D585)</f>
        <v>47</v>
      </c>
      <c r="E586" s="12">
        <f>SUMIF('On The Board'!G$5:G$219,"&lt;="&amp;$B586,'On The Board'!$M$5:$M$219)-SUM(F586:I586)</f>
        <v>0</v>
      </c>
      <c r="F586" s="12">
        <f>SUMIF('On The Board'!H$5:H$219,"&lt;="&amp;$B586,'On The Board'!$M$5:$M$219)-SUM(G586:I586)</f>
        <v>5</v>
      </c>
      <c r="G586" s="12">
        <f>SUMIF('On The Board'!I$5:I$219,"&lt;="&amp;$B586,'On The Board'!$M$5:$M$219)-SUM(H586,I586)</f>
        <v>2</v>
      </c>
      <c r="H586" s="12">
        <f>SUMIF('On The Board'!J$5:J$219,"&lt;="&amp;$B586,'On The Board'!$M$5:$M$219)-SUM(I586)</f>
        <v>0</v>
      </c>
      <c r="I586" s="12">
        <f>SUMIF('On The Board'!K$5:K$219,"&lt;="&amp;$B586,'On The Board'!$M$5:$M$219)</f>
        <v>70</v>
      </c>
      <c r="J586" s="10">
        <f t="shared" si="86"/>
        <v>77</v>
      </c>
      <c r="K586" s="10" t="e">
        <f t="shared" ca="1" si="87"/>
        <v>#N/A</v>
      </c>
      <c r="L586" s="44" t="e">
        <f t="shared" ca="1" si="82"/>
        <v>#N/A</v>
      </c>
      <c r="M586" s="44" t="e">
        <f t="shared" ca="1" si="81"/>
        <v>#N/A</v>
      </c>
      <c r="N586" s="44" t="e">
        <f t="shared" ca="1" si="89"/>
        <v>#N/A</v>
      </c>
      <c r="O586" s="53" t="e">
        <f t="shared" ca="1" si="83"/>
        <v>#N/A</v>
      </c>
      <c r="P586" s="53" t="str">
        <f ca="1">IFERROR(DayByDayTable[[#This Row],[Lead Time]],"")</f>
        <v/>
      </c>
      <c r="Q586" s="44" t="e">
        <f t="shared" ca="1" si="84"/>
        <v>#N/A</v>
      </c>
      <c r="R586" s="44">
        <f ca="1">ROUND(PERCENTILE(DayByDayTable[[#Data],[BlankLeadTime]],0.8),0)</f>
        <v>8</v>
      </c>
    </row>
    <row r="587" spans="1:18">
      <c r="A587" s="51">
        <f t="shared" si="85"/>
        <v>43255</v>
      </c>
      <c r="B587" s="11">
        <f t="shared" si="88"/>
        <v>43255</v>
      </c>
      <c r="C587" s="47">
        <f>SUMIFS('On The Board'!$M$5:$M$219,'On The Board'!F$5:F$219,"&lt;="&amp;$B587,'On The Board'!E$5:E$219,"="&amp;FutureWork)</f>
        <v>43</v>
      </c>
      <c r="D587" s="12">
        <f ca="1">IF(TodaysDate&gt;=B587,SUMIF('On The Board'!F$5:F$219,"&lt;="&amp;$B587,'On The Board'!$M$5:$M$219)-SUM(E587:I587),D586)</f>
        <v>47</v>
      </c>
      <c r="E587" s="12">
        <f>SUMIF('On The Board'!G$5:G$219,"&lt;="&amp;$B587,'On The Board'!$M$5:$M$219)-SUM(F587:I587)</f>
        <v>0</v>
      </c>
      <c r="F587" s="12">
        <f>SUMIF('On The Board'!H$5:H$219,"&lt;="&amp;$B587,'On The Board'!$M$5:$M$219)-SUM(G587:I587)</f>
        <v>5</v>
      </c>
      <c r="G587" s="12">
        <f>SUMIF('On The Board'!I$5:I$219,"&lt;="&amp;$B587,'On The Board'!$M$5:$M$219)-SUM(H587,I587)</f>
        <v>2</v>
      </c>
      <c r="H587" s="12">
        <f>SUMIF('On The Board'!J$5:J$219,"&lt;="&amp;$B587,'On The Board'!$M$5:$M$219)-SUM(I587)</f>
        <v>0</v>
      </c>
      <c r="I587" s="12">
        <f>SUMIF('On The Board'!K$5:K$219,"&lt;="&amp;$B587,'On The Board'!$M$5:$M$219)</f>
        <v>70</v>
      </c>
      <c r="J587" s="10">
        <f t="shared" si="86"/>
        <v>77</v>
      </c>
      <c r="K587" s="10" t="e">
        <f t="shared" ca="1" si="87"/>
        <v>#N/A</v>
      </c>
      <c r="L587" s="44" t="e">
        <f t="shared" ca="1" si="82"/>
        <v>#N/A</v>
      </c>
      <c r="M587" s="44" t="e">
        <f t="shared" ca="1" si="81"/>
        <v>#N/A</v>
      </c>
      <c r="N587" s="44" t="e">
        <f t="shared" ca="1" si="89"/>
        <v>#N/A</v>
      </c>
      <c r="O587" s="53" t="e">
        <f t="shared" ca="1" si="83"/>
        <v>#N/A</v>
      </c>
      <c r="P587" s="53" t="str">
        <f ca="1">IFERROR(DayByDayTable[[#This Row],[Lead Time]],"")</f>
        <v/>
      </c>
      <c r="Q587" s="44" t="e">
        <f t="shared" ca="1" si="84"/>
        <v>#N/A</v>
      </c>
      <c r="R587" s="44">
        <f ca="1">ROUND(PERCENTILE(DayByDayTable[[#Data],[BlankLeadTime]],0.8),0)</f>
        <v>8</v>
      </c>
    </row>
    <row r="588" spans="1:18">
      <c r="A588" s="51">
        <f t="shared" si="85"/>
        <v>43256</v>
      </c>
      <c r="B588" s="11">
        <f t="shared" si="88"/>
        <v>43256</v>
      </c>
      <c r="C588" s="47">
        <f>SUMIFS('On The Board'!$M$5:$M$219,'On The Board'!F$5:F$219,"&lt;="&amp;$B588,'On The Board'!E$5:E$219,"="&amp;FutureWork)</f>
        <v>43</v>
      </c>
      <c r="D588" s="12">
        <f ca="1">IF(TodaysDate&gt;=B588,SUMIF('On The Board'!F$5:F$219,"&lt;="&amp;$B588,'On The Board'!$M$5:$M$219)-SUM(E588:I588),D587)</f>
        <v>47</v>
      </c>
      <c r="E588" s="12">
        <f>SUMIF('On The Board'!G$5:G$219,"&lt;="&amp;$B588,'On The Board'!$M$5:$M$219)-SUM(F588:I588)</f>
        <v>0</v>
      </c>
      <c r="F588" s="12">
        <f>SUMIF('On The Board'!H$5:H$219,"&lt;="&amp;$B588,'On The Board'!$M$5:$M$219)-SUM(G588:I588)</f>
        <v>5</v>
      </c>
      <c r="G588" s="12">
        <f>SUMIF('On The Board'!I$5:I$219,"&lt;="&amp;$B588,'On The Board'!$M$5:$M$219)-SUM(H588,I588)</f>
        <v>2</v>
      </c>
      <c r="H588" s="12">
        <f>SUMIF('On The Board'!J$5:J$219,"&lt;="&amp;$B588,'On The Board'!$M$5:$M$219)-SUM(I588)</f>
        <v>0</v>
      </c>
      <c r="I588" s="12">
        <f>SUMIF('On The Board'!K$5:K$219,"&lt;="&amp;$B588,'On The Board'!$M$5:$M$219)</f>
        <v>70</v>
      </c>
      <c r="J588" s="10">
        <f t="shared" si="86"/>
        <v>77</v>
      </c>
      <c r="K588" s="10" t="e">
        <f t="shared" ca="1" si="87"/>
        <v>#N/A</v>
      </c>
      <c r="L588" s="44" t="e">
        <f t="shared" ca="1" si="82"/>
        <v>#N/A</v>
      </c>
      <c r="M588" s="44" t="e">
        <f t="shared" ref="M588:M600" ca="1" si="90">IF(ISNUMBER(L588),(I588-I578)/NETWORKDAYS(B578,B588,BankHolidays),NA())</f>
        <v>#N/A</v>
      </c>
      <c r="N588" s="44" t="e">
        <f t="shared" ca="1" si="89"/>
        <v>#N/A</v>
      </c>
      <c r="O588" s="53" t="e">
        <f t="shared" ca="1" si="83"/>
        <v>#N/A</v>
      </c>
      <c r="P588" s="53" t="str">
        <f ca="1">IFERROR(DayByDayTable[[#This Row],[Lead Time]],"")</f>
        <v/>
      </c>
      <c r="Q588" s="44" t="e">
        <f t="shared" ca="1" si="84"/>
        <v>#N/A</v>
      </c>
      <c r="R588" s="44">
        <f ca="1">ROUND(PERCENTILE(DayByDayTable[[#Data],[BlankLeadTime]],0.8),0)</f>
        <v>8</v>
      </c>
    </row>
    <row r="589" spans="1:18">
      <c r="A589" s="51">
        <f t="shared" si="85"/>
        <v>43257</v>
      </c>
      <c r="B589" s="11">
        <f t="shared" si="88"/>
        <v>43257</v>
      </c>
      <c r="C589" s="47">
        <f>SUMIFS('On The Board'!$M$5:$M$219,'On The Board'!F$5:F$219,"&lt;="&amp;$B589,'On The Board'!E$5:E$219,"="&amp;FutureWork)</f>
        <v>43</v>
      </c>
      <c r="D589" s="12">
        <f ca="1">IF(TodaysDate&gt;=B589,SUMIF('On The Board'!F$5:F$219,"&lt;="&amp;$B589,'On The Board'!$M$5:$M$219)-SUM(E589:I589),D588)</f>
        <v>47</v>
      </c>
      <c r="E589" s="12">
        <f>SUMIF('On The Board'!G$5:G$219,"&lt;="&amp;$B589,'On The Board'!$M$5:$M$219)-SUM(F589:I589)</f>
        <v>0</v>
      </c>
      <c r="F589" s="12">
        <f>SUMIF('On The Board'!H$5:H$219,"&lt;="&amp;$B589,'On The Board'!$M$5:$M$219)-SUM(G589:I589)</f>
        <v>5</v>
      </c>
      <c r="G589" s="12">
        <f>SUMIF('On The Board'!I$5:I$219,"&lt;="&amp;$B589,'On The Board'!$M$5:$M$219)-SUM(H589,I589)</f>
        <v>2</v>
      </c>
      <c r="H589" s="12">
        <f>SUMIF('On The Board'!J$5:J$219,"&lt;="&amp;$B589,'On The Board'!$M$5:$M$219)-SUM(I589)</f>
        <v>0</v>
      </c>
      <c r="I589" s="12">
        <f>SUMIF('On The Board'!K$5:K$219,"&lt;="&amp;$B589,'On The Board'!$M$5:$M$219)</f>
        <v>70</v>
      </c>
      <c r="J589" s="10">
        <f t="shared" si="86"/>
        <v>77</v>
      </c>
      <c r="K589" s="10" t="e">
        <f t="shared" ca="1" si="87"/>
        <v>#N/A</v>
      </c>
      <c r="L589" s="44" t="e">
        <f t="shared" ref="L589" ca="1" si="91">AVERAGE(K579:K589)</f>
        <v>#N/A</v>
      </c>
      <c r="M589" s="44" t="e">
        <f t="shared" ca="1" si="90"/>
        <v>#N/A</v>
      </c>
      <c r="N589" s="44" t="e">
        <f t="shared" ca="1" si="89"/>
        <v>#N/A</v>
      </c>
      <c r="O589" s="53" t="e">
        <f t="shared" ref="O589" ca="1" si="92">AVERAGE(N579:N589)</f>
        <v>#N/A</v>
      </c>
      <c r="P589" s="53" t="str">
        <f ca="1">IFERROR(DayByDayTable[[#This Row],[Lead Time]],"")</f>
        <v/>
      </c>
      <c r="Q589" s="44" t="e">
        <f t="shared" ca="1" si="84"/>
        <v>#N/A</v>
      </c>
      <c r="R589" s="44">
        <f ca="1">ROUND(PERCENTILE(DayByDayTable[[#Data],[BlankLeadTime]],0.8),0)</f>
        <v>8</v>
      </c>
    </row>
    <row r="590" spans="1:18">
      <c r="A590" s="51">
        <f t="shared" ref="A590:A600" si="93">B590</f>
        <v>43258</v>
      </c>
      <c r="B590" s="11">
        <f t="shared" si="88"/>
        <v>43258</v>
      </c>
      <c r="C590" s="47">
        <f>SUMIFS('On The Board'!$M$5:$M$219,'On The Board'!F$5:F$219,"&lt;="&amp;$B590,'On The Board'!E$5:E$219,"="&amp;FutureWork)</f>
        <v>43</v>
      </c>
      <c r="D590" s="12">
        <f ca="1">IF(TodaysDate&gt;=B590,SUMIF('On The Board'!F$5:F$219,"&lt;="&amp;$B590,'On The Board'!$M$5:$M$219)-SUM(E590:I590),D589)</f>
        <v>47</v>
      </c>
      <c r="E590" s="12">
        <f>SUMIF('On The Board'!G$5:G$219,"&lt;="&amp;$B590,'On The Board'!$M$5:$M$219)-SUM(F590:I590)</f>
        <v>0</v>
      </c>
      <c r="F590" s="12">
        <f>SUMIF('On The Board'!H$5:H$219,"&lt;="&amp;$B590,'On The Board'!$M$5:$M$219)-SUM(G590:I590)</f>
        <v>5</v>
      </c>
      <c r="G590" s="12">
        <f>SUMIF('On The Board'!I$5:I$219,"&lt;="&amp;$B590,'On The Board'!$M$5:$M$219)-SUM(H590,I590)</f>
        <v>2</v>
      </c>
      <c r="H590" s="12">
        <f>SUMIF('On The Board'!J$5:J$219,"&lt;="&amp;$B590,'On The Board'!$M$5:$M$219)-SUM(I590)</f>
        <v>0</v>
      </c>
      <c r="I590" s="12">
        <f>SUMIF('On The Board'!K$5:K$219,"&lt;="&amp;$B590,'On The Board'!$M$5:$M$219)</f>
        <v>70</v>
      </c>
      <c r="J590" s="10">
        <f t="shared" ref="J590:J600" si="94">SUM(E590:I590)</f>
        <v>77</v>
      </c>
      <c r="K590" s="10" t="e">
        <f t="shared" ca="1" si="87"/>
        <v>#N/A</v>
      </c>
      <c r="L590" s="44" t="e">
        <f t="shared" ref="L590:L600" ca="1" si="95">AVERAGE(K580:K590)</f>
        <v>#N/A</v>
      </c>
      <c r="M590" s="44" t="e">
        <f t="shared" ca="1" si="90"/>
        <v>#N/A</v>
      </c>
      <c r="N590" s="44" t="e">
        <f t="shared" ref="N590:N600" ca="1" si="96">IF(M590&gt;0,L590/M590,NA())</f>
        <v>#N/A</v>
      </c>
      <c r="O590" s="53" t="e">
        <f t="shared" ref="O590:O600" ca="1" si="97">AVERAGE(N580:N590)</f>
        <v>#N/A</v>
      </c>
      <c r="P590" s="53" t="str">
        <f ca="1">IFERROR(DayByDayTable[[#This Row],[Lead Time]],"")</f>
        <v/>
      </c>
      <c r="Q590" s="44" t="e">
        <f t="shared" ca="1" si="84"/>
        <v>#N/A</v>
      </c>
      <c r="R590" s="44">
        <f ca="1">ROUND(PERCENTILE(DayByDayTable[[#Data],[BlankLeadTime]],0.8),0)</f>
        <v>8</v>
      </c>
    </row>
    <row r="591" spans="1:18">
      <c r="A591" s="51">
        <f t="shared" si="93"/>
        <v>43259</v>
      </c>
      <c r="B591" s="11">
        <f t="shared" si="88"/>
        <v>43259</v>
      </c>
      <c r="C591" s="47">
        <f>SUMIFS('On The Board'!$M$5:$M$219,'On The Board'!F$5:F$219,"&lt;="&amp;$B591,'On The Board'!E$5:E$219,"="&amp;FutureWork)</f>
        <v>43</v>
      </c>
      <c r="D591" s="12">
        <f ca="1">IF(TodaysDate&gt;=B591,SUMIF('On The Board'!F$5:F$219,"&lt;="&amp;$B591,'On The Board'!$M$5:$M$219)-SUM(E591:I591),D590)</f>
        <v>47</v>
      </c>
      <c r="E591" s="12">
        <f>SUMIF('On The Board'!G$5:G$219,"&lt;="&amp;$B591,'On The Board'!$M$5:$M$219)-SUM(F591:I591)</f>
        <v>0</v>
      </c>
      <c r="F591" s="12">
        <f>SUMIF('On The Board'!H$5:H$219,"&lt;="&amp;$B591,'On The Board'!$M$5:$M$219)-SUM(G591:I591)</f>
        <v>5</v>
      </c>
      <c r="G591" s="12">
        <f>SUMIF('On The Board'!I$5:I$219,"&lt;="&amp;$B591,'On The Board'!$M$5:$M$219)-SUM(H591,I591)</f>
        <v>2</v>
      </c>
      <c r="H591" s="12">
        <f>SUMIF('On The Board'!J$5:J$219,"&lt;="&amp;$B591,'On The Board'!$M$5:$M$219)-SUM(I591)</f>
        <v>0</v>
      </c>
      <c r="I591" s="12">
        <f>SUMIF('On The Board'!K$5:K$219,"&lt;="&amp;$B591,'On The Board'!$M$5:$M$219)</f>
        <v>70</v>
      </c>
      <c r="J591" s="10">
        <f t="shared" si="94"/>
        <v>77</v>
      </c>
      <c r="K591" s="10" t="e">
        <f t="shared" ca="1" si="87"/>
        <v>#N/A</v>
      </c>
      <c r="L591" s="44" t="e">
        <f t="shared" ca="1" si="95"/>
        <v>#N/A</v>
      </c>
      <c r="M591" s="44" t="e">
        <f t="shared" ca="1" si="90"/>
        <v>#N/A</v>
      </c>
      <c r="N591" s="44" t="e">
        <f t="shared" ca="1" si="96"/>
        <v>#N/A</v>
      </c>
      <c r="O591" s="53" t="e">
        <f t="shared" ca="1" si="97"/>
        <v>#N/A</v>
      </c>
      <c r="P591" s="53" t="str">
        <f ca="1">IFERROR(DayByDayTable[[#This Row],[Lead Time]],"")</f>
        <v/>
      </c>
      <c r="Q591" s="44" t="e">
        <f t="shared" ca="1" si="84"/>
        <v>#N/A</v>
      </c>
      <c r="R591" s="44">
        <f ca="1">ROUND(PERCENTILE(DayByDayTable[[#Data],[BlankLeadTime]],0.8),0)</f>
        <v>8</v>
      </c>
    </row>
    <row r="592" spans="1:18">
      <c r="A592" s="51">
        <f t="shared" si="93"/>
        <v>43262</v>
      </c>
      <c r="B592" s="11">
        <f t="shared" si="88"/>
        <v>43262</v>
      </c>
      <c r="C592" s="47">
        <f>SUMIFS('On The Board'!$M$5:$M$219,'On The Board'!F$5:F$219,"&lt;="&amp;$B592,'On The Board'!E$5:E$219,"="&amp;FutureWork)</f>
        <v>43</v>
      </c>
      <c r="D592" s="12">
        <f ca="1">IF(TodaysDate&gt;=B592,SUMIF('On The Board'!F$5:F$219,"&lt;="&amp;$B592,'On The Board'!$M$5:$M$219)-SUM(E592:I592),D591)</f>
        <v>47</v>
      </c>
      <c r="E592" s="12">
        <f>SUMIF('On The Board'!G$5:G$219,"&lt;="&amp;$B592,'On The Board'!$M$5:$M$219)-SUM(F592:I592)</f>
        <v>0</v>
      </c>
      <c r="F592" s="12">
        <f>SUMIF('On The Board'!H$5:H$219,"&lt;="&amp;$B592,'On The Board'!$M$5:$M$219)-SUM(G592:I592)</f>
        <v>5</v>
      </c>
      <c r="G592" s="12">
        <f>SUMIF('On The Board'!I$5:I$219,"&lt;="&amp;$B592,'On The Board'!$M$5:$M$219)-SUM(H592,I592)</f>
        <v>2</v>
      </c>
      <c r="H592" s="12">
        <f>SUMIF('On The Board'!J$5:J$219,"&lt;="&amp;$B592,'On The Board'!$M$5:$M$219)-SUM(I592)</f>
        <v>0</v>
      </c>
      <c r="I592" s="12">
        <f>SUMIF('On The Board'!K$5:K$219,"&lt;="&amp;$B592,'On The Board'!$M$5:$M$219)</f>
        <v>70</v>
      </c>
      <c r="J592" s="10">
        <f t="shared" si="94"/>
        <v>77</v>
      </c>
      <c r="K592" s="10" t="e">
        <f t="shared" ca="1" si="87"/>
        <v>#N/A</v>
      </c>
      <c r="L592" s="44" t="e">
        <f t="shared" ca="1" si="95"/>
        <v>#N/A</v>
      </c>
      <c r="M592" s="44" t="e">
        <f t="shared" ca="1" si="90"/>
        <v>#N/A</v>
      </c>
      <c r="N592" s="44" t="e">
        <f t="shared" ca="1" si="96"/>
        <v>#N/A</v>
      </c>
      <c r="O592" s="53" t="e">
        <f t="shared" ca="1" si="97"/>
        <v>#N/A</v>
      </c>
      <c r="P592" s="53" t="str">
        <f ca="1">IFERROR(DayByDayTable[[#This Row],[Lead Time]],"")</f>
        <v/>
      </c>
      <c r="Q592" s="44" t="e">
        <f t="shared" ref="Q592:Q600" ca="1" si="98">PERCENTILE(N581:N592,0.8)</f>
        <v>#N/A</v>
      </c>
      <c r="R592" s="44">
        <f ca="1">ROUND(PERCENTILE(DayByDayTable[[#Data],[BlankLeadTime]],0.8),0)</f>
        <v>8</v>
      </c>
    </row>
    <row r="593" spans="1:18">
      <c r="A593" s="51">
        <f t="shared" si="93"/>
        <v>43263</v>
      </c>
      <c r="B593" s="11">
        <f t="shared" si="88"/>
        <v>43263</v>
      </c>
      <c r="C593" s="47">
        <f>SUMIFS('On The Board'!$M$5:$M$219,'On The Board'!F$5:F$219,"&lt;="&amp;$B593,'On The Board'!E$5:E$219,"="&amp;FutureWork)</f>
        <v>43</v>
      </c>
      <c r="D593" s="12">
        <f ca="1">IF(TodaysDate&gt;=B593,SUMIF('On The Board'!F$5:F$219,"&lt;="&amp;$B593,'On The Board'!$M$5:$M$219)-SUM(E593:I593),D592)</f>
        <v>47</v>
      </c>
      <c r="E593" s="12">
        <f>SUMIF('On The Board'!G$5:G$219,"&lt;="&amp;$B593,'On The Board'!$M$5:$M$219)-SUM(F593:I593)</f>
        <v>0</v>
      </c>
      <c r="F593" s="12">
        <f>SUMIF('On The Board'!H$5:H$219,"&lt;="&amp;$B593,'On The Board'!$M$5:$M$219)-SUM(G593:I593)</f>
        <v>5</v>
      </c>
      <c r="G593" s="12">
        <f>SUMIF('On The Board'!I$5:I$219,"&lt;="&amp;$B593,'On The Board'!$M$5:$M$219)-SUM(H593,I593)</f>
        <v>2</v>
      </c>
      <c r="H593" s="12">
        <f>SUMIF('On The Board'!J$5:J$219,"&lt;="&amp;$B593,'On The Board'!$M$5:$M$219)-SUM(I593)</f>
        <v>0</v>
      </c>
      <c r="I593" s="12">
        <f>SUMIF('On The Board'!K$5:K$219,"&lt;="&amp;$B593,'On The Board'!$M$5:$M$219)</f>
        <v>70</v>
      </c>
      <c r="J593" s="10">
        <f t="shared" si="94"/>
        <v>77</v>
      </c>
      <c r="K593" s="10" t="e">
        <f t="shared" ca="1" si="87"/>
        <v>#N/A</v>
      </c>
      <c r="L593" s="44" t="e">
        <f t="shared" ca="1" si="95"/>
        <v>#N/A</v>
      </c>
      <c r="M593" s="44" t="e">
        <f t="shared" ca="1" si="90"/>
        <v>#N/A</v>
      </c>
      <c r="N593" s="44" t="e">
        <f t="shared" ca="1" si="96"/>
        <v>#N/A</v>
      </c>
      <c r="O593" s="53" t="e">
        <f t="shared" ca="1" si="97"/>
        <v>#N/A</v>
      </c>
      <c r="P593" s="53" t="str">
        <f ca="1">IFERROR(DayByDayTable[[#This Row],[Lead Time]],"")</f>
        <v/>
      </c>
      <c r="Q593" s="44" t="e">
        <f t="shared" ca="1" si="98"/>
        <v>#N/A</v>
      </c>
      <c r="R593" s="44">
        <f ca="1">ROUND(PERCENTILE(DayByDayTable[[#Data],[BlankLeadTime]],0.8),0)</f>
        <v>8</v>
      </c>
    </row>
    <row r="594" spans="1:18">
      <c r="A594" s="51">
        <f t="shared" si="93"/>
        <v>43264</v>
      </c>
      <c r="B594" s="11">
        <f t="shared" si="88"/>
        <v>43264</v>
      </c>
      <c r="C594" s="47">
        <f>SUMIFS('On The Board'!$M$5:$M$219,'On The Board'!F$5:F$219,"&lt;="&amp;$B594,'On The Board'!E$5:E$219,"="&amp;FutureWork)</f>
        <v>43</v>
      </c>
      <c r="D594" s="12">
        <f ca="1">IF(TodaysDate&gt;=B594,SUMIF('On The Board'!F$5:F$219,"&lt;="&amp;$B594,'On The Board'!$M$5:$M$219)-SUM(E594:I594),D593)</f>
        <v>47</v>
      </c>
      <c r="E594" s="12">
        <f>SUMIF('On The Board'!G$5:G$219,"&lt;="&amp;$B594,'On The Board'!$M$5:$M$219)-SUM(F594:I594)</f>
        <v>0</v>
      </c>
      <c r="F594" s="12">
        <f>SUMIF('On The Board'!H$5:H$219,"&lt;="&amp;$B594,'On The Board'!$M$5:$M$219)-SUM(G594:I594)</f>
        <v>5</v>
      </c>
      <c r="G594" s="12">
        <f>SUMIF('On The Board'!I$5:I$219,"&lt;="&amp;$B594,'On The Board'!$M$5:$M$219)-SUM(H594,I594)</f>
        <v>2</v>
      </c>
      <c r="H594" s="12">
        <f>SUMIF('On The Board'!J$5:J$219,"&lt;="&amp;$B594,'On The Board'!$M$5:$M$219)-SUM(I594)</f>
        <v>0</v>
      </c>
      <c r="I594" s="12">
        <f>SUMIF('On The Board'!K$5:K$219,"&lt;="&amp;$B594,'On The Board'!$M$5:$M$219)</f>
        <v>70</v>
      </c>
      <c r="J594" s="10">
        <f t="shared" si="94"/>
        <v>77</v>
      </c>
      <c r="K594" s="10" t="e">
        <f t="shared" ca="1" si="87"/>
        <v>#N/A</v>
      </c>
      <c r="L594" s="44" t="e">
        <f t="shared" ca="1" si="95"/>
        <v>#N/A</v>
      </c>
      <c r="M594" s="44" t="e">
        <f t="shared" ca="1" si="90"/>
        <v>#N/A</v>
      </c>
      <c r="N594" s="44" t="e">
        <f t="shared" ca="1" si="96"/>
        <v>#N/A</v>
      </c>
      <c r="O594" s="53" t="e">
        <f t="shared" ca="1" si="97"/>
        <v>#N/A</v>
      </c>
      <c r="P594" s="53" t="str">
        <f ca="1">IFERROR(DayByDayTable[[#This Row],[Lead Time]],"")</f>
        <v/>
      </c>
      <c r="Q594" s="44" t="e">
        <f t="shared" ca="1" si="98"/>
        <v>#N/A</v>
      </c>
      <c r="R594" s="44">
        <f ca="1">ROUND(PERCENTILE(DayByDayTable[[#Data],[BlankLeadTime]],0.8),0)</f>
        <v>8</v>
      </c>
    </row>
    <row r="595" spans="1:18">
      <c r="A595" s="51">
        <f t="shared" si="93"/>
        <v>43265</v>
      </c>
      <c r="B595" s="11">
        <f t="shared" si="88"/>
        <v>43265</v>
      </c>
      <c r="C595" s="47">
        <f>SUMIFS('On The Board'!$M$5:$M$219,'On The Board'!F$5:F$219,"&lt;="&amp;$B595,'On The Board'!E$5:E$219,"="&amp;FutureWork)</f>
        <v>43</v>
      </c>
      <c r="D595" s="12">
        <f ca="1">IF(TodaysDate&gt;=B595,SUMIF('On The Board'!F$5:F$219,"&lt;="&amp;$B595,'On The Board'!$M$5:$M$219)-SUM(E595:I595),D594)</f>
        <v>47</v>
      </c>
      <c r="E595" s="12">
        <f>SUMIF('On The Board'!G$5:G$219,"&lt;="&amp;$B595,'On The Board'!$M$5:$M$219)-SUM(F595:I595)</f>
        <v>0</v>
      </c>
      <c r="F595" s="12">
        <f>SUMIF('On The Board'!H$5:H$219,"&lt;="&amp;$B595,'On The Board'!$M$5:$M$219)-SUM(G595:I595)</f>
        <v>5</v>
      </c>
      <c r="G595" s="12">
        <f>SUMIF('On The Board'!I$5:I$219,"&lt;="&amp;$B595,'On The Board'!$M$5:$M$219)-SUM(H595,I595)</f>
        <v>2</v>
      </c>
      <c r="H595" s="12">
        <f>SUMIF('On The Board'!J$5:J$219,"&lt;="&amp;$B595,'On The Board'!$M$5:$M$219)-SUM(I595)</f>
        <v>0</v>
      </c>
      <c r="I595" s="12">
        <f>SUMIF('On The Board'!K$5:K$219,"&lt;="&amp;$B595,'On The Board'!$M$5:$M$219)</f>
        <v>70</v>
      </c>
      <c r="J595" s="10">
        <f t="shared" si="94"/>
        <v>77</v>
      </c>
      <c r="K595" s="10" t="e">
        <f t="shared" ca="1" si="87"/>
        <v>#N/A</v>
      </c>
      <c r="L595" s="44" t="e">
        <f t="shared" ca="1" si="95"/>
        <v>#N/A</v>
      </c>
      <c r="M595" s="44" t="e">
        <f t="shared" ca="1" si="90"/>
        <v>#N/A</v>
      </c>
      <c r="N595" s="44" t="e">
        <f t="shared" ca="1" si="96"/>
        <v>#N/A</v>
      </c>
      <c r="O595" s="53" t="e">
        <f t="shared" ca="1" si="97"/>
        <v>#N/A</v>
      </c>
      <c r="P595" s="53" t="str">
        <f ca="1">IFERROR(DayByDayTable[[#This Row],[Lead Time]],"")</f>
        <v/>
      </c>
      <c r="Q595" s="44" t="e">
        <f t="shared" ca="1" si="98"/>
        <v>#N/A</v>
      </c>
      <c r="R595" s="44">
        <f ca="1">ROUND(PERCENTILE(DayByDayTable[[#Data],[BlankLeadTime]],0.8),0)</f>
        <v>8</v>
      </c>
    </row>
    <row r="596" spans="1:18">
      <c r="A596" s="51">
        <f t="shared" si="93"/>
        <v>43266</v>
      </c>
      <c r="B596" s="11">
        <f t="shared" si="88"/>
        <v>43266</v>
      </c>
      <c r="C596" s="47">
        <f>SUMIFS('On The Board'!$M$5:$M$219,'On The Board'!F$5:F$219,"&lt;="&amp;$B596,'On The Board'!E$5:E$219,"="&amp;FutureWork)</f>
        <v>43</v>
      </c>
      <c r="D596" s="12">
        <f ca="1">IF(TodaysDate&gt;=B596,SUMIF('On The Board'!F$5:F$219,"&lt;="&amp;$B596,'On The Board'!$M$5:$M$219)-SUM(E596:I596),D595)</f>
        <v>47</v>
      </c>
      <c r="E596" s="12">
        <f>SUMIF('On The Board'!G$5:G$219,"&lt;="&amp;$B596,'On The Board'!$M$5:$M$219)-SUM(F596:I596)</f>
        <v>0</v>
      </c>
      <c r="F596" s="12">
        <f>SUMIF('On The Board'!H$5:H$219,"&lt;="&amp;$B596,'On The Board'!$M$5:$M$219)-SUM(G596:I596)</f>
        <v>5</v>
      </c>
      <c r="G596" s="12">
        <f>SUMIF('On The Board'!I$5:I$219,"&lt;="&amp;$B596,'On The Board'!$M$5:$M$219)-SUM(H596,I596)</f>
        <v>2</v>
      </c>
      <c r="H596" s="12">
        <f>SUMIF('On The Board'!J$5:J$219,"&lt;="&amp;$B596,'On The Board'!$M$5:$M$219)-SUM(I596)</f>
        <v>0</v>
      </c>
      <c r="I596" s="12">
        <f>SUMIF('On The Board'!K$5:K$219,"&lt;="&amp;$B596,'On The Board'!$M$5:$M$219)</f>
        <v>70</v>
      </c>
      <c r="J596" s="10">
        <f t="shared" si="94"/>
        <v>77</v>
      </c>
      <c r="K596" s="10" t="e">
        <f t="shared" ca="1" si="87"/>
        <v>#N/A</v>
      </c>
      <c r="L596" s="44" t="e">
        <f t="shared" ca="1" si="95"/>
        <v>#N/A</v>
      </c>
      <c r="M596" s="44" t="e">
        <f t="shared" ca="1" si="90"/>
        <v>#N/A</v>
      </c>
      <c r="N596" s="44" t="e">
        <f t="shared" ca="1" si="96"/>
        <v>#N/A</v>
      </c>
      <c r="O596" s="53" t="e">
        <f t="shared" ca="1" si="97"/>
        <v>#N/A</v>
      </c>
      <c r="P596" s="53" t="str">
        <f ca="1">IFERROR(DayByDayTable[[#This Row],[Lead Time]],"")</f>
        <v/>
      </c>
      <c r="Q596" s="44" t="e">
        <f t="shared" ca="1" si="98"/>
        <v>#N/A</v>
      </c>
      <c r="R596" s="44">
        <f ca="1">ROUND(PERCENTILE(DayByDayTable[[#Data],[BlankLeadTime]],0.8),0)</f>
        <v>8</v>
      </c>
    </row>
    <row r="597" spans="1:18">
      <c r="A597" s="51">
        <f t="shared" si="93"/>
        <v>43269</v>
      </c>
      <c r="B597" s="11">
        <f t="shared" si="88"/>
        <v>43269</v>
      </c>
      <c r="C597" s="47">
        <f>SUMIFS('On The Board'!$M$5:$M$219,'On The Board'!F$5:F$219,"&lt;="&amp;$B597,'On The Board'!E$5:E$219,"="&amp;FutureWork)</f>
        <v>43</v>
      </c>
      <c r="D597" s="12">
        <f ca="1">IF(TodaysDate&gt;=B597,SUMIF('On The Board'!F$5:F$219,"&lt;="&amp;$B597,'On The Board'!$M$5:$M$219)-SUM(E597:I597),D596)</f>
        <v>47</v>
      </c>
      <c r="E597" s="12">
        <f>SUMIF('On The Board'!G$5:G$219,"&lt;="&amp;$B597,'On The Board'!$M$5:$M$219)-SUM(F597:I597)</f>
        <v>0</v>
      </c>
      <c r="F597" s="12">
        <f>SUMIF('On The Board'!H$5:H$219,"&lt;="&amp;$B597,'On The Board'!$M$5:$M$219)-SUM(G597:I597)</f>
        <v>5</v>
      </c>
      <c r="G597" s="12">
        <f>SUMIF('On The Board'!I$5:I$219,"&lt;="&amp;$B597,'On The Board'!$M$5:$M$219)-SUM(H597,I597)</f>
        <v>2</v>
      </c>
      <c r="H597" s="12">
        <f>SUMIF('On The Board'!J$5:J$219,"&lt;="&amp;$B597,'On The Board'!$M$5:$M$219)-SUM(I597)</f>
        <v>0</v>
      </c>
      <c r="I597" s="12">
        <f>SUMIF('On The Board'!K$5:K$219,"&lt;="&amp;$B597,'On The Board'!$M$5:$M$219)</f>
        <v>70</v>
      </c>
      <c r="J597" s="10">
        <f t="shared" si="94"/>
        <v>77</v>
      </c>
      <c r="K597" s="10" t="e">
        <f t="shared" ca="1" si="87"/>
        <v>#N/A</v>
      </c>
      <c r="L597" s="44" t="e">
        <f t="shared" ca="1" si="95"/>
        <v>#N/A</v>
      </c>
      <c r="M597" s="44" t="e">
        <f t="shared" ca="1" si="90"/>
        <v>#N/A</v>
      </c>
      <c r="N597" s="44" t="e">
        <f t="shared" ca="1" si="96"/>
        <v>#N/A</v>
      </c>
      <c r="O597" s="53" t="e">
        <f t="shared" ca="1" si="97"/>
        <v>#N/A</v>
      </c>
      <c r="P597" s="53" t="str">
        <f ca="1">IFERROR(DayByDayTable[[#This Row],[Lead Time]],"")</f>
        <v/>
      </c>
      <c r="Q597" s="44" t="e">
        <f t="shared" ca="1" si="98"/>
        <v>#N/A</v>
      </c>
      <c r="R597" s="44">
        <f ca="1">ROUND(PERCENTILE(DayByDayTable[[#Data],[BlankLeadTime]],0.8),0)</f>
        <v>8</v>
      </c>
    </row>
    <row r="598" spans="1:18">
      <c r="A598" s="51">
        <f t="shared" si="93"/>
        <v>43270</v>
      </c>
      <c r="B598" s="11">
        <f t="shared" si="88"/>
        <v>43270</v>
      </c>
      <c r="C598" s="47">
        <f>SUMIFS('On The Board'!$M$5:$M$219,'On The Board'!F$5:F$219,"&lt;="&amp;$B598,'On The Board'!E$5:E$219,"="&amp;FutureWork)</f>
        <v>43</v>
      </c>
      <c r="D598" s="12">
        <f ca="1">IF(TodaysDate&gt;=B598,SUMIF('On The Board'!F$5:F$219,"&lt;="&amp;$B598,'On The Board'!$M$5:$M$219)-SUM(E598:I598),D597)</f>
        <v>47</v>
      </c>
      <c r="E598" s="12">
        <f>SUMIF('On The Board'!G$5:G$219,"&lt;="&amp;$B598,'On The Board'!$M$5:$M$219)-SUM(F598:I598)</f>
        <v>0</v>
      </c>
      <c r="F598" s="12">
        <f>SUMIF('On The Board'!H$5:H$219,"&lt;="&amp;$B598,'On The Board'!$M$5:$M$219)-SUM(G598:I598)</f>
        <v>5</v>
      </c>
      <c r="G598" s="12">
        <f>SUMIF('On The Board'!I$5:I$219,"&lt;="&amp;$B598,'On The Board'!$M$5:$M$219)-SUM(H598,I598)</f>
        <v>2</v>
      </c>
      <c r="H598" s="12">
        <f>SUMIF('On The Board'!J$5:J$219,"&lt;="&amp;$B598,'On The Board'!$M$5:$M$219)-SUM(I598)</f>
        <v>0</v>
      </c>
      <c r="I598" s="12">
        <f>SUMIF('On The Board'!K$5:K$219,"&lt;="&amp;$B598,'On The Board'!$M$5:$M$219)</f>
        <v>70</v>
      </c>
      <c r="J598" s="10">
        <f t="shared" si="94"/>
        <v>77</v>
      </c>
      <c r="K598" s="10" t="e">
        <f t="shared" ca="1" si="87"/>
        <v>#N/A</v>
      </c>
      <c r="L598" s="44" t="e">
        <f t="shared" ca="1" si="95"/>
        <v>#N/A</v>
      </c>
      <c r="M598" s="44" t="e">
        <f t="shared" ca="1" si="90"/>
        <v>#N/A</v>
      </c>
      <c r="N598" s="44" t="e">
        <f t="shared" ca="1" si="96"/>
        <v>#N/A</v>
      </c>
      <c r="O598" s="53" t="e">
        <f t="shared" ca="1" si="97"/>
        <v>#N/A</v>
      </c>
      <c r="P598" s="53" t="str">
        <f ca="1">IFERROR(DayByDayTable[[#This Row],[Lead Time]],"")</f>
        <v/>
      </c>
      <c r="Q598" s="44" t="e">
        <f t="shared" ca="1" si="98"/>
        <v>#N/A</v>
      </c>
      <c r="R598" s="44">
        <f ca="1">ROUND(PERCENTILE(DayByDayTable[[#Data],[BlankLeadTime]],0.8),0)</f>
        <v>8</v>
      </c>
    </row>
    <row r="599" spans="1:18">
      <c r="A599" s="51">
        <f t="shared" si="93"/>
        <v>43271</v>
      </c>
      <c r="B599" s="11">
        <f t="shared" si="88"/>
        <v>43271</v>
      </c>
      <c r="C599" s="47">
        <f>SUMIFS('On The Board'!$M$5:$M$219,'On The Board'!F$5:F$219,"&lt;="&amp;$B599,'On The Board'!E$5:E$219,"="&amp;FutureWork)</f>
        <v>43</v>
      </c>
      <c r="D599" s="12">
        <f ca="1">IF(TodaysDate&gt;=B599,SUMIF('On The Board'!F$5:F$219,"&lt;="&amp;$B599,'On The Board'!$M$5:$M$219)-SUM(E599:I599),D598)</f>
        <v>47</v>
      </c>
      <c r="E599" s="12">
        <f>SUMIF('On The Board'!G$5:G$219,"&lt;="&amp;$B599,'On The Board'!$M$5:$M$219)-SUM(F599:I599)</f>
        <v>0</v>
      </c>
      <c r="F599" s="12">
        <f>SUMIF('On The Board'!H$5:H$219,"&lt;="&amp;$B599,'On The Board'!$M$5:$M$219)-SUM(G599:I599)</f>
        <v>5</v>
      </c>
      <c r="G599" s="12">
        <f>SUMIF('On The Board'!I$5:I$219,"&lt;="&amp;$B599,'On The Board'!$M$5:$M$219)-SUM(H599,I599)</f>
        <v>2</v>
      </c>
      <c r="H599" s="12">
        <f>SUMIF('On The Board'!J$5:J$219,"&lt;="&amp;$B599,'On The Board'!$M$5:$M$219)-SUM(I599)</f>
        <v>0</v>
      </c>
      <c r="I599" s="12">
        <f>SUMIF('On The Board'!K$5:K$219,"&lt;="&amp;$B599,'On The Board'!$M$5:$M$219)</f>
        <v>70</v>
      </c>
      <c r="J599" s="10">
        <f t="shared" si="94"/>
        <v>77</v>
      </c>
      <c r="K599" s="10" t="e">
        <f t="shared" ca="1" si="87"/>
        <v>#N/A</v>
      </c>
      <c r="L599" s="44" t="e">
        <f t="shared" ca="1" si="95"/>
        <v>#N/A</v>
      </c>
      <c r="M599" s="44" t="e">
        <f t="shared" ca="1" si="90"/>
        <v>#N/A</v>
      </c>
      <c r="N599" s="44" t="e">
        <f t="shared" ca="1" si="96"/>
        <v>#N/A</v>
      </c>
      <c r="O599" s="53" t="e">
        <f t="shared" ca="1" si="97"/>
        <v>#N/A</v>
      </c>
      <c r="P599" s="53" t="str">
        <f ca="1">IFERROR(DayByDayTable[[#This Row],[Lead Time]],"")</f>
        <v/>
      </c>
      <c r="Q599" s="44" t="e">
        <f t="shared" ca="1" si="98"/>
        <v>#N/A</v>
      </c>
      <c r="R599" s="44">
        <f ca="1">ROUND(PERCENTILE(DayByDayTable[[#Data],[BlankLeadTime]],0.8),0)</f>
        <v>8</v>
      </c>
    </row>
    <row r="600" spans="1:18">
      <c r="A600" s="51">
        <f t="shared" si="93"/>
        <v>43272</v>
      </c>
      <c r="B600" s="11">
        <f t="shared" si="88"/>
        <v>43272</v>
      </c>
      <c r="C600" s="47">
        <f>SUMIFS('On The Board'!$M$5:$M$219,'On The Board'!F$5:F$219,"&lt;="&amp;$B600,'On The Board'!E$5:E$219,"="&amp;FutureWork)</f>
        <v>43</v>
      </c>
      <c r="D600" s="12">
        <f ca="1">IF(TodaysDate&gt;=B600,SUMIF('On The Board'!F$5:F$219,"&lt;="&amp;$B600,'On The Board'!$M$5:$M$219)-SUM(E600:I600),D599)</f>
        <v>47</v>
      </c>
      <c r="E600" s="12">
        <f>SUMIF('On The Board'!G$5:G$219,"&lt;="&amp;$B600,'On The Board'!$M$5:$M$219)-SUM(F600:I600)</f>
        <v>0</v>
      </c>
      <c r="F600" s="12">
        <f>SUMIF('On The Board'!H$5:H$219,"&lt;="&amp;$B600,'On The Board'!$M$5:$M$219)-SUM(G600:I600)</f>
        <v>5</v>
      </c>
      <c r="G600" s="12">
        <f>SUMIF('On The Board'!I$5:I$219,"&lt;="&amp;$B600,'On The Board'!$M$5:$M$219)-SUM(H600,I600)</f>
        <v>2</v>
      </c>
      <c r="H600" s="12">
        <f>SUMIF('On The Board'!J$5:J$219,"&lt;="&amp;$B600,'On The Board'!$M$5:$M$219)-SUM(I600)</f>
        <v>0</v>
      </c>
      <c r="I600" s="12">
        <f>SUMIF('On The Board'!K$5:K$219,"&lt;="&amp;$B600,'On The Board'!$M$5:$M$219)</f>
        <v>70</v>
      </c>
      <c r="J600" s="10">
        <f t="shared" si="94"/>
        <v>77</v>
      </c>
      <c r="K600" s="10" t="e">
        <f t="shared" ca="1" si="87"/>
        <v>#N/A</v>
      </c>
      <c r="L600" s="44" t="e">
        <f t="shared" ca="1" si="95"/>
        <v>#N/A</v>
      </c>
      <c r="M600" s="44" t="e">
        <f t="shared" ca="1" si="90"/>
        <v>#N/A</v>
      </c>
      <c r="N600" s="44" t="e">
        <f t="shared" ca="1" si="96"/>
        <v>#N/A</v>
      </c>
      <c r="O600" s="53" t="e">
        <f t="shared" ca="1" si="97"/>
        <v>#N/A</v>
      </c>
      <c r="P600" s="53" t="str">
        <f ca="1">IFERROR(DayByDayTable[[#This Row],[Lead Time]],"")</f>
        <v/>
      </c>
      <c r="Q600" s="44" t="e">
        <f t="shared" ca="1" si="98"/>
        <v>#N/A</v>
      </c>
      <c r="R600" s="44">
        <f ca="1">ROUND(PERCENTILE(DayByDayTable[[#Data],[BlankLeadTime]],0.8),0)</f>
        <v>8</v>
      </c>
    </row>
    <row r="601" spans="1:18" ht="15.95" customHeight="1"/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EA0D7EDE96FD44BEE562E0EC759B25" ma:contentTypeVersion="1" ma:contentTypeDescription="Create a new document." ma:contentTypeScope="" ma:versionID="f45fc4f81fbd6320abe168cb30ebbda1">
  <xsd:schema xmlns:xsd="http://www.w3.org/2001/XMLSchema" xmlns:xs="http://www.w3.org/2001/XMLSchema" xmlns:p="http://schemas.microsoft.com/office/2006/metadata/properties" xmlns:ns1="http://schemas.microsoft.com/sharepoint/v3" xmlns:ns2="3cee23b6-011a-491c-87c3-7d5d22b706e3" targetNamespace="http://schemas.microsoft.com/office/2006/metadata/properties" ma:root="true" ma:fieldsID="97a4e319bb5889d40428e45ad5c69adf" ns1:_="" ns2:_="">
    <xsd:import namespace="http://schemas.microsoft.com/sharepoint/v3"/>
    <xsd:import namespace="3cee23b6-011a-491c-87c3-7d5d22b706e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ee23b6-011a-491c-87c3-7d5d22b706e3" elementFormDefault="qualified">
    <xsd:import namespace="http://schemas.microsoft.com/office/2006/documentManagement/types"/>
    <xsd:import namespace="http://schemas.microsoft.com/office/infopath/2007/PartnerControls"/>
    <xsd:element name="_dlc_DocId" ma:index="10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1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2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  <_dlc_DocId xmlns="3cee23b6-011a-491c-87c3-7d5d22b706e3">UTHT3ME6PVR3-19-88</_dlc_DocId>
    <_dlc_DocIdUrl xmlns="3cee23b6-011a-491c-87c3-7d5d22b706e3">
      <Url>http://tfs.kingsway.asos.com/sites/ASOS/ASOS_Backlog/_layouts/DocIdRedir.aspx?ID=UTHT3ME6PVR3-19-88</Url>
      <Description>UTHT3ME6PVR3-19-88</Description>
    </_dlc_DocIdUrl>
  </documentManagement>
</p:properties>
</file>

<file path=customXml/itemProps1.xml><?xml version="1.0" encoding="utf-8"?>
<ds:datastoreItem xmlns:ds="http://schemas.openxmlformats.org/officeDocument/2006/customXml" ds:itemID="{C38880C4-8B8C-4D35-B7EC-1C6C1D5F63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635D14-9B38-4DFF-9DA5-B64CCC6245E6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8C0D676A-8E48-4FBE-845F-B24983F889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cee23b6-011a-491c-87c3-7d5d22b706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AD4D51F-15F1-4EC0-A223-AB204D695F4D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3cee23b6-011a-491c-87c3-7d5d22b706e3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21" baseType="lpstr">
      <vt:lpstr>LtDistribution</vt:lpstr>
      <vt:lpstr>WIP</vt:lpstr>
      <vt:lpstr>LeadTime</vt:lpstr>
      <vt:lpstr>On The Board</vt:lpstr>
      <vt:lpstr>setup</vt:lpstr>
      <vt:lpstr>CFD Data</vt:lpstr>
      <vt:lpstr>Data</vt:lpstr>
      <vt:lpstr>CFD Chart</vt:lpstr>
      <vt:lpstr>Run Chart</vt:lpstr>
      <vt:lpstr>AVG</vt:lpstr>
      <vt:lpstr>BankHolidays</vt:lpstr>
      <vt:lpstr>DaysToIgnoreOnAvg</vt:lpstr>
      <vt:lpstr>DeadlineDate</vt:lpstr>
      <vt:lpstr>FirstDate</vt:lpstr>
      <vt:lpstr>FutureWork</vt:lpstr>
      <vt:lpstr>Historic</vt:lpstr>
      <vt:lpstr>LCL</vt:lpstr>
      <vt:lpstr>PercentileHigh</vt:lpstr>
      <vt:lpstr>LtDistribution!Print_Area</vt:lpstr>
      <vt:lpstr>sigmaVal</vt:lpstr>
      <vt:lpstr>TodaysDate</vt:lpstr>
    </vt:vector>
  </TitlesOfParts>
  <Company>Ripple Rock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Cumulative Flow Diagram</dc:title>
  <dc:creator>dan.brown@ripple-rock.com</dc:creator>
  <cp:lastModifiedBy>Dan Brown</cp:lastModifiedBy>
  <cp:lastPrinted>2016-05-31T12:17:25Z</cp:lastPrinted>
  <dcterms:created xsi:type="dcterms:W3CDTF">2012-05-28T16:17:04Z</dcterms:created>
  <dcterms:modified xsi:type="dcterms:W3CDTF">2018-09-21T13:01:04Z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0x010100F6EA0D7EDE96FD44BEE562E0EC759B25</vt:lpwstr>
  </property>
  <property fmtid="{D5CDD505-2E9C-101B-9397-08002B2CF9AE}" pid="3" name="_dlc_DocIdItemGuid">
    <vt:lpwstr>06fce592-2ee0-489f-a145-471480c84c3f</vt:lpwstr>
  </property>
</Properties>
</file>