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image/x-wmf" Extension="wmf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oleObject" PartName="/xl/embeddings/oleObject1.bin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7" lowestEdited="6" rupBuild="17329"/>
  <workbookPr defaultThemeVersion="164011"/>
  <mc:AlternateContent>
    <mc:Choice Requires="x15">
      <x15ac:absPath xmlns:x15ac="http://schemas.microsoft.com/office/spreadsheetml/2010/11/ac" url="B:\1 In progress 26.05.2017 - MONOGRAFIA godz\OLDER\1 TRY ----\"/>
    </mc:Choice>
  </mc:AlternateContent>
  <bookViews>
    <workbookView windowHeight="12216" windowWidth="28800" xWindow="0" yWindow="0"/>
  </bookViews>
  <sheets>
    <sheet name=" INPUT DATA" r:id="rId1" sheetId="1"/>
    <sheet name="RESULTS" r:id="rId2" sheetId="5"/>
    <sheet name="RESULTS-SORTED" r:id="rId3" sheetId="6"/>
  </sheets>
  <calcPr calcId="171027"/>
</workbook>
</file>

<file path=xl/calcChain.xml><?xml version="1.0" encoding="utf-8"?>
<calcChain xmlns="http://schemas.openxmlformats.org/spreadsheetml/2006/main">
  <c i="1" l="1" r="G56"/>
  <c i="1" r="G55"/>
  <c i="1" l="1" r="F56"/>
  <c i="1" r="F55"/>
  <c i="5" l="1" r="N40"/>
  <c i="5" l="1" r="F33"/>
  <c i="5" r="L33"/>
  <c i="5" r="K33"/>
  <c i="5" r="J33"/>
  <c i="5" r="I33"/>
  <c i="5" r="H33"/>
  <c i="5" r="G33"/>
  <c i="5" r="E33"/>
  <c i="5" r="D33"/>
  <c i="5" r="C33"/>
  <c i="5" r="M15"/>
  <c i="5" r="L15"/>
  <c i="5" r="K15"/>
  <c i="5" r="J15"/>
  <c i="5" r="I15"/>
  <c i="5" r="H15"/>
  <c i="5" r="G15"/>
  <c i="5" r="F15"/>
  <c i="5" r="E15"/>
  <c i="5" r="D15"/>
  <c i="1" l="1" r="J42"/>
  <c i="1" r="J40" s="1"/>
  <c i="5" l="1" r="J58"/>
  <c i="5" r="J56"/>
  <c i="1" l="1" r="F70"/>
  <c i="1" l="1" r="AA12"/>
  <c i="1" r="AA11"/>
  <c i="1" r="AA10"/>
  <c i="1" r="AA9"/>
  <c i="1" r="AA8"/>
  <c i="1" r="AA7"/>
  <c i="1" r="AA6"/>
  <c i="1" l="1" r="T18"/>
  <c i="1" r="Y12"/>
  <c i="1" r="Y11"/>
  <c i="1" r="Y10"/>
  <c i="1" r="Y9"/>
  <c i="1" r="Y8"/>
  <c i="1" r="Y7"/>
  <c i="1" r="Y6"/>
  <c i="1" l="1" r="Y18"/>
  <c i="1" r="AA18" s="1"/>
  <c i="1" l="1" r="E71"/>
  <c i="1" l="1" r="G71"/>
  <c i="1" r="G77"/>
  <c i="1" r="G75"/>
  <c i="1" r="G72"/>
  <c i="1" r="G76"/>
  <c i="1" r="G73"/>
  <c i="1" r="G74"/>
  <c i="1" l="1" r="N59"/>
  <c i="5" l="1" r="H21"/>
  <c i="1" l="1" r="K77"/>
  <c i="1" r="K76"/>
  <c i="1" r="K75"/>
  <c i="1" r="K74"/>
  <c i="1" r="K73"/>
  <c i="1" r="K72"/>
  <c i="1" r="K71"/>
  <c i="1" r="N64"/>
  <c i="1" r="N63"/>
  <c i="1" r="N62"/>
  <c i="1" r="N61"/>
  <c i="1" r="N60"/>
  <c i="1" l="1" r="V58"/>
  <c i="1" r="N58"/>
  <c i="1" r="V59"/>
  <c i="1" r="U59"/>
  <c i="1" r="Z71" s="1"/>
  <c i="1" r="T61"/>
  <c i="1" r="T63"/>
  <c i="1" r="U67"/>
  <c i="1" r="T64"/>
  <c i="1" r="V64"/>
  <c i="1" r="V63"/>
  <c i="1" r="V62"/>
  <c i="1" r="T62"/>
  <c i="1" r="V61"/>
  <c i="1" r="V60"/>
  <c i="1" r="T60"/>
  <c i="1" r="T59"/>
  <c i="1" r="T58"/>
  <c i="1" r="G64"/>
  <c i="1" r="AA76" s="1"/>
  <c i="1" r="G63"/>
  <c i="1" r="G62"/>
  <c i="1" r="G61"/>
  <c i="1" r="G60"/>
  <c i="1" r="G59"/>
  <c i="1" r="G58"/>
  <c i="1" r="E58"/>
  <c i="1" r="M64"/>
  <c i="1" r="M63"/>
  <c i="1" r="M62"/>
  <c i="1" r="M61"/>
  <c i="1" r="M60"/>
  <c i="1" r="M59"/>
  <c i="1" r="Z59" s="1"/>
  <c i="1" r="M58"/>
  <c i="1" r="Z58" s="1"/>
  <c i="1" r="E64"/>
  <c i="1" r="E63"/>
  <c i="1" r="E62"/>
  <c i="1" r="E61"/>
  <c i="1" r="E60"/>
  <c i="1" r="E59"/>
  <c i="1" l="1" r="AA70"/>
  <c i="1" r="I71"/>
  <c i="1" r="AA59"/>
  <c i="1" r="AB71" s="1"/>
  <c i="1" r="AA74"/>
  <c i="1" r="AA73"/>
  <c i="1" r="AA75"/>
  <c i="1" r="AA72"/>
  <c i="1" r="AA71"/>
  <c i="1" r="P63"/>
  <c i="1" r="I76"/>
  <c i="1" r="Z61"/>
  <c i="1" r="P61"/>
  <c i="1" r="I74"/>
  <c i="1" r="Z62"/>
  <c i="1" r="Z63"/>
  <c i="1" r="Z60"/>
  <c i="1" r="Z64"/>
  <c i="1" r="I77"/>
  <c i="1" r="P64"/>
  <c i="1" r="P60"/>
  <c i="1" r="I73"/>
  <c i="1" r="P59"/>
  <c i="1" r="H58"/>
  <c i="1" r="I58" s="1"/>
  <c i="1" r="P58"/>
  <c i="1" r="U58"/>
  <c i="1" r="AA58" s="1"/>
  <c i="1" r="I75"/>
  <c i="1" r="P62"/>
  <c i="1" r="H64"/>
  <c i="1" r="I64" s="1"/>
  <c i="1" r="J64" s="1"/>
  <c i="1" r="H61"/>
  <c i="1" r="I61" s="1"/>
  <c i="1" r="J61" s="1"/>
  <c i="1" r="H59"/>
  <c i="1" r="I59" s="1"/>
  <c i="1" r="J59" s="1"/>
  <c i="1" r="H63"/>
  <c i="1" r="I63" s="1"/>
  <c i="1" r="J63" s="1"/>
  <c i="1" r="H60"/>
  <c i="1" r="I60" s="1"/>
  <c i="1" r="J60" s="1"/>
  <c i="1" r="H62"/>
  <c i="1" r="I62" s="1"/>
  <c i="1" r="J62" s="1"/>
  <c i="5" r="M39"/>
  <c i="1" l="1" r="AB70"/>
  <c i="1" r="AC70" s="1"/>
  <c i="1" r="AD70" s="1"/>
  <c i="1" r="AB59"/>
  <c i="1" r="L58"/>
  <c i="1" r="J58"/>
  <c i="1" r="U60"/>
  <c i="1" r="AA60" s="1"/>
  <c i="1" r="U61"/>
  <c i="1" r="AA61" s="1"/>
  <c i="1" r="U63"/>
  <c i="1" r="AA63" s="1"/>
  <c i="1" r="U64"/>
  <c i="1" r="U62"/>
  <c i="1" r="L61"/>
  <c i="1" r="L64"/>
  <c i="1" r="L63"/>
  <c i="1" r="L62"/>
  <c i="1" r="L59"/>
  <c i="1" r="L60"/>
  <c i="1" l="1" r="AB72"/>
  <c i="1" r="AC72" s="1"/>
  <c i="1" r="AD72" s="1"/>
  <c i="1" r="AB60"/>
  <c i="1" r="AB73"/>
  <c i="1" r="AC73" s="1"/>
  <c i="1" r="AD73" s="1"/>
  <c i="1" r="AB61"/>
  <c i="1" r="AB75"/>
  <c i="1" r="AC75" s="1"/>
  <c i="1" r="AD75" s="1"/>
  <c i="1" r="AB63"/>
  <c i="1" r="AB58"/>
  <c i="1" r="T71"/>
  <c i="1" r="X71" s="1"/>
  <c i="1" r="W59"/>
  <c i="1" r="X59" s="1"/>
  <c i="1" r="AC71"/>
  <c i="1" r="AD71" s="1"/>
  <c i="1" r="T76"/>
  <c i="1" r="X76" s="1"/>
  <c i="1" r="W64"/>
  <c i="1" r="X64" s="1"/>
  <c i="1" r="T73"/>
  <c i="1" r="X73" s="1"/>
  <c i="1" r="W61"/>
  <c i="1" r="X61" s="1"/>
  <c i="1" r="AA64"/>
  <c i="1" r="T70"/>
  <c i="1" r="W58"/>
  <c i="1" r="X58" s="1"/>
  <c i="1" r="T72"/>
  <c i="1" r="X72" s="1"/>
  <c i="1" r="W60"/>
  <c i="1" r="X60" s="1"/>
  <c i="1" r="W62"/>
  <c i="1" r="X62" s="1"/>
  <c i="1" r="T74"/>
  <c i="1" r="X74" s="1"/>
  <c i="1" r="W63"/>
  <c i="1" r="X63" s="1"/>
  <c i="1" r="T75"/>
  <c i="1" r="X75" s="1"/>
  <c i="1" r="AA62"/>
  <c i="1" r="K49"/>
  <c i="1" r="L49" s="1"/>
  <c i="1" r="K48"/>
  <c i="1" r="L48" s="1"/>
  <c i="1" r="I49"/>
  <c i="1" r="J49" s="1"/>
  <c i="1" r="I48"/>
  <c i="1" l="1" r="AB76"/>
  <c i="1" r="AC76" s="1"/>
  <c i="1" r="AD76" s="1"/>
  <c i="1" r="AB64"/>
  <c i="1" r="AB74"/>
  <c i="1" r="AC74" s="1"/>
  <c i="1" r="AD74" s="1"/>
  <c i="1" r="AB62"/>
  <c i="1" r="Y72"/>
  <c i="1" r="X70"/>
  <c i="1" r="Y70"/>
  <c i="1" r="Y75"/>
  <c i="1" r="Y76"/>
  <c i="1" r="Y74"/>
  <c i="1" r="Y73"/>
  <c i="1" r="Y71"/>
  <c i="1" r="M48"/>
  <c i="1" r="K52"/>
  <c i="1" r="N49"/>
  <c i="1" r="J48"/>
  <c i="1" r="M49"/>
  <c i="5" r="J52"/>
  <c i="5" r="J50"/>
  <c i="1" l="1" r="K51"/>
  <c i="1" r="N48"/>
  <c i="5" l="1" r="J35"/>
  <c i="5" l="1" r="N44"/>
  <c i="5" l="1" r="I45"/>
  <c i="5" r="J45"/>
  <c i="6" l="1" r="M15"/>
  <c i="6" r="L15"/>
  <c i="6" r="K15"/>
  <c i="6" r="J15"/>
  <c i="6" r="I15"/>
  <c i="6" r="H15"/>
  <c i="6" r="G15"/>
  <c i="6" r="F15"/>
  <c i="6" r="E15"/>
  <c i="6" r="D15"/>
  <c i="6" r="B5"/>
  <c i="6" r="C5" s="1"/>
  <c i="6" r="D5" s="1"/>
  <c i="6" r="E5" s="1"/>
  <c i="6" r="F5" s="1"/>
  <c i="6" r="G5" s="1"/>
  <c i="6" r="H5" s="1"/>
  <c i="6" r="I5" s="1"/>
  <c i="6" r="J5" s="1"/>
  <c i="6" r="K5" s="1"/>
  <c i="6" r="L5" s="1"/>
  <c i="6" r="M5" s="1"/>
  <c i="6" r="N5" s="1"/>
  <c i="5" r="B28"/>
  <c i="5" r="C28" s="1"/>
  <c i="5" r="B5"/>
  <c i="5" r="C5" s="1"/>
  <c i="5" r="D5" s="1"/>
  <c i="5" r="E5" s="1"/>
  <c i="5" r="F5" s="1"/>
  <c i="5" r="G5" s="1"/>
  <c i="5" r="H5" s="1"/>
  <c i="5" r="I5" s="1"/>
  <c i="5" r="J5" s="1"/>
  <c i="5" r="K5" s="1"/>
  <c i="5" r="L5" s="1"/>
  <c i="5" r="M5" s="1"/>
  <c i="5" r="N5" s="1"/>
  <c i="1" r="B47"/>
  <c i="1" r="C47" s="1"/>
  <c i="1" r="D47" s="1"/>
  <c i="1" r="E47" s="1"/>
  <c i="1" r="F47" s="1"/>
  <c i="1" r="G47" s="1"/>
  <c i="1" r="H47" s="1"/>
  <c i="1" r="B34"/>
  <c i="1" r="C34" s="1"/>
  <c i="1" r="D34" s="1"/>
  <c i="1" r="E34" s="1"/>
  <c i="1" r="B22"/>
  <c i="1" r="C22" s="1"/>
  <c i="1" r="D22" s="1"/>
  <c i="1" r="E22" s="1"/>
  <c i="1" r="B5"/>
  <c i="1" r="C5" s="1"/>
  <c i="1" r="D5" s="1"/>
  <c i="1" r="E5" s="1"/>
  <c i="1" r="F5" s="1"/>
  <c i="1" r="G5" s="1"/>
  <c i="1" r="H5" s="1"/>
  <c i="1" r="I5" s="1"/>
  <c i="1" r="J5" s="1"/>
  <c i="1" r="K5" s="1"/>
  <c i="1" r="L5" s="1"/>
  <c i="1" r="M5" s="1"/>
  <c i="1" r="N5" s="1"/>
  <c i="1" r="O5" s="1"/>
  <c i="1" r="P5" s="1"/>
  <c i="1" r="Q5" s="1"/>
  <c i="1" r="R5" s="1"/>
  <c i="1" r="S5" s="1"/>
  <c i="1" r="T5" s="1"/>
  <c i="5" l="1" r="D28"/>
  <c i="5" l="1" r="E28"/>
  <c i="5" l="1" r="F28"/>
  <c i="5" l="1" r="G28"/>
  <c i="5" l="1" r="H28"/>
  <c i="5" l="1" r="I28"/>
  <c i="5" l="1" r="J28"/>
  <c i="5" l="1" r="K28"/>
  <c i="5" l="1" r="L28"/>
  <c i="5" l="1" r="M28"/>
  <c i="5" r="N28" s="1"/>
  <c i="5" r="O28" s="1"/>
  <c i="5" r="P28" s="1"/>
  <c i="5" r="Q28" s="1"/>
</calcChain>
</file>

<file path=xl/sharedStrings.xml><?xml version="1.0" encoding="utf-8"?>
<sst xmlns="http://schemas.openxmlformats.org/spreadsheetml/2006/main" count="946" uniqueCount="251">
  <si>
    <t>Nazwa ściany</t>
  </si>
  <si>
    <t xml:space="preserve">Przyporządkowanie do kopalni </t>
  </si>
  <si>
    <t>Lp.</t>
  </si>
  <si>
    <t>Nazwa parametru</t>
  </si>
  <si>
    <t>Jednostka</t>
  </si>
  <si>
    <t>Wartość</t>
  </si>
  <si>
    <t>…</t>
  </si>
  <si>
    <t>1.</t>
  </si>
  <si>
    <t>2.</t>
  </si>
  <si>
    <t>3.</t>
  </si>
  <si>
    <t>4.</t>
  </si>
  <si>
    <t>5.</t>
  </si>
  <si>
    <t>6.</t>
  </si>
  <si>
    <t>7.</t>
  </si>
  <si>
    <t>N.</t>
  </si>
  <si>
    <t>KWK k-ta</t>
  </si>
  <si>
    <t>Liczba dni roboczych w roku</t>
  </si>
  <si>
    <t xml:space="preserve">Dopuszczalna praca w soboty i niedziele </t>
  </si>
  <si>
    <t>ściana n-ta</t>
  </si>
  <si>
    <t>[tak/nie]</t>
  </si>
  <si>
    <t>Czas dotarcia do ściany [min]</t>
  </si>
  <si>
    <t>Oznaczenie parametru</t>
  </si>
  <si>
    <t xml:space="preserve">Poziom zatrudnienia na dole </t>
  </si>
  <si>
    <t>tak</t>
  </si>
  <si>
    <t xml:space="preserve">Poziom zatrudnienia na powierzchni </t>
  </si>
  <si>
    <t>Współczynnik przestojów pozatechnologicznych [%]</t>
  </si>
  <si>
    <t>Współczynnik wykorzystania czasu pracy kombajnu w procesach technologicznych [%]</t>
  </si>
  <si>
    <t>Wskaźnik absencji ogółem pracowników powierzchniowych</t>
  </si>
  <si>
    <t>Wskaźnik absencji ogółem pracowników dołowych</t>
  </si>
  <si>
    <t>[%]</t>
  </si>
  <si>
    <t>Tablice x.x. Parametry sterujące procesem obliczeniowym</t>
  </si>
  <si>
    <t>{0;1}</t>
  </si>
  <si>
    <t>&lt;0;200&gt;</t>
  </si>
  <si>
    <t>&lt;0;100&gt;</t>
  </si>
  <si>
    <t>Typ i zakres danych:</t>
  </si>
  <si>
    <t>Średnia produktywność kombajnu [t/h]</t>
  </si>
  <si>
    <t>&lt;0;800&gt;</t>
  </si>
  <si>
    <t>&lt;220;280&gt;</t>
  </si>
  <si>
    <t>Skrócony czas pracy</t>
  </si>
  <si>
    <t>nie</t>
  </si>
  <si>
    <t>{tak, nie}</t>
  </si>
  <si>
    <t>Liczba ścian produkcyjnych do optymalizacji</t>
  </si>
  <si>
    <r>
      <t>WD</t>
    </r>
    <r>
      <rPr>
        <vertAlign val="subscript"/>
        <sz val="11"/>
        <color indexed="8"/>
        <rFont val="Calibri"/>
        <family val="2"/>
        <charset val="238"/>
        <scheme val="minor"/>
      </rPr>
      <t>b</t>
    </r>
  </si>
  <si>
    <r>
      <t>WD</t>
    </r>
    <r>
      <rPr>
        <vertAlign val="subscript"/>
        <sz val="11"/>
        <color indexed="8"/>
        <rFont val="Calibri"/>
        <family val="2"/>
        <charset val="238"/>
        <scheme val="minor"/>
      </rPr>
      <t>n</t>
    </r>
  </si>
  <si>
    <t>[t/d]</t>
  </si>
  <si>
    <t>zmiany w wydajności</t>
  </si>
  <si>
    <t>zmiany w poziomie zatrudnienia</t>
  </si>
  <si>
    <t xml:space="preserve">maksymalna rezerwa produkcyjna na każdej ścianie </t>
  </si>
  <si>
    <t>maksymalna rezerwa produkcyjna w zbiorze analizowanych ścian</t>
  </si>
  <si>
    <t>Maksymalny postęp dobowy ściany ze względu na zagrożenia naturalne [m/d]</t>
  </si>
  <si>
    <t>Tablica x.x. Prametry techniczne ścian produkcyjnych jako wynik maksymalizacji wydajności pracy dla kopalni względnie grupy kopalń węgla kamiennego.</t>
  </si>
  <si>
    <r>
      <t>T</t>
    </r>
    <r>
      <rPr>
        <vertAlign val="subscript"/>
        <sz val="11"/>
        <color indexed="8"/>
        <rFont val="Calibri"/>
        <family val="2"/>
        <scheme val="minor"/>
      </rPr>
      <t>d</t>
    </r>
  </si>
  <si>
    <r>
      <t>W</t>
    </r>
    <r>
      <rPr>
        <vertAlign val="subscript"/>
        <sz val="11"/>
        <color indexed="8"/>
        <rFont val="Calibri"/>
        <family val="2"/>
        <scheme val="minor"/>
      </rPr>
      <t>pp</t>
    </r>
  </si>
  <si>
    <r>
      <t>W</t>
    </r>
    <r>
      <rPr>
        <vertAlign val="subscript"/>
        <sz val="11"/>
        <color indexed="8"/>
        <rFont val="Calibri"/>
        <family val="2"/>
        <scheme val="minor"/>
      </rPr>
      <t>wkpt</t>
    </r>
  </si>
  <si>
    <r>
      <t>PD</t>
    </r>
    <r>
      <rPr>
        <vertAlign val="subscript"/>
        <sz val="11"/>
        <color indexed="8"/>
        <rFont val="Calibri"/>
        <family val="2"/>
        <scheme val="minor"/>
      </rPr>
      <t>max</t>
    </r>
  </si>
  <si>
    <t>&lt;0;12&gt;</t>
  </si>
  <si>
    <r>
      <t>PD</t>
    </r>
    <r>
      <rPr>
        <vertAlign val="subscript"/>
        <sz val="11"/>
        <color indexed="8"/>
        <rFont val="Calibri"/>
        <family val="2"/>
        <scheme val="minor"/>
      </rPr>
      <t>o</t>
    </r>
  </si>
  <si>
    <t>Średni dobowy postęp ściany [m/d]</t>
  </si>
  <si>
    <t>Średnia dobowa liczba zmian konserwacyjnych w ścianie w soboty i niedziele [zm./d]</t>
  </si>
  <si>
    <t>Średnia dobowa liczba zmian produkcyjnych w ścianie w soboty i niedziele [zm./d]</t>
  </si>
  <si>
    <t>Średnia dobowa liczba zmian konserwacyjnych w ścianie w dni robocze [zm./d]</t>
  </si>
  <si>
    <r>
      <t>LZPDR</t>
    </r>
    <r>
      <rPr>
        <vertAlign val="subscript"/>
        <sz val="11"/>
        <color indexed="8"/>
        <rFont val="Calibri"/>
        <family val="2"/>
        <charset val="238"/>
        <scheme val="minor"/>
      </rPr>
      <t>o</t>
    </r>
  </si>
  <si>
    <t>Średnia dobowa liczba zmian produkcyjnych w ścianie w dni robocze [zm./d]</t>
  </si>
  <si>
    <t>Minimalna dobowa liczba zmian produkcyjnych w ścianie w dni robocze [zm./d]</t>
  </si>
  <si>
    <r>
      <t>LZKDR</t>
    </r>
    <r>
      <rPr>
        <vertAlign val="subscript"/>
        <sz val="11"/>
        <color indexed="8"/>
        <rFont val="Calibri"/>
        <family val="2"/>
        <charset val="238"/>
        <scheme val="minor"/>
      </rPr>
      <t>o</t>
    </r>
  </si>
  <si>
    <r>
      <t>LZPSN</t>
    </r>
    <r>
      <rPr>
        <vertAlign val="subscript"/>
        <sz val="11"/>
        <color indexed="8"/>
        <rFont val="Calibri"/>
        <family val="2"/>
        <charset val="238"/>
        <scheme val="minor"/>
      </rPr>
      <t>o</t>
    </r>
  </si>
  <si>
    <r>
      <t>LZKSN</t>
    </r>
    <r>
      <rPr>
        <vertAlign val="subscript"/>
        <sz val="11"/>
        <color indexed="8"/>
        <rFont val="Calibri"/>
        <family val="2"/>
        <charset val="238"/>
        <scheme val="minor"/>
      </rPr>
      <t>o</t>
    </r>
  </si>
  <si>
    <r>
      <t>LZPDR</t>
    </r>
    <r>
      <rPr>
        <vertAlign val="subscript"/>
        <sz val="11"/>
        <color indexed="8"/>
        <rFont val="Calibri"/>
        <family val="2"/>
        <charset val="238"/>
        <scheme val="minor"/>
      </rPr>
      <t>min</t>
    </r>
  </si>
  <si>
    <r>
      <t>LZPSN</t>
    </r>
    <r>
      <rPr>
        <vertAlign val="subscript"/>
        <sz val="11"/>
        <color indexed="8"/>
        <rFont val="Calibri"/>
        <family val="2"/>
        <charset val="238"/>
        <scheme val="minor"/>
      </rPr>
      <t>max</t>
    </r>
  </si>
  <si>
    <t>Obłożenie ściany na zmianie produkcyjnej [prac./zm.]</t>
  </si>
  <si>
    <t>Obłożenie ściany na zmianie konserwacyjnej [prac./zm.]</t>
  </si>
  <si>
    <r>
      <t>OZP</t>
    </r>
    <r>
      <rPr>
        <vertAlign val="subscript"/>
        <sz val="11"/>
        <color indexed="8"/>
        <rFont val="Calibri"/>
        <family val="2"/>
        <charset val="238"/>
        <scheme val="minor"/>
      </rPr>
      <t>o</t>
    </r>
  </si>
  <si>
    <r>
      <t>OZK</t>
    </r>
    <r>
      <rPr>
        <vertAlign val="subscript"/>
        <sz val="11"/>
        <color indexed="8"/>
        <rFont val="Calibri"/>
        <family val="2"/>
        <charset val="238"/>
        <scheme val="minor"/>
      </rPr>
      <t>o</t>
    </r>
  </si>
  <si>
    <r>
      <t>WA</t>
    </r>
    <r>
      <rPr>
        <vertAlign val="subscript"/>
        <sz val="11"/>
        <color indexed="8"/>
        <rFont val="Calibri"/>
        <family val="2"/>
        <charset val="238"/>
        <scheme val="minor"/>
      </rPr>
      <t>ow</t>
    </r>
  </si>
  <si>
    <t>Wskaźnik absencji ogółem pracowników w oddziałach wydobywczych [%]</t>
  </si>
  <si>
    <t>&lt;0;9&gt;</t>
  </si>
  <si>
    <t>zmp</t>
  </si>
  <si>
    <t>całkowita</t>
  </si>
  <si>
    <t>Dobowa liczba zmian produkcyjnych w ścianie w dni robocze [zm./d]</t>
  </si>
  <si>
    <t>Dobowa liczba zmian konserwacyjnych w ścianie w dni robocze [zm./d]</t>
  </si>
  <si>
    <t>Dobowa liczba zmian produkcyjnych w ścianie w soboty i niedziele [zm./d]</t>
  </si>
  <si>
    <t>Dobowa liczba zmian konserwacyjnych w ścianie w soboty i niedziele [zm./d]</t>
  </si>
  <si>
    <t>Maksymalna rezerwa wydobycia dobowego brutto ze ściany [t/d]</t>
  </si>
  <si>
    <t>Średnie wydobycie dobowe brutto ze ściany [t/d]</t>
  </si>
  <si>
    <r>
      <t>WDB</t>
    </r>
    <r>
      <rPr>
        <vertAlign val="subscript"/>
        <sz val="11"/>
        <color indexed="8"/>
        <rFont val="Calibri"/>
        <family val="2"/>
        <charset val="238"/>
        <scheme val="minor"/>
      </rPr>
      <t>o</t>
    </r>
  </si>
  <si>
    <r>
      <t>RW</t>
    </r>
    <r>
      <rPr>
        <vertAlign val="subscript"/>
        <sz val="11"/>
        <color indexed="8"/>
        <rFont val="Calibri"/>
        <family val="2"/>
        <scheme val="minor"/>
      </rPr>
      <t>max</t>
    </r>
  </si>
  <si>
    <r>
      <t>LZPDR</t>
    </r>
    <r>
      <rPr>
        <vertAlign val="subscript"/>
        <sz val="11"/>
        <color indexed="8"/>
        <rFont val="Calibri"/>
        <family val="2"/>
        <scheme val="minor"/>
      </rPr>
      <t>k</t>
    </r>
  </si>
  <si>
    <r>
      <t>LZKDR</t>
    </r>
    <r>
      <rPr>
        <vertAlign val="subscript"/>
        <sz val="11"/>
        <color indexed="8"/>
        <rFont val="Calibri"/>
        <family val="2"/>
        <scheme val="minor"/>
      </rPr>
      <t>k</t>
    </r>
  </si>
  <si>
    <r>
      <t>LZPSN</t>
    </r>
    <r>
      <rPr>
        <vertAlign val="subscript"/>
        <sz val="11"/>
        <color indexed="8"/>
        <rFont val="Calibri"/>
        <family val="2"/>
        <scheme val="minor"/>
      </rPr>
      <t>k</t>
    </r>
  </si>
  <si>
    <r>
      <t>LZKSN</t>
    </r>
    <r>
      <rPr>
        <vertAlign val="subscript"/>
        <sz val="11"/>
        <color indexed="8"/>
        <rFont val="Calibri"/>
        <family val="2"/>
        <scheme val="minor"/>
      </rPr>
      <t>k</t>
    </r>
  </si>
  <si>
    <t>Wydobycie dobowe brutto ze ściany po alokacji produkcji [t/d]</t>
  </si>
  <si>
    <t>Zmiana wydobycia dobowego brutto ze ściany [t/d]</t>
  </si>
  <si>
    <t>Zmiana dobowego obłożenia ściany w dni robocze [prac./d]</t>
  </si>
  <si>
    <t>Zmiana poziomu zatrudnienia pracowników produkcyjnych</t>
  </si>
  <si>
    <t>LDWP</t>
  </si>
  <si>
    <t>[1/rok]</t>
  </si>
  <si>
    <t>Skrócony czas pracy w ścianie ze względu na warunki klimatyczne</t>
  </si>
  <si>
    <r>
      <t>PrK</t>
    </r>
    <r>
      <rPr>
        <vertAlign val="subscript"/>
        <sz val="11"/>
        <color indexed="8"/>
        <rFont val="Calibri"/>
        <family val="2"/>
        <scheme val="minor"/>
      </rPr>
      <t>śr</t>
    </r>
  </si>
  <si>
    <t>Maksymalna liczba zmian produkcyjnych w ścianie w soboty i niedziele [zm.]</t>
  </si>
  <si>
    <t>LŚAO</t>
  </si>
  <si>
    <r>
      <t>WDB</t>
    </r>
    <r>
      <rPr>
        <vertAlign val="subscript"/>
        <sz val="11"/>
        <color indexed="8"/>
        <rFont val="Calibri"/>
        <family val="2"/>
        <scheme val="minor"/>
      </rPr>
      <t>k</t>
    </r>
  </si>
  <si>
    <r>
      <t>ΔZ</t>
    </r>
    <r>
      <rPr>
        <vertAlign val="subscript"/>
        <sz val="11"/>
        <color indexed="8"/>
        <rFont val="Calibri"/>
        <family val="2"/>
        <charset val="238"/>
        <scheme val="minor"/>
      </rPr>
      <t>pp</t>
    </r>
  </si>
  <si>
    <t xml:space="preserve">Średnie wydobycie dobowe brutto </t>
  </si>
  <si>
    <t>[prac.]</t>
  </si>
  <si>
    <t>ΔODDR</t>
  </si>
  <si>
    <t>[d/rok]</t>
  </si>
  <si>
    <t>Średnie wydobycie dobowe netto</t>
  </si>
  <si>
    <r>
      <t>WA</t>
    </r>
    <r>
      <rPr>
        <vertAlign val="subscript"/>
        <sz val="11"/>
        <color indexed="8"/>
        <rFont val="Calibri"/>
        <family val="2"/>
        <charset val="238"/>
        <scheme val="minor"/>
      </rPr>
      <t>pd</t>
    </r>
  </si>
  <si>
    <r>
      <t>WA</t>
    </r>
    <r>
      <rPr>
        <vertAlign val="subscript"/>
        <sz val="11"/>
        <color indexed="8"/>
        <rFont val="Calibri"/>
        <family val="2"/>
        <charset val="238"/>
        <scheme val="minor"/>
      </rPr>
      <t>pp</t>
    </r>
  </si>
  <si>
    <r>
      <t>Z</t>
    </r>
    <r>
      <rPr>
        <vertAlign val="subscript"/>
        <sz val="11"/>
        <color indexed="8"/>
        <rFont val="Calibri"/>
        <family val="2"/>
        <charset val="238"/>
        <scheme val="minor"/>
      </rPr>
      <t>p</t>
    </r>
  </si>
  <si>
    <r>
      <t>Z</t>
    </r>
    <r>
      <rPr>
        <vertAlign val="subscript"/>
        <sz val="11"/>
        <color indexed="8"/>
        <rFont val="Calibri"/>
        <family val="2"/>
        <charset val="238"/>
        <scheme val="minor"/>
      </rPr>
      <t>d</t>
    </r>
  </si>
  <si>
    <r>
      <t>LD</t>
    </r>
    <r>
      <rPr>
        <vertAlign val="subscript"/>
        <sz val="11"/>
        <color indexed="8"/>
        <rFont val="Calibri"/>
        <family val="2"/>
        <charset val="238"/>
        <scheme val="minor"/>
      </rPr>
      <t>r</t>
    </r>
  </si>
  <si>
    <t>DPSN</t>
  </si>
  <si>
    <t>SCzP</t>
  </si>
  <si>
    <t>WSCzP</t>
  </si>
  <si>
    <r>
      <rPr>
        <sz val="11"/>
        <color indexed="8"/>
        <rFont val="Calibri"/>
        <family val="2"/>
        <charset val="238"/>
      </rPr>
      <t>Δ</t>
    </r>
    <r>
      <rPr>
        <sz val="11"/>
        <color indexed="8"/>
        <rFont val="Calibri"/>
        <family val="2"/>
        <scheme val="minor"/>
      </rPr>
      <t>WDB</t>
    </r>
    <r>
      <rPr>
        <vertAlign val="subscript"/>
        <sz val="11"/>
        <color indexed="8"/>
        <rFont val="Calibri"/>
        <family val="2"/>
        <charset val="238"/>
        <scheme val="minor"/>
      </rPr>
      <t>k</t>
    </r>
  </si>
  <si>
    <t>Liczba weekendów produkcyjnych w roku</t>
  </si>
  <si>
    <t>Zmiana  obłożenia ściany  w soboty i niedziele [prac./d]</t>
  </si>
  <si>
    <t>ΔOSN</t>
  </si>
  <si>
    <t>&lt;0,1;4&gt;</t>
  </si>
  <si>
    <t>&lt;0;20&gt;</t>
  </si>
  <si>
    <t>Nazwa kopalni</t>
  </si>
  <si>
    <t>Uwagi</t>
  </si>
  <si>
    <t>&lt;0;4&gt;</t>
  </si>
  <si>
    <t>&lt;1;50&gt;</t>
  </si>
  <si>
    <t>&lt;1;80&gt;</t>
  </si>
  <si>
    <t>&lt;0;20000&gt;</t>
  </si>
  <si>
    <t>&lt;0;10&gt;</t>
  </si>
  <si>
    <t/>
  </si>
  <si>
    <t>jeżeli max {liczba zmian}&gt;0</t>
  </si>
  <si>
    <t>poziom zatrudnienia dla obłożenia infrastruktury</t>
  </si>
  <si>
    <t>stały</t>
  </si>
  <si>
    <t xml:space="preserve">poziom zatrudnienia robót ptzygotowawczych, zbrojeniowych i likwidacyjnych </t>
  </si>
  <si>
    <t>Analizowana grupa ścian produkcyjnych</t>
  </si>
  <si>
    <t>poziom zatrudnienia transportu poziomego i pionowego wraz z obsługa wydobycia</t>
  </si>
  <si>
    <t>zmienny zależny od współczynników i liczby zmian produkcyjnych (zarówno dni robocze, jak i SN)</t>
  </si>
  <si>
    <t xml:space="preserve">poziom zatrudnienia w ZPMW </t>
  </si>
  <si>
    <t>zmiany wydobywcze</t>
  </si>
  <si>
    <t>zmiany pracownicze</t>
  </si>
  <si>
    <r>
      <t>WDK</t>
    </r>
    <r>
      <rPr>
        <vertAlign val="subscript"/>
        <sz val="11"/>
        <color indexed="8"/>
        <rFont val="Calibri"/>
        <family val="2"/>
        <charset val="238"/>
        <scheme val="minor"/>
      </rPr>
      <t>Bo</t>
    </r>
  </si>
  <si>
    <t>Analizowana grupa kopalń węgla kamiennego</t>
  </si>
  <si>
    <r>
      <t>WDK</t>
    </r>
    <r>
      <rPr>
        <vertAlign val="subscript"/>
        <sz val="11"/>
        <color indexed="8"/>
        <rFont val="Calibri"/>
        <family val="2"/>
        <charset val="238"/>
        <scheme val="minor"/>
      </rPr>
      <t>Bk</t>
    </r>
  </si>
  <si>
    <r>
      <t>ΔWDK</t>
    </r>
    <r>
      <rPr>
        <vertAlign val="subscript"/>
        <sz val="11"/>
        <color indexed="8"/>
        <rFont val="Calibri"/>
        <family val="2"/>
        <charset val="238"/>
        <scheme val="minor"/>
      </rPr>
      <t>B</t>
    </r>
  </si>
  <si>
    <t>dla maksymalnej liczby zmian</t>
  </si>
  <si>
    <t>dla DR</t>
  </si>
  <si>
    <t>dl SN</t>
  </si>
  <si>
    <t>czas obsługi wydobycia = (LZPSNk+LZKSNk)*Eef/1440*4</t>
  </si>
  <si>
    <r>
      <t>czas obsługi wydobycia = (LZPDRk+LZKDRk)*E</t>
    </r>
    <r>
      <rPr>
        <vertAlign val="subscript"/>
        <sz val="11"/>
        <color indexed="8"/>
        <rFont val="Calibri"/>
        <family val="2"/>
        <charset val="238"/>
        <scheme val="minor"/>
      </rPr>
      <t>ef</t>
    </r>
    <r>
      <rPr>
        <sz val="11"/>
        <color indexed="8"/>
        <rFont val="Calibri"/>
        <family val="2"/>
        <charset val="238"/>
        <scheme val="minor"/>
      </rPr>
      <t>/1440*4</t>
    </r>
  </si>
  <si>
    <t>Maksymalna liczba zmian produkcyjnych w dni robocze w kopalni</t>
  </si>
  <si>
    <t>Maksymalna liczba zmian produkcyjnych w soboty i niedziele w kopalni</t>
  </si>
  <si>
    <t>Zmiana poziomu zatrudnienia pracowników produkcyjnych [prac./d]</t>
  </si>
  <si>
    <t>Średnie wydobycie dobowe brutto przed alokacją produkcji  [t/d]</t>
  </si>
  <si>
    <t>Średnie wydobycie dobowe brutto po alokacji produkcji  [t/d]</t>
  </si>
  <si>
    <t>założenia:</t>
  </si>
  <si>
    <t>Zmiana obłożenia procesów obsługi wydobycia  i przeróbki węgla w dni robocze [prac./d]</t>
  </si>
  <si>
    <r>
      <t>ΔOPW</t>
    </r>
    <r>
      <rPr>
        <vertAlign val="subscript"/>
        <sz val="11"/>
        <color indexed="8"/>
        <rFont val="Calibri"/>
        <family val="2"/>
        <charset val="238"/>
        <scheme val="minor"/>
      </rPr>
      <t>DR</t>
    </r>
  </si>
  <si>
    <t>Zmiana  obłożenia ściany  w soboty i niedziele [prac]</t>
  </si>
  <si>
    <r>
      <t>ΔOPW</t>
    </r>
    <r>
      <rPr>
        <vertAlign val="subscript"/>
        <sz val="11"/>
        <color indexed="8"/>
        <rFont val="Calibri"/>
        <family val="2"/>
        <charset val="238"/>
        <scheme val="minor"/>
      </rPr>
      <t>sn</t>
    </r>
  </si>
  <si>
    <t>MAXLZPSN</t>
  </si>
  <si>
    <t>MAXLZPDR</t>
  </si>
  <si>
    <t>Zmiana obłożenia procesów obsługi wydobycia  i przeróbki węgla w soboty i niedziele [prac]</t>
  </si>
  <si>
    <t>Zmiana poziomu zatrudnienia pracowników pozaprodukcyjnych [prac./d]</t>
  </si>
  <si>
    <t>Zbiorcza zmiana poziomu zatrudnienia  [prac./d]</t>
  </si>
  <si>
    <r>
      <t>ΔZ</t>
    </r>
    <r>
      <rPr>
        <vertAlign val="subscript"/>
        <sz val="11"/>
        <color indexed="8"/>
        <rFont val="Calibri"/>
        <family val="2"/>
        <charset val="238"/>
        <scheme val="minor"/>
      </rPr>
      <t>pnp</t>
    </r>
  </si>
  <si>
    <t>ΔZ</t>
  </si>
  <si>
    <r>
      <t>W</t>
    </r>
    <r>
      <rPr>
        <vertAlign val="subscript"/>
        <sz val="11"/>
        <color indexed="8"/>
        <rFont val="Calibri"/>
        <family val="2"/>
        <charset val="238"/>
        <scheme val="minor"/>
      </rPr>
      <t>o</t>
    </r>
  </si>
  <si>
    <r>
      <t>W</t>
    </r>
    <r>
      <rPr>
        <vertAlign val="subscript"/>
        <sz val="11"/>
        <color indexed="8"/>
        <rFont val="Calibri"/>
        <family val="2"/>
        <charset val="238"/>
        <scheme val="minor"/>
      </rPr>
      <t>k</t>
    </r>
  </si>
  <si>
    <t>ΔW</t>
  </si>
  <si>
    <r>
      <t>ΔW</t>
    </r>
    <r>
      <rPr>
        <vertAlign val="subscript"/>
        <sz val="11"/>
        <color indexed="8"/>
        <rFont val="Calibri"/>
        <family val="2"/>
        <charset val="238"/>
        <scheme val="minor"/>
      </rPr>
      <t>%</t>
    </r>
  </si>
  <si>
    <r>
      <t>Z</t>
    </r>
    <r>
      <rPr>
        <vertAlign val="subscript"/>
        <sz val="11"/>
        <color indexed="8"/>
        <rFont val="Calibri"/>
        <family val="2"/>
        <charset val="238"/>
        <scheme val="minor"/>
      </rPr>
      <t>kd</t>
    </r>
  </si>
  <si>
    <t>Poziom zatrudnienia na dole kopalni  [prac.]</t>
  </si>
  <si>
    <r>
      <t>Z</t>
    </r>
    <r>
      <rPr>
        <vertAlign val="subscript"/>
        <sz val="11"/>
        <color indexed="8"/>
        <rFont val="Calibri"/>
        <family val="2"/>
        <charset val="238"/>
        <scheme val="minor"/>
      </rPr>
      <t>kp</t>
    </r>
  </si>
  <si>
    <t>Wskaźnik absencji ogółem pracowników dołowych [%]</t>
  </si>
  <si>
    <t>&lt;500;9999&gt;</t>
  </si>
  <si>
    <t>&lt;500;1999&gt;</t>
  </si>
  <si>
    <t>Poziom zatrudnienia na powierzchni kopalni  [prac.]</t>
  </si>
  <si>
    <t>Współczynnik udziału pracowników ZPMW w zatrudnieniu na powierzchni kopalni [%]</t>
  </si>
  <si>
    <t xml:space="preserve">poziom obsługi innych procesów niezwiązanych z wydobucie, transportem uroblu i przeróbką węgla </t>
  </si>
  <si>
    <t>Współczynnik udziału pracowników obsługi  procesów wydobycia w zatrudnieniu pracowników dołowych [%]</t>
  </si>
  <si>
    <t>system czterozmianowy na dole</t>
  </si>
  <si>
    <t>system trójzmianowy na powierzchni</t>
  </si>
  <si>
    <r>
      <t>W</t>
    </r>
    <r>
      <rPr>
        <vertAlign val="subscript"/>
        <sz val="11"/>
        <color indexed="8"/>
        <rFont val="Calibri"/>
        <family val="2"/>
        <charset val="238"/>
        <scheme val="minor"/>
      </rPr>
      <t>pzpmw</t>
    </r>
  </si>
  <si>
    <r>
      <t>W</t>
    </r>
    <r>
      <rPr>
        <vertAlign val="subscript"/>
        <sz val="11"/>
        <color indexed="8"/>
        <rFont val="Calibri"/>
        <family val="2"/>
        <charset val="238"/>
        <scheme val="minor"/>
      </rPr>
      <t>pow</t>
    </r>
  </si>
  <si>
    <t>Zmiana średniego wydobycia dobowego brutto po alokacji produkcji [t/d]</t>
  </si>
  <si>
    <r>
      <t>W</t>
    </r>
    <r>
      <rPr>
        <vertAlign val="subscript"/>
        <sz val="11"/>
        <color indexed="8"/>
        <rFont val="Calibri"/>
        <family val="2"/>
        <charset val="238"/>
        <scheme val="minor"/>
      </rPr>
      <t>gk-o</t>
    </r>
  </si>
  <si>
    <r>
      <t>W</t>
    </r>
    <r>
      <rPr>
        <vertAlign val="subscript"/>
        <sz val="11"/>
        <color indexed="8"/>
        <rFont val="Calibri"/>
        <family val="2"/>
        <charset val="238"/>
        <scheme val="minor"/>
      </rPr>
      <t>gk-k</t>
    </r>
  </si>
  <si>
    <r>
      <t>ΔW</t>
    </r>
    <r>
      <rPr>
        <vertAlign val="subscript"/>
        <sz val="11"/>
        <color indexed="8"/>
        <rFont val="Calibri"/>
        <family val="2"/>
        <charset val="238"/>
        <scheme val="minor"/>
      </rPr>
      <t>gk</t>
    </r>
  </si>
  <si>
    <r>
      <t>ΔW</t>
    </r>
    <r>
      <rPr>
        <vertAlign val="subscript"/>
        <sz val="11"/>
        <color indexed="8"/>
        <rFont val="Calibri"/>
        <family val="2"/>
        <charset val="238"/>
        <scheme val="minor"/>
      </rPr>
      <t>gk-%</t>
    </r>
  </si>
  <si>
    <t>przeróbka</t>
  </si>
  <si>
    <t>wydobycie</t>
  </si>
  <si>
    <t>zmiana</t>
  </si>
  <si>
    <t>razem</t>
  </si>
  <si>
    <t>Tablice x.x. Parametry ogólne dotyczące grupy kopalń</t>
  </si>
  <si>
    <t>Tablica x.x. Zmiany parametrów wydobycia i poziomu zatrudnienia ścian produkcyjnych w wyniku alokacji produkcji dla grupy kopalń węgla kamiennego.</t>
  </si>
  <si>
    <t>Tablica x.x. Zbiorcze zmiany parametrów wydobycia, poziomu zatrudnienia i wskaźnika wydajności brutto w wyniku alokacji produkcji dla grupy kopalń węgla kamiennego.</t>
  </si>
  <si>
    <t>ściana 9</t>
  </si>
  <si>
    <t>KWK J</t>
  </si>
  <si>
    <t>ściana 12</t>
  </si>
  <si>
    <t>ściana 18</t>
  </si>
  <si>
    <t>ściana 19</t>
  </si>
  <si>
    <t>ściana 22</t>
  </si>
  <si>
    <t>KWK N</t>
  </si>
  <si>
    <t>ściana 24</t>
  </si>
  <si>
    <t>ściana 28</t>
  </si>
  <si>
    <t xml:space="preserve">ściana 22		</t>
  </si>
  <si>
    <t xml:space="preserve">KWK N		</t>
  </si>
  <si>
    <t xml:space="preserve">ściana 12		</t>
  </si>
  <si>
    <t xml:space="preserve">KWK J		</t>
  </si>
  <si>
    <t xml:space="preserve">ściana 19		</t>
  </si>
  <si>
    <t xml:space="preserve">ściana 9		</t>
  </si>
  <si>
    <t xml:space="preserve">ściana 18		</t>
  </si>
  <si>
    <t xml:space="preserve">ściana 24		</t>
  </si>
  <si>
    <t xml:space="preserve">ściana 28		</t>
  </si>
  <si>
    <t>czas dotarcia</t>
  </si>
  <si>
    <t xml:space="preserve">TPK zmiana max </t>
  </si>
  <si>
    <t>Czas ef</t>
  </si>
  <si>
    <t>WD zm</t>
  </si>
  <si>
    <t xml:space="preserve">na obłożenie </t>
  </si>
  <si>
    <t>WD</t>
  </si>
  <si>
    <t>WD z czasu</t>
  </si>
  <si>
    <t>czas nowy</t>
  </si>
  <si>
    <t>WD ze wzoru</t>
  </si>
  <si>
    <t>produktywność</t>
  </si>
  <si>
    <t>czas pracy kombajnu</t>
  </si>
  <si>
    <t>TKzm wg czasu</t>
  </si>
  <si>
    <t>TK wg zmian rzecz.</t>
  </si>
  <si>
    <t>New</t>
  </si>
  <si>
    <t>new wtdobycie</t>
  </si>
  <si>
    <t>best</t>
  </si>
  <si>
    <t>last</t>
  </si>
  <si>
    <t>prod</t>
  </si>
  <si>
    <t>max</t>
  </si>
  <si>
    <t>Tkom zm</t>
  </si>
  <si>
    <t xml:space="preserve">W zmiana </t>
  </si>
  <si>
    <t>W doba</t>
  </si>
  <si>
    <t>z warunku</t>
  </si>
  <si>
    <t>produktywność:</t>
  </si>
  <si>
    <t xml:space="preserve">Odchylenie procentowe </t>
  </si>
  <si>
    <t>suma</t>
  </si>
  <si>
    <t xml:space="preserve">zm. Ef. </t>
  </si>
  <si>
    <t>zm. Rzecz</t>
  </si>
  <si>
    <t xml:space="preserve">odchylenie </t>
  </si>
  <si>
    <t>Tablica x.x. Parametry zatrudnienia w analizowanej grupie kopalń węgla kamiennego.</t>
  </si>
  <si>
    <t>Procentowa zmiana wskaźnika wydajności brutto po alokacji produkcji [%]</t>
  </si>
  <si>
    <t>Zmiana wskaźnika wydajności brutto  po alokacji produkcji [t/r/prac.]</t>
  </si>
  <si>
    <t>Wskaźnik wydajności brutto po alokacji produkcji [t/r/prac.]</t>
  </si>
  <si>
    <t>Wskaźnik wydajności brutto przed alokacją produkcji [t/r/prac.]</t>
  </si>
  <si>
    <t>Tablica x.x. Parametry techniczne ścian jako dane wejściowe w analizie wydajności pracy w grupie ścian produkcyjnych.</t>
  </si>
  <si>
    <t>max-obłożenie    wydobycia</t>
  </si>
  <si>
    <t>max-obłożenie    ZPMW</t>
  </si>
  <si>
    <t xml:space="preserve"> KWK 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</si>
</sst>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"/>
    <numFmt numFmtId="165" formatCode="0.0"/>
  </numFmts>
  <fonts count="11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charset val="238"/>
      <scheme val="minor"/>
    </font>
    <font>
      <vertAlign val="subscript"/>
      <sz val="11"/>
      <color indexed="8"/>
      <name val="Calibri"/>
      <family val="2"/>
      <charset val="238"/>
      <scheme val="minor"/>
    </font>
    <font>
      <sz val="9"/>
      <color indexed="8"/>
      <name val="Calibri"/>
      <family val="2"/>
      <scheme val="minor"/>
    </font>
    <font>
      <sz val="8"/>
      <color indexed="8"/>
      <name val="Calibri"/>
      <family val="2"/>
      <scheme val="minor"/>
    </font>
    <font>
      <vertAlign val="subscript"/>
      <sz val="11"/>
      <color indexed="8"/>
      <name val="Calibri"/>
      <family val="2"/>
      <scheme val="minor"/>
    </font>
    <font>
      <sz val="11"/>
      <color indexed="8"/>
      <name val="Calibri"/>
      <family val="2"/>
      <charset val="238"/>
    </font>
    <font>
      <sz val="11"/>
      <color indexed="8"/>
      <name val="Calibri"/>
      <family val="2"/>
      <charset val="238"/>
      <scheme val="minor"/>
    </font>
    <font>
      <sz val="12"/>
      <color indexed="8"/>
      <name val="Arial"/>
      <family val="2"/>
      <charset val="238"/>
    </font>
    <font>
      <sz val="12"/>
      <color indexed="8"/>
      <name val="Times New Roman"/>
      <family val="1"/>
      <charset val="238"/>
    </font>
    <font>
      <b/>
      <sz val="12"/>
      <color indexed="8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30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/>
      <right style="thick">
        <color auto="1"/>
      </right>
      <top/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/>
      <diagonal/>
    </border>
    <border>
      <left style="thin">
        <color auto="1"/>
      </left>
      <right style="thick">
        <color auto="1"/>
      </right>
      <top/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</borders>
  <cellStyleXfs count="1">
    <xf borderId="0" fillId="0" fontId="0" numFmtId="0"/>
  </cellStyleXfs>
  <cellXfs count="102">
    <xf borderId="0" fillId="0" fontId="0" numFmtId="0" xfId="0"/>
    <xf applyAlignment="1" borderId="0" fillId="0" fontId="0" numFmtId="0" xfId="0">
      <alignment horizontal="center"/>
    </xf>
    <xf applyAlignment="1" applyFont="1" borderId="0" fillId="0" fontId="1" numFmtId="0" xfId="0">
      <alignment horizontal="right"/>
    </xf>
    <xf applyBorder="1" borderId="4" fillId="0" fontId="0" numFmtId="0" xfId="0"/>
    <xf applyAlignment="1" applyBorder="1" borderId="5" fillId="0" fontId="0" numFmtId="0" xfId="0">
      <alignment horizontal="center"/>
    </xf>
    <xf applyBorder="1" borderId="7" fillId="0" fontId="0" numFmtId="0" xfId="0"/>
    <xf applyAlignment="1" applyBorder="1" borderId="8" fillId="0" fontId="0" numFmtId="0" xfId="0">
      <alignment horizontal="center"/>
    </xf>
    <xf applyBorder="1" borderId="10" fillId="0" fontId="0" numFmtId="0" xfId="0"/>
    <xf applyAlignment="1" applyBorder="1" borderId="11" fillId="0" fontId="0" numFmtId="0" xfId="0">
      <alignment horizontal="center"/>
    </xf>
    <xf applyAlignment="1" applyBorder="1" borderId="13" fillId="0" fontId="0" numFmtId="0" xfId="0">
      <alignment horizontal="center" vertical="center" wrapText="1"/>
    </xf>
    <xf applyAlignment="1" applyBorder="1" borderId="14" fillId="0" fontId="0" numFmtId="0" xfId="0">
      <alignment horizontal="center" vertical="center" wrapText="1"/>
    </xf>
    <xf applyAlignment="1" applyBorder="1" borderId="15" fillId="0" fontId="0" numFmtId="0" xfId="0">
      <alignment horizontal="center" vertical="center" wrapText="1"/>
    </xf>
    <xf applyAlignment="1" applyBorder="1" borderId="12" fillId="0" fontId="0" numFmtId="0" xfId="0">
      <alignment horizontal="center"/>
    </xf>
    <xf applyAlignment="1" applyBorder="1" borderId="6" fillId="0" fontId="0" numFmtId="0" xfId="0">
      <alignment horizontal="center"/>
    </xf>
    <xf applyAlignment="1" applyBorder="1" borderId="9" fillId="0" fontId="0" numFmtId="0" xfId="0">
      <alignment horizontal="center"/>
    </xf>
    <xf applyAlignment="1" applyBorder="1" borderId="0" fillId="0" fontId="0" numFmtId="0" xfId="0">
      <alignment horizontal="center" vertical="center" wrapText="1"/>
    </xf>
    <xf applyAlignment="1" applyBorder="1" borderId="8" fillId="0" fontId="0" numFmtId="0" xfId="0">
      <alignment horizontal="center" vertical="center" wrapText="1"/>
    </xf>
    <xf applyAlignment="1" applyBorder="1" applyFont="1" borderId="3" fillId="0" fontId="3" numFmtId="0" xfId="0">
      <alignment horizontal="center" vertical="center" wrapText="1"/>
    </xf>
    <xf applyAlignment="1" applyBorder="1" borderId="11" fillId="0" fontId="0" numFmtId="0" xfId="0">
      <alignment wrapText="1"/>
    </xf>
    <xf applyAlignment="1" applyBorder="1" borderId="5" fillId="0" fontId="0" numFmtId="0" xfId="0">
      <alignment wrapText="1"/>
    </xf>
    <xf applyAlignment="1" applyBorder="1" borderId="8" fillId="0" fontId="0" numFmtId="0" xfId="0">
      <alignment wrapText="1"/>
    </xf>
    <xf applyAlignment="1" applyBorder="1" borderId="5" fillId="0" fontId="0" numFmtId="0" xfId="0">
      <alignment horizontal="center" vertical="center" wrapText="1"/>
    </xf>
    <xf applyAlignment="1" applyBorder="1" applyFont="1" borderId="13" fillId="0" fontId="4" numFmtId="0" xfId="0">
      <alignment horizontal="center" vertical="center" wrapText="1"/>
    </xf>
    <xf applyAlignment="1" applyBorder="1" applyFont="1" borderId="14" fillId="0" fontId="4" numFmtId="0" xfId="0">
      <alignment horizontal="center" vertical="center" wrapText="1"/>
    </xf>
    <xf applyAlignment="1" applyBorder="1" applyFont="1" borderId="15" fillId="0" fontId="4" numFmtId="0" xfId="0">
      <alignment horizontal="center" vertical="center" wrapText="1"/>
    </xf>
    <xf applyFont="1" borderId="0" fillId="0" fontId="4" numFmtId="0" xfId="0"/>
    <xf applyAlignment="1" applyBorder="1" borderId="16" fillId="0" fontId="0" numFmtId="0" xfId="0">
      <alignment horizontal="center" vertical="center" wrapText="1"/>
    </xf>
    <xf applyBorder="1" borderId="24" fillId="0" fontId="0" numFmtId="0" xfId="0"/>
    <xf applyAlignment="1" applyBorder="1" borderId="25" fillId="0" fontId="0" numFmtId="0" xfId="0">
      <alignment wrapText="1"/>
    </xf>
    <xf applyAlignment="1" applyBorder="1" borderId="11" fillId="0" fontId="0" numFmtId="0" xfId="0">
      <alignment horizontal="center" vertical="center"/>
    </xf>
    <xf applyAlignment="1" applyBorder="1" borderId="2" fillId="0" fontId="0" numFmtId="0" xfId="0">
      <alignment horizontal="center" vertical="center"/>
    </xf>
    <xf applyAlignment="1" applyBorder="1" borderId="5" fillId="0" fontId="0" numFmtId="0" xfId="0">
      <alignment horizontal="center" vertical="center"/>
    </xf>
    <xf applyAlignment="1" applyBorder="1" borderId="25" fillId="0" fontId="0" numFmtId="0" xfId="0">
      <alignment horizontal="center" vertical="center"/>
    </xf>
    <xf applyAlignment="1" applyBorder="1" borderId="8" fillId="0" fontId="0" numFmtId="0" xfId="0">
      <alignment horizontal="center" vertical="center"/>
    </xf>
    <xf applyAlignment="1" applyBorder="1" borderId="6" fillId="0" fontId="0" numFmtId="0" xfId="0">
      <alignment horizontal="center" vertical="center"/>
    </xf>
    <xf applyAlignment="1" applyBorder="1" applyFont="1" borderId="2" fillId="0" fontId="0" numFmtId="0" xfId="0">
      <alignment horizontal="center" vertical="center" wrapText="1"/>
    </xf>
    <xf applyAlignment="1" applyBorder="1" applyFont="1" borderId="8" fillId="0" fontId="0" numFmtId="0" xfId="0">
      <alignment horizontal="center" vertical="center" wrapText="1"/>
    </xf>
    <xf applyAlignment="1" applyBorder="1" applyFont="1" borderId="8" fillId="0" fontId="7" numFmtId="0" xfId="0">
      <alignment horizontal="center" vertical="center" wrapText="1"/>
    </xf>
    <xf applyAlignment="1" applyBorder="1" applyNumberFormat="1" borderId="21" fillId="0" fontId="0" numFmtId="3" xfId="0">
      <alignment horizontal="center" vertical="center"/>
    </xf>
    <xf applyAlignment="1" applyBorder="1" applyNumberFormat="1" borderId="22" fillId="0" fontId="0" numFmtId="3" xfId="0">
      <alignment horizontal="center" vertical="center"/>
    </xf>
    <xf applyAlignment="1" applyBorder="1" applyFont="1" borderId="8" fillId="0" fontId="6" numFmtId="0" xfId="0">
      <alignment horizontal="center" vertical="center" wrapText="1"/>
    </xf>
    <xf applyAlignment="1" applyBorder="1" applyFont="1" borderId="9" fillId="0" fontId="0" numFmtId="0" xfId="0">
      <alignment horizontal="center" vertical="center" wrapText="1"/>
    </xf>
    <xf applyBorder="1" borderId="1" fillId="0" fontId="0" numFmtId="0" xfId="0"/>
    <xf applyAlignment="1" applyBorder="1" borderId="2" fillId="0" fontId="0" numFmtId="0" xfId="0">
      <alignment wrapText="1"/>
    </xf>
    <xf applyAlignment="1" applyBorder="1" applyNumberFormat="1" borderId="11" fillId="0" fontId="0" numFmtId="2" xfId="0">
      <alignment horizontal="center"/>
    </xf>
    <xf applyAlignment="1" applyBorder="1" applyNumberFormat="1" borderId="5" fillId="0" fontId="0" numFmtId="2" xfId="0">
      <alignment horizontal="center"/>
    </xf>
    <xf applyAlignment="1" applyBorder="1" applyNumberFormat="1" borderId="11" fillId="0" fontId="0" numFmtId="3" xfId="0">
      <alignment horizontal="center"/>
    </xf>
    <xf applyAlignment="1" applyBorder="1" applyNumberFormat="1" borderId="5" fillId="0" fontId="0" numFmtId="3" xfId="0">
      <alignment horizontal="center"/>
    </xf>
    <xf applyFont="1" applyNumberFormat="1" borderId="0" fillId="0" fontId="1" numFmtId="3" xfId="0"/>
    <xf applyAlignment="1" applyBorder="1" applyNumberFormat="1" borderId="12" fillId="0" fontId="0" numFmtId="3" xfId="0">
      <alignment horizontal="center"/>
    </xf>
    <xf applyAlignment="1" applyBorder="1" applyNumberFormat="1" borderId="6" fillId="0" fontId="0" numFmtId="3" xfId="0">
      <alignment horizontal="center"/>
    </xf>
    <xf applyAlignment="1" applyBorder="1" applyNumberFormat="1" borderId="23" fillId="0" fontId="0" numFmtId="3" xfId="0">
      <alignment horizontal="center" vertical="center"/>
    </xf>
    <xf applyAlignment="1" applyBorder="1" applyFill="1" borderId="0" fillId="0" fontId="0" numFmtId="0" xfId="0">
      <alignment horizontal="center"/>
    </xf>
    <xf applyBorder="1" borderId="26" fillId="0" fontId="0" numFmtId="0" xfId="0"/>
    <xf applyBorder="1" borderId="15" fillId="0" fontId="0" numFmtId="0" xfId="0"/>
    <xf applyBorder="1" applyNumberFormat="1" borderId="14" fillId="0" fontId="0" numFmtId="3" xfId="0"/>
    <xf applyBorder="1" applyNumberFormat="1" borderId="14" fillId="0" fontId="0" numFmtId="4" xfId="0"/>
    <xf applyBorder="1" applyFont="1" borderId="26" fillId="0" fontId="1" numFmtId="0" xfId="0"/>
    <xf applyBorder="1" applyFont="1" applyNumberFormat="1" borderId="14" fillId="0" fontId="1" numFmtId="3" xfId="0"/>
    <xf applyFont="1" borderId="0" fillId="0" fontId="1" numFmtId="0" xfId="0"/>
    <xf applyAlignment="1" applyBorder="1" applyFont="1" applyNumberFormat="1" borderId="14" fillId="0" fontId="1" numFmtId="4" xfId="0">
      <alignment horizontal="center"/>
    </xf>
    <xf applyAlignment="1" applyBorder="1" applyFont="1" borderId="3" fillId="0" fontId="0" numFmtId="0" xfId="0">
      <alignment horizontal="center" vertical="center" wrapText="1"/>
    </xf>
    <xf applyAlignment="1" applyBorder="1" applyNumberFormat="1" borderId="12" fillId="0" fontId="0" numFmtId="1" xfId="0">
      <alignment horizontal="center"/>
    </xf>
    <xf applyAlignment="1" applyBorder="1" applyFont="1" borderId="14" fillId="0" fontId="1" numFmtId="0" xfId="0">
      <alignment horizontal="center" wrapText="1"/>
    </xf>
    <xf applyAlignment="1" applyBorder="1" borderId="29" fillId="0" fontId="0" numFmtId="0" xfId="0">
      <alignment horizontal="center"/>
    </xf>
    <xf applyAlignment="1" applyBorder="1" borderId="15" fillId="0" fontId="0" numFmtId="0" xfId="0">
      <alignment horizontal="center"/>
    </xf>
    <xf applyAlignment="1" applyBorder="1" applyNumberFormat="1" borderId="11" fillId="0" fontId="0" numFmtId="4" xfId="0">
      <alignment horizontal="center"/>
    </xf>
    <xf applyAlignment="1" applyBorder="1" applyNumberFormat="1" borderId="5" fillId="0" fontId="0" numFmtId="4" xfId="0">
      <alignment horizontal="center"/>
    </xf>
    <xf applyAlignment="1" applyBorder="1" applyNumberFormat="1" borderId="11" fillId="0" fontId="0" numFmtId="164" xfId="0">
      <alignment horizontal="center"/>
    </xf>
    <xf applyAlignment="1" applyBorder="1" applyNumberFormat="1" borderId="5" fillId="0" fontId="0" numFmtId="164" xfId="0">
      <alignment horizontal="center"/>
    </xf>
    <xf applyAlignment="1" applyBorder="1" applyNumberFormat="1" borderId="12" fillId="0" fontId="0" numFmtId="2" xfId="0">
      <alignment horizontal="center"/>
    </xf>
    <xf applyBorder="1" applyFont="1" applyNumberFormat="1" borderId="14" fillId="0" fontId="1" numFmtId="164" xfId="0"/>
    <xf applyBorder="1" applyFont="1" applyNumberFormat="1" borderId="14" fillId="0" fontId="1" numFmtId="2" xfId="0"/>
    <xf applyFont="1" borderId="0" fillId="0" fontId="8" numFmtId="0" xfId="0"/>
    <xf applyNumberFormat="1" borderId="0" fillId="0" fontId="0" numFmtId="2" xfId="0"/>
    <xf applyNumberFormat="1" borderId="0" fillId="0" fontId="0" numFmtId="165" xfId="0"/>
    <xf applyAlignment="1" applyBorder="1" applyNumberFormat="1" borderId="11" fillId="0" fontId="0" numFmtId="165" xfId="0">
      <alignment horizontal="center"/>
    </xf>
    <xf applyFont="1" borderId="0" fillId="0" fontId="9" numFmtId="0" xfId="0"/>
    <xf applyAlignment="1" applyBorder="1" applyNumberFormat="1" borderId="5" fillId="0" fontId="0" numFmtId="165" xfId="0">
      <alignment horizontal="center"/>
    </xf>
    <xf applyAlignment="1" applyBorder="1" applyNumberFormat="1" borderId="11" fillId="0" fontId="0" numFmtId="1" xfId="0">
      <alignment horizontal="center"/>
    </xf>
    <xf applyAlignment="1" applyBorder="1" applyNumberFormat="1" borderId="5" fillId="0" fontId="0" numFmtId="1" xfId="0">
      <alignment horizontal="center"/>
    </xf>
    <xf applyAlignment="1" applyBorder="1" applyNumberFormat="1" borderId="6" fillId="0" fontId="0" numFmtId="1" xfId="0">
      <alignment horizontal="center"/>
    </xf>
    <xf applyAlignment="1" applyBorder="1" applyNumberFormat="1" borderId="3" fillId="0" fontId="0" numFmtId="1" xfId="0">
      <alignment horizontal="center" vertical="center"/>
    </xf>
    <xf applyAlignment="1" applyBorder="1" applyNumberFormat="1" borderId="6" fillId="0" fontId="0" numFmtId="1" xfId="0">
      <alignment horizontal="center" vertical="center"/>
    </xf>
    <xf applyAlignment="1" applyBorder="1" applyNumberFormat="1" borderId="9" fillId="0" fontId="0" numFmtId="1" xfId="0">
      <alignment horizontal="center" vertical="center"/>
    </xf>
    <xf applyAlignment="1" applyBorder="1" applyNumberFormat="1" borderId="22" fillId="0" fontId="0" numFmtId="2" xfId="0">
      <alignment horizontal="center" vertical="center"/>
    </xf>
    <xf applyAlignment="1" applyBorder="1" applyNumberFormat="1" borderId="6" fillId="0" fontId="0" numFmtId="2" xfId="0">
      <alignment horizontal="center"/>
    </xf>
    <xf applyFont="1" borderId="0" fillId="0" fontId="10" numFmtId="0" xfId="0"/>
    <xf applyNumberFormat="1" borderId="0" fillId="0" fontId="0" numFmtId="3" xfId="0"/>
    <xf applyNumberFormat="1" borderId="0" fillId="0" fontId="0" numFmtId="1" xfId="0"/>
    <xf applyAlignment="1" applyBorder="1" applyFont="1" borderId="17" fillId="0" fontId="0" numFmtId="0" xfId="0">
      <alignment horizontal="center" vertical="center" wrapText="1"/>
    </xf>
    <xf applyAlignment="1" applyBorder="1" applyFont="1" borderId="19" fillId="0" fontId="0" numFmtId="0" xfId="0">
      <alignment horizontal="center" vertical="center" wrapText="1"/>
    </xf>
    <xf applyAlignment="1" applyBorder="1" applyFont="1" borderId="18" fillId="0" fontId="0" numFmtId="0" xfId="0">
      <alignment horizontal="center" vertical="center" wrapText="1"/>
    </xf>
    <xf applyAlignment="1" applyBorder="1" applyFont="1" borderId="20" fillId="0" fontId="0" numFmtId="0" xfId="0">
      <alignment horizontal="center" vertical="center" wrapText="1"/>
    </xf>
    <xf applyAlignment="1" applyFont="1" borderId="0" fillId="0" fontId="8" numFmtId="0" xfId="0">
      <alignment horizontal="justify" vertical="center"/>
    </xf>
    <xf applyAlignment="1" borderId="0" fillId="0" fontId="0" numFmtId="0" xfId="0"/>
    <xf applyAlignment="1" applyBorder="1" applyFont="1" borderId="27" fillId="0" fontId="0" numFmtId="0" xfId="0">
      <alignment horizontal="center" vertical="center" wrapText="1"/>
    </xf>
    <xf applyAlignment="1" applyBorder="1" borderId="28" fillId="0" fontId="0" numFmtId="0" xfId="0">
      <alignment horizontal="center" vertical="center" wrapText="1"/>
    </xf>
    <xf applyAlignment="1" applyBorder="1" borderId="14" fillId="0" fontId="0" numFmtId="0" xfId="0">
      <alignment horizontal="center"/>
    </xf>
    <xf applyAlignment="1" applyBorder="1" applyFill="1" applyFont="1" borderId="0" fillId="0" fontId="1" numFmtId="0" xfId="0">
      <alignment horizontal="center" wrapText="1"/>
    </xf>
    <xf applyAlignment="1" applyFont="1" borderId="0" fillId="0" fontId="1" numFmtId="0" xfId="0">
      <alignment wrapText="1"/>
    </xf>
    <xf applyAlignment="1" applyBorder="1" borderId="20" fillId="0" fontId="0" numFmtId="0" xfId="0">
      <alignment horizontal="center" vertical="center" wrapText="1"/>
    </xf>
  </cellXfs>
  <cellStyles count="1">
    <cellStyle builtinId="0" name="Normalny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theme/theme1.xml" Type="http://schemas.openxmlformats.org/officeDocument/2006/relationships/theme"/>
<Relationship Id="rId5" Target="styles.xml" Type="http://schemas.openxmlformats.org/officeDocument/2006/relationships/styles"/>
<Relationship Id="rId6" Target="sharedStrings.xml" Type="http://schemas.openxmlformats.org/officeDocument/2006/relationships/sharedStrings"/>
<Relationship Id="rId7" Target="calcChain.xml" Type="http://schemas.openxmlformats.org/officeDocument/2006/relationships/calcChain"/>
</Relationships>

</file>

<file path=xl/drawings/_rels/vmlDrawing1.vml.rels><?xml version="1.0" encoding="UTF-8" standalone="no"?>
<Relationships xmlns="http://schemas.openxmlformats.org/package/2006/relationships">
<Relationship Id="rId1" Target="../media/image1.wmf" Type="http://schemas.openxmlformats.org/officeDocument/2006/relationships/image"/>
</Relationships>

</file>

<file path=xl/drawings/drawing1.xml><?xml version="1.0" encoding="utf-8"?>
<xdr:wsDr xmlns:a="http://schemas.openxmlformats.org/drawingml/2006/main" xmlns:xdr="http://schemas.openxmlformats.org/drawingml/2006/spreadsheetDrawing"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0</xdr:colOff>
          <xdr:row>66</xdr:row>
          <xdr:rowOff>0</xdr:rowOff>
        </xdr:from>
        <xdr:to>
          <xdr:col>18</xdr:col>
          <xdr:colOff>723900</xdr:colOff>
          <xdr:row>69</xdr:row>
          <xdr:rowOff>60960</xdr:rowOff>
        </xdr:to>
        <xdr:sp macro="" textlink="">
          <xdr:nvSpPr>
            <xdr:cNvPr hidden="1" id="1025" name="Object 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Relationship Id="rId2" Target="../drawings/drawing1.xml" Type="http://schemas.openxmlformats.org/officeDocument/2006/relationships/drawing"/>
<Relationship Id="rId3" Target="../drawings/vmlDrawing1.vml" Type="http://schemas.openxmlformats.org/officeDocument/2006/relationships/vmlDrawing"/>
<Relationship Id="rId4" Target="../embeddings/oleObject1.bin" Type="http://schemas.openxmlformats.org/officeDocument/2006/relationships/oleObject"/>
<Relationship Id="rId5" Target="../media/image1.wmf" Type="http://schemas.openxmlformats.org/officeDocument/2006/relationships/image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dimension ref="A1:AD77"/>
  <sheetViews>
    <sheetView tabSelected="1" topLeftCell="A40" workbookViewId="0" zoomScaleNormal="100">
      <selection activeCell="F56" sqref="F56"/>
    </sheetView>
  </sheetViews>
  <sheetFormatPr defaultRowHeight="14.4" x14ac:dyDescent="0.3"/>
  <cols>
    <col min="1" max="1" customWidth="true" width="3.6640625" collapsed="true"/>
    <col min="2" max="2" customWidth="true" width="35.33203125" collapsed="true"/>
    <col min="3" max="3" customWidth="true" width="19.88671875" collapsed="true"/>
    <col min="4" max="4" customWidth="true" width="13.0" collapsed="true"/>
    <col min="5" max="5" customWidth="true" width="18.44140625" collapsed="true"/>
    <col min="6" max="6" customWidth="true" width="19.33203125" collapsed="true"/>
    <col min="7" max="7" customWidth="true" width="18.6640625" collapsed="true"/>
    <col min="8" max="8" customWidth="true" width="15.0" collapsed="true"/>
    <col min="9" max="9" customWidth="true" width="14.33203125" collapsed="true"/>
    <col min="10" max="10" customWidth="true" width="9.88671875" collapsed="true"/>
    <col min="11" max="11" customWidth="true" width="14.33203125" collapsed="true"/>
    <col min="12" max="12" customWidth="true" width="14.6640625" collapsed="true"/>
    <col min="13" max="13" customWidth="true" width="15.109375" collapsed="true"/>
    <col min="14" max="14" customWidth="true" width="15.5546875" collapsed="true"/>
    <col min="15" max="15" customWidth="true" width="15.109375" collapsed="true"/>
    <col min="16" max="18" customWidth="true" width="13.88671875" collapsed="true"/>
    <col min="19" max="19" customWidth="true" width="14.6640625" collapsed="true"/>
    <col min="20" max="20" customWidth="true" width="10.6640625" collapsed="true"/>
  </cols>
  <sheetData>
    <row r="1" spans="1:29" x14ac:dyDescent="0.3">
      <c r="A1" t="s">
        <v>247</v>
      </c>
    </row>
    <row ht="15" r="2" spans="1:29" thickBot="1" x14ac:dyDescent="0.35"/>
    <row customHeight="1" ht="97.2" r="3" spans="1:29" thickTop="1" x14ac:dyDescent="0.3">
      <c r="A3" s="90" t="s">
        <v>2</v>
      </c>
      <c r="B3" s="92" t="s">
        <v>0</v>
      </c>
      <c r="C3" s="92" t="s">
        <v>1</v>
      </c>
      <c r="D3" s="35" t="s">
        <v>20</v>
      </c>
      <c r="E3" s="35" t="s">
        <v>96</v>
      </c>
      <c r="F3" s="35" t="s">
        <v>25</v>
      </c>
      <c r="G3" s="35" t="s">
        <v>26</v>
      </c>
      <c r="H3" s="35" t="s">
        <v>35</v>
      </c>
      <c r="I3" s="35" t="s">
        <v>49</v>
      </c>
      <c r="J3" s="35" t="s">
        <v>57</v>
      </c>
      <c r="K3" s="35" t="s">
        <v>62</v>
      </c>
      <c r="L3" s="35" t="s">
        <v>60</v>
      </c>
      <c r="M3" s="35" t="s">
        <v>59</v>
      </c>
      <c r="N3" s="35" t="s">
        <v>58</v>
      </c>
      <c r="O3" s="35" t="s">
        <v>63</v>
      </c>
      <c r="P3" s="35" t="s">
        <v>98</v>
      </c>
      <c r="Q3" s="35" t="s">
        <v>69</v>
      </c>
      <c r="R3" s="35" t="s">
        <v>70</v>
      </c>
      <c r="S3" s="35" t="s">
        <v>74</v>
      </c>
      <c r="T3" s="17" t="s">
        <v>83</v>
      </c>
    </row>
    <row customHeight="1" ht="24" r="4" spans="1:29" thickBot="1" x14ac:dyDescent="0.35">
      <c r="A4" s="91"/>
      <c r="B4" s="93"/>
      <c r="C4" s="93"/>
      <c r="D4" s="36" t="s">
        <v>51</v>
      </c>
      <c r="E4" s="36" t="s">
        <v>114</v>
      </c>
      <c r="F4" s="36" t="s">
        <v>52</v>
      </c>
      <c r="G4" s="36" t="s">
        <v>53</v>
      </c>
      <c r="H4" s="36" t="s">
        <v>97</v>
      </c>
      <c r="I4" s="36" t="s">
        <v>54</v>
      </c>
      <c r="J4" s="36" t="s">
        <v>56</v>
      </c>
      <c r="K4" s="36" t="s">
        <v>61</v>
      </c>
      <c r="L4" s="36" t="s">
        <v>64</v>
      </c>
      <c r="M4" s="36" t="s">
        <v>65</v>
      </c>
      <c r="N4" s="36" t="s">
        <v>66</v>
      </c>
      <c r="O4" s="36" t="s">
        <v>67</v>
      </c>
      <c r="P4" s="36" t="s">
        <v>68</v>
      </c>
      <c r="Q4" s="36" t="s">
        <v>71</v>
      </c>
      <c r="R4" s="36" t="s">
        <v>72</v>
      </c>
      <c r="S4" s="36" t="s">
        <v>73</v>
      </c>
      <c r="T4" s="41" t="s">
        <v>84</v>
      </c>
      <c r="AA4" s="25" t="s">
        <v>241</v>
      </c>
    </row>
    <row customFormat="1" customHeight="1" ht="12.6" r="5" s="25" spans="1:29" thickBot="1" thickTop="1" x14ac:dyDescent="0.35">
      <c r="A5" s="22">
        <v>1</v>
      </c>
      <c r="B5" s="23">
        <f ref="B5:T5" si="0" t="shared">A5+1</f>
        <v>2</v>
      </c>
      <c r="C5" s="23">
        <f si="0" t="shared"/>
        <v>3</v>
      </c>
      <c r="D5" s="23">
        <f si="0" t="shared"/>
        <v>4</v>
      </c>
      <c r="E5" s="23">
        <f si="0" t="shared"/>
        <v>5</v>
      </c>
      <c r="F5" s="23">
        <f si="0" t="shared"/>
        <v>6</v>
      </c>
      <c r="G5" s="23">
        <f si="0" t="shared"/>
        <v>7</v>
      </c>
      <c r="H5" s="23">
        <f si="0" t="shared"/>
        <v>8</v>
      </c>
      <c r="I5" s="23">
        <f si="0" t="shared"/>
        <v>9</v>
      </c>
      <c r="J5" s="23">
        <f si="0" t="shared"/>
        <v>10</v>
      </c>
      <c r="K5" s="23">
        <f si="0" t="shared"/>
        <v>11</v>
      </c>
      <c r="L5" s="23">
        <f si="0" t="shared"/>
        <v>12</v>
      </c>
      <c r="M5" s="23">
        <f si="0" t="shared"/>
        <v>13</v>
      </c>
      <c r="N5" s="23">
        <f si="0" t="shared"/>
        <v>14</v>
      </c>
      <c r="O5" s="23">
        <f si="0" t="shared"/>
        <v>15</v>
      </c>
      <c r="P5" s="23">
        <f si="0" t="shared"/>
        <v>16</v>
      </c>
      <c r="Q5" s="23">
        <f si="0" t="shared"/>
        <v>17</v>
      </c>
      <c r="R5" s="23">
        <f si="0" t="shared"/>
        <v>18</v>
      </c>
      <c r="S5" s="23">
        <f si="0" t="shared"/>
        <v>19</v>
      </c>
      <c r="T5" s="24">
        <f si="0" t="shared"/>
        <v>20</v>
      </c>
      <c r="W5" t="s">
        <v>224</v>
      </c>
      <c r="Y5" s="25" t="s">
        <v>218</v>
      </c>
      <c r="AA5" s="25">
        <v>-10</v>
      </c>
    </row>
    <row ht="15" r="6" spans="1:29" thickTop="1" x14ac:dyDescent="0.3">
      <c r="A6" s="7" t="s">
        <v>7</v>
      </c>
      <c r="B6" s="8" t="s">
        <v>195</v>
      </c>
      <c r="C6" s="8" t="s">
        <v>196</v>
      </c>
      <c r="D6" s="69">
        <v>85</v>
      </c>
      <c r="E6" s="79">
        <v>0</v>
      </c>
      <c r="F6" s="76">
        <v>34.4</v>
      </c>
      <c r="G6" s="76">
        <v>56.8</v>
      </c>
      <c r="H6" s="76">
        <v>466.61273070797279</v>
      </c>
      <c r="I6" s="76">
        <v>18</v>
      </c>
      <c r="J6" s="76">
        <v>5.3</v>
      </c>
      <c r="K6" s="44">
        <v>3.9</v>
      </c>
      <c r="L6" s="44">
        <v>0.5</v>
      </c>
      <c r="M6" s="44">
        <v>0</v>
      </c>
      <c r="N6" s="44">
        <v>0</v>
      </c>
      <c r="O6" s="44">
        <v>1</v>
      </c>
      <c r="P6" s="44">
        <v>4</v>
      </c>
      <c r="Q6" s="76">
        <v>30.9</v>
      </c>
      <c r="R6" s="76">
        <v>32.5</v>
      </c>
      <c r="S6" s="44">
        <v>22.03</v>
      </c>
      <c r="T6" s="49">
        <v>3570</v>
      </c>
      <c r="V6" s="49">
        <v>3570</v>
      </c>
      <c r="W6" s="89">
        <v>117.70591179487181</v>
      </c>
      <c r="Y6" s="89">
        <f ref="Y6:Y12" si="1" t="shared">H6*K6*W6/60</f>
        <v>3569.9999999999995</v>
      </c>
      <c r="AA6" s="89">
        <f ref="AA6:AA12" si="2" t="shared">V6*(1+$AA$5/100)</f>
        <v>3213</v>
      </c>
    </row>
    <row r="7" spans="1:29" x14ac:dyDescent="0.3">
      <c r="A7" s="3" t="s">
        <v>8</v>
      </c>
      <c r="B7" s="4" t="s">
        <v>197</v>
      </c>
      <c r="C7" s="4" t="s">
        <v>196</v>
      </c>
      <c r="D7" s="69">
        <v>50</v>
      </c>
      <c r="E7" s="80">
        <v>0</v>
      </c>
      <c r="F7" s="78">
        <v>17</v>
      </c>
      <c r="G7" s="76">
        <v>74.3</v>
      </c>
      <c r="H7" s="76">
        <v>307.39999999999998</v>
      </c>
      <c r="I7" s="76">
        <v>18</v>
      </c>
      <c r="J7" s="78">
        <v>5.4</v>
      </c>
      <c r="K7" s="45">
        <v>3.5</v>
      </c>
      <c r="L7" s="45">
        <v>0.5</v>
      </c>
      <c r="M7" s="44">
        <v>0</v>
      </c>
      <c r="N7" s="45">
        <v>0</v>
      </c>
      <c r="O7" s="45">
        <v>1</v>
      </c>
      <c r="P7" s="44">
        <v>4</v>
      </c>
      <c r="Q7" s="76">
        <v>30.3</v>
      </c>
      <c r="R7" s="76">
        <v>38</v>
      </c>
      <c r="S7" s="44">
        <v>22.03</v>
      </c>
      <c r="T7" s="50">
        <v>4423.083333333333</v>
      </c>
      <c r="V7" s="50">
        <v>4423.083333333333</v>
      </c>
      <c r="W7" s="89">
        <v>246.67599999999999</v>
      </c>
      <c r="Y7" s="89">
        <f si="1" t="shared"/>
        <v>4423.3118066666657</v>
      </c>
      <c r="AA7" s="89">
        <f si="2" t="shared"/>
        <v>3980.7749999999996</v>
      </c>
    </row>
    <row r="8" spans="1:29" x14ac:dyDescent="0.3">
      <c r="A8" s="3" t="s">
        <v>9</v>
      </c>
      <c r="B8" s="4" t="s">
        <v>198</v>
      </c>
      <c r="C8" s="4" t="s">
        <v>196</v>
      </c>
      <c r="D8" s="69">
        <v>85</v>
      </c>
      <c r="E8" s="80">
        <v>0</v>
      </c>
      <c r="F8" s="78">
        <v>34.200000000000003</v>
      </c>
      <c r="G8" s="76">
        <v>75.3</v>
      </c>
      <c r="H8" s="76">
        <v>369.12705236371067</v>
      </c>
      <c r="I8" s="76">
        <v>18</v>
      </c>
      <c r="J8" s="78">
        <v>4.5999999999999996</v>
      </c>
      <c r="K8" s="45">
        <v>3.5</v>
      </c>
      <c r="L8" s="45">
        <v>0.5</v>
      </c>
      <c r="M8" s="44">
        <v>0</v>
      </c>
      <c r="N8" s="45">
        <v>0</v>
      </c>
      <c r="O8" s="45">
        <v>1</v>
      </c>
      <c r="P8" s="44">
        <v>4</v>
      </c>
      <c r="Q8" s="76">
        <v>34</v>
      </c>
      <c r="R8" s="76">
        <v>39</v>
      </c>
      <c r="S8" s="44">
        <v>22.03</v>
      </c>
      <c r="T8" s="50">
        <v>3414</v>
      </c>
      <c r="V8" s="50">
        <v>3414</v>
      </c>
      <c r="W8" s="89">
        <v>158.55167999999998</v>
      </c>
      <c r="Y8" s="89">
        <f si="1" t="shared"/>
        <v>3414</v>
      </c>
      <c r="AA8" s="89">
        <f si="2" t="shared"/>
        <v>3072.6</v>
      </c>
    </row>
    <row r="9" spans="1:29" x14ac:dyDescent="0.3">
      <c r="A9" s="3" t="s">
        <v>10</v>
      </c>
      <c r="B9" s="4" t="s">
        <v>199</v>
      </c>
      <c r="C9" s="4" t="s">
        <v>196</v>
      </c>
      <c r="D9" s="69">
        <v>65</v>
      </c>
      <c r="E9" s="80">
        <v>0</v>
      </c>
      <c r="F9" s="78">
        <v>24.2</v>
      </c>
      <c r="G9" s="76">
        <v>66</v>
      </c>
      <c r="H9" s="76">
        <v>300.64981792014652</v>
      </c>
      <c r="I9" s="76">
        <v>18</v>
      </c>
      <c r="J9" s="78">
        <v>8.3000000000000007</v>
      </c>
      <c r="K9" s="45">
        <v>3.5</v>
      </c>
      <c r="L9" s="45">
        <v>0.5</v>
      </c>
      <c r="M9" s="44">
        <v>0</v>
      </c>
      <c r="N9" s="45">
        <v>0</v>
      </c>
      <c r="O9" s="45">
        <v>1</v>
      </c>
      <c r="P9" s="44">
        <v>4</v>
      </c>
      <c r="Q9" s="76">
        <v>34.799999999999997</v>
      </c>
      <c r="R9" s="76">
        <v>45</v>
      </c>
      <c r="S9" s="44">
        <v>22.03</v>
      </c>
      <c r="T9" s="50">
        <v>3208.7272727272725</v>
      </c>
      <c r="V9" s="50">
        <v>3208.7272727272725</v>
      </c>
      <c r="W9" s="89">
        <v>182.95954285714285</v>
      </c>
      <c r="Y9" s="89">
        <f si="1" t="shared"/>
        <v>3208.7272727272721</v>
      </c>
      <c r="AA9" s="89">
        <f si="2" t="shared"/>
        <v>2887.8545454545451</v>
      </c>
    </row>
    <row r="10" spans="1:29" x14ac:dyDescent="0.3">
      <c r="A10" s="3" t="s">
        <v>11</v>
      </c>
      <c r="B10" s="4" t="s">
        <v>200</v>
      </c>
      <c r="C10" s="4" t="s">
        <v>201</v>
      </c>
      <c r="D10" s="69">
        <v>115</v>
      </c>
      <c r="E10" s="80">
        <v>0</v>
      </c>
      <c r="F10" s="78">
        <v>18.7</v>
      </c>
      <c r="G10" s="76">
        <v>72.2</v>
      </c>
      <c r="H10" s="76">
        <v>750.83420501795024</v>
      </c>
      <c r="I10" s="76">
        <v>18</v>
      </c>
      <c r="J10" s="78">
        <v>8.3000000000000007</v>
      </c>
      <c r="K10" s="45">
        <v>5.25</v>
      </c>
      <c r="L10" s="45">
        <v>0.75</v>
      </c>
      <c r="M10" s="44">
        <v>0</v>
      </c>
      <c r="N10" s="45">
        <v>0</v>
      </c>
      <c r="O10" s="45">
        <v>1</v>
      </c>
      <c r="P10" s="44">
        <v>4</v>
      </c>
      <c r="Q10" s="76">
        <v>24.25</v>
      </c>
      <c r="R10" s="76">
        <v>44.85</v>
      </c>
      <c r="S10" s="44">
        <v>24.43</v>
      </c>
      <c r="T10" s="50">
        <v>9696.0416666666661</v>
      </c>
      <c r="V10" s="50">
        <v>9696.0416666666661</v>
      </c>
      <c r="W10" s="89">
        <v>147.58505142857146</v>
      </c>
      <c r="Y10" s="89">
        <f si="1" t="shared"/>
        <v>9696.0416666666642</v>
      </c>
      <c r="AA10" s="89">
        <f si="2" t="shared"/>
        <v>8726.4375</v>
      </c>
    </row>
    <row r="11" spans="1:29" x14ac:dyDescent="0.3">
      <c r="A11" s="3" t="s">
        <v>12</v>
      </c>
      <c r="B11" s="4" t="s">
        <v>202</v>
      </c>
      <c r="C11" s="4" t="s">
        <v>201</v>
      </c>
      <c r="D11" s="69">
        <v>85</v>
      </c>
      <c r="E11" s="80">
        <v>0</v>
      </c>
      <c r="F11" s="78">
        <v>36.5</v>
      </c>
      <c r="G11" s="76">
        <v>69.760000000000005</v>
      </c>
      <c r="H11" s="76">
        <v>215.64615735375796</v>
      </c>
      <c r="I11" s="76">
        <v>18</v>
      </c>
      <c r="J11" s="78">
        <v>3.1</v>
      </c>
      <c r="K11" s="45">
        <v>3.85</v>
      </c>
      <c r="L11" s="45">
        <v>0.78</v>
      </c>
      <c r="M11" s="44">
        <v>0</v>
      </c>
      <c r="N11" s="45">
        <v>0</v>
      </c>
      <c r="O11" s="45">
        <v>1</v>
      </c>
      <c r="P11" s="44">
        <v>4</v>
      </c>
      <c r="Q11" s="76">
        <v>20.43</v>
      </c>
      <c r="R11" s="76">
        <v>33.916666666666664</v>
      </c>
      <c r="S11" s="44">
        <v>24.43</v>
      </c>
      <c r="T11" s="50">
        <v>2064</v>
      </c>
      <c r="V11" s="50">
        <v>2064</v>
      </c>
      <c r="W11" s="89">
        <v>149.16210036363637</v>
      </c>
      <c r="Y11" s="89">
        <f si="1" t="shared"/>
        <v>2064</v>
      </c>
      <c r="AA11" s="89">
        <f si="2" t="shared"/>
        <v>1857.6000000000001</v>
      </c>
    </row>
    <row r="12" spans="1:29" x14ac:dyDescent="0.3">
      <c r="A12" s="3" t="s">
        <v>13</v>
      </c>
      <c r="B12" s="4" t="s">
        <v>203</v>
      </c>
      <c r="C12" s="4" t="s">
        <v>201</v>
      </c>
      <c r="D12" s="69">
        <v>100</v>
      </c>
      <c r="E12" s="80">
        <v>0</v>
      </c>
      <c r="F12" s="78">
        <v>29.5</v>
      </c>
      <c r="G12" s="76">
        <v>52.2</v>
      </c>
      <c r="H12" s="76">
        <v>104.34499062525475</v>
      </c>
      <c r="I12" s="76">
        <v>18</v>
      </c>
      <c r="J12" s="78">
        <v>2.2000000000000002</v>
      </c>
      <c r="K12" s="45">
        <v>4.34</v>
      </c>
      <c r="L12" s="45">
        <v>0.66</v>
      </c>
      <c r="M12" s="44">
        <v>0</v>
      </c>
      <c r="N12" s="45">
        <v>0</v>
      </c>
      <c r="O12" s="45">
        <v>1</v>
      </c>
      <c r="P12" s="44">
        <v>4</v>
      </c>
      <c r="Q12" s="76">
        <v>22.26</v>
      </c>
      <c r="R12" s="76">
        <v>34.421052631578945</v>
      </c>
      <c r="S12" s="44">
        <v>24.43</v>
      </c>
      <c r="T12" s="50">
        <v>800</v>
      </c>
      <c r="V12" s="50">
        <v>800</v>
      </c>
      <c r="W12" s="89">
        <v>105.99366359447005</v>
      </c>
      <c r="Y12" s="89">
        <f si="1" t="shared"/>
        <v>800</v>
      </c>
      <c r="AA12" s="89">
        <f si="2" t="shared"/>
        <v>720</v>
      </c>
    </row>
    <row r="13" spans="1:29" x14ac:dyDescent="0.3">
      <c r="A13" s="3"/>
      <c r="B13" s="4" t="s">
        <v>6</v>
      </c>
      <c r="C13" s="4" t="s">
        <v>6</v>
      </c>
      <c r="D13" s="4"/>
      <c r="E13" s="4"/>
      <c r="F13" s="78"/>
      <c r="G13" s="78"/>
      <c r="H13" s="78"/>
      <c r="I13" s="78"/>
      <c r="J13" s="78"/>
      <c r="K13" s="4"/>
      <c r="L13" s="4"/>
      <c r="M13" s="4"/>
      <c r="N13" s="4"/>
      <c r="O13" s="4"/>
      <c r="P13" s="4"/>
      <c r="Q13" s="4"/>
      <c r="R13" s="4"/>
      <c r="S13" s="45"/>
      <c r="T13" s="81"/>
      <c r="AC13">
        <v>1</v>
      </c>
    </row>
    <row ht="15" r="14" spans="1:29" thickBot="1" x14ac:dyDescent="0.35">
      <c r="A14" s="5" t="s">
        <v>14</v>
      </c>
      <c r="B14" s="6" t="s">
        <v>18</v>
      </c>
      <c r="C14" s="6" t="s">
        <v>15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14"/>
    </row>
    <row ht="15" r="15" spans="1:29" thickTop="1" x14ac:dyDescent="0.3">
      <c r="D15" t="s">
        <v>76</v>
      </c>
      <c r="F15" t="s">
        <v>76</v>
      </c>
      <c r="G15" t="s">
        <v>76</v>
      </c>
      <c r="H15" t="s">
        <v>76</v>
      </c>
      <c r="I15" t="s">
        <v>76</v>
      </c>
      <c r="J15" t="s">
        <v>76</v>
      </c>
      <c r="K15" t="s">
        <v>76</v>
      </c>
      <c r="L15" t="s">
        <v>76</v>
      </c>
      <c r="M15" t="s">
        <v>76</v>
      </c>
      <c r="N15" t="s">
        <v>76</v>
      </c>
      <c r="O15" t="s">
        <v>76</v>
      </c>
      <c r="P15" t="s">
        <v>76</v>
      </c>
      <c r="Q15" t="s">
        <v>77</v>
      </c>
      <c r="R15" t="s">
        <v>77</v>
      </c>
      <c r="S15" t="s">
        <v>76</v>
      </c>
    </row>
    <row r="16" spans="1:29" x14ac:dyDescent="0.3">
      <c r="B16" s="2" t="s">
        <v>34</v>
      </c>
      <c r="C16" s="1"/>
      <c r="D16" s="1" t="s">
        <v>32</v>
      </c>
      <c r="E16" s="1" t="s">
        <v>31</v>
      </c>
      <c r="F16" s="1" t="s">
        <v>33</v>
      </c>
      <c r="G16" s="1" t="s">
        <v>33</v>
      </c>
      <c r="H16" s="1" t="s">
        <v>36</v>
      </c>
      <c r="I16" s="1" t="s">
        <v>120</v>
      </c>
      <c r="J16" s="1" t="s">
        <v>55</v>
      </c>
      <c r="K16" s="1" t="s">
        <v>75</v>
      </c>
      <c r="L16" s="1" t="s">
        <v>119</v>
      </c>
      <c r="M16" s="1" t="s">
        <v>123</v>
      </c>
      <c r="N16" s="1" t="s">
        <v>123</v>
      </c>
      <c r="O16" s="1" t="s">
        <v>127</v>
      </c>
      <c r="P16" s="1" t="s">
        <v>127</v>
      </c>
      <c r="Q16" s="1" t="s">
        <v>124</v>
      </c>
      <c r="R16" s="1" t="s">
        <v>125</v>
      </c>
      <c r="S16" s="1" t="s">
        <v>33</v>
      </c>
      <c r="T16" s="1" t="s">
        <v>126</v>
      </c>
    </row>
    <row r="18" spans="1:27" x14ac:dyDescent="0.3">
      <c r="S18" t="s">
        <v>238</v>
      </c>
      <c r="T18" s="88">
        <f>SUM(T6:T12)</f>
        <v>27175.852272727272</v>
      </c>
      <c r="Y18" s="88">
        <f>SUM(Y6:Y12)</f>
        <v>27176.080746060601</v>
      </c>
      <c r="AA18">
        <f>(Y18-T18)/T18</f>
        <v>8.407218696810047E-6</v>
      </c>
    </row>
    <row ht="15" r="20" spans="1:27" thickBot="1" x14ac:dyDescent="0.35">
      <c r="A20" t="s">
        <v>30</v>
      </c>
    </row>
    <row customHeight="1" ht="25.95" r="21" spans="1:27" thickBot="1" thickTop="1" x14ac:dyDescent="0.35">
      <c r="A21" s="9" t="s">
        <v>2</v>
      </c>
      <c r="B21" s="10" t="s">
        <v>3</v>
      </c>
      <c r="C21" s="10" t="s">
        <v>21</v>
      </c>
      <c r="D21" s="10" t="s">
        <v>4</v>
      </c>
      <c r="E21" s="11" t="s">
        <v>5</v>
      </c>
      <c r="F21" s="2" t="s">
        <v>34</v>
      </c>
      <c r="I21" s="73"/>
      <c r="J21" s="15"/>
      <c r="K21" s="15"/>
      <c r="L21" s="15"/>
    </row>
    <row customHeight="1" ht="13.95" r="22" spans="1:27" thickBot="1" thickTop="1" x14ac:dyDescent="0.35">
      <c r="A22" s="9">
        <v>1</v>
      </c>
      <c r="B22" s="10">
        <f>A22+1</f>
        <v>2</v>
      </c>
      <c r="C22" s="10">
        <f>B22+1</f>
        <v>3</v>
      </c>
      <c r="D22" s="10">
        <f>C22+1</f>
        <v>4</v>
      </c>
      <c r="E22" s="26">
        <f>D22+1</f>
        <v>5</v>
      </c>
      <c r="I22" s="15"/>
      <c r="J22" s="15"/>
      <c r="K22" s="15"/>
      <c r="L22" s="15"/>
    </row>
    <row customHeight="1" ht="27.6" r="23" spans="1:27" thickTop="1" x14ac:dyDescent="0.3">
      <c r="A23" s="42" t="s">
        <v>7</v>
      </c>
      <c r="B23" s="43" t="s">
        <v>16</v>
      </c>
      <c r="C23" s="30" t="s">
        <v>111</v>
      </c>
      <c r="D23" s="30" t="s">
        <v>105</v>
      </c>
      <c r="E23" s="82">
        <v>252</v>
      </c>
      <c r="F23" s="1" t="s">
        <v>37</v>
      </c>
      <c r="I23" s="94"/>
      <c r="J23" s="95"/>
      <c r="K23" s="95"/>
      <c r="L23" s="95"/>
    </row>
    <row customHeight="1" ht="27.6" r="24" spans="1:27" x14ac:dyDescent="0.3">
      <c r="A24" s="3" t="s">
        <v>8</v>
      </c>
      <c r="B24" s="19" t="s">
        <v>17</v>
      </c>
      <c r="C24" s="31" t="s">
        <v>112</v>
      </c>
      <c r="D24" s="31" t="s">
        <v>19</v>
      </c>
      <c r="E24" s="34" t="s">
        <v>23</v>
      </c>
      <c r="F24" s="1" t="s">
        <v>40</v>
      </c>
      <c r="I24" s="94"/>
      <c r="J24" s="95"/>
      <c r="K24" s="95"/>
      <c r="L24" s="95"/>
      <c r="M24" s="95"/>
    </row>
    <row customHeight="1" ht="27.6" r="25" spans="1:27" x14ac:dyDescent="0.3">
      <c r="A25" s="3" t="s">
        <v>9</v>
      </c>
      <c r="B25" s="19" t="s">
        <v>38</v>
      </c>
      <c r="C25" s="31" t="s">
        <v>113</v>
      </c>
      <c r="D25" s="31" t="s">
        <v>19</v>
      </c>
      <c r="E25" s="34" t="s">
        <v>39</v>
      </c>
      <c r="F25" s="1" t="s">
        <v>40</v>
      </c>
    </row>
    <row customHeight="1" ht="27.6" r="26" spans="1:27" x14ac:dyDescent="0.3">
      <c r="A26" s="3" t="s">
        <v>10</v>
      </c>
      <c r="B26" s="19" t="s">
        <v>116</v>
      </c>
      <c r="C26" s="21" t="s">
        <v>94</v>
      </c>
      <c r="D26" s="31" t="s">
        <v>95</v>
      </c>
      <c r="E26" s="83">
        <v>47</v>
      </c>
      <c r="F26" s="1"/>
    </row>
    <row customHeight="1" ht="27.6" r="27" spans="1:27" thickBot="1" x14ac:dyDescent="0.35">
      <c r="A27" s="5" t="s">
        <v>11</v>
      </c>
      <c r="B27" s="20" t="s">
        <v>41</v>
      </c>
      <c r="C27" s="33" t="s">
        <v>99</v>
      </c>
      <c r="D27" s="33"/>
      <c r="E27" s="84">
        <v>7</v>
      </c>
      <c r="F27" s="1"/>
    </row>
    <row ht="15" r="28" spans="1:27" thickTop="1" x14ac:dyDescent="0.3">
      <c r="F28" s="1"/>
    </row>
    <row r="29" spans="1:27" x14ac:dyDescent="0.3">
      <c r="F29" s="1"/>
    </row>
    <row r="30" spans="1:27" x14ac:dyDescent="0.3">
      <c r="F30" s="1"/>
    </row>
    <row r="31" spans="1:27" x14ac:dyDescent="0.3">
      <c r="F31" s="1"/>
    </row>
    <row ht="15" r="32" spans="1:27" thickBot="1" x14ac:dyDescent="0.35">
      <c r="A32" t="s">
        <v>192</v>
      </c>
      <c r="F32" s="1"/>
    </row>
    <row customHeight="1" ht="22.95" r="33" spans="1:14" thickBot="1" thickTop="1" x14ac:dyDescent="0.35">
      <c r="A33" s="9" t="s">
        <v>2</v>
      </c>
      <c r="B33" s="10" t="s">
        <v>3</v>
      </c>
      <c r="C33" s="10" t="s">
        <v>21</v>
      </c>
      <c r="D33" s="10" t="s">
        <v>4</v>
      </c>
      <c r="E33" s="11" t="s">
        <v>5</v>
      </c>
      <c r="F33" s="1"/>
    </row>
    <row customHeight="1" ht="14.4" r="34" spans="1:14" thickBot="1" thickTop="1" x14ac:dyDescent="0.35">
      <c r="A34" s="9">
        <v>1</v>
      </c>
      <c r="B34" s="10">
        <f>A34+1</f>
        <v>2</v>
      </c>
      <c r="C34" s="10">
        <f>B34+1</f>
        <v>3</v>
      </c>
      <c r="D34" s="10">
        <f>C34+1</f>
        <v>4</v>
      </c>
      <c r="E34" s="26">
        <f>D34+1</f>
        <v>5</v>
      </c>
      <c r="F34" s="1"/>
    </row>
    <row customHeight="1" ht="31.2" r="35" spans="1:14" thickTop="1" x14ac:dyDescent="0.3">
      <c r="A35" s="7" t="s">
        <v>7</v>
      </c>
      <c r="B35" s="18" t="s">
        <v>22</v>
      </c>
      <c r="C35" s="29" t="s">
        <v>110</v>
      </c>
      <c r="D35" s="30" t="s">
        <v>103</v>
      </c>
      <c r="E35" s="38">
        <v>8023</v>
      </c>
      <c r="F35" s="1"/>
    </row>
    <row customHeight="1" ht="31.2" r="36" spans="1:14" x14ac:dyDescent="0.3">
      <c r="A36" s="3" t="s">
        <v>8</v>
      </c>
      <c r="B36" s="19" t="s">
        <v>24</v>
      </c>
      <c r="C36" s="31" t="s">
        <v>109</v>
      </c>
      <c r="D36" s="31" t="s">
        <v>103</v>
      </c>
      <c r="E36" s="39">
        <v>1387</v>
      </c>
      <c r="F36" s="1"/>
    </row>
    <row customHeight="1" ht="31.2" r="37" spans="1:14" x14ac:dyDescent="0.3">
      <c r="A37" s="3" t="s">
        <v>9</v>
      </c>
      <c r="B37" s="19" t="s">
        <v>28</v>
      </c>
      <c r="C37" s="21" t="s">
        <v>107</v>
      </c>
      <c r="D37" s="31" t="s">
        <v>29</v>
      </c>
      <c r="E37" s="85">
        <v>26.08</v>
      </c>
      <c r="F37" s="1"/>
    </row>
    <row customHeight="1" ht="31.2" r="38" spans="1:14" x14ac:dyDescent="0.3">
      <c r="A38" s="3" t="s">
        <v>10</v>
      </c>
      <c r="B38" s="19" t="s">
        <v>27</v>
      </c>
      <c r="C38" s="21" t="s">
        <v>108</v>
      </c>
      <c r="D38" s="31" t="s">
        <v>29</v>
      </c>
      <c r="E38" s="85">
        <v>23.15</v>
      </c>
      <c r="F38" s="1"/>
    </row>
    <row customHeight="1" ht="31.2" r="39" spans="1:14" x14ac:dyDescent="0.3">
      <c r="A39" s="27" t="s">
        <v>11</v>
      </c>
      <c r="B39" s="28" t="s">
        <v>102</v>
      </c>
      <c r="C39" s="21" t="s">
        <v>42</v>
      </c>
      <c r="D39" s="32" t="s">
        <v>44</v>
      </c>
      <c r="E39" s="39">
        <v>27176</v>
      </c>
      <c r="F39" s="1"/>
    </row>
    <row customHeight="1" ht="31.2" r="40" spans="1:14" thickBot="1" x14ac:dyDescent="0.35">
      <c r="A40" s="5" t="s">
        <v>12</v>
      </c>
      <c r="B40" s="20" t="s">
        <v>106</v>
      </c>
      <c r="C40" s="16" t="s">
        <v>43</v>
      </c>
      <c r="D40" s="33" t="s">
        <v>44</v>
      </c>
      <c r="E40" s="51">
        <v>23177</v>
      </c>
      <c r="F40" s="1"/>
      <c r="H40">
        <v>27176</v>
      </c>
      <c r="J40">
        <f>H40*(1+J42)</f>
        <v>29404.432000000001</v>
      </c>
      <c r="L40" s="59">
        <v>27176</v>
      </c>
    </row>
    <row customHeight="1" ht="25.95" r="41" spans="1:14" thickTop="1" x14ac:dyDescent="0.3">
      <c r="I41" s="59" t="s">
        <v>237</v>
      </c>
      <c r="J41" t="s">
        <v>190</v>
      </c>
    </row>
    <row r="42" spans="1:14" x14ac:dyDescent="0.3">
      <c r="I42">
        <v>8.1999999999999993</v>
      </c>
      <c r="J42">
        <f>I42/100</f>
        <v>8.199999999999999E-2</v>
      </c>
    </row>
    <row r="43" spans="1:14" x14ac:dyDescent="0.3">
      <c r="A43" t="s">
        <v>242</v>
      </c>
    </row>
    <row ht="15" r="44" spans="1:14" thickBot="1" x14ac:dyDescent="0.35"/>
    <row ht="130.19999999999999" r="45" spans="1:14" thickTop="1" x14ac:dyDescent="0.3">
      <c r="A45" s="90" t="s">
        <v>2</v>
      </c>
      <c r="B45" s="92" t="s">
        <v>121</v>
      </c>
      <c r="C45" s="35" t="s">
        <v>170</v>
      </c>
      <c r="D45" s="35" t="s">
        <v>175</v>
      </c>
      <c r="E45" s="35" t="s">
        <v>172</v>
      </c>
      <c r="F45" s="35" t="s">
        <v>27</v>
      </c>
      <c r="G45" s="35" t="s">
        <v>176</v>
      </c>
      <c r="H45" s="61" t="s">
        <v>178</v>
      </c>
    </row>
    <row ht="16.2" r="46" spans="1:14" thickBot="1" x14ac:dyDescent="0.35">
      <c r="A46" s="91"/>
      <c r="B46" s="93"/>
      <c r="C46" s="36" t="s">
        <v>169</v>
      </c>
      <c r="D46" s="36" t="s">
        <v>171</v>
      </c>
      <c r="E46" s="36" t="s">
        <v>107</v>
      </c>
      <c r="F46" s="36" t="s">
        <v>108</v>
      </c>
      <c r="G46" s="36" t="s">
        <v>181</v>
      </c>
      <c r="H46" s="41" t="s">
        <v>182</v>
      </c>
      <c r="N46" t="s">
        <v>191</v>
      </c>
    </row>
    <row ht="15.6" r="47" spans="1:14" thickBot="1" thickTop="1" x14ac:dyDescent="0.35">
      <c r="A47" s="22">
        <v>1</v>
      </c>
      <c r="B47" s="23">
        <f ref="B47:H47" si="3" t="shared">A47+1</f>
        <v>2</v>
      </c>
      <c r="C47" s="23">
        <f si="3" t="shared"/>
        <v>3</v>
      </c>
      <c r="D47" s="23">
        <f si="3" t="shared"/>
        <v>4</v>
      </c>
      <c r="E47" s="23">
        <f si="3" t="shared"/>
        <v>5</v>
      </c>
      <c r="F47" s="23">
        <f si="3" t="shared"/>
        <v>6</v>
      </c>
      <c r="G47" s="23">
        <f si="3" t="shared"/>
        <v>7</v>
      </c>
      <c r="H47" s="24">
        <f si="3" t="shared"/>
        <v>8</v>
      </c>
      <c r="I47" t="s">
        <v>189</v>
      </c>
      <c r="J47" t="s">
        <v>190</v>
      </c>
      <c r="K47" t="s">
        <v>188</v>
      </c>
      <c r="L47" t="s">
        <v>190</v>
      </c>
    </row>
    <row ht="15" r="48" spans="1:14" thickTop="1" x14ac:dyDescent="0.3">
      <c r="A48" s="7" t="s">
        <v>7</v>
      </c>
      <c r="B48" s="8" t="s">
        <v>196</v>
      </c>
      <c r="C48" s="46">
        <v>4586</v>
      </c>
      <c r="D48" s="46">
        <v>741</v>
      </c>
      <c r="E48" s="44">
        <v>25.91</v>
      </c>
      <c r="F48" s="44">
        <v>22.03</v>
      </c>
      <c r="G48" s="44">
        <v>58.71</v>
      </c>
      <c r="H48" s="70">
        <v>13.64</v>
      </c>
      <c r="I48">
        <f>H48*C48/100</f>
        <v>625.53039999999999</v>
      </c>
      <c r="J48">
        <f>I48/4</f>
        <v>156.3826</v>
      </c>
      <c r="K48">
        <f>G48*D48/100</f>
        <v>435.04110000000003</v>
      </c>
      <c r="L48">
        <f>K48/3</f>
        <v>145.0137</v>
      </c>
      <c r="M48">
        <f>I48+K48</f>
        <v>1060.5715</v>
      </c>
      <c r="N48">
        <f>J48+L48</f>
        <v>301.3963</v>
      </c>
    </row>
    <row r="49" spans="1:28" x14ac:dyDescent="0.3">
      <c r="A49" s="3" t="s">
        <v>8</v>
      </c>
      <c r="B49" s="4" t="s">
        <v>201</v>
      </c>
      <c r="C49" s="47">
        <v>3437</v>
      </c>
      <c r="D49" s="47">
        <v>646</v>
      </c>
      <c r="E49" s="45">
        <v>26.3</v>
      </c>
      <c r="F49" s="44">
        <v>24.43</v>
      </c>
      <c r="G49" s="45">
        <v>58.67</v>
      </c>
      <c r="H49" s="86">
        <v>17.260000000000002</v>
      </c>
      <c r="I49">
        <f>H49*C49/100</f>
        <v>593.22620000000006</v>
      </c>
      <c r="J49">
        <f>I49/4</f>
        <v>148.30655000000002</v>
      </c>
      <c r="K49">
        <f>G49*D49/100</f>
        <v>379.00819999999999</v>
      </c>
      <c r="L49">
        <f>K49/3</f>
        <v>126.33606666666667</v>
      </c>
      <c r="M49">
        <f>I49+K49</f>
        <v>972.23440000000005</v>
      </c>
      <c r="N49">
        <f>J49+L49</f>
        <v>274.6426166666667</v>
      </c>
    </row>
    <row r="50" spans="1:28" x14ac:dyDescent="0.3">
      <c r="A50" s="3"/>
      <c r="B50" s="4" t="s">
        <v>6</v>
      </c>
      <c r="C50" s="4"/>
      <c r="D50" s="4"/>
      <c r="E50" s="45"/>
      <c r="F50" s="44"/>
      <c r="G50" s="45"/>
      <c r="H50" s="86"/>
    </row>
    <row ht="15" r="51" spans="1:28" thickBot="1" x14ac:dyDescent="0.35">
      <c r="A51" s="5" t="s">
        <v>14</v>
      </c>
      <c r="B51" s="6" t="s">
        <v>15</v>
      </c>
      <c r="C51" s="6"/>
      <c r="D51" s="6"/>
      <c r="E51" s="6"/>
      <c r="F51" s="6"/>
      <c r="G51" s="6"/>
      <c r="H51" s="14"/>
      <c r="K51">
        <f>2.1*(J48)+2.1*3/4*L48</f>
        <v>556.80003750000003</v>
      </c>
    </row>
    <row ht="15" r="52" spans="1:28" thickTop="1" x14ac:dyDescent="0.3">
      <c r="C52" s="1" t="s">
        <v>76</v>
      </c>
      <c r="E52" t="s">
        <v>76</v>
      </c>
      <c r="F52" t="s">
        <v>76</v>
      </c>
      <c r="G52" t="s">
        <v>76</v>
      </c>
      <c r="H52" t="s">
        <v>76</v>
      </c>
      <c r="K52">
        <f>0.68*(J49)+0.68*3/4*L49</f>
        <v>165.27984800000002</v>
      </c>
    </row>
    <row r="53" spans="1:28" x14ac:dyDescent="0.3">
      <c r="B53" s="2" t="s">
        <v>34</v>
      </c>
      <c r="C53" s="1" t="s">
        <v>173</v>
      </c>
      <c r="D53" s="1" t="s">
        <v>174</v>
      </c>
      <c r="E53" s="1" t="s">
        <v>33</v>
      </c>
      <c r="F53" s="1" t="s">
        <v>33</v>
      </c>
      <c r="G53" s="1" t="s">
        <v>33</v>
      </c>
      <c r="H53" s="1" t="s">
        <v>33</v>
      </c>
    </row>
    <row r="55" spans="1:28" x14ac:dyDescent="0.3">
      <c r="D55" t="s">
        <v>248</v>
      </c>
      <c r="F55">
        <f>C48*H48/100*(1-E48/100)</f>
        <v>463.45547335999998</v>
      </c>
      <c r="G55">
        <f>C49*H49/100*(1-E49/100)</f>
        <v>437.20770940000006</v>
      </c>
      <c r="H55" t="s">
        <v>250</v>
      </c>
      <c r="W55" t="s">
        <v>226</v>
      </c>
      <c r="X55" t="s">
        <v>227</v>
      </c>
    </row>
    <row r="56" spans="1:28" x14ac:dyDescent="0.3">
      <c r="D56" t="s">
        <v>249</v>
      </c>
      <c r="F56">
        <f>D48*G48/100*(1-F48/100)</f>
        <v>339.20154566999997</v>
      </c>
      <c r="G56">
        <f>D49*G49/100*(1-F49/100)</f>
        <v>286.41649674000001</v>
      </c>
      <c r="H56" t="s">
        <v>201</v>
      </c>
      <c r="W56" t="s">
        <v>222</v>
      </c>
      <c r="AA56" t="s">
        <v>229</v>
      </c>
      <c r="AB56" t="s">
        <v>218</v>
      </c>
    </row>
    <row ht="15.6" r="57" spans="1:28" x14ac:dyDescent="0.3">
      <c r="E57" t="s">
        <v>213</v>
      </c>
      <c r="F57" t="s">
        <v>220</v>
      </c>
      <c r="G57" t="s">
        <v>215</v>
      </c>
      <c r="H57" t="s">
        <v>214</v>
      </c>
      <c r="I57" t="s">
        <v>216</v>
      </c>
      <c r="J57" t="s">
        <v>217</v>
      </c>
      <c r="K57" t="s">
        <v>222</v>
      </c>
      <c r="L57" t="s">
        <v>219</v>
      </c>
      <c r="M57" s="87" t="s">
        <v>218</v>
      </c>
      <c r="N57" s="87" t="s">
        <v>221</v>
      </c>
      <c r="O57" s="25"/>
      <c r="U57" t="s">
        <v>224</v>
      </c>
      <c r="V57" t="s">
        <v>225</v>
      </c>
      <c r="Z57" t="s">
        <v>228</v>
      </c>
    </row>
    <row r="58" spans="1:28" x14ac:dyDescent="0.3">
      <c r="E58" s="88">
        <f ref="E58:E64" si="4" t="shared">D6</f>
        <v>85</v>
      </c>
      <c r="F58" s="88">
        <v>85</v>
      </c>
      <c r="G58" s="88">
        <f ref="G58:G64" si="5" t="shared">450-2*F58</f>
        <v>280</v>
      </c>
      <c r="H58" s="88">
        <f ref="H58:H64" si="6" t="shared">G58*(1-F6/100)*G6/100</f>
        <v>104.33023999999999</v>
      </c>
      <c r="I58" s="88">
        <f ref="I58:I64" si="7" t="shared">H58*H6/60</f>
        <v>811.36363636363615</v>
      </c>
      <c r="J58" s="74">
        <f ref="J58:J64" si="8" t="shared">I58/(Q6)</f>
        <v>26.2577228596646</v>
      </c>
      <c r="K58" s="75">
        <v>404.3</v>
      </c>
      <c r="L58" s="88">
        <f ref="L58:L64" si="9" t="shared">I58*K6</f>
        <v>3164.3181818181811</v>
      </c>
      <c r="M58" s="88">
        <f ref="M58:M64" si="10" t="shared">T6</f>
        <v>3570</v>
      </c>
      <c r="N58" s="88">
        <f>K71*K58/60</f>
        <v>3615.4899455999998</v>
      </c>
      <c r="O58" s="8" t="s">
        <v>195</v>
      </c>
      <c r="P58" s="88">
        <f ref="P58:P64" si="11" t="shared">(K6+L6)*G58</f>
        <v>1232</v>
      </c>
      <c r="T58" s="88">
        <f ref="T58:T64" si="12" t="shared">K71*K58/60</f>
        <v>3615.4899455999998</v>
      </c>
      <c r="U58" s="89">
        <f ref="U58:U64" si="13" t="shared">K71/I71</f>
        <v>117.70591179487181</v>
      </c>
      <c r="V58" s="89">
        <f ref="V58:V64" si="14" t="shared">K71/J71</f>
        <v>137.57833846153846</v>
      </c>
      <c r="W58" s="75">
        <f ref="W58:W64" si="15" t="shared">V58/U58*K58</f>
        <v>472.55844155844153</v>
      </c>
      <c r="X58" s="89">
        <f ref="X58:X64" si="16" t="shared">W58*U58*J71/60</f>
        <v>3615.4899456000003</v>
      </c>
      <c r="Z58" s="75">
        <f ref="Z58:Z64" si="17" t="shared">M58/K71*60</f>
        <v>399.21311405015462</v>
      </c>
      <c r="AA58" s="75">
        <f ref="AA58:AA64" si="18" t="shared">Z58*V58/U58</f>
        <v>466.6127307079729</v>
      </c>
      <c r="AB58">
        <f ref="AB58:AB64" si="19" t="shared">AA58*U58*J71/60</f>
        <v>3570.0000000000005</v>
      </c>
    </row>
    <row r="59" spans="1:28" x14ac:dyDescent="0.3">
      <c r="E59" s="88">
        <f si="4" t="shared"/>
        <v>50</v>
      </c>
      <c r="F59" s="88">
        <v>50</v>
      </c>
      <c r="G59" s="88">
        <f si="5" t="shared"/>
        <v>350</v>
      </c>
      <c r="H59" s="88">
        <f si="6" t="shared"/>
        <v>215.84149999999997</v>
      </c>
      <c r="I59" s="88">
        <f si="7" t="shared"/>
        <v>1105.8279516666664</v>
      </c>
      <c r="J59" s="74">
        <f si="8" t="shared"/>
        <v>36.495972002200212</v>
      </c>
      <c r="K59" s="75">
        <v>302</v>
      </c>
      <c r="L59" s="88">
        <f si="9" t="shared"/>
        <v>3870.3978308333326</v>
      </c>
      <c r="M59" s="88">
        <f si="10" t="shared"/>
        <v>4423.083333333333</v>
      </c>
      <c r="N59" s="88">
        <f ref="N59:N64" si="20" t="shared">1440*(1-F7/100)*G7/100*K59/60</f>
        <v>4469.7691199999999</v>
      </c>
      <c r="O59" s="4" t="s">
        <v>197</v>
      </c>
      <c r="P59" s="88">
        <f si="11" t="shared"/>
        <v>1400</v>
      </c>
      <c r="T59" s="88">
        <f si="12" t="shared"/>
        <v>4469.7691199999999</v>
      </c>
      <c r="U59" s="89">
        <f si="13" t="shared"/>
        <v>246.67599999999999</v>
      </c>
      <c r="V59" s="89">
        <f si="14" t="shared"/>
        <v>253.7238857142857</v>
      </c>
      <c r="W59" s="75">
        <f si="15" t="shared"/>
        <v>310.62857142857138</v>
      </c>
      <c r="X59" s="89">
        <f si="16" t="shared"/>
        <v>4469.769119999999</v>
      </c>
      <c r="Z59" s="75">
        <f si="17" t="shared"/>
        <v>298.84567430781897</v>
      </c>
      <c r="AA59" s="75">
        <f si="18" t="shared"/>
        <v>307.38412214518524</v>
      </c>
      <c r="AB59">
        <f si="19" t="shared"/>
        <v>4423.083333333333</v>
      </c>
    </row>
    <row r="60" spans="1:28" x14ac:dyDescent="0.3">
      <c r="E60" s="88">
        <f si="4" t="shared"/>
        <v>85</v>
      </c>
      <c r="F60" s="88">
        <v>85</v>
      </c>
      <c r="G60" s="88">
        <f si="5" t="shared"/>
        <v>280</v>
      </c>
      <c r="H60" s="88">
        <f si="6" t="shared"/>
        <v>138.73271999999997</v>
      </c>
      <c r="I60" s="88">
        <f si="7" t="shared"/>
        <v>853.5</v>
      </c>
      <c r="J60" s="74">
        <f si="8" t="shared"/>
        <v>25.102941176470587</v>
      </c>
      <c r="K60" s="75">
        <v>300.60000000000002</v>
      </c>
      <c r="L60" s="88">
        <f si="9" t="shared"/>
        <v>2987.25</v>
      </c>
      <c r="M60" s="88">
        <f si="10" t="shared"/>
        <v>3414</v>
      </c>
      <c r="N60" s="88">
        <f si="20" t="shared"/>
        <v>3574.5476255999997</v>
      </c>
      <c r="O60" s="4" t="s">
        <v>198</v>
      </c>
      <c r="P60" s="88">
        <f si="11" t="shared"/>
        <v>1120</v>
      </c>
      <c r="T60" s="88">
        <f si="12" t="shared"/>
        <v>3574.5476255999997</v>
      </c>
      <c r="U60" s="89">
        <f si="13" t="shared"/>
        <v>158.55167999999998</v>
      </c>
      <c r="V60" s="89">
        <f si="14" t="shared"/>
        <v>203.85215999999997</v>
      </c>
      <c r="W60" s="75">
        <f si="15" t="shared"/>
        <v>386.48571428571432</v>
      </c>
      <c r="X60" s="89">
        <f si="16" t="shared"/>
        <v>3574.5476255999993</v>
      </c>
      <c r="Z60" s="75">
        <f si="17" t="shared"/>
        <v>287.09881850510828</v>
      </c>
      <c r="AA60" s="75">
        <f si="18" t="shared"/>
        <v>369.12705236371062</v>
      </c>
      <c r="AB60">
        <f si="19" t="shared"/>
        <v>3414</v>
      </c>
    </row>
    <row r="61" spans="1:28" x14ac:dyDescent="0.3">
      <c r="E61" s="88">
        <f si="4" t="shared"/>
        <v>65</v>
      </c>
      <c r="F61" s="88">
        <v>65</v>
      </c>
      <c r="G61" s="88">
        <f si="5" t="shared"/>
        <v>320</v>
      </c>
      <c r="H61" s="88">
        <f si="6" t="shared"/>
        <v>160.08960000000002</v>
      </c>
      <c r="I61" s="88">
        <f si="7" t="shared"/>
        <v>802.18181818181824</v>
      </c>
      <c r="J61" s="74">
        <f si="8" t="shared"/>
        <v>23.051201671891331</v>
      </c>
      <c r="K61" s="75">
        <v>269.92783567574827</v>
      </c>
      <c r="L61" s="88">
        <f si="9" t="shared"/>
        <v>2807.636363636364</v>
      </c>
      <c r="M61" s="88">
        <f si="10" t="shared"/>
        <v>3208.7272727272725</v>
      </c>
      <c r="N61" s="88">
        <f si="20" t="shared"/>
        <v>3240.9479431647201</v>
      </c>
      <c r="O61" s="4" t="s">
        <v>199</v>
      </c>
      <c r="P61" s="88">
        <f si="11" t="shared"/>
        <v>1280</v>
      </c>
      <c r="T61" s="88">
        <f si="12" t="shared"/>
        <v>3240.9479431647201</v>
      </c>
      <c r="U61" s="89">
        <f si="13" t="shared"/>
        <v>182.95954285714285</v>
      </c>
      <c r="V61" s="89">
        <f si="14" t="shared"/>
        <v>205.82948571428571</v>
      </c>
      <c r="W61" s="75">
        <f si="15" t="shared"/>
        <v>303.66881513521679</v>
      </c>
      <c r="X61" s="89">
        <f si="16" t="shared"/>
        <v>3240.9479431647196</v>
      </c>
      <c r="Z61" s="75">
        <f si="17" t="shared"/>
        <v>267.24428259568577</v>
      </c>
      <c r="AA61" s="75">
        <f si="18" t="shared"/>
        <v>300.64981792014652</v>
      </c>
      <c r="AB61">
        <f si="19" t="shared"/>
        <v>3208.7272727272725</v>
      </c>
    </row>
    <row r="62" spans="1:28" x14ac:dyDescent="0.3">
      <c r="E62" s="88">
        <f si="4" t="shared"/>
        <v>115</v>
      </c>
      <c r="F62" s="88">
        <v>115</v>
      </c>
      <c r="G62" s="88">
        <f si="5" t="shared"/>
        <v>220</v>
      </c>
      <c r="H62" s="88">
        <f si="6" t="shared"/>
        <v>129.13692</v>
      </c>
      <c r="I62" s="88">
        <f si="7" t="shared"/>
        <v>1616.0069444444441</v>
      </c>
      <c r="J62" s="74">
        <f si="8" t="shared"/>
        <v>66.639461626575013</v>
      </c>
      <c r="K62" s="75">
        <v>710.41809376172353</v>
      </c>
      <c r="L62" s="88">
        <f si="9" t="shared"/>
        <v>8484.0364583333321</v>
      </c>
      <c r="M62" s="88">
        <f si="10" t="shared"/>
        <v>9696.0416666666661</v>
      </c>
      <c r="N62" s="88">
        <f si="20" t="shared"/>
        <v>10008.13140443566</v>
      </c>
      <c r="O62" s="4" t="s">
        <v>200</v>
      </c>
      <c r="P62" s="88">
        <f si="11" t="shared"/>
        <v>1320</v>
      </c>
      <c r="T62" s="88">
        <f si="12" t="shared"/>
        <v>10008.13140443566</v>
      </c>
      <c r="U62" s="89">
        <f si="13" t="shared"/>
        <v>147.58505142857146</v>
      </c>
      <c r="V62" s="89">
        <f si="14" t="shared"/>
        <v>161.00187428571431</v>
      </c>
      <c r="W62" s="75">
        <f si="15" t="shared"/>
        <v>775.00155683097103</v>
      </c>
      <c r="X62" s="89">
        <f si="16" t="shared"/>
        <v>10008.131404435659</v>
      </c>
      <c r="Z62" s="75">
        <f si="17" t="shared"/>
        <v>688.26468793312108</v>
      </c>
      <c r="AA62" s="75">
        <f si="18" t="shared"/>
        <v>750.83420501795024</v>
      </c>
      <c r="AB62">
        <f si="19" t="shared"/>
        <v>9696.0416666666642</v>
      </c>
    </row>
    <row r="63" spans="1:28" x14ac:dyDescent="0.3">
      <c r="E63" s="88">
        <f si="4" t="shared"/>
        <v>85</v>
      </c>
      <c r="F63" s="88">
        <v>85</v>
      </c>
      <c r="G63" s="88">
        <f si="5" t="shared"/>
        <v>280</v>
      </c>
      <c r="H63" s="88">
        <f si="6" t="shared"/>
        <v>124.03328000000002</v>
      </c>
      <c r="I63" s="88">
        <f si="7" t="shared"/>
        <v>445.7883369330454</v>
      </c>
      <c r="J63" s="74">
        <f si="8" t="shared"/>
        <v>21.820280809253322</v>
      </c>
      <c r="K63" s="75">
        <v>211.5641952568113</v>
      </c>
      <c r="L63" s="88">
        <f si="9" t="shared"/>
        <v>1716.2850971922248</v>
      </c>
      <c r="M63" s="88">
        <f si="10" t="shared"/>
        <v>2064</v>
      </c>
      <c r="N63" s="88">
        <f si="20" t="shared"/>
        <v>2249.2286629939499</v>
      </c>
      <c r="O63" s="4" t="s">
        <v>202</v>
      </c>
      <c r="P63" s="88">
        <f si="11" t="shared"/>
        <v>1296.3999999999999</v>
      </c>
      <c r="T63" s="88">
        <f si="12" t="shared"/>
        <v>2249.2286629939499</v>
      </c>
      <c r="U63" s="89">
        <f si="13" t="shared"/>
        <v>149.16210036363637</v>
      </c>
      <c r="V63" s="89">
        <f si="14" t="shared"/>
        <v>165.68452987012986</v>
      </c>
      <c r="W63" s="75">
        <f si="15" t="shared"/>
        <v>234.99879757004646</v>
      </c>
      <c r="X63" s="89">
        <f si="16" t="shared"/>
        <v>2249.2286629939495</v>
      </c>
      <c r="Z63" s="75">
        <f si="17" t="shared"/>
        <v>194.14144332875821</v>
      </c>
      <c r="AA63" s="75">
        <f si="18" t="shared"/>
        <v>215.64615735375793</v>
      </c>
      <c r="AB63">
        <f si="19" t="shared"/>
        <v>2063.9999999999995</v>
      </c>
    </row>
    <row r="64" spans="1:28" x14ac:dyDescent="0.3">
      <c r="E64" s="88">
        <f si="4" t="shared"/>
        <v>100</v>
      </c>
      <c r="F64" s="88">
        <v>100</v>
      </c>
      <c r="G64" s="88">
        <f si="5" t="shared"/>
        <v>250</v>
      </c>
      <c r="H64" s="88">
        <f si="6" t="shared"/>
        <v>92.002500000000012</v>
      </c>
      <c r="I64" s="88">
        <f si="7" t="shared"/>
        <v>160.00000000000003</v>
      </c>
      <c r="J64" s="74">
        <f si="8" t="shared"/>
        <v>7.187780772686434</v>
      </c>
      <c r="K64" s="75">
        <v>104.3</v>
      </c>
      <c r="L64" s="88">
        <f si="9" t="shared"/>
        <v>694.40000000000009</v>
      </c>
      <c r="M64" s="88">
        <f si="10" t="shared"/>
        <v>800</v>
      </c>
      <c r="N64" s="88">
        <f si="20" t="shared"/>
        <v>921.20263199999999</v>
      </c>
      <c r="O64" s="4" t="s">
        <v>203</v>
      </c>
      <c r="P64" s="88">
        <f si="11" t="shared"/>
        <v>1250</v>
      </c>
      <c r="T64" s="88">
        <f si="12" t="shared"/>
        <v>921.20263199999999</v>
      </c>
      <c r="U64" s="89">
        <f si="13" t="shared"/>
        <v>105.99366359447005</v>
      </c>
      <c r="V64" s="89">
        <f si="14" t="shared"/>
        <v>122.10470046082949</v>
      </c>
      <c r="W64" s="75">
        <f si="15" t="shared"/>
        <v>120.15359999999998</v>
      </c>
      <c r="X64" s="89">
        <f si="16" t="shared"/>
        <v>921.20263199999988</v>
      </c>
      <c r="Z64" s="75">
        <f si="17" t="shared"/>
        <v>90.577248806644747</v>
      </c>
      <c r="AA64" s="75">
        <f si="18" t="shared"/>
        <v>104.34499062525475</v>
      </c>
      <c r="AB64">
        <f si="19" t="shared"/>
        <v>800</v>
      </c>
    </row>
    <row r="65" spans="4:30" x14ac:dyDescent="0.3">
      <c r="X65" s="89"/>
    </row>
    <row r="66" spans="4:30" x14ac:dyDescent="0.3">
      <c r="I66" s="74"/>
      <c r="X66" s="89"/>
    </row>
    <row ht="15" r="67" spans="4:30" thickBot="1" x14ac:dyDescent="0.35">
      <c r="F67" t="s">
        <v>230</v>
      </c>
      <c r="I67" s="74"/>
      <c r="U67">
        <f>K71*K58/60</f>
        <v>3615.4899455999998</v>
      </c>
      <c r="X67" s="89"/>
    </row>
    <row ht="72.599999999999994" r="68" spans="4:30" thickTop="1" x14ac:dyDescent="0.3">
      <c r="F68" s="35" t="s">
        <v>26</v>
      </c>
      <c r="I68" s="74"/>
      <c r="X68" s="89"/>
      <c r="AA68" t="s">
        <v>235</v>
      </c>
    </row>
    <row ht="16.2" r="69" spans="4:30" thickBot="1" x14ac:dyDescent="0.35">
      <c r="F69" s="36" t="s">
        <v>53</v>
      </c>
      <c r="I69" s="74"/>
      <c r="T69" t="s">
        <v>236</v>
      </c>
      <c r="X69" s="89"/>
      <c r="Y69" t="s">
        <v>231</v>
      </c>
      <c r="Z69" t="s">
        <v>232</v>
      </c>
      <c r="AA69" t="s">
        <v>232</v>
      </c>
      <c r="AB69" t="s">
        <v>233</v>
      </c>
      <c r="AC69" t="s">
        <v>234</v>
      </c>
    </row>
    <row ht="16.8" r="70" spans="4:30" thickBot="1" thickTop="1" x14ac:dyDescent="0.35">
      <c r="D70" s="59" t="s">
        <v>237</v>
      </c>
      <c r="E70" t="s">
        <v>190</v>
      </c>
      <c r="F70" s="23" t="e">
        <f ref="F70" si="21" t="shared">E70+1</f>
        <v>#VALUE!</v>
      </c>
      <c r="I70" t="s">
        <v>239</v>
      </c>
      <c r="J70" t="s">
        <v>240</v>
      </c>
      <c r="K70" s="87" t="s">
        <v>223</v>
      </c>
      <c r="T70">
        <f ref="T70:T76" si="22" t="shared">M58/U58/J71*60</f>
        <v>466.61273070797279</v>
      </c>
      <c r="V70" s="88">
        <v>3570</v>
      </c>
      <c r="X70" s="89">
        <f ref="X70:X76" si="23" t="shared">T70*U58/60*J71</f>
        <v>3569.9999999999995</v>
      </c>
      <c r="Y70">
        <f ref="Y70:Y76" si="24" t="shared">I71*U58*T70/60</f>
        <v>4172.7272727272712</v>
      </c>
      <c r="Z70" s="89">
        <v>117.70591179487181</v>
      </c>
      <c r="AA70" s="89">
        <f ref="AA70:AA76" si="25" t="shared">G58*G6/100</f>
        <v>159.04</v>
      </c>
      <c r="AB70">
        <f ref="AB70:AB76" si="26" t="shared">Z70*AA58/60</f>
        <v>915.38461538461547</v>
      </c>
      <c r="AC70">
        <f ref="AC70:AC76" si="27" t="shared">AB70*I71</f>
        <v>4172.727272727273</v>
      </c>
      <c r="AD70" s="88">
        <f ref="AD70:AD76" si="28" t="shared">AC70-V70</f>
        <v>602.72727272727298</v>
      </c>
    </row>
    <row ht="15" r="71" spans="4:30" thickTop="1" x14ac:dyDescent="0.3">
      <c r="D71">
        <v>9</v>
      </c>
      <c r="E71">
        <f>D71/100</f>
        <v>0.09</v>
      </c>
      <c r="F71" s="76">
        <v>56.8</v>
      </c>
      <c r="G71" s="69">
        <f ref="G71:G77" si="29" t="shared">F71*(1+$E$71)</f>
        <v>61.911999999999999</v>
      </c>
      <c r="I71" s="74">
        <f>1440/G58*K6/L6/(1+K6/L6)</f>
        <v>4.5584415584415581</v>
      </c>
      <c r="J71" s="74">
        <v>3.9</v>
      </c>
      <c r="K71" s="89">
        <f ref="K71:K77" si="30" t="shared">1440*(1-F6/100)*G6/100</f>
        <v>536.55552</v>
      </c>
      <c r="T71">
        <f si="22" t="shared"/>
        <v>307.38412214518519</v>
      </c>
      <c r="V71" s="88">
        <v>4423.083333333333</v>
      </c>
      <c r="X71" s="89">
        <f si="23" t="shared"/>
        <v>4423.0833333333321</v>
      </c>
      <c r="Y71">
        <f si="24" t="shared"/>
        <v>4549.4571428571417</v>
      </c>
      <c r="Z71" s="89">
        <f>U59</f>
        <v>246.67599999999999</v>
      </c>
      <c r="AA71" s="89">
        <f si="25" t="shared"/>
        <v>260.05</v>
      </c>
      <c r="AB71">
        <f si="26" t="shared"/>
        <v>1263.7380952380952</v>
      </c>
      <c r="AC71">
        <f si="27" t="shared"/>
        <v>4549.4571428571426</v>
      </c>
      <c r="AD71" s="88">
        <f si="28" t="shared"/>
        <v>126.37380952380954</v>
      </c>
    </row>
    <row r="72" spans="4:30" x14ac:dyDescent="0.3">
      <c r="F72" s="76">
        <v>74.3</v>
      </c>
      <c r="G72" s="69">
        <f si="29" t="shared"/>
        <v>80.987000000000009</v>
      </c>
      <c r="I72" s="74">
        <v>3.6</v>
      </c>
      <c r="J72" s="74">
        <v>3.5</v>
      </c>
      <c r="K72" s="89">
        <f si="30" t="shared"/>
        <v>888.03359999999998</v>
      </c>
      <c r="T72">
        <f si="22" t="shared"/>
        <v>369.12705236371067</v>
      </c>
      <c r="V72" s="88">
        <v>3414</v>
      </c>
      <c r="X72" s="89">
        <f si="23" t="shared"/>
        <v>3414</v>
      </c>
      <c r="Y72">
        <f si="24" t="shared"/>
        <v>4389.4285714285716</v>
      </c>
      <c r="Z72" s="89">
        <v>158.55167999999998</v>
      </c>
      <c r="AA72" s="89">
        <f si="25" t="shared"/>
        <v>210.84</v>
      </c>
      <c r="AB72">
        <f si="26" t="shared"/>
        <v>975.42857142857133</v>
      </c>
      <c r="AC72">
        <f si="27" t="shared"/>
        <v>4389.4285714285706</v>
      </c>
      <c r="AD72" s="88">
        <f si="28" t="shared"/>
        <v>975.42857142857065</v>
      </c>
    </row>
    <row r="73" spans="4:30" x14ac:dyDescent="0.3">
      <c r="F73" s="76">
        <v>75.3</v>
      </c>
      <c r="G73" s="69">
        <f si="29" t="shared"/>
        <v>82.076999999999998</v>
      </c>
      <c r="I73" s="74">
        <f>1440/G60*K8/L8/(1+K8/L8)</f>
        <v>4.5</v>
      </c>
      <c r="J73" s="74">
        <v>3.5</v>
      </c>
      <c r="K73" s="89">
        <f si="30" t="shared"/>
        <v>713.48255999999992</v>
      </c>
      <c r="T73">
        <f si="22" t="shared"/>
        <v>300.64981792014652</v>
      </c>
      <c r="V73" s="88">
        <v>3208.7272727272725</v>
      </c>
      <c r="X73" s="89">
        <f si="23" t="shared"/>
        <v>3208.7272727272725</v>
      </c>
      <c r="Y73">
        <f si="24" t="shared"/>
        <v>3609.8181818181815</v>
      </c>
      <c r="Z73" s="89">
        <v>182.95954285714285</v>
      </c>
      <c r="AA73" s="89">
        <f si="25" t="shared"/>
        <v>211.2</v>
      </c>
      <c r="AB73">
        <f si="26" t="shared"/>
        <v>916.77922077922074</v>
      </c>
      <c r="AC73">
        <f si="27" t="shared"/>
        <v>3609.8181818181815</v>
      </c>
      <c r="AD73" s="88">
        <f si="28" t="shared"/>
        <v>401.09090909090901</v>
      </c>
    </row>
    <row r="74" spans="4:30" x14ac:dyDescent="0.3">
      <c r="F74" s="76">
        <v>66</v>
      </c>
      <c r="G74" s="69">
        <f si="29" t="shared"/>
        <v>71.940000000000012</v>
      </c>
      <c r="I74" s="74">
        <f>1440/G61*K9/L9/(1+K9/L9)</f>
        <v>3.9375</v>
      </c>
      <c r="J74" s="74">
        <v>3.5</v>
      </c>
      <c r="K74" s="89">
        <f si="30" t="shared"/>
        <v>720.40319999999997</v>
      </c>
      <c r="T74">
        <f si="22" t="shared"/>
        <v>750.83420501795024</v>
      </c>
      <c r="V74" s="88">
        <v>9696.0416666666661</v>
      </c>
      <c r="X74" s="89">
        <f si="23" t="shared"/>
        <v>9696.0416666666642</v>
      </c>
      <c r="Y74">
        <f si="24" t="shared"/>
        <v>10577.5</v>
      </c>
      <c r="Z74" s="89">
        <v>147.58505142857146</v>
      </c>
      <c r="AA74" s="89">
        <f si="25" t="shared"/>
        <v>158.84</v>
      </c>
      <c r="AB74">
        <f si="26" t="shared"/>
        <v>1846.8650793650791</v>
      </c>
      <c r="AC74">
        <f si="27" t="shared"/>
        <v>10577.499999999998</v>
      </c>
      <c r="AD74" s="88">
        <f si="28" t="shared"/>
        <v>881.45833333333212</v>
      </c>
    </row>
    <row r="75" spans="4:30" x14ac:dyDescent="0.3">
      <c r="F75" s="76">
        <v>72.2</v>
      </c>
      <c r="G75" s="69">
        <f si="29" t="shared"/>
        <v>78.698000000000008</v>
      </c>
      <c r="I75" s="74">
        <f>1440/G62*K10/L10/(1+K10/L10)</f>
        <v>5.7272727272727275</v>
      </c>
      <c r="J75" s="74">
        <v>5.25</v>
      </c>
      <c r="K75" s="89">
        <f si="30" t="shared"/>
        <v>845.25984000000017</v>
      </c>
      <c r="T75">
        <f si="22" t="shared"/>
        <v>215.64615735375796</v>
      </c>
      <c r="V75" s="88">
        <v>2064</v>
      </c>
      <c r="X75" s="89">
        <f si="23" t="shared"/>
        <v>2064</v>
      </c>
      <c r="Y75">
        <f si="24" t="shared"/>
        <v>2292.625732798519</v>
      </c>
      <c r="Z75" s="89">
        <v>149.16210036363637</v>
      </c>
      <c r="AA75" s="89">
        <f si="25" t="shared"/>
        <v>195.32800000000003</v>
      </c>
      <c r="AB75">
        <f si="26" t="shared"/>
        <v>536.10389610389598</v>
      </c>
      <c r="AC75">
        <f si="27" t="shared"/>
        <v>2292.6257327985181</v>
      </c>
      <c r="AD75" s="88">
        <f si="28" t="shared"/>
        <v>228.62573279851813</v>
      </c>
    </row>
    <row r="76" spans="4:30" x14ac:dyDescent="0.3">
      <c r="F76" s="76">
        <v>69.760000000000005</v>
      </c>
      <c r="G76" s="69">
        <f si="29" t="shared"/>
        <v>76.03840000000001</v>
      </c>
      <c r="I76" s="74">
        <f>1440/G63*K11/L11/(1+K11/L11)</f>
        <v>4.2764578833693303</v>
      </c>
      <c r="J76" s="74">
        <v>3.85</v>
      </c>
      <c r="K76" s="89">
        <f si="30" t="shared"/>
        <v>637.88544000000002</v>
      </c>
      <c r="T76">
        <f si="22" t="shared"/>
        <v>104.34499062525475</v>
      </c>
      <c r="V76" s="88">
        <v>800</v>
      </c>
      <c r="X76" s="89">
        <f si="23" t="shared"/>
        <v>800</v>
      </c>
      <c r="Y76">
        <f si="24" t="shared"/>
        <v>921.6</v>
      </c>
      <c r="Z76" s="89">
        <v>105.99366359447005</v>
      </c>
      <c r="AA76" s="89">
        <f si="25" t="shared"/>
        <v>130.5</v>
      </c>
      <c r="AB76">
        <f si="26" t="shared"/>
        <v>184.33179723502306</v>
      </c>
      <c r="AC76">
        <f si="27" t="shared"/>
        <v>921.6</v>
      </c>
      <c r="AD76" s="88">
        <f si="28" t="shared"/>
        <v>121.60000000000002</v>
      </c>
    </row>
    <row r="77" spans="4:30" x14ac:dyDescent="0.3">
      <c r="F77" s="76">
        <v>52.2</v>
      </c>
      <c r="G77" s="69">
        <f si="29" t="shared"/>
        <v>56.89800000000001</v>
      </c>
      <c r="I77" s="74">
        <f>1440/G64*K12/L12/(1+K12/L12)</f>
        <v>4.9996799999999997</v>
      </c>
      <c r="J77" s="74">
        <v>4.34</v>
      </c>
      <c r="K77" s="89">
        <f si="30" t="shared"/>
        <v>529.93439999999998</v>
      </c>
    </row>
  </sheetData>
  <mergeCells count="7">
    <mergeCell ref="A45:A46"/>
    <mergeCell ref="B45:B46"/>
    <mergeCell ref="I23:L23"/>
    <mergeCell ref="I24:M24"/>
    <mergeCell ref="A3:A4"/>
    <mergeCell ref="B3:B4"/>
    <mergeCell ref="C3:C4"/>
  </mergeCells>
  <pageMargins bottom="0.75" footer="0.3" header="0.3" left="0.7" right="0.7" top="0.75"/>
  <pageSetup orientation="portrait" paperSize="9" r:id="rId1" verticalDpi="0"/>
  <drawing r:id="rId2"/>
  <legacyDrawing r:id="rId3"/>
  <oleObjects>
    <mc:AlternateContent>
      <mc:Choice Requires="x14">
        <oleObject progId="Equation.3" r:id="rId4" shapeId="1025">
          <objectPr autoPict="0" defaultSize="0" r:id="rId5">
            <anchor moveWithCells="1" sizeWithCells="1">
              <from>
                <xdr:col>14</xdr:col>
                <xdr:colOff>0</xdr:colOff>
                <xdr:row>66</xdr:row>
                <xdr:rowOff>0</xdr:rowOff>
              </from>
              <to>
                <xdr:col>18</xdr:col>
                <xdr:colOff>723900</xdr:colOff>
                <xdr:row>69</xdr:row>
                <xdr:rowOff>60960</xdr:rowOff>
              </to>
            </anchor>
          </objectPr>
        </oleObject>
      </mc:Choice>
      <mc:Fallback>
        <oleObject progId="Equation.3" r:id="rId4" shapeId="1025"/>
      </mc:Fallback>
    </mc:AlternateContent>
  </oleObjects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R58"/>
  <sheetViews>
    <sheetView topLeftCell="A31" workbookViewId="0" zoomScale="85" zoomScaleNormal="85">
      <selection activeCell="G34" sqref="G34"/>
    </sheetView>
  </sheetViews>
  <sheetFormatPr defaultRowHeight="14.4" x14ac:dyDescent="0.3"/>
  <cols>
    <col min="1" max="1" customWidth="true" width="5.44140625" collapsed="true"/>
    <col min="2" max="2" customWidth="true" width="23.6640625" collapsed="true"/>
    <col min="3" max="3" customWidth="true" width="16.6640625" collapsed="true"/>
    <col min="4" max="4" customWidth="true" width="16.5546875" collapsed="true"/>
    <col min="5" max="5" customWidth="true" width="15.6640625" collapsed="true"/>
    <col min="6" max="6" customWidth="true" width="16.33203125" collapsed="true"/>
    <col min="7" max="7" customWidth="true" width="15.6640625" collapsed="true"/>
    <col min="8" max="8" customWidth="true" width="17.33203125" collapsed="true"/>
    <col min="9" max="9" customWidth="true" width="13.6640625" collapsed="true"/>
    <col min="10" max="10" customWidth="true" width="16.0" collapsed="true"/>
    <col min="11" max="11" customWidth="true" width="18.88671875" collapsed="true"/>
    <col min="12" max="12" customWidth="true" width="15.33203125" collapsed="true"/>
    <col min="13" max="13" customWidth="true" width="14.6640625" collapsed="true"/>
    <col min="14" max="14" customWidth="true" width="13.6640625" collapsed="true"/>
    <col min="15" max="15" customWidth="true" width="16.33203125" collapsed="true"/>
    <col min="16" max="16" customWidth="true" width="16.44140625" collapsed="true"/>
  </cols>
  <sheetData>
    <row ht="15.6" r="1" spans="1:18" x14ac:dyDescent="0.3">
      <c r="A1" s="77" t="s">
        <v>193</v>
      </c>
    </row>
    <row ht="15" r="2" spans="1:18" thickBot="1" x14ac:dyDescent="0.35"/>
    <row customHeight="1" ht="86.4" r="3" spans="1:18" thickTop="1" x14ac:dyDescent="0.3">
      <c r="A3" s="90" t="s">
        <v>2</v>
      </c>
      <c r="B3" s="92" t="s">
        <v>0</v>
      </c>
      <c r="C3" s="92" t="s">
        <v>1</v>
      </c>
      <c r="D3" s="35" t="s">
        <v>82</v>
      </c>
      <c r="E3" s="35" t="s">
        <v>78</v>
      </c>
      <c r="F3" s="35" t="s">
        <v>79</v>
      </c>
      <c r="G3" s="35" t="s">
        <v>80</v>
      </c>
      <c r="H3" s="35" t="s">
        <v>81</v>
      </c>
      <c r="I3" s="35" t="s">
        <v>90</v>
      </c>
      <c r="J3" s="35" t="s">
        <v>91</v>
      </c>
      <c r="K3" s="35" t="s">
        <v>92</v>
      </c>
      <c r="L3" s="35" t="s">
        <v>156</v>
      </c>
      <c r="M3" s="35" t="s">
        <v>150</v>
      </c>
      <c r="N3" s="96" t="s">
        <v>122</v>
      </c>
    </row>
    <row customHeight="1" ht="22.2" r="4" spans="1:18" thickBot="1" x14ac:dyDescent="0.35">
      <c r="A4" s="91"/>
      <c r="B4" s="93"/>
      <c r="C4" s="93"/>
      <c r="D4" s="36" t="s">
        <v>85</v>
      </c>
      <c r="E4" s="36" t="s">
        <v>86</v>
      </c>
      <c r="F4" s="36" t="s">
        <v>87</v>
      </c>
      <c r="G4" s="36" t="s">
        <v>88</v>
      </c>
      <c r="H4" s="36" t="s">
        <v>89</v>
      </c>
      <c r="I4" s="36" t="s">
        <v>100</v>
      </c>
      <c r="J4" s="37" t="s">
        <v>115</v>
      </c>
      <c r="K4" s="40" t="s">
        <v>104</v>
      </c>
      <c r="L4" s="16" t="s">
        <v>118</v>
      </c>
      <c r="M4" s="16" t="s">
        <v>101</v>
      </c>
      <c r="N4" s="97"/>
    </row>
    <row customFormat="1" customHeight="1" ht="12.6" r="5" s="25" spans="1:18" thickBot="1" thickTop="1" x14ac:dyDescent="0.25">
      <c r="A5" s="22">
        <v>1</v>
      </c>
      <c r="B5" s="23">
        <f>A5+1</f>
        <v>2</v>
      </c>
      <c r="C5" s="23">
        <f ref="C5:N5" si="0" t="shared">B5+1</f>
        <v>3</v>
      </c>
      <c r="D5" s="23">
        <f si="0" t="shared"/>
        <v>4</v>
      </c>
      <c r="E5" s="23">
        <f si="0" t="shared"/>
        <v>5</v>
      </c>
      <c r="F5" s="23">
        <f si="0" t="shared"/>
        <v>6</v>
      </c>
      <c r="G5" s="23">
        <f si="0" t="shared"/>
        <v>7</v>
      </c>
      <c r="H5" s="23">
        <f si="0" t="shared"/>
        <v>8</v>
      </c>
      <c r="I5" s="23">
        <f si="0" t="shared"/>
        <v>9</v>
      </c>
      <c r="J5" s="23">
        <f si="0" t="shared"/>
        <v>10</v>
      </c>
      <c r="K5" s="23">
        <f si="0" t="shared"/>
        <v>11</v>
      </c>
      <c r="L5" s="23">
        <f si="0" t="shared"/>
        <v>12</v>
      </c>
      <c r="M5" s="23">
        <f si="0" t="shared"/>
        <v>13</v>
      </c>
      <c r="N5" s="24">
        <f si="0" t="shared"/>
        <v>14</v>
      </c>
    </row>
    <row ht="15" r="6" spans="1:18" thickTop="1" x14ac:dyDescent="0.3">
      <c r="A6" s="7" t="s">
        <v>7</v>
      </c>
      <c r="B6" s="8" t="s">
        <v>209</v>
      </c>
      <c r="C6" s="8" t="s">
        <v>207</v>
      </c>
      <c r="D6" s="46" t="n">
        <v>2105.4066059886427</v>
      </c>
      <c r="E6" s="44" t="n">
        <v>1.0</v>
      </c>
      <c r="F6" s="44" t="n">
        <v>0.12820512820512822</v>
      </c>
      <c r="G6" s="44" t="n">
        <v>0.0</v>
      </c>
      <c r="H6" s="44" t="n">
        <v>0.0</v>
      </c>
      <c r="I6" s="46" t="n">
        <v>1069.928394436923</v>
      </c>
      <c r="J6" s="46" t="n">
        <v>-2500.071605563077</v>
      </c>
      <c r="K6" s="46" t="n">
        <v>-101.69333333333333</v>
      </c>
      <c r="L6" s="46" t="n">
        <v>0.0</v>
      </c>
      <c r="M6" s="46" t="n">
        <v>-137.57215007215004</v>
      </c>
      <c r="N6" s="12" t="s">
        <v>128</v>
      </c>
      <c r="P6" s="44">
        <v>3.9</v>
      </c>
      <c r="R6" s="44">
        <v>4.5584415584415581</v>
      </c>
    </row>
    <row r="7" spans="1:18" x14ac:dyDescent="0.3">
      <c r="A7" s="3" t="s">
        <v>8</v>
      </c>
      <c r="B7" s="4" t="s">
        <v>206</v>
      </c>
      <c r="C7" s="4" t="s">
        <v>207</v>
      </c>
      <c r="D7" s="47" t="n">
        <v>1226.3759978557819</v>
      </c>
      <c r="E7" s="45" t="n">
        <v>3.5999999999999996</v>
      </c>
      <c r="F7" s="45" t="n">
        <v>0.5142857142857142</v>
      </c>
      <c r="G7" s="44" t="n">
        <v>0.5814785057733679</v>
      </c>
      <c r="H7" s="45" t="n">
        <v>0.08306835796762399</v>
      </c>
      <c r="I7" s="47" t="n">
        <v>4820.659272051054</v>
      </c>
      <c r="J7" s="47" t="n">
        <v>397.57627205105473</v>
      </c>
      <c r="K7" s="47" t="n">
        <v>3.57285714285713</v>
      </c>
      <c r="L7" s="47" t="n">
        <v>20.775396327702758</v>
      </c>
      <c r="M7" s="47" t="n">
        <v>9.567030964665554</v>
      </c>
      <c r="N7" s="13" t="s">
        <v>128</v>
      </c>
      <c r="P7" s="45">
        <v>3.5</v>
      </c>
      <c r="R7" s="45">
        <v>3.5999999999999996</v>
      </c>
    </row>
    <row r="8" spans="1:18" x14ac:dyDescent="0.3">
      <c r="A8" s="3" t="s">
        <v>9</v>
      </c>
      <c r="B8" s="4" t="s">
        <v>210</v>
      </c>
      <c r="C8" s="4" t="s">
        <v>207</v>
      </c>
      <c r="D8" s="47" t="n">
        <v>3165.165247449142</v>
      </c>
      <c r="E8" s="45" t="n">
        <v>4.5</v>
      </c>
      <c r="F8" s="45" t="n">
        <v>0.6428571428571429</v>
      </c>
      <c r="G8" s="44" t="n">
        <v>4.0</v>
      </c>
      <c r="H8" s="45" t="n">
        <v>0.5714285714285714</v>
      </c>
      <c r="I8" s="47" t="n">
        <v>6579.165247449142</v>
      </c>
      <c r="J8" s="47" t="n">
        <v>3165.165247449142</v>
      </c>
      <c r="K8" s="47" t="n">
        <v>39.57142857142857</v>
      </c>
      <c r="L8" s="47" t="n">
        <v>158.28571428571428</v>
      </c>
      <c r="M8" s="47" t="n">
        <v>89.59776741709175</v>
      </c>
      <c r="N8" s="13" t="s">
        <v>128</v>
      </c>
      <c r="P8" s="45">
        <v>3.5</v>
      </c>
      <c r="R8" s="45">
        <v>4.5</v>
      </c>
    </row>
    <row r="9" spans="1:18" x14ac:dyDescent="0.3">
      <c r="A9" s="3" t="s">
        <v>10</v>
      </c>
      <c r="B9" s="4" t="s">
        <v>208</v>
      </c>
      <c r="C9" s="4" t="s">
        <v>207</v>
      </c>
      <c r="D9" s="47" t="n">
        <v>1621.745016327348</v>
      </c>
      <c r="E9" s="45" t="n">
        <v>1.0</v>
      </c>
      <c r="F9" s="45" t="n">
        <v>0.14285714285714285</v>
      </c>
      <c r="G9" s="44" t="n">
        <v>0.0</v>
      </c>
      <c r="H9" s="45" t="n">
        <v>0.0</v>
      </c>
      <c r="I9" s="47" t="n">
        <v>1031.3738175085716</v>
      </c>
      <c r="J9" s="47" t="n">
        <v>-2177.353182491428</v>
      </c>
      <c r="K9" s="47" t="n">
        <v>-103.07142857142857</v>
      </c>
      <c r="L9" s="47" t="n">
        <v>0.0</v>
      </c>
      <c r="M9" s="47" t="n">
        <v>-139.4364564007421</v>
      </c>
      <c r="N9" s="13" t="s">
        <v>128</v>
      </c>
      <c r="P9" s="45">
        <v>3.5</v>
      </c>
      <c r="R9" s="45">
        <v>3.9375</v>
      </c>
    </row>
    <row r="10" spans="1:18" x14ac:dyDescent="0.3">
      <c r="A10" s="3" t="s">
        <v>11</v>
      </c>
      <c r="B10" s="4" t="s">
        <v>204</v>
      </c>
      <c r="C10" s="4" t="s">
        <v>205</v>
      </c>
      <c r="D10" s="47" t="n">
        <v>3170.9972853333347</v>
      </c>
      <c r="E10" s="45" t="n">
        <v>5.7272727272727275</v>
      </c>
      <c r="F10" s="45" t="n">
        <v>0.8181818181818182</v>
      </c>
      <c r="G10" s="44" t="n">
        <v>4.0</v>
      </c>
      <c r="H10" s="45" t="n">
        <v>0.5714285714285714</v>
      </c>
      <c r="I10" s="47" t="n">
        <v>12867.038285333334</v>
      </c>
      <c r="J10" s="47" t="n">
        <v>3170.9972853333347</v>
      </c>
      <c r="K10" s="47" t="n">
        <v>14.63181818181819</v>
      </c>
      <c r="L10" s="47" t="n">
        <v>122.62857142857143</v>
      </c>
      <c r="M10" s="47" t="n">
        <v>47.734729208319365</v>
      </c>
      <c r="N10" s="13" t="s">
        <v>128</v>
      </c>
      <c r="P10" s="45">
        <v>5.25</v>
      </c>
      <c r="R10" s="45">
        <v>5.7272727272727275</v>
      </c>
    </row>
    <row r="11" spans="1:18" x14ac:dyDescent="0.3">
      <c r="A11" s="3" t="s">
        <v>12</v>
      </c>
      <c r="B11" s="4" t="s">
        <v>211</v>
      </c>
      <c r="C11" s="4" t="s">
        <v>205</v>
      </c>
      <c r="D11" s="47" t="n">
        <v>926.8261207748651</v>
      </c>
      <c r="E11" s="45" t="n">
        <v>1.0</v>
      </c>
      <c r="F11" s="45" t="n">
        <v>0.2025974025974026</v>
      </c>
      <c r="G11" s="44" t="n">
        <v>0.0</v>
      </c>
      <c r="H11" s="45" t="n">
        <v>0.0</v>
      </c>
      <c r="I11" s="47" t="n">
        <v>595.4867688062337</v>
      </c>
      <c r="J11" s="47" t="n">
        <v>-1468.5132311937664</v>
      </c>
      <c r="K11" s="47" t="n">
        <v>-77.80868649350649</v>
      </c>
      <c r="L11" s="47" t="n">
        <v>0.0</v>
      </c>
      <c r="M11" s="47" t="n">
        <v>-105.26066895766569</v>
      </c>
      <c r="N11" s="13" t="s">
        <v>128</v>
      </c>
      <c r="P11" s="45">
        <v>3.85</v>
      </c>
      <c r="R11" s="45">
        <v>4.2764578833693303</v>
      </c>
    </row>
    <row r="12" spans="1:18" x14ac:dyDescent="0.3">
      <c r="A12" s="3" t="s">
        <v>13</v>
      </c>
      <c r="B12" s="4" t="s">
        <v>212</v>
      </c>
      <c r="C12" s="4" t="s">
        <v>205</v>
      </c>
      <c r="D12" s="47" t="n">
        <v>420.09162981167674</v>
      </c>
      <c r="E12" s="45" t="n">
        <v>1.0</v>
      </c>
      <c r="F12" s="45" t="n">
        <v>0.15207373271889402</v>
      </c>
      <c r="G12" s="44" t="n">
        <v>0.0</v>
      </c>
      <c r="H12" s="45" t="n">
        <v>0.0</v>
      </c>
      <c r="I12" s="47" t="n">
        <v>212.34821441474656</v>
      </c>
      <c r="J12" s="47" t="n">
        <v>-587.6517855852535</v>
      </c>
      <c r="K12" s="47" t="n">
        <v>-91.83173004608295</v>
      </c>
      <c r="L12" s="47" t="n">
        <v>0.0</v>
      </c>
      <c r="M12" s="47" t="n">
        <v>-124.23123653420312</v>
      </c>
      <c r="N12" s="13" t="s">
        <v>128</v>
      </c>
      <c r="P12" s="45">
        <v>4.34</v>
      </c>
      <c r="R12" s="45">
        <v>4.9996799999999988</v>
      </c>
    </row>
    <row r="13" spans="1:18" x14ac:dyDescent="0.3">
      <c r="A13" s="3"/>
      <c r="B13" s="4" t="s">
        <v>6</v>
      </c>
      <c r="C13" s="4" t="s">
        <v>6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13"/>
    </row>
    <row ht="15" r="14" spans="1:18" thickBot="1" x14ac:dyDescent="0.35">
      <c r="A14" s="5" t="s">
        <v>14</v>
      </c>
      <c r="B14" s="6" t="s">
        <v>18</v>
      </c>
      <c r="C14" s="6" t="s">
        <v>15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14"/>
    </row>
    <row ht="15.6" r="15" spans="1:18" thickBot="1" thickTop="1" x14ac:dyDescent="0.35">
      <c r="A15" s="53"/>
      <c r="B15" s="98" t="s">
        <v>133</v>
      </c>
      <c r="C15" s="98"/>
      <c r="D15" s="55">
        <f>SUM(D6:D12)</f>
        <v>3337.5106145759992</v>
      </c>
      <c r="E15" s="56">
        <f ref="E15:M15" si="1" t="shared">SUM(E6:E12)</f>
        <v>23.401655016396688</v>
      </c>
      <c r="F15" s="56">
        <f si="1" t="shared"/>
        <v>3.3587627707850696</v>
      </c>
      <c r="G15" s="56">
        <f si="1" t="shared"/>
        <v>0</v>
      </c>
      <c r="H15" s="56">
        <f si="1" t="shared"/>
        <v>0</v>
      </c>
      <c r="I15" s="55">
        <f si="1" t="shared"/>
        <v>27176</v>
      </c>
      <c r="J15" s="55">
        <f si="1" t="shared"/>
        <v>0.14900000000329783</v>
      </c>
      <c r="K15" s="55">
        <f si="1" t="shared"/>
        <v>-103.05347370487196</v>
      </c>
      <c r="L15" s="55">
        <f si="1" t="shared"/>
        <v>0</v>
      </c>
      <c r="M15" s="55">
        <f si="1" t="shared"/>
        <v>-139.4121668085389</v>
      </c>
      <c r="N15" s="54"/>
    </row>
    <row customHeight="1" ht="14.4" r="16" spans="1:18" thickTop="1" x14ac:dyDescent="0.3">
      <c r="A16" s="99"/>
      <c r="B16" s="100"/>
      <c r="C16" s="100"/>
      <c r="D16" s="48"/>
      <c r="E16" s="48"/>
      <c r="F16" s="48"/>
      <c r="G16" s="48"/>
      <c r="H16" s="48"/>
      <c r="I16" s="48"/>
      <c r="J16" s="48"/>
      <c r="K16" s="48"/>
      <c r="L16" s="48"/>
      <c r="M16" s="48"/>
      <c r="N16" s="48"/>
    </row>
    <row r="17" spans="1:17" x14ac:dyDescent="0.3">
      <c r="E17" s="44">
        <v>3.6368822891239616</v>
      </c>
      <c r="F17" s="44">
        <v>0.46626696014409763</v>
      </c>
      <c r="G17" s="49">
        <v>3570</v>
      </c>
      <c r="J17" s="46">
        <v>-240.85911795996526</v>
      </c>
      <c r="M17" s="46">
        <v>-12.481954899061702</v>
      </c>
    </row>
    <row r="18" spans="1:17" x14ac:dyDescent="0.3">
      <c r="C18" t="s">
        <v>45</v>
      </c>
      <c r="E18" s="45">
        <v>3.5999999999999996</v>
      </c>
      <c r="F18" s="45">
        <v>0.51428571428571423</v>
      </c>
      <c r="G18" s="50">
        <v>4423.083333333333</v>
      </c>
      <c r="J18" s="47">
        <v>126.60914400000001</v>
      </c>
      <c r="M18" s="47">
        <v>4.8334106369820473</v>
      </c>
      <c r="N18" s="88"/>
    </row>
    <row r="19" spans="1:17" x14ac:dyDescent="0.3">
      <c r="C19" t="s">
        <v>46</v>
      </c>
      <c r="E19" s="45">
        <v>4.5</v>
      </c>
      <c r="F19" s="45">
        <v>0.6428571428571429</v>
      </c>
      <c r="G19" s="50">
        <v>3414</v>
      </c>
      <c r="J19" s="47">
        <v>975.42794875199888</v>
      </c>
      <c r="M19" s="47">
        <v>53.532776747062449</v>
      </c>
      <c r="N19" s="88"/>
    </row>
    <row r="20" spans="1:17" x14ac:dyDescent="0.3">
      <c r="C20" t="s">
        <v>47</v>
      </c>
      <c r="E20" s="45">
        <v>3.9375</v>
      </c>
      <c r="F20" s="45">
        <v>0.5625</v>
      </c>
      <c r="G20" s="50">
        <v>3208.7272727272725</v>
      </c>
      <c r="J20" s="47">
        <v>401.08136128000069</v>
      </c>
      <c r="M20" s="47">
        <v>24.401379870129865</v>
      </c>
      <c r="N20" s="88"/>
    </row>
    <row r="21" spans="1:17" x14ac:dyDescent="0.3">
      <c r="C21" t="s">
        <v>48</v>
      </c>
      <c r="E21" s="45">
        <v>5.7272727272727275</v>
      </c>
      <c r="F21" s="45">
        <v>0.81818181818181823</v>
      </c>
      <c r="G21" s="50">
        <v>9696.0416666666661</v>
      </c>
      <c r="H21">
        <f>4*5.04*1.25*190/1440</f>
        <v>3.3250000000000002</v>
      </c>
      <c r="J21" s="47">
        <v>881.4561117760004</v>
      </c>
      <c r="M21" s="47">
        <v>19.794126328217246</v>
      </c>
      <c r="N21" s="88"/>
    </row>
    <row r="22" spans="1:17" x14ac:dyDescent="0.3">
      <c r="E22" s="45">
        <v>1</v>
      </c>
      <c r="F22" s="45">
        <v>0.20259740259740261</v>
      </c>
      <c r="G22" s="50">
        <v>2064</v>
      </c>
      <c r="J22" s="47">
        <v>-1527.8964950830546</v>
      </c>
      <c r="M22" s="47">
        <v>-105.26066895766569</v>
      </c>
      <c r="N22" s="88"/>
    </row>
    <row r="23" spans="1:17" x14ac:dyDescent="0.3">
      <c r="E23" s="45">
        <v>1</v>
      </c>
      <c r="F23" s="45">
        <v>0.15207373271889402</v>
      </c>
      <c r="G23" s="50">
        <v>800</v>
      </c>
      <c r="J23" s="47">
        <v>-615.66995276497687</v>
      </c>
      <c r="M23" s="47">
        <v>-124.23123653420312</v>
      </c>
      <c r="N23" s="88"/>
    </row>
    <row r="24" spans="1:17" x14ac:dyDescent="0.3">
      <c r="N24" s="88"/>
    </row>
    <row ht="16.2" r="25" spans="1:17" thickBot="1" x14ac:dyDescent="0.35">
      <c r="A25" s="77" t="s">
        <v>194</v>
      </c>
    </row>
    <row ht="130.19999999999999" r="26" spans="1:17" thickTop="1" x14ac:dyDescent="0.3">
      <c r="A26" s="90" t="s">
        <v>2</v>
      </c>
      <c r="B26" s="92" t="s">
        <v>121</v>
      </c>
      <c r="C26" s="35" t="s">
        <v>151</v>
      </c>
      <c r="D26" s="35" t="s">
        <v>152</v>
      </c>
      <c r="E26" s="35" t="s">
        <v>183</v>
      </c>
      <c r="F26" s="35" t="s">
        <v>148</v>
      </c>
      <c r="G26" s="35" t="s">
        <v>149</v>
      </c>
      <c r="H26" s="35" t="s">
        <v>150</v>
      </c>
      <c r="I26" s="35" t="s">
        <v>154</v>
      </c>
      <c r="J26" s="35" t="s">
        <v>160</v>
      </c>
      <c r="K26" s="35" t="s">
        <v>161</v>
      </c>
      <c r="L26" s="35" t="s">
        <v>162</v>
      </c>
      <c r="M26" s="35" t="s">
        <v>246</v>
      </c>
      <c r="N26" s="35" t="s">
        <v>245</v>
      </c>
      <c r="O26" s="35" t="s">
        <v>244</v>
      </c>
      <c r="P26" s="61" t="s">
        <v>243</v>
      </c>
      <c r="Q26" s="96" t="s">
        <v>122</v>
      </c>
    </row>
    <row ht="16.2" r="27" spans="1:17" thickBot="1" x14ac:dyDescent="0.35">
      <c r="A27" s="91"/>
      <c r="B27" s="93"/>
      <c r="C27" s="36" t="s">
        <v>139</v>
      </c>
      <c r="D27" s="36" t="s">
        <v>141</v>
      </c>
      <c r="E27" s="36" t="s">
        <v>142</v>
      </c>
      <c r="F27" s="36" t="s">
        <v>159</v>
      </c>
      <c r="G27" s="36" t="s">
        <v>158</v>
      </c>
      <c r="H27" s="16" t="s">
        <v>101</v>
      </c>
      <c r="I27" s="16" t="s">
        <v>155</v>
      </c>
      <c r="J27" s="16" t="s">
        <v>157</v>
      </c>
      <c r="K27" s="16" t="s">
        <v>163</v>
      </c>
      <c r="L27" s="16" t="s">
        <v>164</v>
      </c>
      <c r="M27" s="36" t="s">
        <v>165</v>
      </c>
      <c r="N27" s="36" t="s">
        <v>166</v>
      </c>
      <c r="O27" s="36" t="s">
        <v>167</v>
      </c>
      <c r="P27" s="41" t="s">
        <v>168</v>
      </c>
      <c r="Q27" s="97"/>
    </row>
    <row ht="15.6" r="28" spans="1:17" thickBot="1" thickTop="1" x14ac:dyDescent="0.35">
      <c r="A28" s="22">
        <v>1</v>
      </c>
      <c r="B28" s="23">
        <f ref="B28:Q28" si="2" t="shared">A28+1</f>
        <v>2</v>
      </c>
      <c r="C28" s="23">
        <f si="2" t="shared"/>
        <v>3</v>
      </c>
      <c r="D28" s="23">
        <f si="2" t="shared"/>
        <v>4</v>
      </c>
      <c r="E28" s="23">
        <f si="2" t="shared"/>
        <v>5</v>
      </c>
      <c r="F28" s="23">
        <f si="2" t="shared"/>
        <v>6</v>
      </c>
      <c r="G28" s="23">
        <f si="2" t="shared"/>
        <v>7</v>
      </c>
      <c r="H28" s="23">
        <f si="2" t="shared"/>
        <v>8</v>
      </c>
      <c r="I28" s="23">
        <f si="2" t="shared"/>
        <v>9</v>
      </c>
      <c r="J28" s="23">
        <f si="2" t="shared"/>
        <v>10</v>
      </c>
      <c r="K28" s="23">
        <f si="2" t="shared"/>
        <v>11</v>
      </c>
      <c r="L28" s="23">
        <f si="2" t="shared"/>
        <v>12</v>
      </c>
      <c r="M28" s="23">
        <f si="2" t="shared"/>
        <v>13</v>
      </c>
      <c r="N28" s="23">
        <f si="2" t="shared"/>
        <v>14</v>
      </c>
      <c r="O28" s="23">
        <f si="2" t="shared"/>
        <v>15</v>
      </c>
      <c r="P28" s="24">
        <f si="2" t="shared"/>
        <v>16</v>
      </c>
      <c r="Q28" s="24">
        <f si="2" t="shared"/>
        <v>17</v>
      </c>
    </row>
    <row ht="15" r="29" spans="1:17" thickTop="1" x14ac:dyDescent="0.3">
      <c r="A29" s="7" t="s">
        <v>7</v>
      </c>
      <c r="B29" s="8" t="s">
        <v>207</v>
      </c>
      <c r="C29" s="46" t="n">
        <v>14615.809999999998</v>
      </c>
      <c r="D29" s="46" t="n">
        <v>13501.12673144569</v>
      </c>
      <c r="E29" s="46" t="n">
        <v>-1114.6832685543068</v>
      </c>
      <c r="F29" s="66" t="n">
        <v>4.5</v>
      </c>
      <c r="G29" s="66" t="n">
        <v>4.0</v>
      </c>
      <c r="H29" s="46" t="n">
        <v>-177.84380809113483</v>
      </c>
      <c r="I29" s="46" t="n">
        <v>0.0</v>
      </c>
      <c r="J29" s="46" t="n">
        <v>713.4729058044443</v>
      </c>
      <c r="K29" s="46" t="n">
        <v>159.50983350936082</v>
      </c>
      <c r="L29" s="46" t="n">
        <v>-18.333974581774015</v>
      </c>
      <c r="M29" s="68" t="n">
        <v>691.4180814717475</v>
      </c>
      <c r="N29" s="68" t="n">
        <v>640.8924426652505</v>
      </c>
      <c r="O29" s="68" t="n">
        <v>-50.525638806497</v>
      </c>
      <c r="P29" s="70" t="n">
        <v>-7.307537965878545</v>
      </c>
      <c r="Q29" s="12" t="s">
        <v>128</v>
      </c>
    </row>
    <row r="30" spans="1:17" x14ac:dyDescent="0.3">
      <c r="A30" s="3" t="s">
        <v>8</v>
      </c>
      <c r="B30" s="4" t="s">
        <v>205</v>
      </c>
      <c r="C30" s="47" t="n">
        <v>12560.041</v>
      </c>
      <c r="D30" s="47" t="n">
        <v>13674.873268554315</v>
      </c>
      <c r="E30" s="47" t="n">
        <v>1114.8322685543153</v>
      </c>
      <c r="F30" s="66" t="n">
        <v>5.7272727272727275</v>
      </c>
      <c r="G30" s="67" t="n">
        <v>4.0</v>
      </c>
      <c r="H30" s="47" t="n">
        <v>-181.75717628354943</v>
      </c>
      <c r="I30" s="47" t="n">
        <v>0.0</v>
      </c>
      <c r="J30" s="47" t="n">
        <v>505.3883344469841</v>
      </c>
      <c r="K30" s="47" t="n">
        <v>114.70531680212508</v>
      </c>
      <c r="L30" s="47" t="n">
        <v>-67.05185948142434</v>
      </c>
      <c r="M30" s="69" t="n">
        <v>775.1972402645114</v>
      </c>
      <c r="N30" s="69" t="n">
        <v>858.0957579872282</v>
      </c>
      <c r="O30" s="69" t="n">
        <v>82.89851772271686</v>
      </c>
      <c r="P30" s="70" t="n">
        <v>10.693861306114865</v>
      </c>
      <c r="Q30" s="13" t="s">
        <v>128</v>
      </c>
    </row>
    <row r="31" spans="1:17" x14ac:dyDescent="0.3">
      <c r="A31" s="3"/>
      <c r="B31" s="4" t="s">
        <v>6</v>
      </c>
      <c r="C31" s="4"/>
      <c r="D31" s="4"/>
      <c r="E31" s="4"/>
      <c r="F31" s="8"/>
      <c r="G31" s="4"/>
      <c r="H31" s="4"/>
      <c r="I31" s="4"/>
      <c r="J31" s="4"/>
      <c r="K31" s="4"/>
      <c r="L31" s="4"/>
      <c r="M31" s="4"/>
      <c r="N31" s="4"/>
      <c r="O31" s="4"/>
      <c r="P31" s="62"/>
      <c r="Q31" s="13" t="s">
        <v>128</v>
      </c>
    </row>
    <row ht="15" r="32" spans="1:17" thickBot="1" x14ac:dyDescent="0.35">
      <c r="A32" s="5" t="s">
        <v>14</v>
      </c>
      <c r="B32" s="6" t="s">
        <v>15</v>
      </c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14"/>
      <c r="Q32" s="64" t="s">
        <v>128</v>
      </c>
    </row>
    <row customFormat="1" customHeight="1" ht="42" r="33" s="59" spans="1:17" thickBot="1" thickTop="1" x14ac:dyDescent="0.35">
      <c r="A33" s="57"/>
      <c r="B33" s="63" t="s">
        <v>140</v>
      </c>
      <c r="C33" s="55">
        <f>SUM(C29:C30)</f>
        <v>27175.850999999995</v>
      </c>
      <c r="D33" s="58">
        <f ref="D33:L33" si="3" t="shared">SUM(D29:D30)</f>
        <v>27176</v>
      </c>
      <c r="E33" s="58">
        <f si="3" t="shared"/>
        <v>0.14900000000488944</v>
      </c>
      <c r="F33" s="60">
        <f si="3" t="shared"/>
        <v>10.227272727272727</v>
      </c>
      <c r="G33" s="60">
        <f si="3" t="shared"/>
        <v>0</v>
      </c>
      <c r="H33" s="58">
        <f si="3" t="shared"/>
        <v>-139.41216680853887</v>
      </c>
      <c r="I33" s="58">
        <f si="3" t="shared"/>
        <v>0</v>
      </c>
      <c r="J33" s="58">
        <f si="3" t="shared"/>
        <v>0</v>
      </c>
      <c r="K33" s="58">
        <f si="3" t="shared"/>
        <v>0</v>
      </c>
      <c r="L33" s="58">
        <f si="3" t="shared"/>
        <v>-139.41216680853887</v>
      </c>
      <c r="M33" s="71" t="n">
        <v>727.7698673751327</v>
      </c>
      <c r="N33" s="71" t="n">
        <v>734.43810951635</v>
      </c>
      <c r="O33" s="71" t="n">
        <v>6.66824214121732</v>
      </c>
      <c r="P33" s="72" t="n">
        <v>0.9162569708014774</v>
      </c>
      <c r="Q33" s="65" t="s">
        <v>128</v>
      </c>
    </row>
    <row ht="16.8" r="34" spans="1:17" thickBot="1" thickTop="1" x14ac:dyDescent="0.35">
      <c r="M34" s="36" t="s">
        <v>184</v>
      </c>
      <c r="N34" s="36" t="s">
        <v>185</v>
      </c>
      <c r="O34" s="36" t="s">
        <v>186</v>
      </c>
      <c r="P34" s="36" t="s">
        <v>187</v>
      </c>
    </row>
    <row ht="15" r="35" spans="1:17" thickTop="1" x14ac:dyDescent="0.3">
      <c r="B35" s="52" t="s">
        <v>129</v>
      </c>
      <c r="J35">
        <f>1308/5</f>
        <v>261.60000000000002</v>
      </c>
    </row>
    <row ht="15" r="36" spans="1:17" thickBot="1" x14ac:dyDescent="0.35"/>
    <row ht="15.6" r="37" spans="1:17" thickBot="1" thickTop="1" x14ac:dyDescent="0.35">
      <c r="B37" t="s">
        <v>153</v>
      </c>
      <c r="J37">
        <v>576</v>
      </c>
      <c r="K37">
        <v>2304</v>
      </c>
      <c r="L37">
        <v>4147</v>
      </c>
      <c r="M37" s="71">
        <v>727.76986737513266</v>
      </c>
      <c r="N37" s="71">
        <v>738.71820463000881</v>
      </c>
      <c r="O37" s="71">
        <v>10.948337254876151</v>
      </c>
      <c r="P37" s="72">
        <v>1.5043680352367179</v>
      </c>
    </row>
    <row ht="15" r="38" spans="1:17" thickTop="1" x14ac:dyDescent="0.3">
      <c r="B38" t="s">
        <v>130</v>
      </c>
      <c r="G38" t="s">
        <v>131</v>
      </c>
      <c r="J38">
        <v>274</v>
      </c>
      <c r="K38">
        <v>1371</v>
      </c>
      <c r="L38">
        <v>4147</v>
      </c>
    </row>
    <row r="39" spans="1:17" x14ac:dyDescent="0.3">
      <c r="B39" t="s">
        <v>132</v>
      </c>
      <c r="G39" t="s">
        <v>131</v>
      </c>
      <c r="M39">
        <f>8067-676</f>
        <v>7391</v>
      </c>
    </row>
    <row r="40" spans="1:17" x14ac:dyDescent="0.3">
      <c r="B40" t="s">
        <v>177</v>
      </c>
      <c r="G40" t="s">
        <v>131</v>
      </c>
      <c r="N40">
        <f>L37/J37</f>
        <v>7.1996527777777777</v>
      </c>
    </row>
    <row r="41" spans="1:17" x14ac:dyDescent="0.3">
      <c r="B41" t="s">
        <v>134</v>
      </c>
      <c r="F41" t="s">
        <v>135</v>
      </c>
      <c r="L41" t="s">
        <v>137</v>
      </c>
    </row>
    <row r="42" spans="1:17" x14ac:dyDescent="0.3">
      <c r="B42" t="s">
        <v>136</v>
      </c>
      <c r="F42" t="s">
        <v>135</v>
      </c>
      <c r="L42" t="s">
        <v>138</v>
      </c>
    </row>
    <row r="44" spans="1:17" x14ac:dyDescent="0.3">
      <c r="N44">
        <f>M33/7.5/252/(1-0.24)</f>
        <v>0.50666239722579554</v>
      </c>
    </row>
    <row ht="15.6" r="45" spans="1:17" x14ac:dyDescent="0.35">
      <c r="B45" t="s">
        <v>144</v>
      </c>
      <c r="C45" t="s">
        <v>143</v>
      </c>
      <c r="E45" t="s">
        <v>147</v>
      </c>
      <c r="I45">
        <f>2*306/918*4</f>
        <v>2.6666666666666665</v>
      </c>
      <c r="J45">
        <f>3*306</f>
        <v>918</v>
      </c>
    </row>
    <row r="47" spans="1:17" x14ac:dyDescent="0.3">
      <c r="B47" t="s">
        <v>145</v>
      </c>
      <c r="C47" t="s">
        <v>143</v>
      </c>
      <c r="E47" t="s">
        <v>146</v>
      </c>
      <c r="M47" s="75">
        <v>843.43622164373369</v>
      </c>
      <c r="N47" s="75">
        <v>952.18467390008357</v>
      </c>
      <c r="O47" s="75">
        <v>108.74845225634988</v>
      </c>
    </row>
    <row r="48" spans="1:17" x14ac:dyDescent="0.3">
      <c r="J48" s="74"/>
    </row>
    <row r="49" spans="3:10" x14ac:dyDescent="0.3">
      <c r="C49" t="s">
        <v>179</v>
      </c>
      <c r="J49" s="74"/>
    </row>
    <row r="50" spans="3:10" x14ac:dyDescent="0.3">
      <c r="C50" t="s">
        <v>180</v>
      </c>
      <c r="J50" s="74">
        <f>F29*252/1440*(1+1/4.5)</f>
        <v>0.97499999999999998</v>
      </c>
    </row>
    <row r="51" spans="3:10" x14ac:dyDescent="0.3">
      <c r="J51" s="74"/>
    </row>
    <row r="52" spans="3:10" x14ac:dyDescent="0.3">
      <c r="J52" s="74">
        <f>F30*216/1440*(1+1/4)</f>
        <v>0</v>
      </c>
    </row>
    <row r="53" spans="3:10" x14ac:dyDescent="0.3">
      <c r="J53" s="74"/>
    </row>
    <row r="54" spans="3:10" x14ac:dyDescent="0.3">
      <c r="J54" s="74"/>
    </row>
    <row r="55" spans="3:10" x14ac:dyDescent="0.3">
      <c r="J55" s="74"/>
    </row>
    <row r="56" spans="3:10" x14ac:dyDescent="0.3">
      <c r="J56">
        <f>367*2*8*4.3/100</f>
        <v>252.49599999999998</v>
      </c>
    </row>
    <row r="58" spans="3:10" x14ac:dyDescent="0.3">
      <c r="J58">
        <f>800*4.4/100*8.3*0.75</f>
        <v>219.12</v>
      </c>
    </row>
  </sheetData>
  <mergeCells count="9">
    <mergeCell ref="Q26:Q27"/>
    <mergeCell ref="N3:N4"/>
    <mergeCell ref="A26:A27"/>
    <mergeCell ref="B26:B27"/>
    <mergeCell ref="B15:C15"/>
    <mergeCell ref="A3:A4"/>
    <mergeCell ref="B3:B4"/>
    <mergeCell ref="C3:C4"/>
    <mergeCell ref="A16:C16"/>
  </mergeCells>
  <pageMargins bottom="0.75" footer="0.3" header="0.3" left="0.7" right="0.7" top="0.75"/>
  <pageSetup orientation="portrait" paperSize="9" r:id="rId1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N16"/>
  <sheetViews>
    <sheetView topLeftCell="B4" workbookViewId="0">
      <selection activeCell="M6" sqref="M6:M12"/>
    </sheetView>
  </sheetViews>
  <sheetFormatPr defaultRowHeight="14.4" x14ac:dyDescent="0.3"/>
  <cols>
    <col min="2" max="2" customWidth="true" width="28.6640625" collapsed="true"/>
    <col min="3" max="3" customWidth="true" width="18.109375" collapsed="true"/>
    <col min="4" max="4" customWidth="true" width="11.33203125" collapsed="true"/>
    <col min="5" max="5" customWidth="true" width="13.0" collapsed="true"/>
    <col min="6" max="6" customWidth="true" width="14.6640625" collapsed="true"/>
    <col min="7" max="7" customWidth="true" width="13.0" collapsed="true"/>
    <col min="8" max="8" customWidth="true" width="14.6640625" collapsed="true"/>
    <col min="9" max="9" customWidth="true" width="13.6640625" collapsed="true"/>
    <col min="10" max="10" customWidth="true" width="13.0" collapsed="true"/>
    <col min="11" max="11" customWidth="true" width="11.88671875" collapsed="true"/>
    <col min="12" max="12" customWidth="true" width="15.33203125" collapsed="true"/>
    <col min="13" max="13" customWidth="true" width="13.33203125" collapsed="true"/>
    <col min="14" max="14" customWidth="true" width="16.44140625" collapsed="true"/>
  </cols>
  <sheetData>
    <row r="1" spans="1:14" x14ac:dyDescent="0.3">
      <c r="A1" t="s">
        <v>50</v>
      </c>
    </row>
    <row ht="15" r="2" spans="1:14" thickBot="1" x14ac:dyDescent="0.35"/>
    <row customHeight="1" ht="82.2" r="3" spans="1:14" thickTop="1" x14ac:dyDescent="0.3">
      <c r="A3" s="90" t="s">
        <v>2</v>
      </c>
      <c r="B3" s="92" t="s">
        <v>0</v>
      </c>
      <c r="C3" s="92" t="s">
        <v>1</v>
      </c>
      <c r="D3" s="35" t="s">
        <v>82</v>
      </c>
      <c r="E3" s="35" t="s">
        <v>78</v>
      </c>
      <c r="F3" s="35" t="s">
        <v>79</v>
      </c>
      <c r="G3" s="35" t="s">
        <v>80</v>
      </c>
      <c r="H3" s="35" t="s">
        <v>81</v>
      </c>
      <c r="I3" s="35" t="s">
        <v>90</v>
      </c>
      <c r="J3" s="35" t="s">
        <v>91</v>
      </c>
      <c r="K3" s="35" t="s">
        <v>92</v>
      </c>
      <c r="L3" s="35" t="s">
        <v>117</v>
      </c>
      <c r="M3" s="35" t="s">
        <v>93</v>
      </c>
      <c r="N3" s="92" t="s">
        <v>122</v>
      </c>
    </row>
    <row customHeight="1" ht="22.2" r="4" spans="1:14" thickBot="1" x14ac:dyDescent="0.35">
      <c r="A4" s="91"/>
      <c r="B4" s="93"/>
      <c r="C4" s="93"/>
      <c r="D4" s="36" t="s">
        <v>85</v>
      </c>
      <c r="E4" s="36" t="s">
        <v>86</v>
      </c>
      <c r="F4" s="36" t="s">
        <v>87</v>
      </c>
      <c r="G4" s="36" t="s">
        <v>88</v>
      </c>
      <c r="H4" s="36" t="s">
        <v>89</v>
      </c>
      <c r="I4" s="36" t="s">
        <v>100</v>
      </c>
      <c r="J4" s="37" t="s">
        <v>115</v>
      </c>
      <c r="K4" s="40" t="s">
        <v>104</v>
      </c>
      <c r="L4" s="16" t="s">
        <v>118</v>
      </c>
      <c r="M4" s="16" t="s">
        <v>101</v>
      </c>
      <c r="N4" s="101"/>
    </row>
    <row customFormat="1" customHeight="1" ht="12.6" r="5" s="25" spans="1:14" thickBot="1" thickTop="1" x14ac:dyDescent="0.25">
      <c r="A5" s="22">
        <v>1</v>
      </c>
      <c r="B5" s="23">
        <f>A5+1</f>
        <v>2</v>
      </c>
      <c r="C5" s="23">
        <f ref="C5:N5" si="0" t="shared">B5+1</f>
        <v>3</v>
      </c>
      <c r="D5" s="23">
        <f si="0" t="shared"/>
        <v>4</v>
      </c>
      <c r="E5" s="23">
        <f si="0" t="shared"/>
        <v>5</v>
      </c>
      <c r="F5" s="23">
        <f si="0" t="shared"/>
        <v>6</v>
      </c>
      <c r="G5" s="23">
        <f si="0" t="shared"/>
        <v>7</v>
      </c>
      <c r="H5" s="23">
        <f si="0" t="shared"/>
        <v>8</v>
      </c>
      <c r="I5" s="23">
        <f si="0" t="shared"/>
        <v>9</v>
      </c>
      <c r="J5" s="23">
        <f si="0" t="shared"/>
        <v>10</v>
      </c>
      <c r="K5" s="23">
        <f si="0" t="shared"/>
        <v>11</v>
      </c>
      <c r="L5" s="23">
        <f si="0" t="shared"/>
        <v>12</v>
      </c>
      <c r="M5" s="23">
        <f si="0" t="shared"/>
        <v>13</v>
      </c>
      <c r="N5" s="23">
        <f si="0" t="shared"/>
        <v>14</v>
      </c>
    </row>
    <row ht="15" r="6" spans="1:14" thickTop="1" x14ac:dyDescent="0.3">
      <c r="A6" s="7" t="s">
        <v>7</v>
      </c>
      <c r="B6" s="8" t="s">
        <v>204</v>
      </c>
      <c r="C6" s="8" t="s">
        <v>205</v>
      </c>
      <c r="D6" s="46" t="n">
        <v>3170.9972853333347</v>
      </c>
      <c r="E6" s="44" t="n">
        <v>5.7272727272727275</v>
      </c>
      <c r="F6" s="44" t="n">
        <v>0.8181818181818182</v>
      </c>
      <c r="G6" s="44" t="n">
        <v>4.0</v>
      </c>
      <c r="H6" s="44" t="n">
        <v>0.5714285714285714</v>
      </c>
      <c r="I6" s="46" t="n">
        <v>12867.038285333334</v>
      </c>
      <c r="J6" s="46" t="n">
        <v>3170.9972853333347</v>
      </c>
      <c r="K6" s="46" t="n">
        <v>14.63181818181819</v>
      </c>
      <c r="L6" s="46" t="n">
        <v>122.62857142857143</v>
      </c>
      <c r="M6" s="46" t="n">
        <v>47.734729208319365</v>
      </c>
      <c r="N6" s="8" t="s">
        <v>128</v>
      </c>
    </row>
    <row r="7" spans="1:14" x14ac:dyDescent="0.3">
      <c r="A7" s="3" t="s">
        <v>8</v>
      </c>
      <c r="B7" s="4" t="s">
        <v>210</v>
      </c>
      <c r="C7" s="4" t="s">
        <v>207</v>
      </c>
      <c r="D7" s="47" t="n">
        <v>3165.165247449142</v>
      </c>
      <c r="E7" s="45" t="n">
        <v>4.5</v>
      </c>
      <c r="F7" s="45" t="n">
        <v>0.6428571428571429</v>
      </c>
      <c r="G7" s="44" t="n">
        <v>4.0</v>
      </c>
      <c r="H7" s="45" t="n">
        <v>0.5714285714285714</v>
      </c>
      <c r="I7" s="47" t="n">
        <v>6579.165247449142</v>
      </c>
      <c r="J7" s="47" t="n">
        <v>3165.165247449142</v>
      </c>
      <c r="K7" s="47" t="n">
        <v>39.57142857142857</v>
      </c>
      <c r="L7" s="47" t="n">
        <v>158.28571428571428</v>
      </c>
      <c r="M7" s="47" t="n">
        <v>89.59776741709175</v>
      </c>
      <c r="N7" s="4" t="s">
        <v>128</v>
      </c>
    </row>
    <row r="8" spans="1:14" x14ac:dyDescent="0.3">
      <c r="A8" s="3" t="s">
        <v>9</v>
      </c>
      <c r="B8" s="4" t="s">
        <v>206</v>
      </c>
      <c r="C8" s="4" t="s">
        <v>207</v>
      </c>
      <c r="D8" s="47" t="n">
        <v>1226.3759978557819</v>
      </c>
      <c r="E8" s="45" t="n">
        <v>3.5999999999999996</v>
      </c>
      <c r="F8" s="45" t="n">
        <v>0.5142857142857142</v>
      </c>
      <c r="G8" s="44" t="n">
        <v>0.5814785057733679</v>
      </c>
      <c r="H8" s="45" t="n">
        <v>0.08306835796762399</v>
      </c>
      <c r="I8" s="47" t="n">
        <v>4820.659272051054</v>
      </c>
      <c r="J8" s="47" t="n">
        <v>397.57627205105473</v>
      </c>
      <c r="K8" s="47" t="n">
        <v>3.57285714285713</v>
      </c>
      <c r="L8" s="47" t="n">
        <v>20.775396327702758</v>
      </c>
      <c r="M8" s="47" t="n">
        <v>9.567030964665554</v>
      </c>
      <c r="N8" s="4" t="s">
        <v>128</v>
      </c>
    </row>
    <row r="9" spans="1:14" x14ac:dyDescent="0.3">
      <c r="A9" s="3" t="s">
        <v>10</v>
      </c>
      <c r="B9" s="4" t="s">
        <v>208</v>
      </c>
      <c r="C9" s="4" t="s">
        <v>207</v>
      </c>
      <c r="D9" s="47" t="n">
        <v>1621.745016327348</v>
      </c>
      <c r="E9" s="45" t="n">
        <v>1.0</v>
      </c>
      <c r="F9" s="45" t="n">
        <v>0.14285714285714285</v>
      </c>
      <c r="G9" s="44" t="n">
        <v>0.0</v>
      </c>
      <c r="H9" s="45" t="n">
        <v>0.0</v>
      </c>
      <c r="I9" s="47" t="n">
        <v>1031.3738175085716</v>
      </c>
      <c r="J9" s="47" t="n">
        <v>-2177.353182491428</v>
      </c>
      <c r="K9" s="47" t="n">
        <v>-103.07142857142857</v>
      </c>
      <c r="L9" s="47" t="n">
        <v>0.0</v>
      </c>
      <c r="M9" s="47" t="n">
        <v>-139.4364564007421</v>
      </c>
      <c r="N9" s="4" t="s">
        <v>128</v>
      </c>
    </row>
    <row r="10" spans="1:14" x14ac:dyDescent="0.3">
      <c r="A10" s="3" t="s">
        <v>11</v>
      </c>
      <c r="B10" s="4" t="s">
        <v>209</v>
      </c>
      <c r="C10" s="4" t="s">
        <v>207</v>
      </c>
      <c r="D10" s="47" t="n">
        <v>2105.4066059886427</v>
      </c>
      <c r="E10" s="45" t="n">
        <v>1.0</v>
      </c>
      <c r="F10" s="45" t="n">
        <v>0.12820512820512822</v>
      </c>
      <c r="G10" s="44" t="n">
        <v>0.0</v>
      </c>
      <c r="H10" s="45" t="n">
        <v>0.0</v>
      </c>
      <c r="I10" s="47" t="n">
        <v>1069.928394436923</v>
      </c>
      <c r="J10" s="47" t="n">
        <v>-2500.071605563077</v>
      </c>
      <c r="K10" s="47" t="n">
        <v>-101.69333333333333</v>
      </c>
      <c r="L10" s="47" t="n">
        <v>0.0</v>
      </c>
      <c r="M10" s="47" t="n">
        <v>-137.57215007215004</v>
      </c>
      <c r="N10" s="4" t="s">
        <v>128</v>
      </c>
    </row>
    <row r="11" spans="1:14" x14ac:dyDescent="0.3">
      <c r="A11" s="3" t="s">
        <v>12</v>
      </c>
      <c r="B11" s="4" t="s">
        <v>211</v>
      </c>
      <c r="C11" s="4" t="s">
        <v>205</v>
      </c>
      <c r="D11" s="47" t="n">
        <v>926.8261207748651</v>
      </c>
      <c r="E11" s="45" t="n">
        <v>1.0</v>
      </c>
      <c r="F11" s="45" t="n">
        <v>0.2025974025974026</v>
      </c>
      <c r="G11" s="44" t="n">
        <v>0.0</v>
      </c>
      <c r="H11" s="45" t="n">
        <v>0.0</v>
      </c>
      <c r="I11" s="47" t="n">
        <v>595.4867688062337</v>
      </c>
      <c r="J11" s="47" t="n">
        <v>-1468.5132311937664</v>
      </c>
      <c r="K11" s="47" t="n">
        <v>-77.80868649350649</v>
      </c>
      <c r="L11" s="47" t="n">
        <v>0.0</v>
      </c>
      <c r="M11" s="47" t="n">
        <v>-105.26066895766569</v>
      </c>
      <c r="N11" s="4" t="s">
        <v>128</v>
      </c>
    </row>
    <row r="12" spans="1:14" x14ac:dyDescent="0.3">
      <c r="A12" s="3" t="s">
        <v>13</v>
      </c>
      <c r="B12" s="4" t="s">
        <v>212</v>
      </c>
      <c r="C12" s="4" t="s">
        <v>205</v>
      </c>
      <c r="D12" s="47" t="n">
        <v>420.09162981167674</v>
      </c>
      <c r="E12" s="45" t="n">
        <v>1.0</v>
      </c>
      <c r="F12" s="45" t="n">
        <v>0.15207373271889402</v>
      </c>
      <c r="G12" s="44" t="n">
        <v>0.0</v>
      </c>
      <c r="H12" s="45" t="n">
        <v>0.0</v>
      </c>
      <c r="I12" s="47" t="n">
        <v>212.34821441474656</v>
      </c>
      <c r="J12" s="47" t="n">
        <v>-587.6517855852535</v>
      </c>
      <c r="K12" s="47" t="n">
        <v>-91.83173004608295</v>
      </c>
      <c r="L12" s="47" t="n">
        <v>0.0</v>
      </c>
      <c r="M12" s="47" t="n">
        <v>-124.23123653420312</v>
      </c>
      <c r="N12" s="4" t="s">
        <v>128</v>
      </c>
    </row>
    <row r="13" spans="1:14" x14ac:dyDescent="0.3">
      <c r="A13" s="3"/>
      <c r="B13" s="4" t="s">
        <v>6</v>
      </c>
      <c r="C13" s="4" t="s">
        <v>6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</row>
    <row ht="15" r="14" spans="1:14" thickBot="1" x14ac:dyDescent="0.35">
      <c r="A14" s="5" t="s">
        <v>14</v>
      </c>
      <c r="B14" s="6" t="s">
        <v>18</v>
      </c>
      <c r="C14" s="6" t="s">
        <v>15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</row>
    <row ht="15.6" r="15" spans="1:14" thickBot="1" thickTop="1" x14ac:dyDescent="0.35">
      <c r="A15" s="53"/>
      <c r="B15" s="98" t="s">
        <v>133</v>
      </c>
      <c r="C15" s="98"/>
      <c r="D15" s="55">
        <f ref="D15:M15" si="1" t="shared">SUM(D6:D12)</f>
        <v>4732.7355418301213</v>
      </c>
      <c r="E15" s="56">
        <f si="1" t="shared"/>
        <v>16.595941558441559</v>
      </c>
      <c r="F15" s="56">
        <f si="1" t="shared"/>
        <v>2.3040584415584413</v>
      </c>
      <c r="G15" s="56">
        <f si="1" t="shared"/>
        <v>33.191883116883119</v>
      </c>
      <c r="H15" s="56">
        <f si="1" t="shared"/>
        <v>4.6081168831168826</v>
      </c>
      <c r="I15" s="55">
        <f si="1" t="shared"/>
        <v>22959.089764080381</v>
      </c>
      <c r="J15" s="55">
        <f si="1" t="shared"/>
        <v>-4216.7612359196191</v>
      </c>
      <c r="K15" s="55">
        <f si="1" t="shared"/>
        <v>-301.1151036363637</v>
      </c>
      <c r="L15" s="55">
        <f si="1" t="shared"/>
        <v>1257.7622727272726</v>
      </c>
      <c r="M15" s="55">
        <f si="1" t="shared"/>
        <v>-119.02761819159409</v>
      </c>
      <c r="N15" s="54"/>
    </row>
    <row customHeight="1" ht="14.4" r="16" spans="1:14" thickTop="1" x14ac:dyDescent="0.3">
      <c r="A16" s="99"/>
      <c r="B16" s="100"/>
      <c r="C16" s="100"/>
      <c r="D16" s="48"/>
      <c r="E16" s="48"/>
      <c r="F16" s="48"/>
      <c r="G16" s="48"/>
      <c r="H16" s="48"/>
      <c r="I16" s="48"/>
      <c r="J16" s="48"/>
      <c r="K16" s="48"/>
      <c r="L16" s="48"/>
      <c r="M16" s="48"/>
      <c r="N16" s="48"/>
    </row>
  </sheetData>
  <mergeCells count="6">
    <mergeCell ref="A3:A4"/>
    <mergeCell ref="B3:B4"/>
    <mergeCell ref="C3:C4"/>
    <mergeCell ref="A16:C16"/>
    <mergeCell ref="N3:N4"/>
    <mergeCell ref="B15:C15"/>
  </mergeCells>
  <pageMargins bottom="0.75" footer="0.3" header="0.3" left="0.7" right="0.7" top="0.75"/>
  <pageSetup orientation="portrait" paperSize="9" r:id="rId1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Arkusze</vt:lpstr>
      </vt:variant>
      <vt:variant>
        <vt:i4>3</vt:i4>
      </vt:variant>
    </vt:vector>
  </HeadingPairs>
  <TitlesOfParts>
    <vt:vector baseType="lpstr" size="3">
      <vt:lpstr> INPUT DATA</vt:lpstr>
      <vt:lpstr>RESULTS</vt:lpstr>
      <vt:lpstr>RESULTS-SORTED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2017-02-04T18:50:00Z</dcterms:created>
  <dc:creator>Apache POI</dc:creator>
  <cp:lastModifiedBy>Łukasz</cp:lastModifiedBy>
  <dcterms:modified xsi:type="dcterms:W3CDTF">2017-05-27T04:45:19Z</dcterms:modified>
</cp:coreProperties>
</file>