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dministrator\Alexandros\PlantEnvBio Lab\Publications\3. Grantham Project Methodological paper\GitHub Data Availability\3. Nitrosomonas communis fast-track standardisation\"/>
    </mc:Choice>
  </mc:AlternateContent>
  <xr:revisionPtr revIDLastSave="0" documentId="13_ncr:1_{7C7D38A7-B074-44EC-96B7-F6451E0E709B}" xr6:coauthVersionLast="47" xr6:coauthVersionMax="47" xr10:uidLastSave="{00000000-0000-0000-0000-000000000000}"/>
  <bookViews>
    <workbookView xWindow="-108" yWindow="-108" windowWidth="23256" windowHeight="13176" tabRatio="790" firstSheet="2" activeTab="3" xr2:uid="{00000000-000D-0000-FFFF-FFFF00000000}"/>
  </bookViews>
  <sheets>
    <sheet name="Routine Culture data" sheetId="6" r:id="rId1"/>
    <sheet name="Raw Cell Density data" sheetId="4" r:id="rId2"/>
    <sheet name="Harvesting Efficiency" sheetId="5" r:id="rId3"/>
    <sheet name="Cell Density data for R" sheetId="2" r:id="rId4"/>
    <sheet name="Fast-track Activity data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E9" i="2"/>
  <c r="G51" i="1"/>
  <c r="F51" i="1"/>
  <c r="E51" i="1"/>
  <c r="F45" i="1"/>
  <c r="G45" i="1" s="1"/>
  <c r="E45" i="1"/>
  <c r="F39" i="1"/>
  <c r="G39" i="1" s="1"/>
  <c r="E39" i="1"/>
  <c r="F33" i="1"/>
  <c r="G33" i="1" s="1"/>
  <c r="E33" i="1"/>
  <c r="G27" i="1"/>
  <c r="F27" i="1"/>
  <c r="E27" i="1"/>
  <c r="F21" i="1"/>
  <c r="G21" i="1" s="1"/>
  <c r="E21" i="1"/>
  <c r="F18" i="1"/>
  <c r="G18" i="1" s="1"/>
  <c r="E18" i="1"/>
  <c r="F15" i="1"/>
  <c r="G15" i="1" s="1"/>
  <c r="E15" i="1"/>
  <c r="G12" i="1"/>
  <c r="F12" i="1"/>
  <c r="E12" i="1"/>
  <c r="F9" i="1"/>
  <c r="G9" i="1" s="1"/>
  <c r="E9" i="1"/>
  <c r="F6" i="1"/>
  <c r="G6" i="1" s="1"/>
  <c r="E6" i="1"/>
  <c r="F3" i="1"/>
  <c r="G3" i="1" s="1"/>
  <c r="E3" i="1"/>
  <c r="H35" i="5" l="1"/>
  <c r="F29" i="5"/>
  <c r="F28" i="5"/>
  <c r="F27" i="5"/>
  <c r="C38" i="5" s="1"/>
  <c r="H23" i="5"/>
  <c r="F17" i="5"/>
  <c r="F16" i="5"/>
  <c r="F15" i="5"/>
  <c r="G15" i="5" s="1"/>
  <c r="H11" i="5"/>
  <c r="C41" i="5" s="1"/>
  <c r="F5" i="5"/>
  <c r="F4" i="5"/>
  <c r="F3" i="5"/>
  <c r="G3" i="5" s="1"/>
  <c r="E48" i="4"/>
  <c r="G48" i="4" s="1"/>
  <c r="E46" i="4"/>
  <c r="G46" i="4" s="1"/>
  <c r="E44" i="4"/>
  <c r="G44" i="4" s="1"/>
  <c r="I44" i="4" s="1"/>
  <c r="E43" i="4"/>
  <c r="G43" i="4" s="1"/>
  <c r="I43" i="4" s="1"/>
  <c r="E42" i="4"/>
  <c r="G42" i="4" s="1"/>
  <c r="E40" i="4"/>
  <c r="G40" i="4" s="1"/>
  <c r="I40" i="4" s="1"/>
  <c r="E39" i="4"/>
  <c r="G39" i="4" s="1"/>
  <c r="I39" i="4" s="1"/>
  <c r="E38" i="4"/>
  <c r="G38" i="4" s="1"/>
  <c r="E36" i="4"/>
  <c r="G36" i="4" s="1"/>
  <c r="I36" i="4" s="1"/>
  <c r="E35" i="4"/>
  <c r="G35" i="4" s="1"/>
  <c r="I35" i="4" s="1"/>
  <c r="E34" i="4"/>
  <c r="G34" i="4" s="1"/>
  <c r="E32" i="4"/>
  <c r="G32" i="4" s="1"/>
  <c r="E30" i="4"/>
  <c r="G30" i="4" s="1"/>
  <c r="E28" i="4"/>
  <c r="G28" i="4" s="1"/>
  <c r="I28" i="4" s="1"/>
  <c r="E27" i="4"/>
  <c r="G27" i="4" s="1"/>
  <c r="I27" i="4" s="1"/>
  <c r="E26" i="4"/>
  <c r="G26" i="4" s="1"/>
  <c r="E24" i="4"/>
  <c r="G24" i="4" s="1"/>
  <c r="I24" i="4" s="1"/>
  <c r="E23" i="4"/>
  <c r="G23" i="4" s="1"/>
  <c r="I23" i="4" s="1"/>
  <c r="E22" i="4"/>
  <c r="G22" i="4" s="1"/>
  <c r="E20" i="4"/>
  <c r="G20" i="4" s="1"/>
  <c r="I20" i="4" s="1"/>
  <c r="E19" i="4"/>
  <c r="G19" i="4" s="1"/>
  <c r="I19" i="4" s="1"/>
  <c r="E18" i="4"/>
  <c r="G18" i="4" s="1"/>
  <c r="G16" i="4"/>
  <c r="I16" i="4" s="1"/>
  <c r="G14" i="4"/>
  <c r="H14" i="4" s="1"/>
  <c r="G12" i="4"/>
  <c r="I12" i="4" s="1"/>
  <c r="E12" i="4"/>
  <c r="E11" i="4"/>
  <c r="G11" i="4" s="1"/>
  <c r="I11" i="4" s="1"/>
  <c r="E10" i="4"/>
  <c r="G10" i="4" s="1"/>
  <c r="G8" i="4"/>
  <c r="I8" i="4" s="1"/>
  <c r="E8" i="4"/>
  <c r="E7" i="4"/>
  <c r="G7" i="4" s="1"/>
  <c r="I7" i="4" s="1"/>
  <c r="E6" i="4"/>
  <c r="G6" i="4" s="1"/>
  <c r="G4" i="4"/>
  <c r="I4" i="4" s="1"/>
  <c r="E4" i="4"/>
  <c r="E3" i="4"/>
  <c r="G3" i="4" s="1"/>
  <c r="I3" i="4" s="1"/>
  <c r="E2" i="4"/>
  <c r="G2" i="4" s="1"/>
  <c r="G27" i="5" l="1"/>
  <c r="C37" i="5"/>
  <c r="C40" i="5"/>
  <c r="H3" i="4"/>
  <c r="I2" i="4"/>
  <c r="K16" i="4"/>
  <c r="J16" i="4"/>
  <c r="I6" i="4"/>
  <c r="H7" i="4"/>
  <c r="I38" i="4"/>
  <c r="H39" i="4"/>
  <c r="H43" i="4"/>
  <c r="I42" i="4"/>
  <c r="H27" i="4"/>
  <c r="I26" i="4"/>
  <c r="I46" i="4"/>
  <c r="H46" i="4"/>
  <c r="I32" i="4"/>
  <c r="H32" i="4"/>
  <c r="I34" i="4"/>
  <c r="H35" i="4"/>
  <c r="H19" i="4"/>
  <c r="I18" i="4"/>
  <c r="I22" i="4"/>
  <c r="H23" i="4"/>
  <c r="H11" i="4"/>
  <c r="I10" i="4"/>
  <c r="I30" i="4"/>
  <c r="H30" i="4"/>
  <c r="H48" i="4"/>
  <c r="I48" i="4"/>
  <c r="H16" i="4"/>
  <c r="I14" i="4"/>
  <c r="K27" i="4" l="1"/>
  <c r="J27" i="4"/>
  <c r="K43" i="4"/>
  <c r="J43" i="4"/>
  <c r="K23" i="4"/>
  <c r="J23" i="4"/>
  <c r="K19" i="4"/>
  <c r="J19" i="4"/>
  <c r="J39" i="4"/>
  <c r="K39" i="4"/>
  <c r="K14" i="4"/>
  <c r="J14" i="4"/>
  <c r="K35" i="4"/>
  <c r="J35" i="4"/>
  <c r="J3" i="4"/>
  <c r="K3" i="4"/>
  <c r="K11" i="4"/>
  <c r="J11" i="4"/>
  <c r="K7" i="4"/>
  <c r="J7" i="4"/>
  <c r="K48" i="4"/>
  <c r="J48" i="4"/>
  <c r="K32" i="4"/>
  <c r="J32" i="4"/>
  <c r="J30" i="4"/>
  <c r="K30" i="4"/>
  <c r="K46" i="4"/>
  <c r="J46" i="4"/>
  <c r="D268" i="6" l="1"/>
  <c r="D267" i="6"/>
  <c r="D266" i="6"/>
  <c r="D265" i="6"/>
  <c r="D264" i="6"/>
  <c r="D263" i="6"/>
  <c r="D262" i="6"/>
  <c r="D261" i="6"/>
  <c r="D260" i="6"/>
  <c r="E264" i="6" s="1"/>
  <c r="D259" i="6"/>
  <c r="D258" i="6"/>
  <c r="D257" i="6"/>
  <c r="D256" i="6"/>
  <c r="D255" i="6"/>
  <c r="D254" i="6"/>
  <c r="D253" i="6"/>
  <c r="D252" i="6"/>
  <c r="D251" i="6"/>
  <c r="F255" i="6" s="1"/>
  <c r="D250" i="6"/>
  <c r="D249" i="6"/>
  <c r="D248" i="6"/>
  <c r="D247" i="6"/>
  <c r="D246" i="6"/>
  <c r="D245" i="6"/>
  <c r="D244" i="6"/>
  <c r="D243" i="6"/>
  <c r="D242" i="6"/>
  <c r="E246" i="6" s="1"/>
  <c r="F237" i="6"/>
  <c r="G237" i="6" s="1"/>
  <c r="E237" i="6"/>
  <c r="D232" i="6"/>
  <c r="D231" i="6"/>
  <c r="D230" i="6"/>
  <c r="D229" i="6"/>
  <c r="D228" i="6"/>
  <c r="D227" i="6"/>
  <c r="F228" i="6" s="1"/>
  <c r="D226" i="6"/>
  <c r="D225" i="6"/>
  <c r="D224" i="6"/>
  <c r="F219" i="6"/>
  <c r="G219" i="6" s="1"/>
  <c r="E219" i="6"/>
  <c r="F210" i="6"/>
  <c r="G210" i="6" s="1"/>
  <c r="E210" i="6"/>
  <c r="F201" i="6"/>
  <c r="G201" i="6" s="1"/>
  <c r="E201" i="6"/>
  <c r="D196" i="6"/>
  <c r="D195" i="6"/>
  <c r="D194" i="6"/>
  <c r="D193" i="6"/>
  <c r="D192" i="6"/>
  <c r="D191" i="6"/>
  <c r="D190" i="6"/>
  <c r="D189" i="6"/>
  <c r="D188" i="6"/>
  <c r="F192" i="6" s="1"/>
  <c r="D187" i="6"/>
  <c r="D186" i="6"/>
  <c r="D185" i="6"/>
  <c r="D184" i="6"/>
  <c r="D183" i="6"/>
  <c r="D182" i="6"/>
  <c r="D181" i="6"/>
  <c r="D180" i="6"/>
  <c r="D179" i="6"/>
  <c r="E183" i="6" s="1"/>
  <c r="F174" i="6"/>
  <c r="G174" i="6" s="1"/>
  <c r="E174" i="6"/>
  <c r="D169" i="6"/>
  <c r="D168" i="6"/>
  <c r="D167" i="6"/>
  <c r="F168" i="6" s="1"/>
  <c r="F165" i="6"/>
  <c r="G165" i="6" s="1"/>
  <c r="E165" i="6"/>
  <c r="F162" i="6"/>
  <c r="G162" i="6" s="1"/>
  <c r="E162" i="6"/>
  <c r="F159" i="6"/>
  <c r="G159" i="6" s="1"/>
  <c r="E159" i="6"/>
  <c r="F156" i="6"/>
  <c r="G156" i="6" s="1"/>
  <c r="E156" i="6"/>
  <c r="D154" i="6"/>
  <c r="F153" i="6"/>
  <c r="D153" i="6"/>
  <c r="D152" i="6"/>
  <c r="E153" i="6" s="1"/>
  <c r="F150" i="6"/>
  <c r="G150" i="6" s="1"/>
  <c r="E150" i="6"/>
  <c r="F147" i="6"/>
  <c r="G147" i="6" s="1"/>
  <c r="E147" i="6"/>
  <c r="F144" i="6"/>
  <c r="G144" i="6" s="1"/>
  <c r="E144" i="6"/>
  <c r="F141" i="6"/>
  <c r="G141" i="6" s="1"/>
  <c r="E141" i="6"/>
  <c r="F138" i="6"/>
  <c r="G138" i="6" s="1"/>
  <c r="E138" i="6"/>
  <c r="D136" i="6"/>
  <c r="D135" i="6"/>
  <c r="D134" i="6"/>
  <c r="F135" i="6" s="1"/>
  <c r="D133" i="6"/>
  <c r="D132" i="6"/>
  <c r="D131" i="6"/>
  <c r="F132" i="6" s="1"/>
  <c r="D130" i="6"/>
  <c r="A130" i="6"/>
  <c r="D129" i="6"/>
  <c r="E129" i="6" s="1"/>
  <c r="A129" i="6"/>
  <c r="D128" i="6"/>
  <c r="A128" i="6"/>
  <c r="D127" i="6"/>
  <c r="D126" i="6"/>
  <c r="D125" i="6"/>
  <c r="E126" i="6" s="1"/>
  <c r="F123" i="6"/>
  <c r="G123" i="6" s="1"/>
  <c r="E123" i="6"/>
  <c r="F120" i="6"/>
  <c r="G120" i="6" s="1"/>
  <c r="E120" i="6"/>
  <c r="F117" i="6"/>
  <c r="G117" i="6" s="1"/>
  <c r="E117" i="6"/>
  <c r="F114" i="6"/>
  <c r="G114" i="6" s="1"/>
  <c r="E114" i="6"/>
  <c r="F111" i="6"/>
  <c r="G111" i="6" s="1"/>
  <c r="E111" i="6"/>
  <c r="F102" i="6"/>
  <c r="G102" i="6" s="1"/>
  <c r="E102" i="6"/>
  <c r="F93" i="6"/>
  <c r="G93" i="6" s="1"/>
  <c r="E93" i="6"/>
  <c r="F84" i="6"/>
  <c r="G84" i="6" s="1"/>
  <c r="E84" i="6"/>
  <c r="D82" i="6"/>
  <c r="F81" i="6"/>
  <c r="D81" i="6"/>
  <c r="D80" i="6"/>
  <c r="E81" i="6" s="1"/>
  <c r="D79" i="6"/>
  <c r="D78" i="6"/>
  <c r="D77" i="6"/>
  <c r="F78" i="6" s="1"/>
  <c r="D76" i="6"/>
  <c r="F75" i="6"/>
  <c r="D75" i="6"/>
  <c r="D74" i="6"/>
  <c r="E75" i="6" s="1"/>
  <c r="D73" i="6"/>
  <c r="A73" i="6"/>
  <c r="D72" i="6"/>
  <c r="A72" i="6"/>
  <c r="D71" i="6"/>
  <c r="F72" i="6" s="1"/>
  <c r="A71" i="6"/>
  <c r="D70" i="6"/>
  <c r="D69" i="6"/>
  <c r="D68" i="6"/>
  <c r="E69" i="6" s="1"/>
  <c r="F66" i="6"/>
  <c r="G66" i="6" s="1"/>
  <c r="E66" i="6"/>
  <c r="F63" i="6"/>
  <c r="G63" i="6" s="1"/>
  <c r="E63" i="6"/>
  <c r="F60" i="6"/>
  <c r="G60" i="6" s="1"/>
  <c r="E60" i="6"/>
  <c r="F57" i="6"/>
  <c r="G57" i="6" s="1"/>
  <c r="E57" i="6"/>
  <c r="F54" i="6"/>
  <c r="G54" i="6" s="1"/>
  <c r="E54" i="6"/>
  <c r="D52" i="6"/>
  <c r="A52" i="6"/>
  <c r="D51" i="6"/>
  <c r="A51" i="6"/>
  <c r="D50" i="6"/>
  <c r="F51" i="6" s="1"/>
  <c r="A50" i="6"/>
  <c r="D49" i="6"/>
  <c r="D48" i="6"/>
  <c r="D47" i="6"/>
  <c r="F48" i="6" s="1"/>
  <c r="D44" i="6"/>
  <c r="E45" i="6" s="1"/>
  <c r="F42" i="6"/>
  <c r="G42" i="6" s="1"/>
  <c r="E42" i="6"/>
  <c r="F39" i="6"/>
  <c r="G39" i="6" s="1"/>
  <c r="E39" i="6"/>
  <c r="F36" i="6"/>
  <c r="G36" i="6" s="1"/>
  <c r="E36" i="6"/>
  <c r="F33" i="6"/>
  <c r="G33" i="6" s="1"/>
  <c r="E33" i="6"/>
  <c r="F30" i="6"/>
  <c r="G30" i="6" s="1"/>
  <c r="E30" i="6"/>
  <c r="F27" i="6"/>
  <c r="G27" i="6" s="1"/>
  <c r="E27" i="6"/>
  <c r="F24" i="6"/>
  <c r="G24" i="6" s="1"/>
  <c r="E24" i="6"/>
  <c r="D22" i="6"/>
  <c r="D21" i="6"/>
  <c r="D20" i="6"/>
  <c r="F21" i="6" s="1"/>
  <c r="F18" i="6"/>
  <c r="G18" i="6" s="1"/>
  <c r="E18" i="6"/>
  <c r="D16" i="6"/>
  <c r="D15" i="6"/>
  <c r="D14" i="6"/>
  <c r="F15" i="6" s="1"/>
  <c r="F12" i="6"/>
  <c r="G12" i="6" s="1"/>
  <c r="E12" i="6"/>
  <c r="F9" i="6"/>
  <c r="G9" i="6" s="1"/>
  <c r="E9" i="6"/>
  <c r="F6" i="6"/>
  <c r="G6" i="6" s="1"/>
  <c r="E6" i="6"/>
  <c r="F3" i="6"/>
  <c r="G3" i="6" s="1"/>
  <c r="E3" i="6"/>
  <c r="G75" i="6" l="1"/>
  <c r="G72" i="6"/>
  <c r="G15" i="6"/>
  <c r="G51" i="6"/>
  <c r="G132" i="6"/>
  <c r="G168" i="6"/>
  <c r="G153" i="6"/>
  <c r="G81" i="6"/>
  <c r="E48" i="6"/>
  <c r="G48" i="6" s="1"/>
  <c r="F129" i="6"/>
  <c r="G129" i="6" s="1"/>
  <c r="E228" i="6"/>
  <c r="G228" i="6" s="1"/>
  <c r="E72" i="6"/>
  <c r="E78" i="6"/>
  <c r="G78" i="6" s="1"/>
  <c r="E168" i="6"/>
  <c r="E192" i="6"/>
  <c r="G192" i="6" s="1"/>
  <c r="E255" i="6"/>
  <c r="G255" i="6" s="1"/>
  <c r="F126" i="6"/>
  <c r="G126" i="6" s="1"/>
  <c r="F183" i="6"/>
  <c r="G183" i="6" s="1"/>
  <c r="F246" i="6"/>
  <c r="G246" i="6" s="1"/>
  <c r="F264" i="6"/>
  <c r="G264" i="6" s="1"/>
  <c r="E132" i="6"/>
  <c r="F69" i="6"/>
  <c r="G69" i="6" s="1"/>
  <c r="E15" i="6"/>
  <c r="F45" i="6"/>
  <c r="G45" i="6" s="1"/>
  <c r="E51" i="6"/>
  <c r="E135" i="6"/>
  <c r="G135" i="6" s="1"/>
  <c r="E21" i="6"/>
  <c r="G21" i="6" s="1"/>
</calcChain>
</file>

<file path=xl/sharedStrings.xml><?xml version="1.0" encoding="utf-8"?>
<sst xmlns="http://schemas.openxmlformats.org/spreadsheetml/2006/main" count="956" uniqueCount="58">
  <si>
    <t>Time (hours)</t>
  </si>
  <si>
    <t>Replicate</t>
  </si>
  <si>
    <t>[Nitrite] (uM)</t>
  </si>
  <si>
    <t>Mean</t>
  </si>
  <si>
    <t>St. Dev</t>
  </si>
  <si>
    <t>CV%</t>
  </si>
  <si>
    <t>Sample</t>
  </si>
  <si>
    <t>Volume (uL)</t>
  </si>
  <si>
    <t>amoA Abundance (cp)</t>
  </si>
  <si>
    <t>Average Harvesting Efficiency</t>
  </si>
  <si>
    <t>Attempt</t>
  </si>
  <si>
    <t>AVG HE%</t>
  </si>
  <si>
    <t>ST.DEV HE%</t>
  </si>
  <si>
    <t>AVG CE%</t>
  </si>
  <si>
    <t>ST.DEV CE%</t>
  </si>
  <si>
    <t>Routine Culture Final</t>
  </si>
  <si>
    <t>Routine Culture Initial</t>
  </si>
  <si>
    <t>Concentrated Culture Initial</t>
  </si>
  <si>
    <t xml:space="preserve">Merged Inoculum </t>
  </si>
  <si>
    <t>Repetition</t>
  </si>
  <si>
    <t>1st</t>
  </si>
  <si>
    <t>2nd</t>
  </si>
  <si>
    <t>3rd</t>
  </si>
  <si>
    <t>4th</t>
  </si>
  <si>
    <t>Inocula after cell harvesting</t>
  </si>
  <si>
    <t>HARVESTING EFFICIENCY (1st)</t>
  </si>
  <si>
    <t>HARVESTING EFFICIENCY (2nd)</t>
  </si>
  <si>
    <t>HARVESTING EFFICIENCY (3rd)</t>
  </si>
  <si>
    <t>Mean amoA Abundance (cp/mL)</t>
  </si>
  <si>
    <t>amoA Abundance (cp/mL)</t>
  </si>
  <si>
    <t>Dilution factor</t>
  </si>
  <si>
    <t>Generation</t>
  </si>
  <si>
    <t>8th</t>
  </si>
  <si>
    <t>9th</t>
  </si>
  <si>
    <t>NCOM (1)</t>
  </si>
  <si>
    <t>NCOM (2)</t>
  </si>
  <si>
    <t>NCOM (3)</t>
  </si>
  <si>
    <t>NCOM (4)</t>
  </si>
  <si>
    <t>NCOM (5)</t>
  </si>
  <si>
    <t>NCOM (6)</t>
  </si>
  <si>
    <t>NCOM (7)</t>
  </si>
  <si>
    <t>NCOM (8)</t>
  </si>
  <si>
    <t>NCOM (9)</t>
  </si>
  <si>
    <t>6th_A</t>
  </si>
  <si>
    <t>6th_B</t>
  </si>
  <si>
    <t>7th_A</t>
  </si>
  <si>
    <t>7th_B</t>
  </si>
  <si>
    <t>After Harvesting</t>
  </si>
  <si>
    <t>Merged Inoculum</t>
  </si>
  <si>
    <t>Cells Density (cells/mL)</t>
  </si>
  <si>
    <t>Mean Cells Density (cells/mL)</t>
  </si>
  <si>
    <t>Standard Deviation Cells Density (cells/mL)</t>
  </si>
  <si>
    <t>Cell Density (cells/mL)</t>
  </si>
  <si>
    <t>Harvesting Efficiency % (HE%)</t>
  </si>
  <si>
    <t>Centrifugation Efficiency % (CE%)</t>
  </si>
  <si>
    <t>Cell density (cells/mL)</t>
  </si>
  <si>
    <t>Mean Cell density (cells/mL)</t>
  </si>
  <si>
    <t>St.Dev Cell density (cells/mL)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</si>
</sst>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6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11" fontId="0" fillId="0" borderId="0" xfId="0" applyNumberFormat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0" fontId="0" fillId="0" borderId="0" xfId="0" applyNumberFormat="1"/>
    <xf numFmtId="0" fontId="1" fillId="0" borderId="0" xfId="0" applyFont="1"/>
    <xf numFmtId="11" fontId="0" fillId="2" borderId="0" xfId="0" applyNumberFormat="1" applyFill="1" applyAlignment="1">
      <alignment horizontal="center" vertical="center" wrapText="1"/>
    </xf>
    <xf numFmtId="10" fontId="3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1" fontId="0" fillId="2" borderId="0" xfId="0" applyNumberFormat="1" applyFill="1"/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1" fontId="4" fillId="2" borderId="0" xfId="0" applyNumberFormat="1" applyFont="1" applyFill="1"/>
    <xf numFmtId="164" fontId="3" fillId="0" borderId="0" xfId="0" applyNumberFormat="1" applyFont="1"/>
    <xf numFmtId="164" fontId="0" fillId="0" borderId="0" xfId="0" applyNumberFormat="1"/>
    <xf numFmtId="164" fontId="0" fillId="2" borderId="0" xfId="0" applyNumberFormat="1" applyFill="1"/>
    <xf numFmtId="164" fontId="3" fillId="2" borderId="0" xfId="0" applyNumberFormat="1" applyFont="1" applyFill="1"/>
    <xf numFmtId="164" fontId="0" fillId="0" borderId="0" xfId="0" applyNumberFormat="1" applyAlignment="1">
      <alignment horizontal="center" vertical="center" wrapText="1"/>
    </xf>
    <xf numFmtId="164" fontId="0" fillId="2" borderId="0" xfId="0" applyNumberFormat="1" applyFill="1" applyAlignment="1">
      <alignment horizontal="center" vertical="center" wrapText="1"/>
    </xf>
    <xf numFmtId="0" fontId="0" fillId="0" borderId="1" xfId="0" applyBorder="1"/>
    <xf numFmtId="10" fontId="0" fillId="0" borderId="2" xfId="0" applyNumberFormat="1" applyBorder="1"/>
    <xf numFmtId="0" fontId="0" fillId="0" borderId="3" xfId="0" applyBorder="1"/>
    <xf numFmtId="10" fontId="0" fillId="0" borderId="4" xfId="1" applyNumberFormat="1" applyFont="1" applyBorder="1"/>
    <xf numFmtId="0" fontId="0" fillId="0" borderId="4" xfId="0" applyBorder="1"/>
    <xf numFmtId="10" fontId="0" fillId="0" borderId="4" xfId="0" applyNumberFormat="1" applyBorder="1"/>
    <xf numFmtId="0" fontId="0" fillId="0" borderId="5" xfId="0" applyBorder="1"/>
    <xf numFmtId="10" fontId="0" fillId="0" borderId="6" xfId="1" applyNumberFormat="1" applyFont="1" applyBorder="1"/>
    <xf numFmtId="2" fontId="0" fillId="2" borderId="0" xfId="0" applyNumberFormat="1" applyFill="1"/>
    <xf numFmtId="0" fontId="3" fillId="2" borderId="0" xfId="0" applyFont="1" applyFill="1"/>
    <xf numFmtId="1" fontId="0" fillId="0" borderId="0" xfId="0" applyNumberFormat="1"/>
    <xf numFmtId="2" fontId="3" fillId="2" borderId="0" xfId="0" applyNumberFormat="1" applyFont="1" applyFill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1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3731-9512-4E6D-A0B4-C84CC0219B88}">
  <sheetPr>
    <tabColor theme="5" tint="0.39997558519241921"/>
  </sheetPr>
  <dimension ref="A1:G268"/>
  <sheetViews>
    <sheetView topLeftCell="A112" workbookViewId="0">
      <selection activeCell="I13" sqref="I13"/>
    </sheetView>
  </sheetViews>
  <sheetFormatPr defaultRowHeight="14.4" x14ac:dyDescent="0.3"/>
  <cols>
    <col min="1" max="1" width="15.109375" customWidth="1"/>
    <col min="3" max="3" width="12.33203125" customWidth="1"/>
    <col min="4" max="4" width="14.33203125" customWidth="1"/>
  </cols>
  <sheetData>
    <row r="1" spans="1:7" x14ac:dyDescent="0.3">
      <c r="A1" s="7" t="s">
        <v>0</v>
      </c>
      <c r="B1" s="7" t="s">
        <v>1</v>
      </c>
      <c r="C1" s="7" t="s">
        <v>31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3">
      <c r="A2">
        <v>20</v>
      </c>
      <c r="B2" t="s">
        <v>34</v>
      </c>
      <c r="C2" t="s">
        <v>20</v>
      </c>
      <c r="D2">
        <v>94.6</v>
      </c>
    </row>
    <row r="3" spans="1:7" x14ac:dyDescent="0.3">
      <c r="A3">
        <v>20</v>
      </c>
      <c r="B3" t="s">
        <v>35</v>
      </c>
      <c r="C3" t="s">
        <v>20</v>
      </c>
      <c r="D3">
        <v>99.26</v>
      </c>
      <c r="E3" s="2">
        <f>AVERAGE(D2:D4)</f>
        <v>99.986666666666679</v>
      </c>
      <c r="F3" s="2">
        <f>_xlfn.STDEV.P(D2:D4)</f>
        <v>4.7228898874406209</v>
      </c>
      <c r="G3" s="2">
        <f>F3*100/E3</f>
        <v>4.7235196900659622</v>
      </c>
    </row>
    <row r="4" spans="1:7" x14ac:dyDescent="0.3">
      <c r="A4">
        <v>20</v>
      </c>
      <c r="B4" t="s">
        <v>36</v>
      </c>
      <c r="C4" t="s">
        <v>20</v>
      </c>
      <c r="D4">
        <v>106.1</v>
      </c>
    </row>
    <row r="5" spans="1:7" x14ac:dyDescent="0.3">
      <c r="A5">
        <v>45</v>
      </c>
      <c r="B5" t="s">
        <v>34</v>
      </c>
      <c r="C5" t="s">
        <v>20</v>
      </c>
      <c r="D5">
        <v>226.8</v>
      </c>
    </row>
    <row r="6" spans="1:7" x14ac:dyDescent="0.3">
      <c r="A6">
        <v>45</v>
      </c>
      <c r="B6" t="s">
        <v>35</v>
      </c>
      <c r="C6" t="s">
        <v>20</v>
      </c>
      <c r="D6">
        <v>258</v>
      </c>
      <c r="E6" s="2">
        <f>AVERAGE(D5:D7)</f>
        <v>267.53333333333336</v>
      </c>
      <c r="F6" s="2">
        <f>_xlfn.STDEV.P(D5:D7)</f>
        <v>37.75723624537271</v>
      </c>
      <c r="G6" s="2">
        <f>F6*100/E6</f>
        <v>14.113096029917532</v>
      </c>
    </row>
    <row r="7" spans="1:7" x14ac:dyDescent="0.3">
      <c r="A7">
        <v>45</v>
      </c>
      <c r="B7" t="s">
        <v>36</v>
      </c>
      <c r="C7" t="s">
        <v>20</v>
      </c>
      <c r="D7">
        <v>317.8</v>
      </c>
    </row>
    <row r="8" spans="1:7" x14ac:dyDescent="0.3">
      <c r="A8">
        <v>89</v>
      </c>
      <c r="B8" t="s">
        <v>34</v>
      </c>
      <c r="C8" t="s">
        <v>20</v>
      </c>
      <c r="D8">
        <v>1083</v>
      </c>
    </row>
    <row r="9" spans="1:7" x14ac:dyDescent="0.3">
      <c r="A9">
        <v>89</v>
      </c>
      <c r="B9" t="s">
        <v>35</v>
      </c>
      <c r="C9" t="s">
        <v>20</v>
      </c>
      <c r="D9">
        <v>1259</v>
      </c>
      <c r="E9" s="2">
        <f>AVERAGE(D8:D10)</f>
        <v>1226</v>
      </c>
      <c r="F9" s="2">
        <f>_xlfn.STDEV.P(D8:D10)</f>
        <v>105.88987990675344</v>
      </c>
      <c r="G9" s="2">
        <f>F9*100/E9</f>
        <v>8.6370211995720574</v>
      </c>
    </row>
    <row r="10" spans="1:7" x14ac:dyDescent="0.3">
      <c r="A10">
        <v>89</v>
      </c>
      <c r="B10" t="s">
        <v>36</v>
      </c>
      <c r="C10" t="s">
        <v>20</v>
      </c>
      <c r="D10">
        <v>1336</v>
      </c>
    </row>
    <row r="11" spans="1:7" x14ac:dyDescent="0.3">
      <c r="A11">
        <v>115</v>
      </c>
      <c r="B11" t="s">
        <v>34</v>
      </c>
      <c r="C11" t="s">
        <v>20</v>
      </c>
      <c r="D11">
        <v>1812</v>
      </c>
    </row>
    <row r="12" spans="1:7" x14ac:dyDescent="0.3">
      <c r="A12">
        <v>115</v>
      </c>
      <c r="B12" t="s">
        <v>35</v>
      </c>
      <c r="C12" t="s">
        <v>20</v>
      </c>
      <c r="D12">
        <v>1931</v>
      </c>
      <c r="E12" s="2">
        <f>AVERAGE(D11:D13)</f>
        <v>1910</v>
      </c>
      <c r="F12" s="2">
        <f>_xlfn.STDEV.P(D11:D13)</f>
        <v>72.970313598522154</v>
      </c>
      <c r="G12" s="2">
        <f>F12*100/E12</f>
        <v>3.8204352669383326</v>
      </c>
    </row>
    <row r="13" spans="1:7" x14ac:dyDescent="0.3">
      <c r="A13">
        <v>115</v>
      </c>
      <c r="B13" t="s">
        <v>36</v>
      </c>
      <c r="C13" t="s">
        <v>20</v>
      </c>
      <c r="D13">
        <v>1987</v>
      </c>
    </row>
    <row r="14" spans="1:7" x14ac:dyDescent="0.3">
      <c r="A14">
        <v>138</v>
      </c>
      <c r="B14" t="s">
        <v>34</v>
      </c>
      <c r="C14" t="s">
        <v>20</v>
      </c>
      <c r="D14">
        <f>133.4*20</f>
        <v>2668</v>
      </c>
    </row>
    <row r="15" spans="1:7" x14ac:dyDescent="0.3">
      <c r="A15">
        <v>138</v>
      </c>
      <c r="B15" t="s">
        <v>35</v>
      </c>
      <c r="C15" t="s">
        <v>20</v>
      </c>
      <c r="D15">
        <f>134*20</f>
        <v>2680</v>
      </c>
      <c r="E15" s="2">
        <f>AVERAGE(D14:D16)</f>
        <v>2722.6666666666665</v>
      </c>
      <c r="F15" s="2">
        <f>_xlfn.STDEV.P(D14:D16)</f>
        <v>68.999194842323263</v>
      </c>
      <c r="G15" s="2">
        <f>F15*100/E15</f>
        <v>2.5342505451391992</v>
      </c>
    </row>
    <row r="16" spans="1:7" x14ac:dyDescent="0.3">
      <c r="A16">
        <v>138</v>
      </c>
      <c r="B16" t="s">
        <v>36</v>
      </c>
      <c r="C16" t="s">
        <v>20</v>
      </c>
      <c r="D16">
        <f>141*20</f>
        <v>2820</v>
      </c>
    </row>
    <row r="17" spans="1:7" x14ac:dyDescent="0.3">
      <c r="A17">
        <v>163</v>
      </c>
      <c r="B17" t="s">
        <v>34</v>
      </c>
      <c r="C17" t="s">
        <v>20</v>
      </c>
      <c r="D17">
        <v>3065</v>
      </c>
    </row>
    <row r="18" spans="1:7" x14ac:dyDescent="0.3">
      <c r="A18">
        <v>163</v>
      </c>
      <c r="B18" t="s">
        <v>35</v>
      </c>
      <c r="C18" t="s">
        <v>20</v>
      </c>
      <c r="D18">
        <v>3104</v>
      </c>
      <c r="E18" s="2">
        <f>AVERAGE(D17:D19)</f>
        <v>3073.3333333333335</v>
      </c>
      <c r="F18" s="2">
        <f>_xlfn.STDEV.P(D17:D19)</f>
        <v>22.425184255405547</v>
      </c>
      <c r="G18" s="2">
        <f>F18*100/E18</f>
        <v>0.72966976969866204</v>
      </c>
    </row>
    <row r="19" spans="1:7" x14ac:dyDescent="0.3">
      <c r="A19">
        <v>163</v>
      </c>
      <c r="B19" t="s">
        <v>36</v>
      </c>
      <c r="C19" t="s">
        <v>20</v>
      </c>
      <c r="D19">
        <v>3051</v>
      </c>
    </row>
    <row r="20" spans="1:7" x14ac:dyDescent="0.3">
      <c r="A20">
        <v>238</v>
      </c>
      <c r="B20" t="s">
        <v>34</v>
      </c>
      <c r="C20" t="s">
        <v>20</v>
      </c>
      <c r="D20">
        <f>20*146.7</f>
        <v>2934</v>
      </c>
    </row>
    <row r="21" spans="1:7" x14ac:dyDescent="0.3">
      <c r="A21">
        <v>238</v>
      </c>
      <c r="B21" t="s">
        <v>35</v>
      </c>
      <c r="C21" t="s">
        <v>20</v>
      </c>
      <c r="D21">
        <f>20*145.2</f>
        <v>2904</v>
      </c>
      <c r="E21" s="2">
        <f>AVERAGE(D20:D22)</f>
        <v>2898</v>
      </c>
      <c r="F21" s="2">
        <f>_xlfn.STDEV.P(D20:D22)</f>
        <v>32.12475680841802</v>
      </c>
      <c r="G21" s="2">
        <f>F21*100/E21</f>
        <v>1.1085147276886824</v>
      </c>
    </row>
    <row r="22" spans="1:7" x14ac:dyDescent="0.3">
      <c r="A22">
        <v>238</v>
      </c>
      <c r="B22" t="s">
        <v>36</v>
      </c>
      <c r="C22" t="s">
        <v>20</v>
      </c>
      <c r="D22">
        <f>20*142.8</f>
        <v>2856</v>
      </c>
    </row>
    <row r="23" spans="1:7" x14ac:dyDescent="0.3">
      <c r="A23" s="6">
        <v>0</v>
      </c>
      <c r="B23" s="6" t="s">
        <v>34</v>
      </c>
      <c r="C23" s="6" t="s">
        <v>21</v>
      </c>
      <c r="D23" s="6">
        <v>33.29</v>
      </c>
      <c r="E23" s="6"/>
      <c r="F23" s="6"/>
      <c r="G23" s="6"/>
    </row>
    <row r="24" spans="1:7" x14ac:dyDescent="0.3">
      <c r="A24" s="6">
        <v>0</v>
      </c>
      <c r="B24" s="6" t="s">
        <v>35</v>
      </c>
      <c r="C24" s="6" t="s">
        <v>21</v>
      </c>
      <c r="D24" s="6">
        <v>33.119999999999997</v>
      </c>
      <c r="E24" s="32">
        <f>AVERAGE(D23:D25)</f>
        <v>33.496666666666663</v>
      </c>
      <c r="F24" s="32">
        <f>_xlfn.STDEV.P(D23:D25)</f>
        <v>0.41827688862230444</v>
      </c>
      <c r="G24" s="32">
        <f>F24*100/E24</f>
        <v>1.2487119771787376</v>
      </c>
    </row>
    <row r="25" spans="1:7" x14ac:dyDescent="0.3">
      <c r="A25" s="6">
        <v>0</v>
      </c>
      <c r="B25" s="6" t="s">
        <v>36</v>
      </c>
      <c r="C25" s="6" t="s">
        <v>21</v>
      </c>
      <c r="D25" s="6">
        <v>34.08</v>
      </c>
      <c r="E25" s="6"/>
      <c r="F25" s="6"/>
      <c r="G25" s="6"/>
    </row>
    <row r="26" spans="1:7" x14ac:dyDescent="0.3">
      <c r="A26" s="6">
        <v>46</v>
      </c>
      <c r="B26" s="6" t="s">
        <v>34</v>
      </c>
      <c r="C26" s="6" t="s">
        <v>21</v>
      </c>
      <c r="D26" s="6">
        <v>92.39</v>
      </c>
      <c r="E26" s="6"/>
      <c r="F26" s="6"/>
      <c r="G26" s="6"/>
    </row>
    <row r="27" spans="1:7" x14ac:dyDescent="0.3">
      <c r="A27" s="6">
        <v>46</v>
      </c>
      <c r="B27" s="6" t="s">
        <v>35</v>
      </c>
      <c r="C27" s="6" t="s">
        <v>21</v>
      </c>
      <c r="D27" s="6">
        <v>93.38</v>
      </c>
      <c r="E27" s="32">
        <f>AVERAGE(D26:D28)</f>
        <v>95.233333333333334</v>
      </c>
      <c r="F27" s="32">
        <f>_xlfn.STDEV.P(D26:D28)</f>
        <v>3.3455476216740534</v>
      </c>
      <c r="G27" s="32">
        <f>F27*100/E27</f>
        <v>3.5130006527903954</v>
      </c>
    </row>
    <row r="28" spans="1:7" x14ac:dyDescent="0.3">
      <c r="A28" s="6">
        <v>46</v>
      </c>
      <c r="B28" s="6" t="s">
        <v>36</v>
      </c>
      <c r="C28" s="6" t="s">
        <v>21</v>
      </c>
      <c r="D28" s="6">
        <v>99.93</v>
      </c>
      <c r="E28" s="6"/>
      <c r="F28" s="6"/>
      <c r="G28" s="6"/>
    </row>
    <row r="29" spans="1:7" x14ac:dyDescent="0.3">
      <c r="A29" s="6">
        <v>74</v>
      </c>
      <c r="B29" s="6" t="s">
        <v>34</v>
      </c>
      <c r="C29" s="6" t="s">
        <v>21</v>
      </c>
      <c r="D29" s="6">
        <v>210.4</v>
      </c>
      <c r="E29" s="6"/>
      <c r="F29" s="6"/>
      <c r="G29" s="6"/>
    </row>
    <row r="30" spans="1:7" x14ac:dyDescent="0.3">
      <c r="A30" s="6">
        <v>74</v>
      </c>
      <c r="B30" s="6" t="s">
        <v>35</v>
      </c>
      <c r="C30" s="6" t="s">
        <v>21</v>
      </c>
      <c r="D30" s="6">
        <v>210.9</v>
      </c>
      <c r="E30" s="32">
        <f>AVERAGE(D29:D31)</f>
        <v>222.63333333333333</v>
      </c>
      <c r="F30" s="32">
        <f>_xlfn.STDEV.P(D29:D31)</f>
        <v>16.948221801186754</v>
      </c>
      <c r="G30" s="32">
        <f>F30*100/E30</f>
        <v>7.6126164700644212</v>
      </c>
    </row>
    <row r="31" spans="1:7" x14ac:dyDescent="0.3">
      <c r="A31" s="6">
        <v>74</v>
      </c>
      <c r="B31" s="6" t="s">
        <v>36</v>
      </c>
      <c r="C31" s="6" t="s">
        <v>21</v>
      </c>
      <c r="D31" s="6">
        <v>246.6</v>
      </c>
      <c r="E31" s="6"/>
      <c r="F31" s="6"/>
      <c r="G31" s="6"/>
    </row>
    <row r="32" spans="1:7" x14ac:dyDescent="0.3">
      <c r="A32" s="6">
        <v>94</v>
      </c>
      <c r="B32" s="6" t="s">
        <v>34</v>
      </c>
      <c r="C32" s="6" t="s">
        <v>21</v>
      </c>
      <c r="D32" s="6">
        <v>419.9</v>
      </c>
      <c r="E32" s="6"/>
      <c r="F32" s="6"/>
      <c r="G32" s="6"/>
    </row>
    <row r="33" spans="1:7" x14ac:dyDescent="0.3">
      <c r="A33" s="6">
        <v>94</v>
      </c>
      <c r="B33" s="6" t="s">
        <v>35</v>
      </c>
      <c r="C33" s="6" t="s">
        <v>21</v>
      </c>
      <c r="D33" s="6">
        <v>456.1</v>
      </c>
      <c r="E33" s="32">
        <f>AVERAGE(D32:D34)</f>
        <v>461.5333333333333</v>
      </c>
      <c r="F33" s="32">
        <f>_xlfn.STDEV.P(D32:D34)</f>
        <v>36.414862655545242</v>
      </c>
      <c r="G33" s="32">
        <f>F33*100/E33</f>
        <v>7.8899745750856374</v>
      </c>
    </row>
    <row r="34" spans="1:7" x14ac:dyDescent="0.3">
      <c r="A34" s="6">
        <v>94</v>
      </c>
      <c r="B34" s="6" t="s">
        <v>36</v>
      </c>
      <c r="C34" s="6" t="s">
        <v>21</v>
      </c>
      <c r="D34" s="6">
        <v>508.6</v>
      </c>
      <c r="E34" s="6"/>
      <c r="F34" s="6"/>
      <c r="G34" s="6"/>
    </row>
    <row r="35" spans="1:7" x14ac:dyDescent="0.3">
      <c r="A35" s="6">
        <v>118</v>
      </c>
      <c r="B35" s="6" t="s">
        <v>34</v>
      </c>
      <c r="C35" s="6" t="s">
        <v>21</v>
      </c>
      <c r="D35" s="6">
        <v>866.7</v>
      </c>
      <c r="E35" s="6"/>
      <c r="F35" s="6"/>
      <c r="G35" s="6"/>
    </row>
    <row r="36" spans="1:7" x14ac:dyDescent="0.3">
      <c r="A36" s="6">
        <v>118</v>
      </c>
      <c r="B36" s="6" t="s">
        <v>35</v>
      </c>
      <c r="C36" s="6" t="s">
        <v>21</v>
      </c>
      <c r="D36" s="6">
        <v>830</v>
      </c>
      <c r="E36" s="32">
        <f>AVERAGE(D35:D37)</f>
        <v>881.30000000000007</v>
      </c>
      <c r="F36" s="32">
        <f>_xlfn.STDEV.P(D35:D37)</f>
        <v>48.947795319775828</v>
      </c>
      <c r="G36" s="32">
        <f>F36*100/E36</f>
        <v>5.5540446294991295</v>
      </c>
    </row>
    <row r="37" spans="1:7" x14ac:dyDescent="0.3">
      <c r="A37" s="6">
        <v>118</v>
      </c>
      <c r="B37" s="6" t="s">
        <v>36</v>
      </c>
      <c r="C37" s="6" t="s">
        <v>21</v>
      </c>
      <c r="D37" s="6">
        <v>947.2</v>
      </c>
      <c r="E37" s="6"/>
      <c r="F37" s="6"/>
      <c r="G37" s="6"/>
    </row>
    <row r="38" spans="1:7" x14ac:dyDescent="0.3">
      <c r="A38" s="6">
        <v>141</v>
      </c>
      <c r="B38" s="6" t="s">
        <v>34</v>
      </c>
      <c r="C38" s="6" t="s">
        <v>21</v>
      </c>
      <c r="D38" s="6">
        <v>1445</v>
      </c>
      <c r="E38" s="6"/>
      <c r="F38" s="6"/>
      <c r="G38" s="6"/>
    </row>
    <row r="39" spans="1:7" x14ac:dyDescent="0.3">
      <c r="A39" s="6">
        <v>141</v>
      </c>
      <c r="B39" s="6" t="s">
        <v>35</v>
      </c>
      <c r="C39" s="6" t="s">
        <v>21</v>
      </c>
      <c r="D39" s="6">
        <v>1453</v>
      </c>
      <c r="E39" s="32">
        <f>AVERAGE(D38:D40)</f>
        <v>1444.6666666666667</v>
      </c>
      <c r="F39" s="32">
        <f>_xlfn.STDEV.P(D38:D40)</f>
        <v>6.9442222186665532</v>
      </c>
      <c r="G39" s="32">
        <f>F39*100/E39</f>
        <v>0.4806798951545837</v>
      </c>
    </row>
    <row r="40" spans="1:7" x14ac:dyDescent="0.3">
      <c r="A40" s="6">
        <v>141</v>
      </c>
      <c r="B40" s="6" t="s">
        <v>36</v>
      </c>
      <c r="C40" s="6" t="s">
        <v>21</v>
      </c>
      <c r="D40" s="6">
        <v>1436</v>
      </c>
      <c r="E40" s="6"/>
      <c r="F40" s="6"/>
      <c r="G40" s="6"/>
    </row>
    <row r="41" spans="1:7" x14ac:dyDescent="0.3">
      <c r="A41" s="6">
        <v>151</v>
      </c>
      <c r="B41" s="6" t="s">
        <v>34</v>
      </c>
      <c r="C41" s="6" t="s">
        <v>21</v>
      </c>
      <c r="D41" s="6">
        <v>1634</v>
      </c>
      <c r="E41" s="6"/>
      <c r="F41" s="6"/>
      <c r="G41" s="6"/>
    </row>
    <row r="42" spans="1:7" x14ac:dyDescent="0.3">
      <c r="A42" s="6">
        <v>151</v>
      </c>
      <c r="B42" s="6" t="s">
        <v>35</v>
      </c>
      <c r="C42" s="6" t="s">
        <v>21</v>
      </c>
      <c r="D42" s="6">
        <v>1611</v>
      </c>
      <c r="E42" s="32">
        <f>AVERAGE(D41:D43)</f>
        <v>1608.3333333333333</v>
      </c>
      <c r="F42" s="32">
        <f>_xlfn.STDEV.P(D41:D43)</f>
        <v>22.125902367034787</v>
      </c>
      <c r="G42" s="32">
        <f>F42*100/E42</f>
        <v>1.3757037741161526</v>
      </c>
    </row>
    <row r="43" spans="1:7" x14ac:dyDescent="0.3">
      <c r="A43" s="6">
        <v>151</v>
      </c>
      <c r="B43" s="6" t="s">
        <v>36</v>
      </c>
      <c r="C43" s="6" t="s">
        <v>21</v>
      </c>
      <c r="D43" s="6">
        <v>1580</v>
      </c>
      <c r="E43" s="6"/>
      <c r="F43" s="6"/>
      <c r="G43" s="6"/>
    </row>
    <row r="44" spans="1:7" x14ac:dyDescent="0.3">
      <c r="A44" s="6">
        <v>165</v>
      </c>
      <c r="B44" s="6" t="s">
        <v>34</v>
      </c>
      <c r="C44" s="6" t="s">
        <v>21</v>
      </c>
      <c r="D44" s="6">
        <f>20*106</f>
        <v>2120</v>
      </c>
      <c r="E44" s="6"/>
      <c r="F44" s="6"/>
      <c r="G44" s="6"/>
    </row>
    <row r="45" spans="1:7" x14ac:dyDescent="0.3">
      <c r="A45" s="6">
        <v>165</v>
      </c>
      <c r="B45" s="6" t="s">
        <v>35</v>
      </c>
      <c r="C45" s="6" t="s">
        <v>21</v>
      </c>
      <c r="D45" s="6">
        <v>1928</v>
      </c>
      <c r="E45" s="32">
        <f>AVERAGE(D44:D46)</f>
        <v>1980.3333333333333</v>
      </c>
      <c r="F45" s="32">
        <f>_xlfn.STDEV.P(D44:D46)</f>
        <v>99.787552107242092</v>
      </c>
      <c r="G45" s="32">
        <f>F45*100/E45</f>
        <v>5.0389270547336524</v>
      </c>
    </row>
    <row r="46" spans="1:7" x14ac:dyDescent="0.3">
      <c r="A46" s="6">
        <v>165</v>
      </c>
      <c r="B46" s="6" t="s">
        <v>36</v>
      </c>
      <c r="C46" s="6" t="s">
        <v>21</v>
      </c>
      <c r="D46" s="6">
        <v>1893</v>
      </c>
      <c r="E46" s="6"/>
      <c r="F46" s="6"/>
      <c r="G46" s="6"/>
    </row>
    <row r="47" spans="1:7" x14ac:dyDescent="0.3">
      <c r="A47" s="6">
        <v>196</v>
      </c>
      <c r="B47" s="6" t="s">
        <v>34</v>
      </c>
      <c r="C47" s="6" t="s">
        <v>21</v>
      </c>
      <c r="D47" s="6">
        <f>20*151.1</f>
        <v>3022</v>
      </c>
      <c r="E47" s="6"/>
      <c r="F47" s="6"/>
      <c r="G47" s="6"/>
    </row>
    <row r="48" spans="1:7" x14ac:dyDescent="0.3">
      <c r="A48" s="6">
        <v>196</v>
      </c>
      <c r="B48" s="6" t="s">
        <v>35</v>
      </c>
      <c r="C48" s="6" t="s">
        <v>21</v>
      </c>
      <c r="D48" s="6">
        <f>20*141.5</f>
        <v>2830</v>
      </c>
      <c r="E48" s="32">
        <f>AVERAGE(D47:D49)</f>
        <v>2983.3333333333335</v>
      </c>
      <c r="F48" s="32">
        <f>_xlfn.STDEV.P(D47:D49)</f>
        <v>112.77509575354934</v>
      </c>
      <c r="G48" s="32">
        <f>F48*100/E48</f>
        <v>3.7801708073815421</v>
      </c>
    </row>
    <row r="49" spans="1:7" x14ac:dyDescent="0.3">
      <c r="A49" s="6">
        <v>196</v>
      </c>
      <c r="B49" s="6" t="s">
        <v>36</v>
      </c>
      <c r="C49" s="6" t="s">
        <v>21</v>
      </c>
      <c r="D49" s="6">
        <f>154.9*20</f>
        <v>3098</v>
      </c>
      <c r="E49" s="6"/>
      <c r="F49" s="6"/>
      <c r="G49" s="6"/>
    </row>
    <row r="50" spans="1:7" x14ac:dyDescent="0.3">
      <c r="A50" s="6">
        <f>196+47</f>
        <v>243</v>
      </c>
      <c r="B50" s="6" t="s">
        <v>34</v>
      </c>
      <c r="C50" s="6" t="s">
        <v>21</v>
      </c>
      <c r="D50" s="6">
        <f>20*154</f>
        <v>3080</v>
      </c>
      <c r="E50" s="6"/>
      <c r="F50" s="6"/>
      <c r="G50" s="6"/>
    </row>
    <row r="51" spans="1:7" x14ac:dyDescent="0.3">
      <c r="A51" s="6">
        <f t="shared" ref="A51:A52" si="0">196+47</f>
        <v>243</v>
      </c>
      <c r="B51" s="6" t="s">
        <v>35</v>
      </c>
      <c r="C51" s="6" t="s">
        <v>21</v>
      </c>
      <c r="D51" s="6">
        <f>20*151.7</f>
        <v>3034</v>
      </c>
      <c r="E51" s="32">
        <f>AVERAGE(D50:D52)</f>
        <v>2996</v>
      </c>
      <c r="F51" s="32">
        <f>_xlfn.STDEV.P(D50:D52)</f>
        <v>88.287409445892493</v>
      </c>
      <c r="G51" s="32">
        <f>F51*100/E51</f>
        <v>2.9468427718922729</v>
      </c>
    </row>
    <row r="52" spans="1:7" x14ac:dyDescent="0.3">
      <c r="A52" s="6">
        <f t="shared" si="0"/>
        <v>243</v>
      </c>
      <c r="B52" s="6" t="s">
        <v>36</v>
      </c>
      <c r="C52" s="6" t="s">
        <v>21</v>
      </c>
      <c r="D52" s="6">
        <f>143.7*20</f>
        <v>2874</v>
      </c>
      <c r="E52" s="6"/>
      <c r="F52" s="6"/>
      <c r="G52" s="6"/>
    </row>
    <row r="53" spans="1:7" x14ac:dyDescent="0.3">
      <c r="A53">
        <v>47</v>
      </c>
      <c r="B53" t="s">
        <v>34</v>
      </c>
      <c r="C53" t="s">
        <v>22</v>
      </c>
      <c r="D53">
        <v>103</v>
      </c>
    </row>
    <row r="54" spans="1:7" x14ac:dyDescent="0.3">
      <c r="A54">
        <v>47</v>
      </c>
      <c r="B54" t="s">
        <v>35</v>
      </c>
      <c r="C54" t="s">
        <v>22</v>
      </c>
      <c r="D54">
        <v>110.6</v>
      </c>
      <c r="E54" s="2">
        <f>AVERAGE(D53:D55)</f>
        <v>111.33333333333333</v>
      </c>
      <c r="F54" s="2">
        <f>_xlfn.STDEV.P(D53:D55)</f>
        <v>7.1224215607396424</v>
      </c>
      <c r="G54" s="2">
        <f>F54*100/E54</f>
        <v>6.3973846353948884</v>
      </c>
    </row>
    <row r="55" spans="1:7" x14ac:dyDescent="0.3">
      <c r="A55">
        <v>47</v>
      </c>
      <c r="B55" t="s">
        <v>36</v>
      </c>
      <c r="C55" t="s">
        <v>22</v>
      </c>
      <c r="D55">
        <v>120.4</v>
      </c>
    </row>
    <row r="56" spans="1:7" x14ac:dyDescent="0.3">
      <c r="A56">
        <v>70</v>
      </c>
      <c r="B56" t="s">
        <v>34</v>
      </c>
      <c r="C56" t="s">
        <v>22</v>
      </c>
      <c r="D56">
        <v>219.4</v>
      </c>
    </row>
    <row r="57" spans="1:7" x14ac:dyDescent="0.3">
      <c r="A57">
        <v>70</v>
      </c>
      <c r="B57" t="s">
        <v>35</v>
      </c>
      <c r="C57" t="s">
        <v>22</v>
      </c>
      <c r="D57">
        <v>257.3</v>
      </c>
      <c r="E57" s="2">
        <f>AVERAGE(D56:D58)</f>
        <v>256.60000000000002</v>
      </c>
      <c r="F57" s="2">
        <f>_xlfn.STDEV.P(D56:D58)</f>
        <v>30.091970136012243</v>
      </c>
      <c r="G57" s="2">
        <f>F57*100/E57</f>
        <v>11.727190232272891</v>
      </c>
    </row>
    <row r="58" spans="1:7" x14ac:dyDescent="0.3">
      <c r="A58">
        <v>70</v>
      </c>
      <c r="B58" t="s">
        <v>36</v>
      </c>
      <c r="C58" t="s">
        <v>22</v>
      </c>
      <c r="D58">
        <v>293.10000000000002</v>
      </c>
    </row>
    <row r="59" spans="1:7" x14ac:dyDescent="0.3">
      <c r="A59">
        <v>91</v>
      </c>
      <c r="B59" t="s">
        <v>34</v>
      </c>
      <c r="C59" t="s">
        <v>22</v>
      </c>
      <c r="D59">
        <v>555.20000000000005</v>
      </c>
    </row>
    <row r="60" spans="1:7" x14ac:dyDescent="0.3">
      <c r="A60">
        <v>91</v>
      </c>
      <c r="B60" t="s">
        <v>35</v>
      </c>
      <c r="C60" t="s">
        <v>22</v>
      </c>
      <c r="D60">
        <v>642.70000000000005</v>
      </c>
      <c r="E60" s="2">
        <f>AVERAGE(D59:D61)</f>
        <v>619.13333333333333</v>
      </c>
      <c r="F60" s="2">
        <f>_xlfn.STDEV.P(D59:D61)</f>
        <v>45.724999240629344</v>
      </c>
      <c r="G60" s="2">
        <f>F60*100/E60</f>
        <v>7.3853234479319489</v>
      </c>
    </row>
    <row r="61" spans="1:7" x14ac:dyDescent="0.3">
      <c r="A61">
        <v>91</v>
      </c>
      <c r="B61" t="s">
        <v>36</v>
      </c>
      <c r="C61" t="s">
        <v>22</v>
      </c>
      <c r="D61">
        <v>659.5</v>
      </c>
    </row>
    <row r="62" spans="1:7" x14ac:dyDescent="0.3">
      <c r="A62">
        <v>114</v>
      </c>
      <c r="B62" t="s">
        <v>34</v>
      </c>
      <c r="C62" t="s">
        <v>22</v>
      </c>
      <c r="D62">
        <v>1134</v>
      </c>
    </row>
    <row r="63" spans="1:7" x14ac:dyDescent="0.3">
      <c r="A63">
        <v>114</v>
      </c>
      <c r="B63" t="s">
        <v>35</v>
      </c>
      <c r="C63" t="s">
        <v>22</v>
      </c>
      <c r="D63">
        <v>1221</v>
      </c>
      <c r="E63" s="2">
        <f>AVERAGE(D62:D64)</f>
        <v>1186</v>
      </c>
      <c r="F63" s="2">
        <f>_xlfn.STDEV.P(D62:D64)</f>
        <v>37.49666651850535</v>
      </c>
      <c r="G63" s="2">
        <f>F63*100/E63</f>
        <v>3.1616076322517159</v>
      </c>
    </row>
    <row r="64" spans="1:7" x14ac:dyDescent="0.3">
      <c r="A64">
        <v>114</v>
      </c>
      <c r="B64" t="s">
        <v>36</v>
      </c>
      <c r="C64" t="s">
        <v>22</v>
      </c>
      <c r="D64">
        <v>1203</v>
      </c>
    </row>
    <row r="65" spans="1:7" x14ac:dyDescent="0.3">
      <c r="A65">
        <v>122</v>
      </c>
      <c r="B65" t="s">
        <v>34</v>
      </c>
      <c r="C65" t="s">
        <v>22</v>
      </c>
      <c r="D65">
        <v>1390</v>
      </c>
    </row>
    <row r="66" spans="1:7" x14ac:dyDescent="0.3">
      <c r="A66">
        <v>122</v>
      </c>
      <c r="B66" t="s">
        <v>35</v>
      </c>
      <c r="C66" t="s">
        <v>22</v>
      </c>
      <c r="D66">
        <v>1424</v>
      </c>
      <c r="E66" s="2">
        <f>AVERAGE(D65:D67)</f>
        <v>1400.6666666666667</v>
      </c>
      <c r="F66" s="2">
        <f>_xlfn.STDEV.P(D65:D67)</f>
        <v>16.519348924485158</v>
      </c>
      <c r="G66" s="2">
        <f>F66*100/E66</f>
        <v>1.1793918794254039</v>
      </c>
    </row>
    <row r="67" spans="1:7" x14ac:dyDescent="0.3">
      <c r="A67">
        <v>122</v>
      </c>
      <c r="B67" t="s">
        <v>36</v>
      </c>
      <c r="C67" t="s">
        <v>22</v>
      </c>
      <c r="D67">
        <v>1388</v>
      </c>
    </row>
    <row r="68" spans="1:7" x14ac:dyDescent="0.3">
      <c r="A68">
        <v>142</v>
      </c>
      <c r="B68" t="s">
        <v>34</v>
      </c>
      <c r="C68" t="s">
        <v>22</v>
      </c>
      <c r="D68" s="34">
        <f>20*95.39</f>
        <v>1907.8</v>
      </c>
    </row>
    <row r="69" spans="1:7" x14ac:dyDescent="0.3">
      <c r="A69">
        <v>142</v>
      </c>
      <c r="B69" t="s">
        <v>35</v>
      </c>
      <c r="C69" t="s">
        <v>22</v>
      </c>
      <c r="D69" s="34">
        <f>20*97.79</f>
        <v>1955.8000000000002</v>
      </c>
      <c r="E69" s="2">
        <f>AVERAGE(D68:D70)</f>
        <v>1932.6666666666667</v>
      </c>
      <c r="F69" s="2">
        <f>_xlfn.STDEV.P(D68:D70)</f>
        <v>19.634210506720812</v>
      </c>
      <c r="G69" s="2">
        <f>F69*100/E69</f>
        <v>1.015912927219083</v>
      </c>
    </row>
    <row r="70" spans="1:7" x14ac:dyDescent="0.3">
      <c r="A70">
        <v>142</v>
      </c>
      <c r="B70" t="s">
        <v>36</v>
      </c>
      <c r="C70" t="s">
        <v>22</v>
      </c>
      <c r="D70" s="34">
        <f>20*96.72</f>
        <v>1934.4</v>
      </c>
    </row>
    <row r="71" spans="1:7" x14ac:dyDescent="0.3">
      <c r="A71">
        <f>7*24</f>
        <v>168</v>
      </c>
      <c r="B71" t="s">
        <v>34</v>
      </c>
      <c r="C71" t="s">
        <v>22</v>
      </c>
      <c r="D71" s="34">
        <f>20*129.9</f>
        <v>2598</v>
      </c>
    </row>
    <row r="72" spans="1:7" x14ac:dyDescent="0.3">
      <c r="A72">
        <f t="shared" ref="A72:A73" si="1">7*24</f>
        <v>168</v>
      </c>
      <c r="B72" t="s">
        <v>35</v>
      </c>
      <c r="C72" t="s">
        <v>22</v>
      </c>
      <c r="D72" s="34">
        <f>20*132.5</f>
        <v>2650</v>
      </c>
      <c r="E72" s="2">
        <f>AVERAGE(D71:D73)</f>
        <v>2615.3333333333335</v>
      </c>
      <c r="F72" s="2">
        <f>_xlfn.STDEV.P(D71:D73)</f>
        <v>24.513035081133651</v>
      </c>
      <c r="G72" s="2">
        <f>F72*100/E72</f>
        <v>0.93728148411166146</v>
      </c>
    </row>
    <row r="73" spans="1:7" x14ac:dyDescent="0.3">
      <c r="A73">
        <f t="shared" si="1"/>
        <v>168</v>
      </c>
      <c r="B73" t="s">
        <v>36</v>
      </c>
      <c r="C73" t="s">
        <v>22</v>
      </c>
      <c r="D73" s="34">
        <f>20*129.9</f>
        <v>2598</v>
      </c>
    </row>
    <row r="74" spans="1:7" x14ac:dyDescent="0.3">
      <c r="A74">
        <v>192</v>
      </c>
      <c r="B74" t="s">
        <v>34</v>
      </c>
      <c r="C74" t="s">
        <v>22</v>
      </c>
      <c r="D74" s="34">
        <f>20*156.1</f>
        <v>3122</v>
      </c>
    </row>
    <row r="75" spans="1:7" x14ac:dyDescent="0.3">
      <c r="A75">
        <v>192</v>
      </c>
      <c r="B75" t="s">
        <v>35</v>
      </c>
      <c r="C75" t="s">
        <v>22</v>
      </c>
      <c r="D75" s="34">
        <f>20*152.3</f>
        <v>3046</v>
      </c>
      <c r="E75" s="2">
        <f>AVERAGE(D74:D76)</f>
        <v>3120.6666666666665</v>
      </c>
      <c r="F75" s="2">
        <f>_xlfn.STDEV.P(D74:D76)</f>
        <v>60.428102365998193</v>
      </c>
      <c r="G75" s="2">
        <f>F75*100/E75</f>
        <v>1.9363843954069064</v>
      </c>
    </row>
    <row r="76" spans="1:7" x14ac:dyDescent="0.3">
      <c r="A76">
        <v>192</v>
      </c>
      <c r="B76" t="s">
        <v>36</v>
      </c>
      <c r="C76" t="s">
        <v>22</v>
      </c>
      <c r="D76" s="34">
        <f>20*159.7</f>
        <v>3194</v>
      </c>
    </row>
    <row r="77" spans="1:7" x14ac:dyDescent="0.3">
      <c r="A77">
        <v>240</v>
      </c>
      <c r="B77" t="s">
        <v>34</v>
      </c>
      <c r="C77" t="s">
        <v>22</v>
      </c>
      <c r="D77" s="34">
        <f>143.2*20</f>
        <v>2864</v>
      </c>
    </row>
    <row r="78" spans="1:7" x14ac:dyDescent="0.3">
      <c r="A78">
        <v>240</v>
      </c>
      <c r="B78" t="s">
        <v>35</v>
      </c>
      <c r="C78" t="s">
        <v>22</v>
      </c>
      <c r="D78" s="34">
        <f>20*141</f>
        <v>2820</v>
      </c>
      <c r="E78" s="2">
        <f>AVERAGE(D77:D79)</f>
        <v>2823.3333333333335</v>
      </c>
      <c r="F78" s="2">
        <f>_xlfn.STDEV.P(D77:D79)</f>
        <v>31.930480039541461</v>
      </c>
      <c r="G78" s="2">
        <f>F78*100/E78</f>
        <v>1.130949706241138</v>
      </c>
    </row>
    <row r="79" spans="1:7" x14ac:dyDescent="0.3">
      <c r="A79">
        <v>240</v>
      </c>
      <c r="B79" t="s">
        <v>36</v>
      </c>
      <c r="C79" t="s">
        <v>22</v>
      </c>
      <c r="D79" s="34">
        <f>20*139.3</f>
        <v>2786</v>
      </c>
    </row>
    <row r="80" spans="1:7" x14ac:dyDescent="0.3">
      <c r="A80">
        <v>263</v>
      </c>
      <c r="B80" t="s">
        <v>34</v>
      </c>
      <c r="C80" t="s">
        <v>22</v>
      </c>
      <c r="D80" s="34">
        <f>20*145.1</f>
        <v>2902</v>
      </c>
    </row>
    <row r="81" spans="1:7" x14ac:dyDescent="0.3">
      <c r="A81">
        <v>263</v>
      </c>
      <c r="B81" t="s">
        <v>35</v>
      </c>
      <c r="C81" t="s">
        <v>22</v>
      </c>
      <c r="D81" s="34">
        <f>20*145.6</f>
        <v>2912</v>
      </c>
      <c r="E81" s="2">
        <f>AVERAGE(D80:D82)</f>
        <v>2858</v>
      </c>
      <c r="F81" s="2">
        <f>_xlfn.STDEV.P(D80:D82)</f>
        <v>69.416616646640648</v>
      </c>
      <c r="G81" s="2">
        <f>F81*100/E81</f>
        <v>2.4288529267543963</v>
      </c>
    </row>
    <row r="82" spans="1:7" x14ac:dyDescent="0.3">
      <c r="A82">
        <v>263</v>
      </c>
      <c r="B82" t="s">
        <v>36</v>
      </c>
      <c r="C82" t="s">
        <v>22</v>
      </c>
      <c r="D82" s="34">
        <f>20*138</f>
        <v>2760</v>
      </c>
    </row>
    <row r="83" spans="1:7" x14ac:dyDescent="0.3">
      <c r="A83" s="6">
        <v>48</v>
      </c>
      <c r="B83" s="6" t="s">
        <v>34</v>
      </c>
      <c r="C83" s="6" t="s">
        <v>23</v>
      </c>
      <c r="D83" s="6">
        <v>88.66</v>
      </c>
      <c r="E83" s="6"/>
      <c r="F83" s="6"/>
      <c r="G83" s="6"/>
    </row>
    <row r="84" spans="1:7" x14ac:dyDescent="0.3">
      <c r="A84" s="6">
        <v>48</v>
      </c>
      <c r="B84" s="6" t="s">
        <v>35</v>
      </c>
      <c r="C84" s="6" t="s">
        <v>23</v>
      </c>
      <c r="D84" s="6">
        <v>98.83</v>
      </c>
      <c r="E84" s="33">
        <f>AVERAGE(D83:D85)</f>
        <v>90.92</v>
      </c>
      <c r="F84" s="35">
        <f>_xlfn.STDEV.P(D83:D85)</f>
        <v>5.7618920503598474</v>
      </c>
      <c r="G84" s="35">
        <f>F84*100/E84</f>
        <v>6.3373207769026036</v>
      </c>
    </row>
    <row r="85" spans="1:7" x14ac:dyDescent="0.3">
      <c r="A85" s="6">
        <v>48</v>
      </c>
      <c r="B85" s="6" t="s">
        <v>36</v>
      </c>
      <c r="C85" s="6" t="s">
        <v>23</v>
      </c>
      <c r="D85" s="6">
        <v>85.27</v>
      </c>
      <c r="E85" s="6"/>
      <c r="F85" s="6"/>
      <c r="G85" s="6"/>
    </row>
    <row r="86" spans="1:7" x14ac:dyDescent="0.3">
      <c r="A86" s="6">
        <v>48</v>
      </c>
      <c r="B86" s="6" t="s">
        <v>37</v>
      </c>
      <c r="C86" s="6" t="s">
        <v>23</v>
      </c>
      <c r="D86" s="6"/>
      <c r="E86" s="6"/>
      <c r="F86" s="6"/>
      <c r="G86" s="6"/>
    </row>
    <row r="87" spans="1:7" x14ac:dyDescent="0.3">
      <c r="A87" s="6">
        <v>48</v>
      </c>
      <c r="B87" s="6" t="s">
        <v>38</v>
      </c>
      <c r="C87" s="6" t="s">
        <v>23</v>
      </c>
      <c r="D87" s="6"/>
      <c r="E87" s="32"/>
      <c r="F87" s="32"/>
      <c r="G87" s="32"/>
    </row>
    <row r="88" spans="1:7" x14ac:dyDescent="0.3">
      <c r="A88" s="6">
        <v>48</v>
      </c>
      <c r="B88" s="6" t="s">
        <v>39</v>
      </c>
      <c r="C88" s="6" t="s">
        <v>23</v>
      </c>
      <c r="D88" s="6"/>
      <c r="E88" s="6"/>
      <c r="F88" s="6"/>
      <c r="G88" s="6"/>
    </row>
    <row r="89" spans="1:7" x14ac:dyDescent="0.3">
      <c r="A89" s="6">
        <v>48</v>
      </c>
      <c r="B89" s="6" t="s">
        <v>40</v>
      </c>
      <c r="C89" s="6" t="s">
        <v>23</v>
      </c>
      <c r="D89" s="6"/>
      <c r="E89" s="6"/>
      <c r="F89" s="6"/>
      <c r="G89" s="6"/>
    </row>
    <row r="90" spans="1:7" x14ac:dyDescent="0.3">
      <c r="A90" s="6">
        <v>48</v>
      </c>
      <c r="B90" s="6" t="s">
        <v>41</v>
      </c>
      <c r="C90" s="6" t="s">
        <v>23</v>
      </c>
      <c r="D90" s="6"/>
      <c r="E90" s="32"/>
      <c r="F90" s="32"/>
      <c r="G90" s="32"/>
    </row>
    <row r="91" spans="1:7" x14ac:dyDescent="0.3">
      <c r="A91" s="6">
        <v>48</v>
      </c>
      <c r="B91" s="6" t="s">
        <v>42</v>
      </c>
      <c r="C91" s="6" t="s">
        <v>23</v>
      </c>
      <c r="D91" s="6"/>
      <c r="E91" s="6"/>
      <c r="F91" s="6"/>
      <c r="G91" s="6"/>
    </row>
    <row r="92" spans="1:7" x14ac:dyDescent="0.3">
      <c r="A92" s="6">
        <v>71</v>
      </c>
      <c r="B92" s="6" t="s">
        <v>34</v>
      </c>
      <c r="C92" s="6" t="s">
        <v>23</v>
      </c>
      <c r="D92" s="6">
        <v>259.7</v>
      </c>
      <c r="E92" s="6"/>
      <c r="F92" s="6"/>
      <c r="G92" s="6"/>
    </row>
    <row r="93" spans="1:7" x14ac:dyDescent="0.3">
      <c r="A93" s="6">
        <v>71</v>
      </c>
      <c r="B93" s="6" t="s">
        <v>35</v>
      </c>
      <c r="C93" s="6" t="s">
        <v>23</v>
      </c>
      <c r="D93" s="6">
        <v>297.5</v>
      </c>
      <c r="E93" s="33">
        <f>AVERAGE(D92:D94)</f>
        <v>279.60000000000002</v>
      </c>
      <c r="F93" s="35">
        <f>_xlfn.STDEV.P(D92:D94)</f>
        <v>15.496451206647288</v>
      </c>
      <c r="G93" s="35">
        <f>F93*100/E93</f>
        <v>5.5423645231213472</v>
      </c>
    </row>
    <row r="94" spans="1:7" x14ac:dyDescent="0.3">
      <c r="A94" s="6">
        <v>71</v>
      </c>
      <c r="B94" s="6" t="s">
        <v>36</v>
      </c>
      <c r="C94" s="6" t="s">
        <v>23</v>
      </c>
      <c r="D94" s="6">
        <v>281.60000000000002</v>
      </c>
      <c r="E94" s="6"/>
      <c r="F94" s="6"/>
      <c r="G94" s="6"/>
    </row>
    <row r="95" spans="1:7" x14ac:dyDescent="0.3">
      <c r="A95" s="6">
        <v>71</v>
      </c>
      <c r="B95" s="6" t="s">
        <v>37</v>
      </c>
      <c r="C95" s="6" t="s">
        <v>23</v>
      </c>
      <c r="D95" s="6"/>
      <c r="E95" s="6"/>
      <c r="F95" s="6"/>
      <c r="G95" s="6"/>
    </row>
    <row r="96" spans="1:7" x14ac:dyDescent="0.3">
      <c r="A96" s="6">
        <v>71</v>
      </c>
      <c r="B96" s="6" t="s">
        <v>38</v>
      </c>
      <c r="C96" s="6" t="s">
        <v>23</v>
      </c>
      <c r="D96" s="6"/>
      <c r="E96" s="32"/>
      <c r="F96" s="32"/>
      <c r="G96" s="32"/>
    </row>
    <row r="97" spans="1:7" x14ac:dyDescent="0.3">
      <c r="A97" s="6">
        <v>71</v>
      </c>
      <c r="B97" s="6" t="s">
        <v>39</v>
      </c>
      <c r="C97" s="6" t="s">
        <v>23</v>
      </c>
      <c r="D97" s="6"/>
      <c r="E97" s="6"/>
      <c r="F97" s="6"/>
      <c r="G97" s="6"/>
    </row>
    <row r="98" spans="1:7" x14ac:dyDescent="0.3">
      <c r="A98" s="6">
        <v>71</v>
      </c>
      <c r="B98" s="6" t="s">
        <v>40</v>
      </c>
      <c r="C98" s="6" t="s">
        <v>23</v>
      </c>
      <c r="D98" s="6"/>
      <c r="E98" s="6"/>
      <c r="F98" s="6"/>
      <c r="G98" s="6"/>
    </row>
    <row r="99" spans="1:7" x14ac:dyDescent="0.3">
      <c r="A99" s="6">
        <v>71</v>
      </c>
      <c r="B99" s="6" t="s">
        <v>41</v>
      </c>
      <c r="C99" s="6" t="s">
        <v>23</v>
      </c>
      <c r="D99" s="6"/>
      <c r="E99" s="32"/>
      <c r="F99" s="32"/>
      <c r="G99" s="32"/>
    </row>
    <row r="100" spans="1:7" x14ac:dyDescent="0.3">
      <c r="A100" s="6">
        <v>71</v>
      </c>
      <c r="B100" s="6" t="s">
        <v>42</v>
      </c>
      <c r="C100" s="6" t="s">
        <v>23</v>
      </c>
      <c r="D100" s="6"/>
      <c r="E100" s="6"/>
      <c r="F100" s="6"/>
      <c r="G100" s="6"/>
    </row>
    <row r="101" spans="1:7" x14ac:dyDescent="0.3">
      <c r="A101" s="6">
        <v>95</v>
      </c>
      <c r="B101" s="6" t="s">
        <v>34</v>
      </c>
      <c r="C101" s="6" t="s">
        <v>23</v>
      </c>
      <c r="D101" s="6">
        <v>702.6</v>
      </c>
      <c r="E101" s="6"/>
      <c r="F101" s="6"/>
      <c r="G101" s="6"/>
    </row>
    <row r="102" spans="1:7" x14ac:dyDescent="0.3">
      <c r="A102" s="6">
        <v>95</v>
      </c>
      <c r="B102" s="6" t="s">
        <v>35</v>
      </c>
      <c r="C102" s="6" t="s">
        <v>23</v>
      </c>
      <c r="D102" s="6">
        <v>847.3</v>
      </c>
      <c r="E102" s="35">
        <f>AVERAGE(D101:D103)</f>
        <v>805.76666666666677</v>
      </c>
      <c r="F102" s="35">
        <f>_xlfn.STDEV.P(D101:D103)</f>
        <v>73.409914558971877</v>
      </c>
      <c r="G102" s="35">
        <f>F102*100/E102</f>
        <v>9.1105673138177146</v>
      </c>
    </row>
    <row r="103" spans="1:7" x14ac:dyDescent="0.3">
      <c r="A103" s="6">
        <v>95</v>
      </c>
      <c r="B103" s="6" t="s">
        <v>36</v>
      </c>
      <c r="C103" s="6" t="s">
        <v>23</v>
      </c>
      <c r="D103" s="6">
        <v>867.4</v>
      </c>
      <c r="E103" s="6"/>
      <c r="F103" s="6"/>
      <c r="G103" s="6"/>
    </row>
    <row r="104" spans="1:7" x14ac:dyDescent="0.3">
      <c r="A104" s="6">
        <v>95</v>
      </c>
      <c r="B104" s="6" t="s">
        <v>37</v>
      </c>
      <c r="C104" s="6" t="s">
        <v>23</v>
      </c>
      <c r="D104" s="6"/>
      <c r="E104" s="6"/>
      <c r="F104" s="6"/>
      <c r="G104" s="6"/>
    </row>
    <row r="105" spans="1:7" x14ac:dyDescent="0.3">
      <c r="A105" s="6">
        <v>95</v>
      </c>
      <c r="B105" s="6" t="s">
        <v>38</v>
      </c>
      <c r="C105" s="6" t="s">
        <v>23</v>
      </c>
      <c r="D105" s="6"/>
      <c r="E105" s="32"/>
      <c r="F105" s="32"/>
      <c r="G105" s="32"/>
    </row>
    <row r="106" spans="1:7" x14ac:dyDescent="0.3">
      <c r="A106" s="6">
        <v>95</v>
      </c>
      <c r="B106" s="6" t="s">
        <v>39</v>
      </c>
      <c r="C106" s="6" t="s">
        <v>23</v>
      </c>
      <c r="D106" s="6"/>
      <c r="E106" s="6"/>
      <c r="F106" s="6"/>
      <c r="G106" s="6"/>
    </row>
    <row r="107" spans="1:7" x14ac:dyDescent="0.3">
      <c r="A107" s="6">
        <v>95</v>
      </c>
      <c r="B107" s="6" t="s">
        <v>40</v>
      </c>
      <c r="C107" s="6" t="s">
        <v>23</v>
      </c>
      <c r="D107" s="6"/>
      <c r="E107" s="6"/>
      <c r="F107" s="6"/>
      <c r="G107" s="6"/>
    </row>
    <row r="108" spans="1:7" x14ac:dyDescent="0.3">
      <c r="A108" s="6">
        <v>95</v>
      </c>
      <c r="B108" s="6" t="s">
        <v>41</v>
      </c>
      <c r="C108" s="6" t="s">
        <v>23</v>
      </c>
      <c r="D108" s="6"/>
      <c r="E108" s="32"/>
      <c r="F108" s="32"/>
      <c r="G108" s="32"/>
    </row>
    <row r="109" spans="1:7" x14ac:dyDescent="0.3">
      <c r="A109" s="6">
        <v>95</v>
      </c>
      <c r="B109" s="6" t="s">
        <v>42</v>
      </c>
      <c r="C109" s="6" t="s">
        <v>23</v>
      </c>
      <c r="D109" s="6"/>
      <c r="E109" s="6"/>
      <c r="F109" s="6"/>
      <c r="G109" s="6"/>
    </row>
    <row r="110" spans="1:7" x14ac:dyDescent="0.3">
      <c r="A110" s="6">
        <v>112</v>
      </c>
      <c r="B110" s="6" t="s">
        <v>34</v>
      </c>
      <c r="C110" s="6" t="s">
        <v>23</v>
      </c>
      <c r="D110" s="6">
        <v>1129</v>
      </c>
      <c r="E110" s="6"/>
      <c r="F110" s="6"/>
      <c r="G110" s="6"/>
    </row>
    <row r="111" spans="1:7" x14ac:dyDescent="0.3">
      <c r="A111" s="6">
        <v>112</v>
      </c>
      <c r="B111" s="6" t="s">
        <v>35</v>
      </c>
      <c r="C111" s="6" t="s">
        <v>23</v>
      </c>
      <c r="D111" s="6">
        <v>1306</v>
      </c>
      <c r="E111" s="32">
        <f>AVERAGE(D110:D112)</f>
        <v>1141.1000000000001</v>
      </c>
      <c r="F111" s="32">
        <f>_xlfn.STDEV.P(D110:D112)</f>
        <v>129.98238342175341</v>
      </c>
      <c r="G111" s="32">
        <f>F111*100/E111</f>
        <v>11.390972169113434</v>
      </c>
    </row>
    <row r="112" spans="1:7" x14ac:dyDescent="0.3">
      <c r="A112" s="6">
        <v>112</v>
      </c>
      <c r="B112" s="6" t="s">
        <v>36</v>
      </c>
      <c r="C112" s="6" t="s">
        <v>23</v>
      </c>
      <c r="D112" s="6">
        <v>988.3</v>
      </c>
      <c r="E112" s="6"/>
      <c r="F112" s="6"/>
      <c r="G112" s="6"/>
    </row>
    <row r="113" spans="1:7" x14ac:dyDescent="0.3">
      <c r="A113" s="6">
        <v>194</v>
      </c>
      <c r="B113" s="6" t="s">
        <v>34</v>
      </c>
      <c r="C113" s="6" t="s">
        <v>23</v>
      </c>
      <c r="D113" s="6">
        <v>2742</v>
      </c>
      <c r="E113" s="6"/>
      <c r="F113" s="6"/>
      <c r="G113" s="6"/>
    </row>
    <row r="114" spans="1:7" x14ac:dyDescent="0.3">
      <c r="A114" s="6">
        <v>194</v>
      </c>
      <c r="B114" s="6" t="s">
        <v>35</v>
      </c>
      <c r="C114" s="6" t="s">
        <v>23</v>
      </c>
      <c r="D114" s="6">
        <v>2786</v>
      </c>
      <c r="E114" s="32">
        <f>AVERAGE(D113:D115)</f>
        <v>2802.6666666666665</v>
      </c>
      <c r="F114" s="32">
        <f>_xlfn.STDEV.P(D113:D115)</f>
        <v>57.557700517731675</v>
      </c>
      <c r="G114" s="32">
        <f>F114*100/E114</f>
        <v>2.0536762791769152</v>
      </c>
    </row>
    <row r="115" spans="1:7" x14ac:dyDescent="0.3">
      <c r="A115" s="6">
        <v>194</v>
      </c>
      <c r="B115" s="6" t="s">
        <v>36</v>
      </c>
      <c r="C115" s="6" t="s">
        <v>23</v>
      </c>
      <c r="D115" s="6">
        <v>2880</v>
      </c>
      <c r="E115" s="6"/>
      <c r="F115" s="6"/>
      <c r="G115" s="6"/>
    </row>
    <row r="116" spans="1:7" x14ac:dyDescent="0.3">
      <c r="A116">
        <v>47</v>
      </c>
      <c r="B116" t="s">
        <v>34</v>
      </c>
      <c r="C116" t="s">
        <v>43</v>
      </c>
      <c r="D116">
        <v>40.5</v>
      </c>
    </row>
    <row r="117" spans="1:7" x14ac:dyDescent="0.3">
      <c r="A117">
        <v>47</v>
      </c>
      <c r="B117" t="s">
        <v>35</v>
      </c>
      <c r="C117" t="s">
        <v>43</v>
      </c>
      <c r="D117">
        <v>40.11</v>
      </c>
      <c r="E117" s="2">
        <f>AVERAGE(D116:D118)</f>
        <v>41.663333333333334</v>
      </c>
      <c r="F117" s="2">
        <f>_xlfn.STDEV.P(D116:D118)</f>
        <v>1.9275603463676292</v>
      </c>
      <c r="G117" s="2">
        <f>F117*100/E117</f>
        <v>4.6265149524785079</v>
      </c>
    </row>
    <row r="118" spans="1:7" x14ac:dyDescent="0.3">
      <c r="A118">
        <v>47</v>
      </c>
      <c r="B118" t="s">
        <v>36</v>
      </c>
      <c r="C118" t="s">
        <v>43</v>
      </c>
      <c r="D118">
        <v>44.38</v>
      </c>
    </row>
    <row r="119" spans="1:7" x14ac:dyDescent="0.3">
      <c r="A119">
        <v>96</v>
      </c>
      <c r="B119" t="s">
        <v>34</v>
      </c>
      <c r="C119" t="s">
        <v>43</v>
      </c>
      <c r="D119">
        <v>202.2</v>
      </c>
    </row>
    <row r="120" spans="1:7" x14ac:dyDescent="0.3">
      <c r="A120">
        <v>96</v>
      </c>
      <c r="B120" t="s">
        <v>35</v>
      </c>
      <c r="C120" t="s">
        <v>43</v>
      </c>
      <c r="D120">
        <v>201.2</v>
      </c>
      <c r="E120" s="2">
        <f>AVERAGE(D119:D121)</f>
        <v>217.29999999999998</v>
      </c>
      <c r="F120" s="2">
        <f>_xlfn.STDEV.P(D119:D121)</f>
        <v>22.065508529527811</v>
      </c>
      <c r="G120" s="2">
        <f>F120*100/E120</f>
        <v>10.154398771066642</v>
      </c>
    </row>
    <row r="121" spans="1:7" x14ac:dyDescent="0.3">
      <c r="A121">
        <v>96</v>
      </c>
      <c r="B121" t="s">
        <v>36</v>
      </c>
      <c r="C121" t="s">
        <v>43</v>
      </c>
      <c r="D121">
        <v>248.5</v>
      </c>
    </row>
    <row r="122" spans="1:7" x14ac:dyDescent="0.3">
      <c r="A122">
        <v>145</v>
      </c>
      <c r="B122" t="s">
        <v>34</v>
      </c>
      <c r="C122" t="s">
        <v>43</v>
      </c>
      <c r="D122">
        <v>1206</v>
      </c>
    </row>
    <row r="123" spans="1:7" x14ac:dyDescent="0.3">
      <c r="A123">
        <v>145</v>
      </c>
      <c r="B123" t="s">
        <v>35</v>
      </c>
      <c r="C123" t="s">
        <v>43</v>
      </c>
      <c r="D123">
        <v>1169</v>
      </c>
      <c r="E123" s="2">
        <f>AVERAGE(D122:D124)</f>
        <v>1210.3333333333333</v>
      </c>
      <c r="F123" s="2">
        <f>_xlfn.STDEV.P(D122:D124)</f>
        <v>35.649528592800337</v>
      </c>
      <c r="G123" s="2">
        <f>F123*100/E123</f>
        <v>2.945430619069155</v>
      </c>
    </row>
    <row r="124" spans="1:7" x14ac:dyDescent="0.3">
      <c r="A124">
        <v>145</v>
      </c>
      <c r="B124" t="s">
        <v>36</v>
      </c>
      <c r="C124" t="s">
        <v>43</v>
      </c>
      <c r="D124">
        <v>1256</v>
      </c>
    </row>
    <row r="125" spans="1:7" x14ac:dyDescent="0.3">
      <c r="A125">
        <v>170</v>
      </c>
      <c r="B125" t="s">
        <v>34</v>
      </c>
      <c r="C125" t="s">
        <v>43</v>
      </c>
      <c r="D125">
        <f>1041*2</f>
        <v>2082</v>
      </c>
    </row>
    <row r="126" spans="1:7" x14ac:dyDescent="0.3">
      <c r="A126">
        <v>170</v>
      </c>
      <c r="B126" t="s">
        <v>35</v>
      </c>
      <c r="C126" t="s">
        <v>43</v>
      </c>
      <c r="D126">
        <f>1039*2</f>
        <v>2078</v>
      </c>
      <c r="E126" s="2">
        <f>AVERAGE(D125:D127)</f>
        <v>2071.3333333333335</v>
      </c>
      <c r="F126" s="2">
        <f>_xlfn.STDEV.P(D125:D127)</f>
        <v>12.364824660660938</v>
      </c>
      <c r="G126" s="2">
        <f>F126*100/E126</f>
        <v>0.59695001580274887</v>
      </c>
    </row>
    <row r="127" spans="1:7" x14ac:dyDescent="0.3">
      <c r="A127">
        <v>170</v>
      </c>
      <c r="B127" t="s">
        <v>36</v>
      </c>
      <c r="C127" t="s">
        <v>43</v>
      </c>
      <c r="D127">
        <f>1027*2</f>
        <v>2054</v>
      </c>
    </row>
    <row r="128" spans="1:7" x14ac:dyDescent="0.3">
      <c r="A128">
        <f>A125+24</f>
        <v>194</v>
      </c>
      <c r="B128" t="s">
        <v>34</v>
      </c>
      <c r="C128" t="s">
        <v>43</v>
      </c>
      <c r="D128">
        <f>137.4*20</f>
        <v>2748</v>
      </c>
    </row>
    <row r="129" spans="1:7" x14ac:dyDescent="0.3">
      <c r="A129">
        <f t="shared" ref="A129:A130" si="2">A126+24</f>
        <v>194</v>
      </c>
      <c r="B129" t="s">
        <v>35</v>
      </c>
      <c r="C129" t="s">
        <v>43</v>
      </c>
      <c r="D129">
        <f>125.5*20</f>
        <v>2510</v>
      </c>
      <c r="E129" s="2">
        <f>AVERAGE(D128:D130)</f>
        <v>2620</v>
      </c>
      <c r="F129" s="2">
        <f>_xlfn.STDEV.P(D128:D130)</f>
        <v>97.993197042787955</v>
      </c>
      <c r="G129" s="2">
        <f>F129*100/E129</f>
        <v>3.7401983604117541</v>
      </c>
    </row>
    <row r="130" spans="1:7" x14ac:dyDescent="0.3">
      <c r="A130">
        <f t="shared" si="2"/>
        <v>194</v>
      </c>
      <c r="B130" t="s">
        <v>36</v>
      </c>
      <c r="C130" t="s">
        <v>43</v>
      </c>
      <c r="D130">
        <f>130.1*20</f>
        <v>2602</v>
      </c>
    </row>
    <row r="131" spans="1:7" x14ac:dyDescent="0.3">
      <c r="A131">
        <v>218</v>
      </c>
      <c r="B131" t="s">
        <v>34</v>
      </c>
      <c r="C131" t="s">
        <v>43</v>
      </c>
      <c r="D131">
        <f>143*20</f>
        <v>2860</v>
      </c>
    </row>
    <row r="132" spans="1:7" x14ac:dyDescent="0.3">
      <c r="A132">
        <v>218</v>
      </c>
      <c r="B132" t="s">
        <v>35</v>
      </c>
      <c r="C132" t="s">
        <v>43</v>
      </c>
      <c r="D132">
        <f>143.5*20</f>
        <v>2870</v>
      </c>
      <c r="E132" s="2">
        <f>AVERAGE(D131:D133)</f>
        <v>2864.6666666666665</v>
      </c>
      <c r="F132" s="2">
        <f>_xlfn.STDEV.P(D131:D133)</f>
        <v>4.1096093353126513</v>
      </c>
      <c r="G132" s="2">
        <f>F132*100/E132</f>
        <v>0.14345855254756754</v>
      </c>
    </row>
    <row r="133" spans="1:7" x14ac:dyDescent="0.3">
      <c r="A133">
        <v>218</v>
      </c>
      <c r="B133" t="s">
        <v>36</v>
      </c>
      <c r="C133" t="s">
        <v>43</v>
      </c>
      <c r="D133">
        <f>143.2*20</f>
        <v>2864</v>
      </c>
    </row>
    <row r="134" spans="1:7" x14ac:dyDescent="0.3">
      <c r="A134">
        <v>241</v>
      </c>
      <c r="B134" t="s">
        <v>34</v>
      </c>
      <c r="C134" t="s">
        <v>43</v>
      </c>
      <c r="D134">
        <f>139.3*20</f>
        <v>2786</v>
      </c>
    </row>
    <row r="135" spans="1:7" x14ac:dyDescent="0.3">
      <c r="A135">
        <v>241</v>
      </c>
      <c r="B135" t="s">
        <v>35</v>
      </c>
      <c r="C135" t="s">
        <v>43</v>
      </c>
      <c r="D135">
        <f>141.8*20</f>
        <v>2836</v>
      </c>
      <c r="E135" s="2">
        <f>AVERAGE(D134:D136)</f>
        <v>2803.3333333333335</v>
      </c>
      <c r="F135" s="2">
        <f>_xlfn.STDEV.P(D134:D136)</f>
        <v>23.113247764479624</v>
      </c>
      <c r="G135" s="2">
        <f>F135*100/E135</f>
        <v>0.8244915968304265</v>
      </c>
    </row>
    <row r="136" spans="1:7" x14ac:dyDescent="0.3">
      <c r="A136">
        <v>241</v>
      </c>
      <c r="B136" t="s">
        <v>36</v>
      </c>
      <c r="C136" t="s">
        <v>43</v>
      </c>
      <c r="D136">
        <f>139.4*20</f>
        <v>2788</v>
      </c>
    </row>
    <row r="137" spans="1:7" x14ac:dyDescent="0.3">
      <c r="A137">
        <v>265</v>
      </c>
      <c r="B137" t="s">
        <v>34</v>
      </c>
      <c r="C137" t="s">
        <v>43</v>
      </c>
      <c r="D137">
        <v>2908</v>
      </c>
    </row>
    <row r="138" spans="1:7" x14ac:dyDescent="0.3">
      <c r="A138">
        <v>265</v>
      </c>
      <c r="B138" t="s">
        <v>35</v>
      </c>
      <c r="C138" t="s">
        <v>43</v>
      </c>
      <c r="D138">
        <v>2906</v>
      </c>
      <c r="E138" s="2">
        <f>AVERAGE(D137:D139)</f>
        <v>2871.3333333333335</v>
      </c>
      <c r="F138" s="2">
        <f>_xlfn.STDEV.P(D137:D139)</f>
        <v>50.446891766380304</v>
      </c>
      <c r="G138" s="2">
        <f>F138*100/E138</f>
        <v>1.7569151996649746</v>
      </c>
    </row>
    <row r="139" spans="1:7" x14ac:dyDescent="0.3">
      <c r="A139">
        <v>265</v>
      </c>
      <c r="B139" t="s">
        <v>36</v>
      </c>
      <c r="C139" t="s">
        <v>43</v>
      </c>
      <c r="D139">
        <v>2800</v>
      </c>
    </row>
    <row r="140" spans="1:7" x14ac:dyDescent="0.3">
      <c r="A140" s="6">
        <v>48</v>
      </c>
      <c r="B140" s="6" t="s">
        <v>34</v>
      </c>
      <c r="C140" s="6" t="s">
        <v>44</v>
      </c>
      <c r="D140" s="6">
        <v>87.76</v>
      </c>
      <c r="E140" s="6"/>
      <c r="F140" s="6"/>
      <c r="G140" s="6"/>
    </row>
    <row r="141" spans="1:7" x14ac:dyDescent="0.3">
      <c r="A141" s="6">
        <v>48</v>
      </c>
      <c r="B141" s="6" t="s">
        <v>35</v>
      </c>
      <c r="C141" s="6" t="s">
        <v>44</v>
      </c>
      <c r="D141" s="6">
        <v>88.46</v>
      </c>
      <c r="E141" s="32">
        <f>AVERAGE(D140:D142)</f>
        <v>89.240000000000009</v>
      </c>
      <c r="F141" s="32">
        <f>_xlfn.STDEV.P(D140:D142)</f>
        <v>1.6234120446352074</v>
      </c>
      <c r="G141" s="32">
        <f>F141*100/E141</f>
        <v>1.8191528962743246</v>
      </c>
    </row>
    <row r="142" spans="1:7" x14ac:dyDescent="0.3">
      <c r="A142" s="6">
        <v>48</v>
      </c>
      <c r="B142" s="6" t="s">
        <v>36</v>
      </c>
      <c r="C142" s="6" t="s">
        <v>44</v>
      </c>
      <c r="D142" s="6">
        <v>91.5</v>
      </c>
      <c r="E142" s="6"/>
      <c r="F142" s="6"/>
      <c r="G142" s="6"/>
    </row>
    <row r="143" spans="1:7" x14ac:dyDescent="0.3">
      <c r="A143" s="6">
        <v>73</v>
      </c>
      <c r="B143" s="6" t="s">
        <v>34</v>
      </c>
      <c r="C143" s="6" t="s">
        <v>44</v>
      </c>
      <c r="D143" s="6">
        <v>196.4</v>
      </c>
      <c r="E143" s="6"/>
      <c r="F143" s="6"/>
      <c r="G143" s="6"/>
    </row>
    <row r="144" spans="1:7" x14ac:dyDescent="0.3">
      <c r="A144" s="6">
        <v>73</v>
      </c>
      <c r="B144" s="6" t="s">
        <v>35</v>
      </c>
      <c r="C144" s="6" t="s">
        <v>44</v>
      </c>
      <c r="D144" s="6">
        <v>202.6</v>
      </c>
      <c r="E144" s="32">
        <f>AVERAGE(D143:D145)</f>
        <v>202.96666666666667</v>
      </c>
      <c r="F144" s="32">
        <f>_xlfn.STDEV.P(D143:D145)</f>
        <v>5.517447074709664</v>
      </c>
      <c r="G144" s="32">
        <f>F144*100/E144</f>
        <v>2.7184005951928056</v>
      </c>
    </row>
    <row r="145" spans="1:7" x14ac:dyDescent="0.3">
      <c r="A145" s="6">
        <v>73</v>
      </c>
      <c r="B145" s="6" t="s">
        <v>36</v>
      </c>
      <c r="C145" s="6" t="s">
        <v>44</v>
      </c>
      <c r="D145" s="6">
        <v>209.9</v>
      </c>
      <c r="E145" s="6"/>
      <c r="F145" s="6"/>
      <c r="G145" s="6"/>
    </row>
    <row r="146" spans="1:7" x14ac:dyDescent="0.3">
      <c r="A146" s="6">
        <v>97</v>
      </c>
      <c r="B146" s="6" t="s">
        <v>34</v>
      </c>
      <c r="C146" s="6" t="s">
        <v>44</v>
      </c>
      <c r="D146" s="6">
        <v>574.70000000000005</v>
      </c>
      <c r="E146" s="6"/>
      <c r="F146" s="6"/>
      <c r="G146" s="6"/>
    </row>
    <row r="147" spans="1:7" x14ac:dyDescent="0.3">
      <c r="A147" s="6">
        <v>97</v>
      </c>
      <c r="B147" s="6" t="s">
        <v>35</v>
      </c>
      <c r="C147" s="6" t="s">
        <v>44</v>
      </c>
      <c r="D147" s="6">
        <v>572.1</v>
      </c>
      <c r="E147" s="32">
        <f>AVERAGE(D146:D148)</f>
        <v>579.9666666666667</v>
      </c>
      <c r="F147" s="32">
        <f>_xlfn.STDEV.P(D146:D148)</f>
        <v>9.347132656001456</v>
      </c>
      <c r="G147" s="32">
        <f>F147*100/E147</f>
        <v>1.6116672204152174</v>
      </c>
    </row>
    <row r="148" spans="1:7" x14ac:dyDescent="0.3">
      <c r="A148" s="6">
        <v>97</v>
      </c>
      <c r="B148" s="6" t="s">
        <v>36</v>
      </c>
      <c r="C148" s="6" t="s">
        <v>44</v>
      </c>
      <c r="D148" s="6">
        <v>593.1</v>
      </c>
      <c r="E148" s="6"/>
      <c r="F148" s="6"/>
      <c r="G148" s="6"/>
    </row>
    <row r="149" spans="1:7" x14ac:dyDescent="0.3">
      <c r="A149" s="6">
        <v>121</v>
      </c>
      <c r="B149" s="6" t="s">
        <v>34</v>
      </c>
      <c r="C149" s="6" t="s">
        <v>44</v>
      </c>
      <c r="D149" s="6">
        <v>1290</v>
      </c>
      <c r="E149" s="6"/>
      <c r="F149" s="6"/>
      <c r="G149" s="6"/>
    </row>
    <row r="150" spans="1:7" x14ac:dyDescent="0.3">
      <c r="A150" s="6">
        <v>121</v>
      </c>
      <c r="B150" s="6" t="s">
        <v>35</v>
      </c>
      <c r="C150" s="6" t="s">
        <v>44</v>
      </c>
      <c r="D150" s="6">
        <v>1249</v>
      </c>
      <c r="E150" s="32">
        <f>AVERAGE(D149:D151)</f>
        <v>1277.3333333333333</v>
      </c>
      <c r="F150" s="32">
        <f>_xlfn.STDEV.P(D149:D151)</f>
        <v>20.072092289766129</v>
      </c>
      <c r="G150" s="32">
        <f>F150*100/E150</f>
        <v>1.5714059725808556</v>
      </c>
    </row>
    <row r="151" spans="1:7" x14ac:dyDescent="0.3">
      <c r="A151" s="6">
        <v>121</v>
      </c>
      <c r="B151" s="6" t="s">
        <v>36</v>
      </c>
      <c r="C151" s="6" t="s">
        <v>44</v>
      </c>
      <c r="D151" s="6">
        <v>1293</v>
      </c>
      <c r="E151" s="6"/>
      <c r="F151" s="6"/>
      <c r="G151" s="6"/>
    </row>
    <row r="152" spans="1:7" x14ac:dyDescent="0.3">
      <c r="A152" s="6">
        <v>144</v>
      </c>
      <c r="B152" s="6" t="s">
        <v>34</v>
      </c>
      <c r="C152" s="6" t="s">
        <v>44</v>
      </c>
      <c r="D152" s="6">
        <f>105.7*20</f>
        <v>2114</v>
      </c>
      <c r="E152" s="6"/>
      <c r="F152" s="6"/>
      <c r="G152" s="6"/>
    </row>
    <row r="153" spans="1:7" x14ac:dyDescent="0.3">
      <c r="A153" s="6">
        <v>144</v>
      </c>
      <c r="B153" s="6" t="s">
        <v>35</v>
      </c>
      <c r="C153" s="6" t="s">
        <v>44</v>
      </c>
      <c r="D153" s="6">
        <f>104.7*20</f>
        <v>2094</v>
      </c>
      <c r="E153" s="32">
        <f>AVERAGE(D152:D154)</f>
        <v>2089.3333333333335</v>
      </c>
      <c r="F153" s="32">
        <f>_xlfn.STDEV.P(D152:D154)</f>
        <v>22.291004663067316</v>
      </c>
      <c r="G153" s="32">
        <f>F153*100/E153</f>
        <v>1.0668955646011797</v>
      </c>
    </row>
    <row r="154" spans="1:7" x14ac:dyDescent="0.3">
      <c r="A154" s="6">
        <v>144</v>
      </c>
      <c r="B154" s="6" t="s">
        <v>36</v>
      </c>
      <c r="C154" s="6" t="s">
        <v>44</v>
      </c>
      <c r="D154" s="6">
        <f>103*20</f>
        <v>2060</v>
      </c>
      <c r="E154" s="6"/>
      <c r="F154" s="6"/>
      <c r="G154" s="6"/>
    </row>
    <row r="155" spans="1:7" x14ac:dyDescent="0.3">
      <c r="A155" s="6">
        <v>168</v>
      </c>
      <c r="B155" s="6" t="s">
        <v>34</v>
      </c>
      <c r="C155" s="6" t="s">
        <v>44</v>
      </c>
      <c r="D155" s="6">
        <v>2802</v>
      </c>
      <c r="E155" s="6"/>
      <c r="F155" s="6"/>
      <c r="G155" s="6"/>
    </row>
    <row r="156" spans="1:7" x14ac:dyDescent="0.3">
      <c r="A156" s="6">
        <v>168</v>
      </c>
      <c r="B156" s="6" t="s">
        <v>35</v>
      </c>
      <c r="C156" s="6" t="s">
        <v>44</v>
      </c>
      <c r="D156" s="6">
        <v>2798</v>
      </c>
      <c r="E156" s="32">
        <f>AVERAGE(D155:D157)</f>
        <v>2790</v>
      </c>
      <c r="F156" s="32">
        <f>_xlfn.STDEV.P(D155:D157)</f>
        <v>14.236104336041748</v>
      </c>
      <c r="G156" s="32">
        <f>F156*100/E156</f>
        <v>0.51025463570042107</v>
      </c>
    </row>
    <row r="157" spans="1:7" x14ac:dyDescent="0.3">
      <c r="A157" s="6">
        <v>168</v>
      </c>
      <c r="B157" s="6" t="s">
        <v>36</v>
      </c>
      <c r="C157" s="6" t="s">
        <v>44</v>
      </c>
      <c r="D157" s="6">
        <v>2770</v>
      </c>
      <c r="E157" s="6"/>
      <c r="F157" s="6"/>
      <c r="G157" s="6"/>
    </row>
    <row r="158" spans="1:7" x14ac:dyDescent="0.3">
      <c r="A158">
        <v>23</v>
      </c>
      <c r="B158" t="s">
        <v>34</v>
      </c>
      <c r="C158" t="s">
        <v>45</v>
      </c>
      <c r="D158">
        <v>58.09</v>
      </c>
    </row>
    <row r="159" spans="1:7" x14ac:dyDescent="0.3">
      <c r="A159">
        <v>23</v>
      </c>
      <c r="B159" t="s">
        <v>35</v>
      </c>
      <c r="C159" t="s">
        <v>45</v>
      </c>
      <c r="D159">
        <v>59.25</v>
      </c>
      <c r="E159" s="2">
        <f>AVERAGE(D158:D160)</f>
        <v>58.926666666666669</v>
      </c>
      <c r="F159" s="2">
        <f>_xlfn.STDEV.P(D158:D160)</f>
        <v>0.59667597758098123</v>
      </c>
      <c r="G159" s="2">
        <f>F159*100/E159</f>
        <v>1.0125737825223122</v>
      </c>
    </row>
    <row r="160" spans="1:7" x14ac:dyDescent="0.3">
      <c r="A160">
        <v>23</v>
      </c>
      <c r="B160" t="s">
        <v>36</v>
      </c>
      <c r="C160" t="s">
        <v>45</v>
      </c>
      <c r="D160">
        <v>59.44</v>
      </c>
    </row>
    <row r="161" spans="1:7" x14ac:dyDescent="0.3">
      <c r="A161">
        <v>47</v>
      </c>
      <c r="B161" t="s">
        <v>34</v>
      </c>
      <c r="C161" t="s">
        <v>45</v>
      </c>
      <c r="D161">
        <v>131.69999999999999</v>
      </c>
    </row>
    <row r="162" spans="1:7" x14ac:dyDescent="0.3">
      <c r="A162">
        <v>47</v>
      </c>
      <c r="B162" t="s">
        <v>35</v>
      </c>
      <c r="C162" t="s">
        <v>45</v>
      </c>
      <c r="D162">
        <v>135.1</v>
      </c>
      <c r="E162" s="2">
        <f>AVERAGE(D161:D163)</f>
        <v>132.39999999999998</v>
      </c>
      <c r="F162" s="2">
        <f>_xlfn.STDEV.P(D161:D163)</f>
        <v>1.9815818596935766</v>
      </c>
      <c r="G162" s="2">
        <f>F162*100/E162</f>
        <v>1.496663036022339</v>
      </c>
    </row>
    <row r="163" spans="1:7" x14ac:dyDescent="0.3">
      <c r="A163">
        <v>47</v>
      </c>
      <c r="B163" t="s">
        <v>36</v>
      </c>
      <c r="C163" t="s">
        <v>45</v>
      </c>
      <c r="D163">
        <v>130.4</v>
      </c>
    </row>
    <row r="164" spans="1:7" x14ac:dyDescent="0.3">
      <c r="A164">
        <v>144</v>
      </c>
      <c r="B164" t="s">
        <v>34</v>
      </c>
      <c r="C164" t="s">
        <v>45</v>
      </c>
      <c r="D164">
        <v>1757</v>
      </c>
    </row>
    <row r="165" spans="1:7" x14ac:dyDescent="0.3">
      <c r="A165">
        <v>144</v>
      </c>
      <c r="B165" t="s">
        <v>35</v>
      </c>
      <c r="C165" t="s">
        <v>45</v>
      </c>
      <c r="D165">
        <v>1676</v>
      </c>
      <c r="E165" s="2">
        <f>AVERAGE(D164:D166)</f>
        <v>1738.3333333333333</v>
      </c>
      <c r="F165" s="2">
        <f>_xlfn.STDEV.P(D164:D166)</f>
        <v>45.242556171030934</v>
      </c>
      <c r="G165" s="2">
        <f>F165*100/E165</f>
        <v>2.6026398564351449</v>
      </c>
    </row>
    <row r="166" spans="1:7" x14ac:dyDescent="0.3">
      <c r="A166">
        <v>144</v>
      </c>
      <c r="B166" t="s">
        <v>36</v>
      </c>
      <c r="C166" t="s">
        <v>45</v>
      </c>
      <c r="D166">
        <v>1782</v>
      </c>
    </row>
    <row r="167" spans="1:7" x14ac:dyDescent="0.3">
      <c r="A167">
        <v>191</v>
      </c>
      <c r="B167" t="s">
        <v>34</v>
      </c>
      <c r="C167" t="s">
        <v>45</v>
      </c>
      <c r="D167">
        <f>1442*2</f>
        <v>2884</v>
      </c>
    </row>
    <row r="168" spans="1:7" x14ac:dyDescent="0.3">
      <c r="A168">
        <v>191</v>
      </c>
      <c r="B168" t="s">
        <v>35</v>
      </c>
      <c r="C168" t="s">
        <v>45</v>
      </c>
      <c r="D168">
        <f>1410*2</f>
        <v>2820</v>
      </c>
      <c r="E168" s="2">
        <f>AVERAGE(D167:D169)</f>
        <v>2766</v>
      </c>
      <c r="F168" s="2">
        <f>_xlfn.STDEV.P(D167:D169)</f>
        <v>124.39721325924735</v>
      </c>
      <c r="G168" s="2">
        <f>F168*100/E168</f>
        <v>4.4973685198570985</v>
      </c>
    </row>
    <row r="169" spans="1:7" x14ac:dyDescent="0.3">
      <c r="A169">
        <v>191</v>
      </c>
      <c r="B169" t="s">
        <v>36</v>
      </c>
      <c r="C169" t="s">
        <v>45</v>
      </c>
      <c r="D169">
        <f>1297*2</f>
        <v>2594</v>
      </c>
    </row>
    <row r="170" spans="1:7" x14ac:dyDescent="0.3">
      <c r="A170" s="6">
        <v>70</v>
      </c>
      <c r="B170" s="6" t="s">
        <v>34</v>
      </c>
      <c r="C170" s="6" t="s">
        <v>46</v>
      </c>
      <c r="D170" s="6">
        <v>302.39999999999998</v>
      </c>
      <c r="E170" s="6"/>
      <c r="F170" s="6"/>
      <c r="G170" s="6"/>
    </row>
    <row r="171" spans="1:7" x14ac:dyDescent="0.3">
      <c r="A171" s="6">
        <v>70</v>
      </c>
      <c r="B171" s="6" t="s">
        <v>35</v>
      </c>
      <c r="C171" s="6" t="s">
        <v>46</v>
      </c>
      <c r="D171" s="6">
        <v>301.3</v>
      </c>
      <c r="E171" s="6"/>
      <c r="F171" s="6"/>
      <c r="G171" s="6"/>
    </row>
    <row r="172" spans="1:7" x14ac:dyDescent="0.3">
      <c r="A172" s="6">
        <v>70</v>
      </c>
      <c r="B172" s="6" t="s">
        <v>36</v>
      </c>
      <c r="C172" s="6" t="s">
        <v>46</v>
      </c>
      <c r="D172" s="6">
        <v>285.89999999999998</v>
      </c>
      <c r="E172" s="6"/>
      <c r="F172" s="6"/>
      <c r="G172" s="6"/>
    </row>
    <row r="173" spans="1:7" x14ac:dyDescent="0.3">
      <c r="A173" s="6">
        <v>70</v>
      </c>
      <c r="B173" s="6" t="s">
        <v>37</v>
      </c>
      <c r="C173" s="6" t="s">
        <v>46</v>
      </c>
      <c r="D173" s="6">
        <v>354.2</v>
      </c>
      <c r="E173" s="6"/>
      <c r="F173" s="6"/>
      <c r="G173" s="6"/>
    </row>
    <row r="174" spans="1:7" x14ac:dyDescent="0.3">
      <c r="A174" s="6">
        <v>70</v>
      </c>
      <c r="B174" s="6" t="s">
        <v>38</v>
      </c>
      <c r="C174" s="6" t="s">
        <v>46</v>
      </c>
      <c r="D174" s="6">
        <v>339.3</v>
      </c>
      <c r="E174" s="35">
        <f>AVERAGE(D170:D178)</f>
        <v>307.0333333333333</v>
      </c>
      <c r="F174" s="35">
        <f>_xlfn.STDEV.P(D170:D178)</f>
        <v>28.328391725930686</v>
      </c>
      <c r="G174" s="35">
        <f>F174*100/E174</f>
        <v>9.2264873713811824</v>
      </c>
    </row>
    <row r="175" spans="1:7" x14ac:dyDescent="0.3">
      <c r="A175" s="6">
        <v>70</v>
      </c>
      <c r="B175" s="6" t="s">
        <v>39</v>
      </c>
      <c r="C175" s="6" t="s">
        <v>46</v>
      </c>
      <c r="D175" s="6">
        <v>334.9</v>
      </c>
      <c r="E175" s="6"/>
      <c r="F175" s="6"/>
      <c r="G175" s="6"/>
    </row>
    <row r="176" spans="1:7" x14ac:dyDescent="0.3">
      <c r="A176" s="6">
        <v>70</v>
      </c>
      <c r="B176" s="6" t="s">
        <v>40</v>
      </c>
      <c r="C176" s="6" t="s">
        <v>46</v>
      </c>
      <c r="D176" s="6">
        <v>303.7</v>
      </c>
      <c r="E176" s="6"/>
      <c r="F176" s="6"/>
      <c r="G176" s="6"/>
    </row>
    <row r="177" spans="1:7" x14ac:dyDescent="0.3">
      <c r="A177" s="6">
        <v>70</v>
      </c>
      <c r="B177" s="6" t="s">
        <v>41</v>
      </c>
      <c r="C177" s="6" t="s">
        <v>46</v>
      </c>
      <c r="D177" s="6">
        <v>275.39999999999998</v>
      </c>
      <c r="E177" s="32"/>
      <c r="F177" s="32"/>
      <c r="G177" s="32"/>
    </row>
    <row r="178" spans="1:7" x14ac:dyDescent="0.3">
      <c r="A178" s="6">
        <v>70</v>
      </c>
      <c r="B178" s="6" t="s">
        <v>42</v>
      </c>
      <c r="C178" s="6" t="s">
        <v>46</v>
      </c>
      <c r="D178" s="6">
        <v>266.2</v>
      </c>
      <c r="E178" s="6"/>
      <c r="F178" s="6"/>
      <c r="G178" s="6"/>
    </row>
    <row r="179" spans="1:7" x14ac:dyDescent="0.3">
      <c r="A179" s="6">
        <v>118</v>
      </c>
      <c r="B179" s="6" t="s">
        <v>34</v>
      </c>
      <c r="C179" s="6" t="s">
        <v>46</v>
      </c>
      <c r="D179" s="6">
        <f>78.56*20</f>
        <v>1571.2</v>
      </c>
      <c r="E179" s="6"/>
      <c r="F179" s="6"/>
      <c r="G179" s="6"/>
    </row>
    <row r="180" spans="1:7" x14ac:dyDescent="0.3">
      <c r="A180" s="6">
        <v>118</v>
      </c>
      <c r="B180" s="6" t="s">
        <v>35</v>
      </c>
      <c r="C180" s="6" t="s">
        <v>46</v>
      </c>
      <c r="D180" s="6">
        <f>75.67*20</f>
        <v>1513.4</v>
      </c>
      <c r="E180" s="6"/>
      <c r="F180" s="6"/>
      <c r="G180" s="6"/>
    </row>
    <row r="181" spans="1:7" x14ac:dyDescent="0.3">
      <c r="A181" s="6">
        <v>118</v>
      </c>
      <c r="B181" s="6" t="s">
        <v>36</v>
      </c>
      <c r="C181" s="6" t="s">
        <v>46</v>
      </c>
      <c r="D181" s="6">
        <f>70.73*20</f>
        <v>1414.6000000000001</v>
      </c>
      <c r="E181" s="6"/>
      <c r="F181" s="6"/>
      <c r="G181" s="6"/>
    </row>
    <row r="182" spans="1:7" x14ac:dyDescent="0.3">
      <c r="A182" s="6">
        <v>118</v>
      </c>
      <c r="B182" s="6" t="s">
        <v>37</v>
      </c>
      <c r="C182" s="6" t="s">
        <v>46</v>
      </c>
      <c r="D182" s="6">
        <f>82.56*20</f>
        <v>1651.2</v>
      </c>
      <c r="E182" s="6"/>
      <c r="F182" s="6"/>
      <c r="G182" s="6"/>
    </row>
    <row r="183" spans="1:7" x14ac:dyDescent="0.3">
      <c r="A183" s="6">
        <v>118</v>
      </c>
      <c r="B183" s="6" t="s">
        <v>38</v>
      </c>
      <c r="C183" s="6" t="s">
        <v>46</v>
      </c>
      <c r="D183" s="6">
        <f>80.05*20</f>
        <v>1601</v>
      </c>
      <c r="E183" s="35">
        <f>AVERAGE(D179:D187)</f>
        <v>1550.4222222222224</v>
      </c>
      <c r="F183" s="35">
        <f>_xlfn.STDEV.P(D179:D187)</f>
        <v>70.935867401129372</v>
      </c>
      <c r="G183" s="35">
        <f>F183*100/E183</f>
        <v>4.5752612665378916</v>
      </c>
    </row>
    <row r="184" spans="1:7" x14ac:dyDescent="0.3">
      <c r="A184" s="6">
        <v>118</v>
      </c>
      <c r="B184" s="6" t="s">
        <v>39</v>
      </c>
      <c r="C184" s="6" t="s">
        <v>46</v>
      </c>
      <c r="D184" s="6">
        <f>82.02*20</f>
        <v>1640.3999999999999</v>
      </c>
      <c r="E184" s="6"/>
      <c r="F184" s="6"/>
      <c r="G184" s="6"/>
    </row>
    <row r="185" spans="1:7" x14ac:dyDescent="0.3">
      <c r="A185" s="6">
        <v>118</v>
      </c>
      <c r="B185" s="6" t="s">
        <v>40</v>
      </c>
      <c r="C185" s="6" t="s">
        <v>46</v>
      </c>
      <c r="D185" s="6">
        <f>75.28*20</f>
        <v>1505.6</v>
      </c>
      <c r="E185" s="6"/>
      <c r="F185" s="6"/>
      <c r="G185" s="6"/>
    </row>
    <row r="186" spans="1:7" x14ac:dyDescent="0.3">
      <c r="A186" s="6">
        <v>118</v>
      </c>
      <c r="B186" s="6" t="s">
        <v>41</v>
      </c>
      <c r="C186" s="6" t="s">
        <v>46</v>
      </c>
      <c r="D186" s="6">
        <f>75.17*20</f>
        <v>1503.4</v>
      </c>
      <c r="E186" s="32"/>
      <c r="F186" s="32"/>
      <c r="G186" s="32"/>
    </row>
    <row r="187" spans="1:7" x14ac:dyDescent="0.3">
      <c r="A187" s="6">
        <v>118</v>
      </c>
      <c r="B187" s="6" t="s">
        <v>42</v>
      </c>
      <c r="C187" s="6" t="s">
        <v>46</v>
      </c>
      <c r="D187" s="6">
        <f>77.65*20</f>
        <v>1553</v>
      </c>
      <c r="E187" s="6"/>
      <c r="F187" s="6"/>
      <c r="G187" s="6"/>
    </row>
    <row r="188" spans="1:7" x14ac:dyDescent="0.3">
      <c r="A188" s="6">
        <v>192</v>
      </c>
      <c r="B188" s="6" t="s">
        <v>34</v>
      </c>
      <c r="C188" s="6" t="s">
        <v>46</v>
      </c>
      <c r="D188" s="6">
        <f>140.1*20</f>
        <v>2802</v>
      </c>
      <c r="E188" s="6"/>
      <c r="F188" s="6"/>
      <c r="G188" s="6"/>
    </row>
    <row r="189" spans="1:7" x14ac:dyDescent="0.3">
      <c r="A189" s="6">
        <v>192</v>
      </c>
      <c r="B189" s="6" t="s">
        <v>35</v>
      </c>
      <c r="C189" s="6" t="s">
        <v>46</v>
      </c>
      <c r="D189" s="6">
        <f>138.4*20</f>
        <v>2768</v>
      </c>
      <c r="E189" s="6"/>
      <c r="F189" s="6"/>
      <c r="G189" s="6"/>
    </row>
    <row r="190" spans="1:7" x14ac:dyDescent="0.3">
      <c r="A190" s="6">
        <v>192</v>
      </c>
      <c r="B190" s="6" t="s">
        <v>36</v>
      </c>
      <c r="C190" s="6" t="s">
        <v>46</v>
      </c>
      <c r="D190" s="6">
        <f>137.1*20</f>
        <v>2742</v>
      </c>
      <c r="E190" s="6"/>
      <c r="F190" s="6"/>
      <c r="G190" s="6"/>
    </row>
    <row r="191" spans="1:7" x14ac:dyDescent="0.3">
      <c r="A191" s="6">
        <v>192</v>
      </c>
      <c r="B191" s="6" t="s">
        <v>37</v>
      </c>
      <c r="C191" s="6" t="s">
        <v>46</v>
      </c>
      <c r="D191" s="6">
        <f>143.8*20</f>
        <v>2876</v>
      </c>
      <c r="E191" s="6"/>
      <c r="F191" s="6"/>
      <c r="G191" s="6"/>
    </row>
    <row r="192" spans="1:7" x14ac:dyDescent="0.3">
      <c r="A192" s="6">
        <v>192</v>
      </c>
      <c r="B192" s="6" t="s">
        <v>38</v>
      </c>
      <c r="C192" s="6" t="s">
        <v>46</v>
      </c>
      <c r="D192" s="6">
        <f>142.3*20</f>
        <v>2846</v>
      </c>
      <c r="E192" s="35">
        <f>AVERAGE(D188:D196)</f>
        <v>2830.8888888888887</v>
      </c>
      <c r="F192" s="35">
        <f>_xlfn.STDEV.P(D188:D196)</f>
        <v>50.359693857608967</v>
      </c>
      <c r="G192" s="35">
        <f>F192*100/E192</f>
        <v>1.7789357277591675</v>
      </c>
    </row>
    <row r="193" spans="1:7" x14ac:dyDescent="0.3">
      <c r="A193" s="6">
        <v>192</v>
      </c>
      <c r="B193" s="6" t="s">
        <v>39</v>
      </c>
      <c r="C193" s="6" t="s">
        <v>46</v>
      </c>
      <c r="D193" s="6">
        <f>143.3*20</f>
        <v>2866</v>
      </c>
      <c r="E193" s="6"/>
      <c r="F193" s="6"/>
      <c r="G193" s="6"/>
    </row>
    <row r="194" spans="1:7" x14ac:dyDescent="0.3">
      <c r="A194" s="6">
        <v>192</v>
      </c>
      <c r="B194" s="6" t="s">
        <v>40</v>
      </c>
      <c r="C194" s="6" t="s">
        <v>46</v>
      </c>
      <c r="D194" s="6">
        <f>141.9*20</f>
        <v>2838</v>
      </c>
      <c r="E194" s="6"/>
      <c r="F194" s="6"/>
      <c r="G194" s="6"/>
    </row>
    <row r="195" spans="1:7" x14ac:dyDescent="0.3">
      <c r="A195" s="6">
        <v>192</v>
      </c>
      <c r="B195" s="6" t="s">
        <v>41</v>
      </c>
      <c r="C195" s="6" t="s">
        <v>46</v>
      </c>
      <c r="D195" s="6">
        <f>141.4*20</f>
        <v>2828</v>
      </c>
      <c r="E195" s="32"/>
      <c r="F195" s="32"/>
      <c r="G195" s="32"/>
    </row>
    <row r="196" spans="1:7" x14ac:dyDescent="0.3">
      <c r="A196" s="6">
        <v>192</v>
      </c>
      <c r="B196" s="6" t="s">
        <v>42</v>
      </c>
      <c r="C196" s="6" t="s">
        <v>46</v>
      </c>
      <c r="D196" s="6">
        <f>145.6*20</f>
        <v>2912</v>
      </c>
      <c r="E196" s="6"/>
      <c r="F196" s="6"/>
      <c r="G196" s="6"/>
    </row>
    <row r="197" spans="1:7" x14ac:dyDescent="0.3">
      <c r="A197">
        <v>71</v>
      </c>
      <c r="B197" t="s">
        <v>34</v>
      </c>
      <c r="C197" t="s">
        <v>32</v>
      </c>
      <c r="D197">
        <v>128.5</v>
      </c>
    </row>
    <row r="198" spans="1:7" x14ac:dyDescent="0.3">
      <c r="A198">
        <v>71</v>
      </c>
      <c r="B198" t="s">
        <v>35</v>
      </c>
      <c r="C198" t="s">
        <v>32</v>
      </c>
      <c r="D198">
        <v>118.1</v>
      </c>
      <c r="E198" s="2"/>
      <c r="F198" s="2"/>
      <c r="G198" s="2"/>
    </row>
    <row r="199" spans="1:7" x14ac:dyDescent="0.3">
      <c r="A199">
        <v>71</v>
      </c>
      <c r="B199" t="s">
        <v>36</v>
      </c>
      <c r="C199" t="s">
        <v>32</v>
      </c>
      <c r="D199">
        <v>116</v>
      </c>
    </row>
    <row r="200" spans="1:7" x14ac:dyDescent="0.3">
      <c r="A200">
        <v>71</v>
      </c>
      <c r="B200" t="s">
        <v>37</v>
      </c>
      <c r="C200" t="s">
        <v>32</v>
      </c>
      <c r="D200">
        <v>111.8</v>
      </c>
    </row>
    <row r="201" spans="1:7" x14ac:dyDescent="0.3">
      <c r="A201">
        <v>71</v>
      </c>
      <c r="B201" t="s">
        <v>38</v>
      </c>
      <c r="C201" t="s">
        <v>32</v>
      </c>
      <c r="D201">
        <v>106.8</v>
      </c>
      <c r="E201" s="2">
        <f>AVERAGE(D197:D205)</f>
        <v>116.5888888888889</v>
      </c>
      <c r="F201" s="2">
        <f>_xlfn.STDEV.P(D197:D205)</f>
        <v>6.0292701685554038</v>
      </c>
      <c r="G201" s="2">
        <f>F201*100/E201</f>
        <v>5.1713934543980393</v>
      </c>
    </row>
    <row r="202" spans="1:7" x14ac:dyDescent="0.3">
      <c r="A202">
        <v>71</v>
      </c>
      <c r="B202" t="s">
        <v>39</v>
      </c>
      <c r="C202" t="s">
        <v>32</v>
      </c>
      <c r="D202">
        <v>112.2</v>
      </c>
    </row>
    <row r="203" spans="1:7" x14ac:dyDescent="0.3">
      <c r="A203">
        <v>71</v>
      </c>
      <c r="B203" t="s">
        <v>40</v>
      </c>
      <c r="C203" t="s">
        <v>32</v>
      </c>
      <c r="D203">
        <v>121.7</v>
      </c>
    </row>
    <row r="204" spans="1:7" x14ac:dyDescent="0.3">
      <c r="A204">
        <v>71</v>
      </c>
      <c r="B204" t="s">
        <v>41</v>
      </c>
      <c r="C204" t="s">
        <v>32</v>
      </c>
      <c r="D204">
        <v>120.1</v>
      </c>
      <c r="E204" s="2"/>
      <c r="F204" s="2"/>
      <c r="G204" s="2"/>
    </row>
    <row r="205" spans="1:7" x14ac:dyDescent="0.3">
      <c r="A205">
        <v>71</v>
      </c>
      <c r="B205" t="s">
        <v>42</v>
      </c>
      <c r="C205" t="s">
        <v>32</v>
      </c>
      <c r="D205">
        <v>114.1</v>
      </c>
    </row>
    <row r="206" spans="1:7" x14ac:dyDescent="0.3">
      <c r="A206">
        <v>101</v>
      </c>
      <c r="B206" t="s">
        <v>34</v>
      </c>
      <c r="C206" t="s">
        <v>32</v>
      </c>
      <c r="D206">
        <v>520.6</v>
      </c>
    </row>
    <row r="207" spans="1:7" x14ac:dyDescent="0.3">
      <c r="A207">
        <v>101</v>
      </c>
      <c r="B207" t="s">
        <v>35</v>
      </c>
      <c r="C207" t="s">
        <v>32</v>
      </c>
      <c r="D207">
        <v>517.1</v>
      </c>
      <c r="E207" s="2"/>
      <c r="F207" s="2"/>
      <c r="G207" s="2"/>
    </row>
    <row r="208" spans="1:7" x14ac:dyDescent="0.3">
      <c r="A208">
        <v>101</v>
      </c>
      <c r="B208" t="s">
        <v>36</v>
      </c>
      <c r="C208" t="s">
        <v>32</v>
      </c>
      <c r="D208">
        <v>517.20000000000005</v>
      </c>
    </row>
    <row r="209" spans="1:7" x14ac:dyDescent="0.3">
      <c r="A209">
        <v>101</v>
      </c>
      <c r="B209" t="s">
        <v>37</v>
      </c>
      <c r="C209" t="s">
        <v>32</v>
      </c>
      <c r="D209">
        <v>501.4</v>
      </c>
    </row>
    <row r="210" spans="1:7" x14ac:dyDescent="0.3">
      <c r="A210">
        <v>101</v>
      </c>
      <c r="B210" t="s">
        <v>38</v>
      </c>
      <c r="C210" t="s">
        <v>32</v>
      </c>
      <c r="D210">
        <v>505.9</v>
      </c>
      <c r="E210" s="2">
        <f>AVERAGE(D206:D214)</f>
        <v>519.70000000000005</v>
      </c>
      <c r="F210" s="2">
        <f>_xlfn.STDEV.P(D206:D214)</f>
        <v>17.174787723093793</v>
      </c>
      <c r="G210" s="2">
        <f>F210*100/E210</f>
        <v>3.3047503796601485</v>
      </c>
    </row>
    <row r="211" spans="1:7" x14ac:dyDescent="0.3">
      <c r="A211">
        <v>101</v>
      </c>
      <c r="B211" t="s">
        <v>39</v>
      </c>
      <c r="C211" t="s">
        <v>32</v>
      </c>
      <c r="D211">
        <v>516.9</v>
      </c>
    </row>
    <row r="212" spans="1:7" x14ac:dyDescent="0.3">
      <c r="A212">
        <v>101</v>
      </c>
      <c r="B212" t="s">
        <v>40</v>
      </c>
      <c r="C212" t="s">
        <v>32</v>
      </c>
      <c r="D212">
        <v>542.4</v>
      </c>
    </row>
    <row r="213" spans="1:7" x14ac:dyDescent="0.3">
      <c r="A213">
        <v>101</v>
      </c>
      <c r="B213" t="s">
        <v>41</v>
      </c>
      <c r="C213" t="s">
        <v>32</v>
      </c>
      <c r="D213">
        <v>554.9</v>
      </c>
      <c r="E213" s="2"/>
      <c r="F213" s="2"/>
      <c r="G213" s="2"/>
    </row>
    <row r="214" spans="1:7" x14ac:dyDescent="0.3">
      <c r="A214">
        <v>101</v>
      </c>
      <c r="B214" t="s">
        <v>42</v>
      </c>
      <c r="C214" t="s">
        <v>32</v>
      </c>
      <c r="D214">
        <v>500.9</v>
      </c>
    </row>
    <row r="215" spans="1:7" x14ac:dyDescent="0.3">
      <c r="A215">
        <v>121</v>
      </c>
      <c r="B215" t="s">
        <v>34</v>
      </c>
      <c r="C215" t="s">
        <v>32</v>
      </c>
      <c r="D215">
        <v>1079</v>
      </c>
    </row>
    <row r="216" spans="1:7" x14ac:dyDescent="0.3">
      <c r="A216">
        <v>121</v>
      </c>
      <c r="B216" t="s">
        <v>35</v>
      </c>
      <c r="C216" t="s">
        <v>32</v>
      </c>
      <c r="D216">
        <v>1035</v>
      </c>
      <c r="E216" s="2"/>
      <c r="F216" s="2"/>
      <c r="G216" s="2"/>
    </row>
    <row r="217" spans="1:7" x14ac:dyDescent="0.3">
      <c r="A217">
        <v>121</v>
      </c>
      <c r="B217" t="s">
        <v>36</v>
      </c>
      <c r="C217" t="s">
        <v>32</v>
      </c>
      <c r="D217">
        <v>1045</v>
      </c>
    </row>
    <row r="218" spans="1:7" x14ac:dyDescent="0.3">
      <c r="A218">
        <v>121</v>
      </c>
      <c r="B218" t="s">
        <v>37</v>
      </c>
      <c r="C218" t="s">
        <v>32</v>
      </c>
      <c r="D218">
        <v>1096</v>
      </c>
    </row>
    <row r="219" spans="1:7" x14ac:dyDescent="0.3">
      <c r="A219">
        <v>121</v>
      </c>
      <c r="B219" t="s">
        <v>38</v>
      </c>
      <c r="C219" t="s">
        <v>32</v>
      </c>
      <c r="D219">
        <v>1069</v>
      </c>
      <c r="E219" s="2">
        <f>AVERAGE(D215:D223)</f>
        <v>1072.6666666666667</v>
      </c>
      <c r="F219" s="2">
        <f>_xlfn.STDEV.P(D215:D223)</f>
        <v>22.949219304078003</v>
      </c>
      <c r="G219" s="2">
        <f>F219*100/E219</f>
        <v>2.1394548760793661</v>
      </c>
    </row>
    <row r="220" spans="1:7" x14ac:dyDescent="0.3">
      <c r="A220">
        <v>121</v>
      </c>
      <c r="B220" t="s">
        <v>39</v>
      </c>
      <c r="C220" t="s">
        <v>32</v>
      </c>
      <c r="D220">
        <v>1063</v>
      </c>
    </row>
    <row r="221" spans="1:7" x14ac:dyDescent="0.3">
      <c r="A221">
        <v>121</v>
      </c>
      <c r="B221" t="s">
        <v>40</v>
      </c>
      <c r="C221" t="s">
        <v>32</v>
      </c>
      <c r="D221">
        <v>1063</v>
      </c>
    </row>
    <row r="222" spans="1:7" x14ac:dyDescent="0.3">
      <c r="A222">
        <v>121</v>
      </c>
      <c r="B222" t="s">
        <v>41</v>
      </c>
      <c r="C222" t="s">
        <v>32</v>
      </c>
      <c r="D222">
        <v>1097</v>
      </c>
      <c r="E222" s="2"/>
      <c r="F222" s="2"/>
      <c r="G222" s="2"/>
    </row>
    <row r="223" spans="1:7" x14ac:dyDescent="0.3">
      <c r="A223">
        <v>121</v>
      </c>
      <c r="B223" t="s">
        <v>42</v>
      </c>
      <c r="C223" t="s">
        <v>32</v>
      </c>
      <c r="D223">
        <v>1107</v>
      </c>
    </row>
    <row r="224" spans="1:7" x14ac:dyDescent="0.3">
      <c r="A224">
        <v>168</v>
      </c>
      <c r="B224" t="s">
        <v>34</v>
      </c>
      <c r="C224" t="s">
        <v>32</v>
      </c>
      <c r="D224">
        <f>123.3*20</f>
        <v>2466</v>
      </c>
    </row>
    <row r="225" spans="1:7" x14ac:dyDescent="0.3">
      <c r="A225">
        <v>168</v>
      </c>
      <c r="B225" t="s">
        <v>35</v>
      </c>
      <c r="C225" t="s">
        <v>32</v>
      </c>
      <c r="D225">
        <f>120.5*20</f>
        <v>2410</v>
      </c>
      <c r="E225" s="2"/>
      <c r="F225" s="2"/>
      <c r="G225" s="2"/>
    </row>
    <row r="226" spans="1:7" x14ac:dyDescent="0.3">
      <c r="A226">
        <v>168</v>
      </c>
      <c r="B226" t="s">
        <v>36</v>
      </c>
      <c r="C226" t="s">
        <v>32</v>
      </c>
      <c r="D226">
        <f>124.3*20</f>
        <v>2486</v>
      </c>
    </row>
    <row r="227" spans="1:7" x14ac:dyDescent="0.3">
      <c r="A227">
        <v>168</v>
      </c>
      <c r="B227" t="s">
        <v>37</v>
      </c>
      <c r="C227" t="s">
        <v>32</v>
      </c>
      <c r="D227">
        <f>127*20</f>
        <v>2540</v>
      </c>
    </row>
    <row r="228" spans="1:7" x14ac:dyDescent="0.3">
      <c r="A228">
        <v>168</v>
      </c>
      <c r="B228" t="s">
        <v>38</v>
      </c>
      <c r="C228" t="s">
        <v>32</v>
      </c>
      <c r="D228">
        <f>125.5*20</f>
        <v>2510</v>
      </c>
      <c r="E228" s="2">
        <f>AVERAGE(D224:D232)</f>
        <v>2480.8888888888887</v>
      </c>
      <c r="F228" s="2">
        <f>_xlfn.STDEV.P(D224:D232)</f>
        <v>48.626568970847032</v>
      </c>
      <c r="G228" s="2">
        <f>F228*100/E228</f>
        <v>1.960046223296414</v>
      </c>
    </row>
    <row r="229" spans="1:7" x14ac:dyDescent="0.3">
      <c r="A229">
        <v>168</v>
      </c>
      <c r="B229" t="s">
        <v>39</v>
      </c>
      <c r="C229" t="s">
        <v>32</v>
      </c>
      <c r="D229">
        <f>120.7*20</f>
        <v>2414</v>
      </c>
    </row>
    <row r="230" spans="1:7" x14ac:dyDescent="0.3">
      <c r="A230">
        <v>168</v>
      </c>
      <c r="B230" t="s">
        <v>40</v>
      </c>
      <c r="C230" t="s">
        <v>32</v>
      </c>
      <c r="D230">
        <f>121.9*20</f>
        <v>2438</v>
      </c>
    </row>
    <row r="231" spans="1:7" x14ac:dyDescent="0.3">
      <c r="A231">
        <v>168</v>
      </c>
      <c r="B231" t="s">
        <v>41</v>
      </c>
      <c r="C231" t="s">
        <v>32</v>
      </c>
      <c r="D231">
        <f>127*20</f>
        <v>2540</v>
      </c>
      <c r="E231" s="2"/>
      <c r="F231" s="2"/>
      <c r="G231" s="2"/>
    </row>
    <row r="232" spans="1:7" x14ac:dyDescent="0.3">
      <c r="A232">
        <v>168</v>
      </c>
      <c r="B232" t="s">
        <v>42</v>
      </c>
      <c r="C232" t="s">
        <v>32</v>
      </c>
      <c r="D232">
        <f>126.2*20</f>
        <v>2524</v>
      </c>
    </row>
    <row r="233" spans="1:7" x14ac:dyDescent="0.3">
      <c r="A233" s="6">
        <v>68</v>
      </c>
      <c r="B233" s="6" t="s">
        <v>34</v>
      </c>
      <c r="C233" s="6" t="s">
        <v>33</v>
      </c>
      <c r="D233" s="6">
        <v>363.9</v>
      </c>
      <c r="E233" s="6"/>
      <c r="F233" s="6"/>
      <c r="G233" s="6"/>
    </row>
    <row r="234" spans="1:7" x14ac:dyDescent="0.3">
      <c r="A234" s="6">
        <v>68</v>
      </c>
      <c r="B234" s="6" t="s">
        <v>35</v>
      </c>
      <c r="C234" s="6" t="s">
        <v>33</v>
      </c>
      <c r="D234" s="6">
        <v>392.6</v>
      </c>
      <c r="E234" s="6"/>
      <c r="F234" s="6"/>
      <c r="G234" s="6"/>
    </row>
    <row r="235" spans="1:7" x14ac:dyDescent="0.3">
      <c r="A235" s="6">
        <v>68</v>
      </c>
      <c r="B235" s="6" t="s">
        <v>36</v>
      </c>
      <c r="C235" s="6" t="s">
        <v>33</v>
      </c>
      <c r="D235" s="6">
        <v>399.6</v>
      </c>
      <c r="E235" s="6"/>
      <c r="F235" s="6"/>
      <c r="G235" s="6"/>
    </row>
    <row r="236" spans="1:7" x14ac:dyDescent="0.3">
      <c r="A236" s="6">
        <v>68</v>
      </c>
      <c r="B236" s="6" t="s">
        <v>37</v>
      </c>
      <c r="C236" s="6" t="s">
        <v>33</v>
      </c>
      <c r="D236" s="6">
        <v>387.6</v>
      </c>
      <c r="E236" s="6"/>
      <c r="F236" s="6"/>
      <c r="G236" s="6"/>
    </row>
    <row r="237" spans="1:7" x14ac:dyDescent="0.3">
      <c r="A237" s="6">
        <v>68</v>
      </c>
      <c r="B237" s="6" t="s">
        <v>38</v>
      </c>
      <c r="C237" s="6" t="s">
        <v>33</v>
      </c>
      <c r="D237" s="6">
        <v>399.5</v>
      </c>
      <c r="E237" s="35">
        <f>AVERAGE(D233:D241)</f>
        <v>384.9444444444444</v>
      </c>
      <c r="F237" s="35">
        <f>_xlfn.STDEV.P(D233:D241)</f>
        <v>13.107259321215118</v>
      </c>
      <c r="G237" s="35">
        <f>F237*100/E237</f>
        <v>3.4049742788551325</v>
      </c>
    </row>
    <row r="238" spans="1:7" x14ac:dyDescent="0.3">
      <c r="A238" s="6">
        <v>68</v>
      </c>
      <c r="B238" s="6" t="s">
        <v>39</v>
      </c>
      <c r="C238" s="6" t="s">
        <v>33</v>
      </c>
      <c r="D238" s="6">
        <v>397.2</v>
      </c>
      <c r="E238" s="6"/>
      <c r="F238" s="6"/>
      <c r="G238" s="6"/>
    </row>
    <row r="239" spans="1:7" x14ac:dyDescent="0.3">
      <c r="A239" s="6">
        <v>68</v>
      </c>
      <c r="B239" s="6" t="s">
        <v>40</v>
      </c>
      <c r="C239" s="6" t="s">
        <v>33</v>
      </c>
      <c r="D239" s="6">
        <v>365.4</v>
      </c>
      <c r="E239" s="6"/>
      <c r="F239" s="6"/>
      <c r="G239" s="6"/>
    </row>
    <row r="240" spans="1:7" x14ac:dyDescent="0.3">
      <c r="A240" s="6">
        <v>68</v>
      </c>
      <c r="B240" s="6" t="s">
        <v>41</v>
      </c>
      <c r="C240" s="6" t="s">
        <v>33</v>
      </c>
      <c r="D240" s="6">
        <v>382.2</v>
      </c>
      <c r="E240" s="32"/>
      <c r="F240" s="32"/>
      <c r="G240" s="32"/>
    </row>
    <row r="241" spans="1:7" x14ac:dyDescent="0.3">
      <c r="A241" s="6">
        <v>68</v>
      </c>
      <c r="B241" s="6" t="s">
        <v>42</v>
      </c>
      <c r="C241" s="6" t="s">
        <v>33</v>
      </c>
      <c r="D241" s="6">
        <v>376.5</v>
      </c>
      <c r="E241" s="6"/>
      <c r="F241" s="6"/>
      <c r="G241" s="6"/>
    </row>
    <row r="242" spans="1:7" x14ac:dyDescent="0.3">
      <c r="A242" s="6">
        <v>115</v>
      </c>
      <c r="B242" s="6" t="s">
        <v>34</v>
      </c>
      <c r="C242" s="6" t="s">
        <v>33</v>
      </c>
      <c r="D242" s="6">
        <f>79*20</f>
        <v>1580</v>
      </c>
      <c r="E242" s="6"/>
      <c r="F242" s="6"/>
      <c r="G242" s="6"/>
    </row>
    <row r="243" spans="1:7" x14ac:dyDescent="0.3">
      <c r="A243" s="6">
        <v>115</v>
      </c>
      <c r="B243" s="6" t="s">
        <v>35</v>
      </c>
      <c r="C243" s="6" t="s">
        <v>33</v>
      </c>
      <c r="D243" s="6">
        <f>67.38*20</f>
        <v>1347.6</v>
      </c>
      <c r="E243" s="6"/>
      <c r="F243" s="6"/>
      <c r="G243" s="6"/>
    </row>
    <row r="244" spans="1:7" x14ac:dyDescent="0.3">
      <c r="A244" s="6">
        <v>115</v>
      </c>
      <c r="B244" s="6" t="s">
        <v>36</v>
      </c>
      <c r="C244" s="6" t="s">
        <v>33</v>
      </c>
      <c r="D244" s="6">
        <f>72.54*20</f>
        <v>1450.8000000000002</v>
      </c>
      <c r="E244" s="6"/>
      <c r="F244" s="6"/>
      <c r="G244" s="6"/>
    </row>
    <row r="245" spans="1:7" x14ac:dyDescent="0.3">
      <c r="A245" s="6">
        <v>115</v>
      </c>
      <c r="B245" s="6" t="s">
        <v>37</v>
      </c>
      <c r="C245" s="6" t="s">
        <v>33</v>
      </c>
      <c r="D245" s="6">
        <f>76.49*20</f>
        <v>1529.8</v>
      </c>
      <c r="E245" s="6"/>
      <c r="F245" s="6"/>
      <c r="G245" s="6"/>
    </row>
    <row r="246" spans="1:7" x14ac:dyDescent="0.3">
      <c r="A246" s="6">
        <v>115</v>
      </c>
      <c r="B246" s="6" t="s">
        <v>38</v>
      </c>
      <c r="C246" s="6" t="s">
        <v>33</v>
      </c>
      <c r="D246" s="6">
        <f>81.28*20</f>
        <v>1625.6</v>
      </c>
      <c r="E246" s="35">
        <f>AVERAGE(D242:D250)</f>
        <v>1515.2</v>
      </c>
      <c r="F246" s="35">
        <f>_xlfn.STDEV.P(D242:D250)</f>
        <v>95.557824262473545</v>
      </c>
      <c r="G246" s="35">
        <f>F246*100/E246</f>
        <v>6.3066145896563848</v>
      </c>
    </row>
    <row r="247" spans="1:7" x14ac:dyDescent="0.3">
      <c r="A247" s="6">
        <v>115</v>
      </c>
      <c r="B247" s="6" t="s">
        <v>39</v>
      </c>
      <c r="C247" s="6" t="s">
        <v>33</v>
      </c>
      <c r="D247" s="6">
        <f>82.36*20</f>
        <v>1647.2</v>
      </c>
      <c r="E247" s="6"/>
      <c r="F247" s="6"/>
      <c r="G247" s="6"/>
    </row>
    <row r="248" spans="1:7" x14ac:dyDescent="0.3">
      <c r="A248" s="6">
        <v>115</v>
      </c>
      <c r="B248" s="6" t="s">
        <v>40</v>
      </c>
      <c r="C248" s="6" t="s">
        <v>33</v>
      </c>
      <c r="D248" s="6">
        <f>71.21*20</f>
        <v>1424.1999999999998</v>
      </c>
      <c r="E248" s="6"/>
      <c r="F248" s="6"/>
      <c r="G248" s="6"/>
    </row>
    <row r="249" spans="1:7" x14ac:dyDescent="0.3">
      <c r="A249" s="6">
        <v>115</v>
      </c>
      <c r="B249" s="6" t="s">
        <v>41</v>
      </c>
      <c r="C249" s="6" t="s">
        <v>33</v>
      </c>
      <c r="D249" s="6">
        <f>72.7*20</f>
        <v>1454</v>
      </c>
      <c r="E249" s="32"/>
      <c r="F249" s="32"/>
      <c r="G249" s="32"/>
    </row>
    <row r="250" spans="1:7" x14ac:dyDescent="0.3">
      <c r="A250" s="6">
        <v>115</v>
      </c>
      <c r="B250" s="6" t="s">
        <v>42</v>
      </c>
      <c r="C250" s="6" t="s">
        <v>33</v>
      </c>
      <c r="D250" s="6">
        <f>78.88*20</f>
        <v>1577.6</v>
      </c>
      <c r="E250" s="6"/>
      <c r="F250" s="6"/>
      <c r="G250" s="6"/>
    </row>
    <row r="251" spans="1:7" x14ac:dyDescent="0.3">
      <c r="A251" s="6">
        <v>141</v>
      </c>
      <c r="B251" s="6" t="s">
        <v>34</v>
      </c>
      <c r="C251" s="6" t="s">
        <v>33</v>
      </c>
      <c r="D251" s="6">
        <f>119.8*20</f>
        <v>2396</v>
      </c>
      <c r="E251" s="6"/>
      <c r="F251" s="6"/>
      <c r="G251" s="6"/>
    </row>
    <row r="252" spans="1:7" x14ac:dyDescent="0.3">
      <c r="A252" s="6">
        <v>141</v>
      </c>
      <c r="B252" s="6" t="s">
        <v>35</v>
      </c>
      <c r="C252" s="6" t="s">
        <v>33</v>
      </c>
      <c r="D252" s="6">
        <f>114.1*20</f>
        <v>2282</v>
      </c>
      <c r="E252" s="6"/>
      <c r="F252" s="6"/>
      <c r="G252" s="6"/>
    </row>
    <row r="253" spans="1:7" x14ac:dyDescent="0.3">
      <c r="A253" s="6">
        <v>141</v>
      </c>
      <c r="B253" s="6" t="s">
        <v>36</v>
      </c>
      <c r="C253" s="6" t="s">
        <v>33</v>
      </c>
      <c r="D253" s="6">
        <f>116.8*20</f>
        <v>2336</v>
      </c>
      <c r="E253" s="6"/>
      <c r="F253" s="6"/>
      <c r="G253" s="6"/>
    </row>
    <row r="254" spans="1:7" x14ac:dyDescent="0.3">
      <c r="A254" s="6">
        <v>141</v>
      </c>
      <c r="B254" s="6" t="s">
        <v>37</v>
      </c>
      <c r="C254" s="6" t="s">
        <v>33</v>
      </c>
      <c r="D254" s="6">
        <f>119.6*20</f>
        <v>2392</v>
      </c>
      <c r="E254" s="6"/>
      <c r="F254" s="6"/>
      <c r="G254" s="6"/>
    </row>
    <row r="255" spans="1:7" x14ac:dyDescent="0.3">
      <c r="A255" s="6">
        <v>141</v>
      </c>
      <c r="B255" s="6" t="s">
        <v>38</v>
      </c>
      <c r="C255" s="6" t="s">
        <v>33</v>
      </c>
      <c r="D255" s="6">
        <f>125.7*20</f>
        <v>2514</v>
      </c>
      <c r="E255" s="35">
        <f>AVERAGE(D251:D259)</f>
        <v>2426.4444444444443</v>
      </c>
      <c r="F255" s="35">
        <f>_xlfn.STDEV.P(D251:D259)</f>
        <v>88.326554596641998</v>
      </c>
      <c r="G255" s="35">
        <f>F255*100/E255</f>
        <v>3.6401638949069421</v>
      </c>
    </row>
    <row r="256" spans="1:7" x14ac:dyDescent="0.3">
      <c r="A256" s="6">
        <v>141</v>
      </c>
      <c r="B256" s="6" t="s">
        <v>39</v>
      </c>
      <c r="C256" s="6" t="s">
        <v>33</v>
      </c>
      <c r="D256" s="6">
        <f>118.7*20</f>
        <v>2374</v>
      </c>
      <c r="E256" s="6"/>
      <c r="F256" s="6"/>
      <c r="G256" s="6"/>
    </row>
    <row r="257" spans="1:7" x14ac:dyDescent="0.3">
      <c r="A257" s="6">
        <v>141</v>
      </c>
      <c r="B257" s="6" t="s">
        <v>40</v>
      </c>
      <c r="C257" s="6" t="s">
        <v>33</v>
      </c>
      <c r="D257" s="6">
        <f>127.6*20</f>
        <v>2552</v>
      </c>
      <c r="E257" s="6"/>
      <c r="F257" s="6"/>
      <c r="G257" s="6"/>
    </row>
    <row r="258" spans="1:7" x14ac:dyDescent="0.3">
      <c r="A258" s="6">
        <v>141</v>
      </c>
      <c r="B258" s="6" t="s">
        <v>41</v>
      </c>
      <c r="C258" s="6" t="s">
        <v>33</v>
      </c>
      <c r="D258" s="6">
        <f>122.8*20</f>
        <v>2456</v>
      </c>
      <c r="E258" s="32"/>
      <c r="F258" s="32"/>
      <c r="G258" s="32"/>
    </row>
    <row r="259" spans="1:7" x14ac:dyDescent="0.3">
      <c r="A259" s="6">
        <v>141</v>
      </c>
      <c r="B259" s="6" t="s">
        <v>42</v>
      </c>
      <c r="C259" s="6" t="s">
        <v>33</v>
      </c>
      <c r="D259" s="6">
        <f>126.8*20</f>
        <v>2536</v>
      </c>
      <c r="E259" s="6"/>
      <c r="F259" s="6"/>
      <c r="G259" s="6"/>
    </row>
    <row r="260" spans="1:7" x14ac:dyDescent="0.3">
      <c r="A260" s="6">
        <v>187</v>
      </c>
      <c r="B260" s="6" t="s">
        <v>34</v>
      </c>
      <c r="C260" s="6" t="s">
        <v>33</v>
      </c>
      <c r="D260" s="6">
        <f>142*20</f>
        <v>2840</v>
      </c>
      <c r="E260" s="6"/>
      <c r="F260" s="6"/>
      <c r="G260" s="6"/>
    </row>
    <row r="261" spans="1:7" x14ac:dyDescent="0.3">
      <c r="A261" s="6">
        <v>187</v>
      </c>
      <c r="B261" s="6" t="s">
        <v>35</v>
      </c>
      <c r="C261" s="6" t="s">
        <v>33</v>
      </c>
      <c r="D261" s="6">
        <f>138.8*20</f>
        <v>2776</v>
      </c>
      <c r="E261" s="6"/>
      <c r="F261" s="6"/>
      <c r="G261" s="6"/>
    </row>
    <row r="262" spans="1:7" x14ac:dyDescent="0.3">
      <c r="A262" s="6">
        <v>187</v>
      </c>
      <c r="B262" s="6" t="s">
        <v>36</v>
      </c>
      <c r="C262" s="6" t="s">
        <v>33</v>
      </c>
      <c r="D262" s="6">
        <f>138.6*20</f>
        <v>2772</v>
      </c>
      <c r="E262" s="6"/>
      <c r="F262" s="6"/>
      <c r="G262" s="6"/>
    </row>
    <row r="263" spans="1:7" x14ac:dyDescent="0.3">
      <c r="A263" s="6">
        <v>187</v>
      </c>
      <c r="B263" s="6" t="s">
        <v>37</v>
      </c>
      <c r="C263" s="6" t="s">
        <v>33</v>
      </c>
      <c r="D263" s="6">
        <f>142.2*20</f>
        <v>2844</v>
      </c>
      <c r="E263" s="6"/>
      <c r="F263" s="6"/>
      <c r="G263" s="6"/>
    </row>
    <row r="264" spans="1:7" x14ac:dyDescent="0.3">
      <c r="A264" s="6">
        <v>187</v>
      </c>
      <c r="B264" s="6" t="s">
        <v>38</v>
      </c>
      <c r="C264" s="6" t="s">
        <v>33</v>
      </c>
      <c r="D264" s="6">
        <f>144.1*20</f>
        <v>2882</v>
      </c>
      <c r="E264" s="35">
        <f>AVERAGE(D260:D268)</f>
        <v>2826.2222222222222</v>
      </c>
      <c r="F264" s="35">
        <f>_xlfn.STDEV.P(D260:D268)</f>
        <v>36.104101883851179</v>
      </c>
      <c r="G264" s="35">
        <f>F264*100/E264</f>
        <v>1.2774686151700765</v>
      </c>
    </row>
    <row r="265" spans="1:7" x14ac:dyDescent="0.3">
      <c r="A265" s="6">
        <v>187</v>
      </c>
      <c r="B265" s="6" t="s">
        <v>39</v>
      </c>
      <c r="C265" s="6" t="s">
        <v>33</v>
      </c>
      <c r="D265" s="6">
        <f>142.9*20</f>
        <v>2858</v>
      </c>
      <c r="E265" s="6"/>
      <c r="F265" s="6"/>
      <c r="G265" s="6"/>
    </row>
    <row r="266" spans="1:7" x14ac:dyDescent="0.3">
      <c r="A266" s="6">
        <v>187</v>
      </c>
      <c r="B266" s="6" t="s">
        <v>40</v>
      </c>
      <c r="C266" s="6" t="s">
        <v>33</v>
      </c>
      <c r="D266" s="6">
        <f>142.5*20</f>
        <v>2850</v>
      </c>
      <c r="E266" s="6"/>
      <c r="F266" s="6"/>
      <c r="G266" s="6"/>
    </row>
    <row r="267" spans="1:7" x14ac:dyDescent="0.3">
      <c r="A267" s="6">
        <v>187</v>
      </c>
      <c r="B267" s="6" t="s">
        <v>41</v>
      </c>
      <c r="C267" s="6" t="s">
        <v>33</v>
      </c>
      <c r="D267" s="6">
        <f>141*20</f>
        <v>2820</v>
      </c>
      <c r="E267" s="32"/>
      <c r="F267" s="32"/>
      <c r="G267" s="32"/>
    </row>
    <row r="268" spans="1:7" x14ac:dyDescent="0.3">
      <c r="A268" s="6">
        <v>187</v>
      </c>
      <c r="B268" s="6" t="s">
        <v>42</v>
      </c>
      <c r="C268" s="6" t="s">
        <v>33</v>
      </c>
      <c r="D268" s="6">
        <f>139.7*20</f>
        <v>2794</v>
      </c>
      <c r="E268" s="6"/>
      <c r="F268" s="6"/>
      <c r="G26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1329E-829F-4B72-87E1-8B3652E78E43}">
  <sheetPr>
    <tabColor theme="4" tint="-0.249977111117893"/>
  </sheetPr>
  <dimension ref="A1:L49"/>
  <sheetViews>
    <sheetView topLeftCell="A10" zoomScale="59" workbookViewId="0">
      <selection activeCell="K2" sqref="K2"/>
    </sheetView>
  </sheetViews>
  <sheetFormatPr defaultRowHeight="14.4" x14ac:dyDescent="0.3"/>
  <cols>
    <col min="1" max="1" width="27.77734375" customWidth="1"/>
    <col min="2" max="3" width="10.21875" customWidth="1"/>
    <col min="4" max="4" width="21.88671875" customWidth="1"/>
    <col min="5" max="5" width="14.6640625" customWidth="1"/>
    <col min="6" max="6" width="15.109375" customWidth="1"/>
    <col min="7" max="7" width="30.44140625" customWidth="1"/>
    <col min="8" max="8" width="17.109375" customWidth="1"/>
    <col min="9" max="9" width="21.88671875" customWidth="1"/>
    <col min="10" max="10" width="20.5546875" customWidth="1"/>
    <col min="11" max="11" width="19.33203125" customWidth="1"/>
  </cols>
  <sheetData>
    <row r="1" spans="1:11" s="5" customFormat="1" ht="40.799999999999997" customHeight="1" x14ac:dyDescent="0.3">
      <c r="A1" s="4" t="s">
        <v>6</v>
      </c>
      <c r="B1" s="15" t="s">
        <v>1</v>
      </c>
      <c r="C1" s="15" t="s">
        <v>10</v>
      </c>
      <c r="D1" s="15" t="s">
        <v>7</v>
      </c>
      <c r="E1" s="4" t="s">
        <v>30</v>
      </c>
      <c r="F1" s="4" t="s">
        <v>8</v>
      </c>
      <c r="G1" s="4" t="s">
        <v>29</v>
      </c>
      <c r="H1" s="4" t="s">
        <v>28</v>
      </c>
      <c r="I1" s="23" t="s">
        <v>49</v>
      </c>
      <c r="J1" s="23" t="s">
        <v>50</v>
      </c>
      <c r="K1" s="23" t="s">
        <v>51</v>
      </c>
    </row>
    <row r="2" spans="1:11" s="5" customFormat="1" ht="14.4" customHeight="1" x14ac:dyDescent="0.3">
      <c r="A2" s="36" t="s">
        <v>16</v>
      </c>
      <c r="B2" s="16" t="s">
        <v>34</v>
      </c>
      <c r="C2" t="s">
        <v>20</v>
      </c>
      <c r="D2">
        <v>2000</v>
      </c>
      <c r="E2">
        <f>1000/D2</f>
        <v>0.5</v>
      </c>
      <c r="F2" s="18">
        <v>40.21</v>
      </c>
      <c r="G2" s="3">
        <f>(F2/2)*E2*100</f>
        <v>1005.25</v>
      </c>
      <c r="H2"/>
      <c r="I2" s="3">
        <f>G2/2</f>
        <v>502.625</v>
      </c>
      <c r="J2"/>
      <c r="K2"/>
    </row>
    <row r="3" spans="1:11" s="5" customFormat="1" ht="14.4" customHeight="1" x14ac:dyDescent="0.3">
      <c r="A3" s="36" t="s">
        <v>16</v>
      </c>
      <c r="B3" s="16" t="s">
        <v>35</v>
      </c>
      <c r="C3" t="s">
        <v>20</v>
      </c>
      <c r="D3">
        <v>2000</v>
      </c>
      <c r="E3">
        <f t="shared" ref="E3:E4" si="0">1000/D3</f>
        <v>0.5</v>
      </c>
      <c r="F3" s="18">
        <v>79.7</v>
      </c>
      <c r="G3" s="3">
        <f t="shared" ref="G3:G4" si="1">(F3/2)*E3*100</f>
        <v>1992.5</v>
      </c>
      <c r="H3" s="3">
        <f>AVERAGE(G2:G4)</f>
        <v>2023.4166666666667</v>
      </c>
      <c r="I3" s="3">
        <f t="shared" ref="I3:I16" si="2">G3/2</f>
        <v>996.25</v>
      </c>
      <c r="J3" s="3">
        <f>AVERAGE(I2:I4)</f>
        <v>1011.7083333333334</v>
      </c>
      <c r="K3" s="3">
        <f>_xlfn.STDEV.P(I2:I4)</f>
        <v>422.1171876847576</v>
      </c>
    </row>
    <row r="4" spans="1:11" s="5" customFormat="1" ht="14.4" customHeight="1" x14ac:dyDescent="0.3">
      <c r="A4" s="36" t="s">
        <v>16</v>
      </c>
      <c r="B4" s="16" t="s">
        <v>36</v>
      </c>
      <c r="C4" t="s">
        <v>20</v>
      </c>
      <c r="D4">
        <v>2000</v>
      </c>
      <c r="E4">
        <f t="shared" si="0"/>
        <v>0.5</v>
      </c>
      <c r="F4" s="18">
        <v>122.9</v>
      </c>
      <c r="G4" s="3">
        <f t="shared" si="1"/>
        <v>3072.5</v>
      </c>
      <c r="H4"/>
      <c r="I4" s="3">
        <f t="shared" si="2"/>
        <v>1536.25</v>
      </c>
      <c r="J4"/>
      <c r="K4"/>
    </row>
    <row r="5" spans="1:11" s="5" customFormat="1" ht="14.4" customHeight="1" x14ac:dyDescent="0.3">
      <c r="A5" s="36"/>
      <c r="B5" s="16"/>
      <c r="C5" s="37"/>
      <c r="D5" s="37"/>
      <c r="E5" s="13"/>
      <c r="F5" s="13"/>
      <c r="G5" s="13"/>
      <c r="H5" s="13"/>
      <c r="I5" s="3"/>
      <c r="J5" s="13"/>
      <c r="K5" s="13"/>
    </row>
    <row r="6" spans="1:11" s="5" customFormat="1" ht="14.4" customHeight="1" x14ac:dyDescent="0.3">
      <c r="A6" s="36" t="s">
        <v>15</v>
      </c>
      <c r="B6" s="16" t="s">
        <v>34</v>
      </c>
      <c r="C6" t="s">
        <v>20</v>
      </c>
      <c r="D6">
        <v>2000</v>
      </c>
      <c r="E6">
        <f>1000/D6</f>
        <v>0.5</v>
      </c>
      <c r="F6" s="18">
        <v>5793</v>
      </c>
      <c r="G6" s="3">
        <f>(F6/2)*E6*100</f>
        <v>144825</v>
      </c>
      <c r="H6"/>
      <c r="I6" s="3">
        <f t="shared" si="2"/>
        <v>72412.5</v>
      </c>
      <c r="J6"/>
      <c r="K6"/>
    </row>
    <row r="7" spans="1:11" s="5" customFormat="1" ht="14.4" customHeight="1" x14ac:dyDescent="0.3">
      <c r="A7" s="36" t="s">
        <v>15</v>
      </c>
      <c r="B7" s="16" t="s">
        <v>35</v>
      </c>
      <c r="C7" t="s">
        <v>20</v>
      </c>
      <c r="D7">
        <v>2000</v>
      </c>
      <c r="E7">
        <f t="shared" ref="E7:E12" si="3">1000/D7</f>
        <v>0.5</v>
      </c>
      <c r="F7" s="18">
        <v>2724</v>
      </c>
      <c r="G7" s="3">
        <f t="shared" ref="G7:G14" si="4">(F7/2)*E7*100</f>
        <v>68100</v>
      </c>
      <c r="H7" s="3">
        <f>AVERAGE(G6:G8)</f>
        <v>127291.66666666667</v>
      </c>
      <c r="I7" s="3">
        <f t="shared" si="2"/>
        <v>34050</v>
      </c>
      <c r="J7" s="3">
        <f>AVERAGE(I6:I8)</f>
        <v>63645.833333333336</v>
      </c>
      <c r="K7" s="3">
        <f>_xlfn.STDEV.P(I6:I8)</f>
        <v>21499.00756753411</v>
      </c>
    </row>
    <row r="8" spans="1:11" s="5" customFormat="1" ht="14.4" customHeight="1" x14ac:dyDescent="0.3">
      <c r="A8" s="36" t="s">
        <v>15</v>
      </c>
      <c r="B8" s="16" t="s">
        <v>36</v>
      </c>
      <c r="C8" t="s">
        <v>20</v>
      </c>
      <c r="D8">
        <v>2000</v>
      </c>
      <c r="E8">
        <f t="shared" si="3"/>
        <v>0.5</v>
      </c>
      <c r="F8" s="18">
        <v>6758</v>
      </c>
      <c r="G8" s="3">
        <f t="shared" si="4"/>
        <v>168950</v>
      </c>
      <c r="H8"/>
      <c r="I8" s="3">
        <f t="shared" si="2"/>
        <v>84475</v>
      </c>
      <c r="J8"/>
      <c r="K8"/>
    </row>
    <row r="9" spans="1:11" s="5" customFormat="1" ht="14.4" customHeight="1" x14ac:dyDescent="0.3">
      <c r="A9"/>
      <c r="B9" s="38"/>
      <c r="C9"/>
      <c r="D9"/>
      <c r="E9"/>
      <c r="F9" s="18"/>
      <c r="G9" s="3"/>
      <c r="H9"/>
      <c r="I9" s="3"/>
      <c r="J9"/>
      <c r="K9"/>
    </row>
    <row r="10" spans="1:11" s="5" customFormat="1" ht="14.4" customHeight="1" x14ac:dyDescent="0.3">
      <c r="A10" t="s">
        <v>47</v>
      </c>
      <c r="B10" s="16" t="s">
        <v>34</v>
      </c>
      <c r="C10" t="s">
        <v>20</v>
      </c>
      <c r="D10">
        <v>200</v>
      </c>
      <c r="E10">
        <f t="shared" si="3"/>
        <v>5</v>
      </c>
      <c r="F10" s="18">
        <v>13190</v>
      </c>
      <c r="G10" s="3">
        <f t="shared" si="4"/>
        <v>3297500</v>
      </c>
      <c r="H10"/>
      <c r="I10" s="3">
        <f t="shared" si="2"/>
        <v>1648750</v>
      </c>
      <c r="J10"/>
      <c r="K10"/>
    </row>
    <row r="11" spans="1:11" s="5" customFormat="1" ht="14.4" customHeight="1" x14ac:dyDescent="0.3">
      <c r="A11" t="s">
        <v>47</v>
      </c>
      <c r="B11" s="16" t="s">
        <v>35</v>
      </c>
      <c r="C11" t="s">
        <v>20</v>
      </c>
      <c r="D11">
        <v>200</v>
      </c>
      <c r="E11">
        <f t="shared" si="3"/>
        <v>5</v>
      </c>
      <c r="F11" s="18">
        <v>16070</v>
      </c>
      <c r="G11" s="3">
        <f t="shared" si="4"/>
        <v>4017500</v>
      </c>
      <c r="H11" s="3">
        <f>AVERAGE(G10:G12)</f>
        <v>7822500</v>
      </c>
      <c r="I11" s="3">
        <f t="shared" si="2"/>
        <v>2008750</v>
      </c>
      <c r="J11" s="3">
        <f>AVERAGE(I10:I12)</f>
        <v>3911250</v>
      </c>
      <c r="K11" s="3">
        <f>_xlfn.STDEV.P(I10:I12)</f>
        <v>2948764.5718164751</v>
      </c>
    </row>
    <row r="12" spans="1:11" s="5" customFormat="1" ht="14.4" customHeight="1" x14ac:dyDescent="0.3">
      <c r="A12" t="s">
        <v>47</v>
      </c>
      <c r="B12" s="16" t="s">
        <v>36</v>
      </c>
      <c r="C12" t="s">
        <v>20</v>
      </c>
      <c r="D12">
        <v>200</v>
      </c>
      <c r="E12">
        <f t="shared" si="3"/>
        <v>5</v>
      </c>
      <c r="F12" s="18">
        <v>64610</v>
      </c>
      <c r="G12" s="3">
        <f t="shared" si="4"/>
        <v>16152500</v>
      </c>
      <c r="H12"/>
      <c r="I12" s="3">
        <f t="shared" si="2"/>
        <v>8076250</v>
      </c>
      <c r="J12"/>
      <c r="K12"/>
    </row>
    <row r="13" spans="1:11" s="5" customFormat="1" ht="14.4" customHeight="1" x14ac:dyDescent="0.3">
      <c r="A13"/>
      <c r="B13" s="38"/>
      <c r="C13"/>
      <c r="D13"/>
      <c r="E13"/>
      <c r="F13" s="18"/>
      <c r="G13" s="3"/>
      <c r="H13"/>
      <c r="I13" s="3"/>
      <c r="J13"/>
      <c r="K13"/>
    </row>
    <row r="14" spans="1:11" s="5" customFormat="1" ht="14.4" customHeight="1" x14ac:dyDescent="0.3">
      <c r="A14" t="s">
        <v>48</v>
      </c>
      <c r="B14" s="16" t="s">
        <v>34</v>
      </c>
      <c r="C14" t="s">
        <v>20</v>
      </c>
      <c r="D14">
        <v>200</v>
      </c>
      <c r="E14">
        <v>5</v>
      </c>
      <c r="F14" s="18">
        <v>27350</v>
      </c>
      <c r="G14" s="3">
        <f t="shared" si="4"/>
        <v>6837500</v>
      </c>
      <c r="H14" s="3">
        <f>AVERAGE(G14)</f>
        <v>6837500</v>
      </c>
      <c r="I14" s="3">
        <f t="shared" si="2"/>
        <v>3418750</v>
      </c>
      <c r="J14" s="3">
        <f>AVERAGE(I14)</f>
        <v>3418750</v>
      </c>
      <c r="K14" s="3">
        <f>_xlfn.STDEV.P(I13:I15)</f>
        <v>0</v>
      </c>
    </row>
    <row r="15" spans="1:11" s="5" customFormat="1" ht="14.4" customHeight="1" x14ac:dyDescent="0.3">
      <c r="A15"/>
      <c r="B15" s="38"/>
      <c r="C15"/>
      <c r="D15"/>
      <c r="E15"/>
      <c r="F15" s="18"/>
      <c r="G15" s="3"/>
      <c r="H15"/>
      <c r="I15" s="3"/>
      <c r="J15"/>
      <c r="K15"/>
    </row>
    <row r="16" spans="1:11" s="5" customFormat="1" ht="14.4" customHeight="1" x14ac:dyDescent="0.3">
      <c r="A16" t="s">
        <v>17</v>
      </c>
      <c r="B16" s="16" t="s">
        <v>34</v>
      </c>
      <c r="C16" t="s">
        <v>20</v>
      </c>
      <c r="D16">
        <v>200</v>
      </c>
      <c r="E16">
        <v>5</v>
      </c>
      <c r="F16" s="18">
        <v>2438</v>
      </c>
      <c r="G16" s="3">
        <f t="shared" ref="G16" si="5">(F16/2)*E16*100</f>
        <v>609500</v>
      </c>
      <c r="H16" s="3">
        <f>AVERAGE(G16)</f>
        <v>609500</v>
      </c>
      <c r="I16" s="3">
        <f t="shared" si="2"/>
        <v>304750</v>
      </c>
      <c r="J16" s="3">
        <f>AVERAGE(I16)</f>
        <v>304750</v>
      </c>
      <c r="K16" s="3">
        <f>_xlfn.STDEV.P(I15:I17)</f>
        <v>0</v>
      </c>
    </row>
    <row r="17" spans="1:12" s="5" customFormat="1" ht="14.4" customHeight="1" x14ac:dyDescent="0.3">
      <c r="A17" s="6"/>
      <c r="B17" s="6"/>
      <c r="C17" s="6"/>
      <c r="D17" s="6"/>
      <c r="E17" s="6"/>
      <c r="F17" s="21"/>
      <c r="G17" s="14"/>
      <c r="H17" s="14"/>
      <c r="I17" s="17"/>
      <c r="J17" s="17"/>
      <c r="K17" s="14"/>
    </row>
    <row r="18" spans="1:12" x14ac:dyDescent="0.3">
      <c r="A18" s="36" t="s">
        <v>16</v>
      </c>
      <c r="B18" s="16" t="s">
        <v>34</v>
      </c>
      <c r="C18" t="s">
        <v>21</v>
      </c>
      <c r="D18">
        <v>2000</v>
      </c>
      <c r="E18">
        <f>1000/D18</f>
        <v>0.5</v>
      </c>
      <c r="F18" s="18">
        <v>152.1</v>
      </c>
      <c r="G18" s="3">
        <f>(F18/2)*E18*100</f>
        <v>3802.5</v>
      </c>
      <c r="I18" s="3">
        <f t="shared" ref="I18:I32" si="6">G18/2</f>
        <v>1901.25</v>
      </c>
    </row>
    <row r="19" spans="1:12" ht="14.4" customHeight="1" x14ac:dyDescent="0.3">
      <c r="A19" s="36" t="s">
        <v>16</v>
      </c>
      <c r="B19" s="16" t="s">
        <v>35</v>
      </c>
      <c r="C19" t="s">
        <v>21</v>
      </c>
      <c r="D19">
        <v>2000</v>
      </c>
      <c r="E19">
        <f t="shared" ref="E19:E32" si="7">1000/D19</f>
        <v>0.5</v>
      </c>
      <c r="F19" s="18">
        <v>128.9</v>
      </c>
      <c r="G19" s="3">
        <f t="shared" ref="G19:G48" si="8">(F19/2)*E19*100</f>
        <v>3222.5</v>
      </c>
      <c r="H19" s="3">
        <f>AVERAGE(G18:G20)</f>
        <v>3695</v>
      </c>
      <c r="I19" s="3">
        <f t="shared" si="6"/>
        <v>1611.25</v>
      </c>
      <c r="J19" s="3">
        <f>AVERAGE(I18:I20)</f>
        <v>1847.5</v>
      </c>
      <c r="K19" s="3">
        <f>_xlfn.STDEV.P(I18:I20)</f>
        <v>175.12792943064983</v>
      </c>
    </row>
    <row r="20" spans="1:12" x14ac:dyDescent="0.3">
      <c r="A20" s="36" t="s">
        <v>16</v>
      </c>
      <c r="B20" s="16" t="s">
        <v>36</v>
      </c>
      <c r="C20" t="s">
        <v>21</v>
      </c>
      <c r="D20">
        <v>2000</v>
      </c>
      <c r="E20">
        <f t="shared" si="7"/>
        <v>0.5</v>
      </c>
      <c r="F20" s="18">
        <v>162.4</v>
      </c>
      <c r="G20" s="3">
        <f t="shared" si="8"/>
        <v>4060</v>
      </c>
      <c r="H20" s="3"/>
      <c r="I20" s="3">
        <f t="shared" si="6"/>
        <v>2030</v>
      </c>
      <c r="J20" s="3"/>
      <c r="K20" s="3"/>
    </row>
    <row r="21" spans="1:12" x14ac:dyDescent="0.3">
      <c r="A21" s="36"/>
      <c r="B21" s="16"/>
      <c r="F21" s="22"/>
      <c r="G21" s="3"/>
      <c r="H21" s="13"/>
      <c r="I21" s="3"/>
      <c r="J21" s="13"/>
      <c r="K21" s="13"/>
    </row>
    <row r="22" spans="1:12" x14ac:dyDescent="0.3">
      <c r="A22" s="36" t="s">
        <v>15</v>
      </c>
      <c r="B22" s="16" t="s">
        <v>34</v>
      </c>
      <c r="C22" t="s">
        <v>21</v>
      </c>
      <c r="D22">
        <v>2000</v>
      </c>
      <c r="E22">
        <f t="shared" si="7"/>
        <v>0.5</v>
      </c>
      <c r="F22" s="18">
        <v>3224</v>
      </c>
      <c r="G22" s="3">
        <f t="shared" si="8"/>
        <v>80600</v>
      </c>
      <c r="I22" s="3">
        <f t="shared" si="6"/>
        <v>40300</v>
      </c>
    </row>
    <row r="23" spans="1:12" x14ac:dyDescent="0.3">
      <c r="A23" s="36" t="s">
        <v>15</v>
      </c>
      <c r="B23" s="16" t="s">
        <v>35</v>
      </c>
      <c r="C23" t="s">
        <v>21</v>
      </c>
      <c r="D23">
        <v>2000</v>
      </c>
      <c r="E23">
        <f t="shared" si="7"/>
        <v>0.5</v>
      </c>
      <c r="F23" s="18">
        <v>1678</v>
      </c>
      <c r="G23" s="3">
        <f t="shared" si="8"/>
        <v>41950</v>
      </c>
      <c r="H23" s="3">
        <f>AVERAGE(G22:G24)</f>
        <v>70350</v>
      </c>
      <c r="I23" s="3">
        <f t="shared" si="6"/>
        <v>20975</v>
      </c>
      <c r="J23" s="3">
        <f>AVERAGE(I22:I24)</f>
        <v>35175</v>
      </c>
      <c r="K23" s="3">
        <f>_xlfn.STDEV.P(I22:I24)</f>
        <v>10169.582915079</v>
      </c>
      <c r="L23" s="3"/>
    </row>
    <row r="24" spans="1:12" x14ac:dyDescent="0.3">
      <c r="A24" s="36" t="s">
        <v>15</v>
      </c>
      <c r="B24" s="16" t="s">
        <v>36</v>
      </c>
      <c r="C24" t="s">
        <v>21</v>
      </c>
      <c r="D24">
        <v>2000</v>
      </c>
      <c r="E24">
        <f t="shared" si="7"/>
        <v>0.5</v>
      </c>
      <c r="F24" s="18">
        <v>3540</v>
      </c>
      <c r="G24" s="3">
        <f t="shared" si="8"/>
        <v>88500</v>
      </c>
      <c r="I24" s="3">
        <f t="shared" si="6"/>
        <v>44250</v>
      </c>
    </row>
    <row r="25" spans="1:12" x14ac:dyDescent="0.3">
      <c r="B25" s="38"/>
      <c r="F25" s="19"/>
      <c r="G25" s="3"/>
      <c r="I25" s="3"/>
    </row>
    <row r="26" spans="1:12" x14ac:dyDescent="0.3">
      <c r="A26" t="s">
        <v>47</v>
      </c>
      <c r="B26" s="16" t="s">
        <v>34</v>
      </c>
      <c r="C26" t="s">
        <v>21</v>
      </c>
      <c r="D26">
        <v>200</v>
      </c>
      <c r="E26">
        <f t="shared" si="7"/>
        <v>5</v>
      </c>
      <c r="F26" s="18">
        <v>12760</v>
      </c>
      <c r="G26" s="3">
        <f t="shared" si="8"/>
        <v>3190000</v>
      </c>
      <c r="I26" s="3">
        <f t="shared" si="6"/>
        <v>1595000</v>
      </c>
      <c r="L26" s="3"/>
    </row>
    <row r="27" spans="1:12" x14ac:dyDescent="0.3">
      <c r="A27" t="s">
        <v>47</v>
      </c>
      <c r="B27" s="16" t="s">
        <v>35</v>
      </c>
      <c r="C27" t="s">
        <v>21</v>
      </c>
      <c r="D27">
        <v>200</v>
      </c>
      <c r="E27">
        <f t="shared" si="7"/>
        <v>5</v>
      </c>
      <c r="F27" s="18">
        <v>12340</v>
      </c>
      <c r="G27" s="3">
        <f t="shared" si="8"/>
        <v>3085000</v>
      </c>
      <c r="H27" s="3">
        <f>AVERAGE(G26:G28)</f>
        <v>3071666.6666666665</v>
      </c>
      <c r="I27" s="3">
        <f t="shared" si="6"/>
        <v>1542500</v>
      </c>
      <c r="J27" s="3">
        <f>AVERAGE(I26:I28)</f>
        <v>1535833.3333333333</v>
      </c>
      <c r="K27" s="3">
        <f>_xlfn.STDEV.P(I26:I28)</f>
        <v>51248.306205072658</v>
      </c>
    </row>
    <row r="28" spans="1:12" x14ac:dyDescent="0.3">
      <c r="A28" t="s">
        <v>47</v>
      </c>
      <c r="B28" s="16" t="s">
        <v>36</v>
      </c>
      <c r="C28" t="s">
        <v>21</v>
      </c>
      <c r="D28">
        <v>200</v>
      </c>
      <c r="E28">
        <f t="shared" si="7"/>
        <v>5</v>
      </c>
      <c r="F28" s="18">
        <v>11760</v>
      </c>
      <c r="G28" s="3">
        <f t="shared" si="8"/>
        <v>2940000</v>
      </c>
      <c r="I28" s="3">
        <f t="shared" si="6"/>
        <v>1470000</v>
      </c>
    </row>
    <row r="29" spans="1:12" x14ac:dyDescent="0.3">
      <c r="B29" s="38"/>
      <c r="F29" s="19"/>
      <c r="G29" s="3"/>
      <c r="I29" s="3"/>
    </row>
    <row r="30" spans="1:12" x14ac:dyDescent="0.3">
      <c r="A30" t="s">
        <v>48</v>
      </c>
      <c r="B30" s="16" t="s">
        <v>34</v>
      </c>
      <c r="C30" t="s">
        <v>21</v>
      </c>
      <c r="D30">
        <v>200</v>
      </c>
      <c r="E30">
        <f t="shared" si="7"/>
        <v>5</v>
      </c>
      <c r="F30" s="18">
        <v>31240</v>
      </c>
      <c r="G30" s="3">
        <f t="shared" si="8"/>
        <v>7810000</v>
      </c>
      <c r="H30" s="3">
        <f>AVERAGE(G30)</f>
        <v>7810000</v>
      </c>
      <c r="I30" s="3">
        <f t="shared" si="6"/>
        <v>3905000</v>
      </c>
      <c r="J30" s="3">
        <f>AVERAGE(I30)</f>
        <v>3905000</v>
      </c>
      <c r="K30" s="3">
        <f>_xlfn.STDEV.P(I29:I31)</f>
        <v>0</v>
      </c>
    </row>
    <row r="31" spans="1:12" x14ac:dyDescent="0.3">
      <c r="B31" s="38"/>
      <c r="F31" s="19"/>
      <c r="G31" s="3"/>
      <c r="I31" s="3"/>
    </row>
    <row r="32" spans="1:12" x14ac:dyDescent="0.3">
      <c r="A32" t="s">
        <v>17</v>
      </c>
      <c r="B32" s="16" t="s">
        <v>34</v>
      </c>
      <c r="C32" t="s">
        <v>21</v>
      </c>
      <c r="D32">
        <v>200</v>
      </c>
      <c r="E32">
        <f t="shared" si="7"/>
        <v>5</v>
      </c>
      <c r="F32" s="18">
        <v>1497</v>
      </c>
      <c r="G32" s="3">
        <f t="shared" si="8"/>
        <v>374250</v>
      </c>
      <c r="H32" s="3">
        <f>AVERAGE(G32)</f>
        <v>374250</v>
      </c>
      <c r="I32" s="3">
        <f t="shared" si="6"/>
        <v>187125</v>
      </c>
      <c r="J32" s="3">
        <f>AVERAGE(I32)</f>
        <v>187125</v>
      </c>
      <c r="K32" s="3">
        <f>_xlfn.STDEV.P(I31:I33)</f>
        <v>0</v>
      </c>
    </row>
    <row r="33" spans="1:1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</row>
    <row r="34" spans="1:11" x14ac:dyDescent="0.3">
      <c r="A34" s="36" t="s">
        <v>16</v>
      </c>
      <c r="B34" s="16" t="s">
        <v>34</v>
      </c>
      <c r="C34" t="s">
        <v>22</v>
      </c>
      <c r="D34">
        <v>2000</v>
      </c>
      <c r="E34">
        <f>1000/D34</f>
        <v>0.5</v>
      </c>
      <c r="F34" s="19">
        <v>34.51</v>
      </c>
      <c r="G34" s="3">
        <f t="shared" si="8"/>
        <v>862.75</v>
      </c>
      <c r="I34" s="3">
        <f t="shared" ref="I34:I48" si="9">G34/2</f>
        <v>431.375</v>
      </c>
    </row>
    <row r="35" spans="1:11" x14ac:dyDescent="0.3">
      <c r="A35" s="36" t="s">
        <v>16</v>
      </c>
      <c r="B35" s="16" t="s">
        <v>35</v>
      </c>
      <c r="C35" t="s">
        <v>22</v>
      </c>
      <c r="D35">
        <v>2000</v>
      </c>
      <c r="E35">
        <f t="shared" ref="E35:E48" si="10">1000/D35</f>
        <v>0.5</v>
      </c>
      <c r="F35" s="19">
        <v>61.67</v>
      </c>
      <c r="G35" s="3">
        <f t="shared" si="8"/>
        <v>1541.75</v>
      </c>
      <c r="H35" s="3">
        <f>AVERAGE(G34:G36)</f>
        <v>1117.1666666666667</v>
      </c>
      <c r="I35" s="3">
        <f t="shared" si="9"/>
        <v>770.875</v>
      </c>
      <c r="J35" s="3">
        <f>AVERAGE(I34:I36)</f>
        <v>558.58333333333337</v>
      </c>
      <c r="K35" s="3">
        <f>_xlfn.STDEV.P(I34:I36)</f>
        <v>151.09476652823625</v>
      </c>
    </row>
    <row r="36" spans="1:11" x14ac:dyDescent="0.3">
      <c r="A36" s="36" t="s">
        <v>16</v>
      </c>
      <c r="B36" s="16" t="s">
        <v>36</v>
      </c>
      <c r="C36" t="s">
        <v>22</v>
      </c>
      <c r="D36">
        <v>2000</v>
      </c>
      <c r="E36">
        <f t="shared" si="10"/>
        <v>0.5</v>
      </c>
      <c r="F36" s="19">
        <v>37.880000000000003</v>
      </c>
      <c r="G36" s="3">
        <f t="shared" si="8"/>
        <v>947.00000000000011</v>
      </c>
      <c r="I36" s="3">
        <f t="shared" si="9"/>
        <v>473.50000000000006</v>
      </c>
    </row>
    <row r="37" spans="1:11" x14ac:dyDescent="0.3">
      <c r="A37" s="36"/>
      <c r="B37" s="16"/>
      <c r="F37" s="19"/>
      <c r="G37" s="3"/>
      <c r="I37" s="3"/>
    </row>
    <row r="38" spans="1:11" x14ac:dyDescent="0.3">
      <c r="A38" s="36" t="s">
        <v>15</v>
      </c>
      <c r="B38" s="16" t="s">
        <v>34</v>
      </c>
      <c r="C38" t="s">
        <v>22</v>
      </c>
      <c r="D38">
        <v>2000</v>
      </c>
      <c r="E38">
        <f t="shared" si="10"/>
        <v>0.5</v>
      </c>
      <c r="F38" s="19">
        <v>2395</v>
      </c>
      <c r="G38" s="3">
        <f t="shared" si="8"/>
        <v>59875</v>
      </c>
      <c r="H38" s="12"/>
      <c r="I38" s="3">
        <f t="shared" si="9"/>
        <v>29937.5</v>
      </c>
    </row>
    <row r="39" spans="1:11" x14ac:dyDescent="0.3">
      <c r="A39" s="36" t="s">
        <v>15</v>
      </c>
      <c r="B39" s="16" t="s">
        <v>35</v>
      </c>
      <c r="C39" t="s">
        <v>22</v>
      </c>
      <c r="D39">
        <v>2000</v>
      </c>
      <c r="E39">
        <f t="shared" si="10"/>
        <v>0.5</v>
      </c>
      <c r="F39" s="19">
        <v>1968</v>
      </c>
      <c r="G39" s="3">
        <f t="shared" si="8"/>
        <v>49200</v>
      </c>
      <c r="H39" s="3">
        <f>AVERAGE(G38:G40)</f>
        <v>39909.166666666664</v>
      </c>
      <c r="I39" s="3">
        <f t="shared" si="9"/>
        <v>24600</v>
      </c>
      <c r="J39" s="3">
        <f>AVERAGE(I38:I40)</f>
        <v>19954.583333333332</v>
      </c>
      <c r="K39" s="3">
        <f>_xlfn.STDEV.P(I38:I40)</f>
        <v>10570.819225453732</v>
      </c>
    </row>
    <row r="40" spans="1:11" x14ac:dyDescent="0.3">
      <c r="A40" s="36" t="s">
        <v>15</v>
      </c>
      <c r="B40" s="16" t="s">
        <v>36</v>
      </c>
      <c r="C40" t="s">
        <v>22</v>
      </c>
      <c r="D40">
        <v>2000</v>
      </c>
      <c r="E40">
        <f t="shared" si="10"/>
        <v>0.5</v>
      </c>
      <c r="F40" s="19">
        <v>426.1</v>
      </c>
      <c r="G40" s="3">
        <f t="shared" si="8"/>
        <v>10652.5</v>
      </c>
      <c r="I40" s="3">
        <f t="shared" si="9"/>
        <v>5326.25</v>
      </c>
    </row>
    <row r="41" spans="1:11" x14ac:dyDescent="0.3">
      <c r="B41" s="38"/>
      <c r="F41" s="19"/>
      <c r="G41" s="3"/>
      <c r="I41" s="3"/>
    </row>
    <row r="42" spans="1:11" x14ac:dyDescent="0.3">
      <c r="A42" t="s">
        <v>47</v>
      </c>
      <c r="B42" s="16" t="s">
        <v>34</v>
      </c>
      <c r="C42" t="s">
        <v>22</v>
      </c>
      <c r="D42">
        <v>200</v>
      </c>
      <c r="E42">
        <f t="shared" si="10"/>
        <v>5</v>
      </c>
      <c r="F42" s="19">
        <v>8759</v>
      </c>
      <c r="G42" s="3">
        <f t="shared" si="8"/>
        <v>2189750</v>
      </c>
      <c r="I42" s="3">
        <f t="shared" si="9"/>
        <v>1094875</v>
      </c>
    </row>
    <row r="43" spans="1:11" x14ac:dyDescent="0.3">
      <c r="A43" t="s">
        <v>47</v>
      </c>
      <c r="B43" s="16" t="s">
        <v>35</v>
      </c>
      <c r="C43" t="s">
        <v>22</v>
      </c>
      <c r="D43">
        <v>200</v>
      </c>
      <c r="E43">
        <f t="shared" si="10"/>
        <v>5</v>
      </c>
      <c r="F43" s="19">
        <v>8810</v>
      </c>
      <c r="G43" s="3">
        <f t="shared" si="8"/>
        <v>2202500</v>
      </c>
      <c r="H43" s="3">
        <f>AVERAGE(G42:G44)</f>
        <v>1757000</v>
      </c>
      <c r="I43" s="3">
        <f t="shared" si="9"/>
        <v>1101250</v>
      </c>
      <c r="J43" s="3">
        <f>AVERAGE(I42:I44)</f>
        <v>878500</v>
      </c>
      <c r="K43" s="3">
        <f>_xlfn.STDEV.P(I42:I44)</f>
        <v>310519.17211341398</v>
      </c>
    </row>
    <row r="44" spans="1:11" x14ac:dyDescent="0.3">
      <c r="A44" t="s">
        <v>47</v>
      </c>
      <c r="B44" s="16" t="s">
        <v>36</v>
      </c>
      <c r="C44" t="s">
        <v>22</v>
      </c>
      <c r="D44">
        <v>200</v>
      </c>
      <c r="E44">
        <f t="shared" si="10"/>
        <v>5</v>
      </c>
      <c r="F44" s="19">
        <v>3515</v>
      </c>
      <c r="G44" s="3">
        <f t="shared" si="8"/>
        <v>878750</v>
      </c>
      <c r="I44" s="3">
        <f t="shared" si="9"/>
        <v>439375</v>
      </c>
    </row>
    <row r="45" spans="1:11" x14ac:dyDescent="0.3">
      <c r="B45" s="38"/>
      <c r="F45" s="19"/>
      <c r="G45" s="3"/>
      <c r="I45" s="3"/>
    </row>
    <row r="46" spans="1:11" x14ac:dyDescent="0.3">
      <c r="A46" t="s">
        <v>48</v>
      </c>
      <c r="B46" s="16" t="s">
        <v>34</v>
      </c>
      <c r="C46" t="s">
        <v>22</v>
      </c>
      <c r="D46">
        <v>200</v>
      </c>
      <c r="E46">
        <f t="shared" si="10"/>
        <v>5</v>
      </c>
      <c r="F46" s="19">
        <v>8455</v>
      </c>
      <c r="G46" s="3">
        <f t="shared" si="8"/>
        <v>2113750</v>
      </c>
      <c r="H46" s="3">
        <f>AVERAGE(G46)</f>
        <v>2113750</v>
      </c>
      <c r="I46" s="3">
        <f t="shared" si="9"/>
        <v>1056875</v>
      </c>
      <c r="J46" s="3">
        <f>AVERAGE(I46)</f>
        <v>1056875</v>
      </c>
      <c r="K46" s="3">
        <f>_xlfn.STDEV.P(I45:I47)</f>
        <v>0</v>
      </c>
    </row>
    <row r="47" spans="1:11" x14ac:dyDescent="0.3">
      <c r="B47" s="38"/>
      <c r="F47" s="19"/>
      <c r="G47" s="3"/>
      <c r="I47" s="3"/>
    </row>
    <row r="48" spans="1:11" x14ac:dyDescent="0.3">
      <c r="A48" t="s">
        <v>17</v>
      </c>
      <c r="B48" s="16" t="s">
        <v>34</v>
      </c>
      <c r="C48" t="s">
        <v>22</v>
      </c>
      <c r="D48">
        <v>200</v>
      </c>
      <c r="E48">
        <f t="shared" si="10"/>
        <v>5</v>
      </c>
      <c r="F48" s="19">
        <v>717.9</v>
      </c>
      <c r="G48" s="3">
        <f t="shared" si="8"/>
        <v>179475</v>
      </c>
      <c r="H48" s="3">
        <f>AVERAGE(G48)</f>
        <v>179475</v>
      </c>
      <c r="I48" s="3">
        <f t="shared" si="9"/>
        <v>89737.5</v>
      </c>
      <c r="J48" s="3">
        <f>AVERAGE(I48)</f>
        <v>89737.5</v>
      </c>
      <c r="K48" s="3">
        <f>_xlfn.STDEV.P(I47:I49)</f>
        <v>0</v>
      </c>
    </row>
    <row r="49" spans="1:11" x14ac:dyDescent="0.3">
      <c r="A49" s="6"/>
      <c r="B49" s="6"/>
      <c r="C49" s="6"/>
      <c r="D49" s="6"/>
      <c r="E49" s="6"/>
      <c r="F49" s="20"/>
      <c r="G49" s="6"/>
      <c r="H49" s="6"/>
      <c r="I49" s="14"/>
      <c r="J49" s="6"/>
      <c r="K4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D2397-F765-4EED-B38D-E18BBA8398C1}">
  <sheetPr>
    <tabColor theme="4" tint="-0.249977111117893"/>
  </sheetPr>
  <dimension ref="A1:H41"/>
  <sheetViews>
    <sheetView workbookViewId="0">
      <selection activeCell="F2" sqref="F2"/>
    </sheetView>
  </sheetViews>
  <sheetFormatPr defaultRowHeight="14.4" customHeight="1" x14ac:dyDescent="0.3"/>
  <cols>
    <col min="2" max="2" width="23.88671875" customWidth="1"/>
    <col min="5" max="5" width="12.6640625" customWidth="1"/>
    <col min="6" max="7" width="14.21875" customWidth="1"/>
    <col min="8" max="8" width="15.21875" customWidth="1"/>
  </cols>
  <sheetData>
    <row r="1" spans="1:8" ht="14.4" customHeight="1" x14ac:dyDescent="0.3">
      <c r="A1" s="39" t="s">
        <v>25</v>
      </c>
      <c r="B1" s="39"/>
      <c r="C1" s="39"/>
      <c r="D1" s="39"/>
      <c r="E1" s="39"/>
      <c r="F1" s="39"/>
      <c r="G1" s="39"/>
      <c r="H1" s="39"/>
    </row>
    <row r="2" spans="1:8" ht="54" customHeight="1" x14ac:dyDescent="0.3">
      <c r="A2" s="7"/>
      <c r="B2" s="7" t="s">
        <v>6</v>
      </c>
      <c r="C2" s="7" t="s">
        <v>1</v>
      </c>
      <c r="D2" s="7"/>
      <c r="E2" s="10" t="s">
        <v>52</v>
      </c>
      <c r="F2" s="10" t="s">
        <v>53</v>
      </c>
      <c r="G2" s="10" t="s">
        <v>9</v>
      </c>
      <c r="H2" s="10" t="s">
        <v>54</v>
      </c>
    </row>
    <row r="3" spans="1:8" ht="14.4" customHeight="1" x14ac:dyDescent="0.3">
      <c r="B3" s="36" t="s">
        <v>15</v>
      </c>
      <c r="C3" s="16" t="s">
        <v>34</v>
      </c>
      <c r="D3" t="s">
        <v>20</v>
      </c>
      <c r="E3" s="3">
        <v>72412.5</v>
      </c>
      <c r="F3" s="8">
        <f>(E7/E3)/30</f>
        <v>0.75896196559065543</v>
      </c>
      <c r="G3" s="8">
        <f>AVERAGE(F3:F5)</f>
        <v>1.9707577099356091</v>
      </c>
    </row>
    <row r="4" spans="1:8" ht="14.4" customHeight="1" x14ac:dyDescent="0.3">
      <c r="B4" s="36" t="s">
        <v>15</v>
      </c>
      <c r="C4" s="16" t="s">
        <v>35</v>
      </c>
      <c r="D4" t="s">
        <v>20</v>
      </c>
      <c r="E4" s="3">
        <v>34050</v>
      </c>
      <c r="F4" s="8">
        <f>(E8/E4)/30</f>
        <v>1.9664708761625063</v>
      </c>
    </row>
    <row r="5" spans="1:8" ht="14.4" customHeight="1" x14ac:dyDescent="0.3">
      <c r="B5" s="36" t="s">
        <v>15</v>
      </c>
      <c r="C5" s="16" t="s">
        <v>36</v>
      </c>
      <c r="D5" t="s">
        <v>20</v>
      </c>
      <c r="E5" s="3">
        <v>84475</v>
      </c>
      <c r="F5" s="8">
        <f>(E9/E5)/30</f>
        <v>3.186840288053665</v>
      </c>
    </row>
    <row r="6" spans="1:8" ht="14.4" customHeight="1" x14ac:dyDescent="0.3">
      <c r="C6" s="38"/>
      <c r="E6" s="3"/>
    </row>
    <row r="7" spans="1:8" ht="14.4" customHeight="1" x14ac:dyDescent="0.3">
      <c r="B7" t="s">
        <v>47</v>
      </c>
      <c r="C7" s="16" t="s">
        <v>34</v>
      </c>
      <c r="D7" t="s">
        <v>20</v>
      </c>
      <c r="E7" s="3">
        <v>1648750</v>
      </c>
    </row>
    <row r="8" spans="1:8" ht="14.4" customHeight="1" x14ac:dyDescent="0.3">
      <c r="B8" t="s">
        <v>47</v>
      </c>
      <c r="C8" s="16" t="s">
        <v>35</v>
      </c>
      <c r="D8" t="s">
        <v>20</v>
      </c>
      <c r="E8" s="3">
        <v>2008750</v>
      </c>
    </row>
    <row r="9" spans="1:8" ht="14.4" customHeight="1" x14ac:dyDescent="0.3">
      <c r="B9" t="s">
        <v>47</v>
      </c>
      <c r="C9" s="16" t="s">
        <v>36</v>
      </c>
      <c r="D9" t="s">
        <v>20</v>
      </c>
      <c r="E9" s="3">
        <v>8076250</v>
      </c>
    </row>
    <row r="10" spans="1:8" ht="14.4" customHeight="1" x14ac:dyDescent="0.3">
      <c r="C10" s="38"/>
    </row>
    <row r="11" spans="1:8" ht="14.4" customHeight="1" x14ac:dyDescent="0.3">
      <c r="B11" t="s">
        <v>48</v>
      </c>
      <c r="C11" s="16" t="s">
        <v>34</v>
      </c>
      <c r="D11" t="s">
        <v>20</v>
      </c>
      <c r="E11" s="3">
        <v>3418750</v>
      </c>
      <c r="G11" s="9"/>
      <c r="H11" s="11">
        <f>E11/(SUM(E7:E9))</f>
        <v>0.29136039203153297</v>
      </c>
    </row>
    <row r="13" spans="1:8" ht="14.4" customHeight="1" x14ac:dyDescent="0.3">
      <c r="A13" s="39" t="s">
        <v>26</v>
      </c>
      <c r="B13" s="39"/>
      <c r="C13" s="39"/>
      <c r="D13" s="39"/>
      <c r="E13" s="39"/>
      <c r="F13" s="39"/>
      <c r="G13" s="39"/>
      <c r="H13" s="39"/>
    </row>
    <row r="14" spans="1:8" ht="41.4" customHeight="1" x14ac:dyDescent="0.3">
      <c r="A14" s="7"/>
      <c r="B14" s="7" t="s">
        <v>6</v>
      </c>
      <c r="C14" s="7" t="s">
        <v>1</v>
      </c>
      <c r="D14" s="7"/>
      <c r="E14" s="10" t="s">
        <v>52</v>
      </c>
      <c r="F14" s="10" t="s">
        <v>53</v>
      </c>
      <c r="G14" s="10" t="s">
        <v>9</v>
      </c>
      <c r="H14" s="10" t="s">
        <v>54</v>
      </c>
    </row>
    <row r="15" spans="1:8" ht="14.4" customHeight="1" x14ac:dyDescent="0.3">
      <c r="B15" s="36" t="s">
        <v>15</v>
      </c>
      <c r="C15" s="16" t="s">
        <v>34</v>
      </c>
      <c r="D15" t="s">
        <v>21</v>
      </c>
      <c r="E15" s="3">
        <v>40300</v>
      </c>
      <c r="F15" s="8">
        <f>(E19/E15)/30</f>
        <v>1.3192721257237385</v>
      </c>
      <c r="G15" s="8">
        <f>AVERAGE(F15:F17)</f>
        <v>1.6259825693450691</v>
      </c>
    </row>
    <row r="16" spans="1:8" ht="14.4" customHeight="1" x14ac:dyDescent="0.3">
      <c r="B16" s="36" t="s">
        <v>15</v>
      </c>
      <c r="C16" s="16" t="s">
        <v>35</v>
      </c>
      <c r="D16" t="s">
        <v>21</v>
      </c>
      <c r="E16" s="3">
        <v>20975</v>
      </c>
      <c r="F16" s="8">
        <f>(E20/E16)/30</f>
        <v>2.4513309495431068</v>
      </c>
    </row>
    <row r="17" spans="1:8" ht="14.4" customHeight="1" x14ac:dyDescent="0.3">
      <c r="B17" s="36" t="s">
        <v>15</v>
      </c>
      <c r="C17" s="16" t="s">
        <v>36</v>
      </c>
      <c r="D17" t="s">
        <v>21</v>
      </c>
      <c r="E17" s="3">
        <v>44250</v>
      </c>
      <c r="F17" s="8">
        <f>(E21/E17)/30</f>
        <v>1.1073446327683614</v>
      </c>
    </row>
    <row r="18" spans="1:8" ht="14.4" customHeight="1" x14ac:dyDescent="0.3">
      <c r="C18" s="38"/>
      <c r="E18" s="3"/>
    </row>
    <row r="19" spans="1:8" ht="14.4" customHeight="1" x14ac:dyDescent="0.3">
      <c r="B19" t="s">
        <v>47</v>
      </c>
      <c r="C19" s="16" t="s">
        <v>34</v>
      </c>
      <c r="D19" t="s">
        <v>21</v>
      </c>
      <c r="E19" s="3">
        <v>1595000</v>
      </c>
    </row>
    <row r="20" spans="1:8" ht="14.4" customHeight="1" x14ac:dyDescent="0.3">
      <c r="B20" t="s">
        <v>47</v>
      </c>
      <c r="C20" s="16" t="s">
        <v>35</v>
      </c>
      <c r="D20" t="s">
        <v>21</v>
      </c>
      <c r="E20" s="3">
        <v>1542500</v>
      </c>
    </row>
    <row r="21" spans="1:8" ht="14.4" customHeight="1" x14ac:dyDescent="0.3">
      <c r="B21" t="s">
        <v>47</v>
      </c>
      <c r="C21" s="16" t="s">
        <v>36</v>
      </c>
      <c r="D21" t="s">
        <v>21</v>
      </c>
      <c r="E21" s="3">
        <v>1470000</v>
      </c>
    </row>
    <row r="22" spans="1:8" ht="14.4" customHeight="1" x14ac:dyDescent="0.3">
      <c r="C22" s="38"/>
    </row>
    <row r="23" spans="1:8" ht="14.4" customHeight="1" x14ac:dyDescent="0.3">
      <c r="B23" t="s">
        <v>48</v>
      </c>
      <c r="C23" s="16" t="s">
        <v>34</v>
      </c>
      <c r="D23" t="s">
        <v>21</v>
      </c>
      <c r="E23" s="3">
        <v>3905000</v>
      </c>
      <c r="G23" s="9"/>
      <c r="H23" s="11">
        <f>E23/(SUM(E19:E21))</f>
        <v>0.84753119913185027</v>
      </c>
    </row>
    <row r="25" spans="1:8" ht="14.4" customHeight="1" x14ac:dyDescent="0.3">
      <c r="A25" s="39" t="s">
        <v>27</v>
      </c>
      <c r="B25" s="39"/>
      <c r="C25" s="39"/>
      <c r="D25" s="39"/>
      <c r="E25" s="39"/>
      <c r="F25" s="39"/>
      <c r="G25" s="39"/>
      <c r="H25" s="39"/>
    </row>
    <row r="26" spans="1:8" ht="41.4" customHeight="1" x14ac:dyDescent="0.3">
      <c r="A26" s="7"/>
      <c r="B26" s="7" t="s">
        <v>6</v>
      </c>
      <c r="C26" s="7" t="s">
        <v>1</v>
      </c>
      <c r="D26" s="7"/>
      <c r="E26" s="10" t="s">
        <v>52</v>
      </c>
      <c r="F26" s="10" t="s">
        <v>53</v>
      </c>
      <c r="G26" s="10" t="s">
        <v>9</v>
      </c>
      <c r="H26" s="10" t="s">
        <v>54</v>
      </c>
    </row>
    <row r="27" spans="1:8" ht="14.4" customHeight="1" x14ac:dyDescent="0.3">
      <c r="B27" s="36" t="s">
        <v>15</v>
      </c>
      <c r="C27" s="16" t="s">
        <v>34</v>
      </c>
      <c r="D27" t="s">
        <v>22</v>
      </c>
      <c r="E27" s="3">
        <v>29937.5</v>
      </c>
      <c r="F27" s="8">
        <f>(E31/E27)/30</f>
        <v>1.2190675017397357</v>
      </c>
      <c r="G27" s="8">
        <f>AVERAGE(F27:F29)</f>
        <v>1.8203406433029177</v>
      </c>
    </row>
    <row r="28" spans="1:8" ht="14.4" customHeight="1" x14ac:dyDescent="0.3">
      <c r="B28" s="36" t="s">
        <v>15</v>
      </c>
      <c r="C28" s="16" t="s">
        <v>35</v>
      </c>
      <c r="D28" t="s">
        <v>22</v>
      </c>
      <c r="E28" s="3">
        <v>24600</v>
      </c>
      <c r="F28" s="8">
        <f>(E32/E28)/30</f>
        <v>1.4922086720867209</v>
      </c>
    </row>
    <row r="29" spans="1:8" ht="14.4" customHeight="1" x14ac:dyDescent="0.3">
      <c r="B29" s="36" t="s">
        <v>15</v>
      </c>
      <c r="C29" s="16" t="s">
        <v>36</v>
      </c>
      <c r="D29" t="s">
        <v>22</v>
      </c>
      <c r="E29" s="3">
        <v>5326.25</v>
      </c>
      <c r="F29" s="8">
        <f>(E33/E29)/30</f>
        <v>2.7497457560822967</v>
      </c>
    </row>
    <row r="30" spans="1:8" ht="14.4" customHeight="1" x14ac:dyDescent="0.3">
      <c r="C30" s="38"/>
      <c r="E30" s="3"/>
    </row>
    <row r="31" spans="1:8" ht="14.4" customHeight="1" x14ac:dyDescent="0.3">
      <c r="B31" t="s">
        <v>47</v>
      </c>
      <c r="C31" s="16" t="s">
        <v>34</v>
      </c>
      <c r="D31" t="s">
        <v>22</v>
      </c>
      <c r="E31" s="3">
        <v>1094875</v>
      </c>
    </row>
    <row r="32" spans="1:8" ht="14.4" customHeight="1" x14ac:dyDescent="0.3">
      <c r="B32" t="s">
        <v>47</v>
      </c>
      <c r="C32" s="16" t="s">
        <v>35</v>
      </c>
      <c r="D32" t="s">
        <v>22</v>
      </c>
      <c r="E32" s="3">
        <v>1101250</v>
      </c>
    </row>
    <row r="33" spans="2:8" ht="14.4" customHeight="1" x14ac:dyDescent="0.3">
      <c r="B33" t="s">
        <v>47</v>
      </c>
      <c r="C33" s="16" t="s">
        <v>36</v>
      </c>
      <c r="D33" t="s">
        <v>22</v>
      </c>
      <c r="E33" s="3">
        <v>439375</v>
      </c>
    </row>
    <row r="34" spans="2:8" ht="14.4" customHeight="1" x14ac:dyDescent="0.3">
      <c r="C34" s="38"/>
    </row>
    <row r="35" spans="2:8" ht="14.4" customHeight="1" x14ac:dyDescent="0.3">
      <c r="B35" t="s">
        <v>48</v>
      </c>
      <c r="C35" s="16" t="s">
        <v>34</v>
      </c>
      <c r="D35" t="s">
        <v>22</v>
      </c>
      <c r="E35" s="3">
        <v>1056875</v>
      </c>
      <c r="G35" s="9"/>
      <c r="H35" s="11">
        <f>E35/(SUM(E31:E33))</f>
        <v>0.40101498766837412</v>
      </c>
    </row>
    <row r="36" spans="2:8" ht="14.4" customHeight="1" thickBot="1" x14ac:dyDescent="0.35"/>
    <row r="37" spans="2:8" ht="14.4" customHeight="1" x14ac:dyDescent="0.3">
      <c r="B37" s="24" t="s">
        <v>11</v>
      </c>
      <c r="C37" s="25">
        <f>AVERAGE(F27:F29,F15:F17,F3:F5)</f>
        <v>1.8056936408611988</v>
      </c>
    </row>
    <row r="38" spans="2:8" ht="14.4" customHeight="1" x14ac:dyDescent="0.3">
      <c r="B38" s="26" t="s">
        <v>12</v>
      </c>
      <c r="C38" s="27">
        <f>_xlfn.STDEV.P(F27:F29,F15:F17,F3:F5)</f>
        <v>0.78200914965613488</v>
      </c>
    </row>
    <row r="39" spans="2:8" ht="14.4" customHeight="1" x14ac:dyDescent="0.3">
      <c r="B39" s="26"/>
      <c r="C39" s="28"/>
    </row>
    <row r="40" spans="2:8" ht="14.4" customHeight="1" x14ac:dyDescent="0.3">
      <c r="B40" s="26" t="s">
        <v>13</v>
      </c>
      <c r="C40" s="29">
        <f>AVERAGE(H11,H23,H35)</f>
        <v>0.5133021929439191</v>
      </c>
    </row>
    <row r="41" spans="2:8" ht="14.4" customHeight="1" thickBot="1" x14ac:dyDescent="0.35">
      <c r="B41" s="30" t="s">
        <v>14</v>
      </c>
      <c r="C41" s="31">
        <f>_xlfn.STDEV.P(H11,H23,H35)</f>
        <v>0.24053801365425079</v>
      </c>
    </row>
  </sheetData>
  <mergeCells count="3">
    <mergeCell ref="A1:H1"/>
    <mergeCell ref="A13:H13"/>
    <mergeCell ref="A25:H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02D8C-8720-4E02-9D97-9DA43EFB424E}">
  <sheetPr>
    <tabColor theme="4" tint="-0.249977111117893"/>
  </sheetPr>
  <dimension ref="A1:H37"/>
  <sheetViews>
    <sheetView tabSelected="1" zoomScale="68" workbookViewId="0">
      <selection activeCell="H18" sqref="H18"/>
    </sheetView>
  </sheetViews>
  <sheetFormatPr defaultRowHeight="14.4" x14ac:dyDescent="0.3"/>
  <cols>
    <col min="1" max="1" width="33" customWidth="1"/>
    <col min="2" max="2" width="15.21875" customWidth="1"/>
    <col min="4" max="4" width="39.6640625" customWidth="1"/>
    <col min="5" max="5" width="54.6640625" customWidth="1"/>
    <col min="6" max="6" width="49" customWidth="1"/>
    <col min="7" max="7" width="18" customWidth="1"/>
    <col min="8" max="8" width="17.6640625" customWidth="1"/>
  </cols>
  <sheetData>
    <row r="1" spans="1:6" ht="21.6" customHeight="1" x14ac:dyDescent="0.3">
      <c r="A1" s="6" t="s">
        <v>6</v>
      </c>
      <c r="B1" s="6" t="s">
        <v>1</v>
      </c>
      <c r="C1" s="6" t="s">
        <v>10</v>
      </c>
      <c r="D1" s="6" t="s">
        <v>55</v>
      </c>
      <c r="E1" s="6" t="s">
        <v>56</v>
      </c>
      <c r="F1" s="6" t="s">
        <v>57</v>
      </c>
    </row>
    <row r="2" spans="1:6" x14ac:dyDescent="0.3">
      <c r="A2" t="s">
        <v>16</v>
      </c>
      <c r="B2" t="s">
        <v>34</v>
      </c>
      <c r="C2" t="s">
        <v>20</v>
      </c>
      <c r="D2" s="3">
        <v>502.625</v>
      </c>
      <c r="E2" s="3"/>
      <c r="F2" s="3"/>
    </row>
    <row r="3" spans="1:6" x14ac:dyDescent="0.3">
      <c r="A3" t="s">
        <v>16</v>
      </c>
      <c r="B3" t="s">
        <v>35</v>
      </c>
      <c r="C3" t="s">
        <v>20</v>
      </c>
      <c r="D3" s="3">
        <v>996.25</v>
      </c>
      <c r="E3" s="3">
        <v>1011.7083333333334</v>
      </c>
      <c r="F3" s="3">
        <v>422.1171876847576</v>
      </c>
    </row>
    <row r="4" spans="1:6" x14ac:dyDescent="0.3">
      <c r="A4" t="s">
        <v>16</v>
      </c>
      <c r="B4" t="s">
        <v>36</v>
      </c>
      <c r="C4" t="s">
        <v>20</v>
      </c>
      <c r="D4" s="3">
        <v>1536.25</v>
      </c>
      <c r="E4" s="3"/>
      <c r="F4" s="3"/>
    </row>
    <row r="5" spans="1:6" x14ac:dyDescent="0.3">
      <c r="A5" t="s">
        <v>15</v>
      </c>
      <c r="B5" t="s">
        <v>34</v>
      </c>
      <c r="C5" t="s">
        <v>20</v>
      </c>
      <c r="D5" s="3">
        <v>72412.5</v>
      </c>
      <c r="E5" s="3"/>
      <c r="F5" s="3"/>
    </row>
    <row r="6" spans="1:6" x14ac:dyDescent="0.3">
      <c r="A6" t="s">
        <v>15</v>
      </c>
      <c r="B6" t="s">
        <v>35</v>
      </c>
      <c r="C6" t="s">
        <v>20</v>
      </c>
      <c r="D6" s="3">
        <v>34050</v>
      </c>
      <c r="E6" s="3">
        <v>63645.833333333336</v>
      </c>
      <c r="F6" s="3">
        <v>21499.00756753411</v>
      </c>
    </row>
    <row r="7" spans="1:6" x14ac:dyDescent="0.3">
      <c r="A7" t="s">
        <v>15</v>
      </c>
      <c r="B7" t="s">
        <v>36</v>
      </c>
      <c r="C7" t="s">
        <v>20</v>
      </c>
      <c r="D7" s="3">
        <v>84475</v>
      </c>
      <c r="E7" s="3"/>
      <c r="F7" s="3"/>
    </row>
    <row r="8" spans="1:6" x14ac:dyDescent="0.3">
      <c r="A8" t="s">
        <v>24</v>
      </c>
      <c r="B8" t="s">
        <v>34</v>
      </c>
      <c r="C8" t="s">
        <v>20</v>
      </c>
      <c r="D8" s="3">
        <v>1648750</v>
      </c>
      <c r="E8" s="3"/>
      <c r="F8" s="3"/>
    </row>
    <row r="9" spans="1:6" x14ac:dyDescent="0.3">
      <c r="A9" t="s">
        <v>24</v>
      </c>
      <c r="B9" t="s">
        <v>35</v>
      </c>
      <c r="C9" t="s">
        <v>20</v>
      </c>
      <c r="D9" s="3">
        <v>2008750</v>
      </c>
      <c r="E9" s="3">
        <f>AVERAGE(D8:D9)</f>
        <v>1828750</v>
      </c>
      <c r="F9" s="3">
        <f>_xlfn.STDEV.P(D8:D9)</f>
        <v>180000</v>
      </c>
    </row>
    <row r="10" spans="1:6" x14ac:dyDescent="0.3">
      <c r="A10" t="s">
        <v>18</v>
      </c>
      <c r="B10" t="s">
        <v>34</v>
      </c>
      <c r="C10" t="s">
        <v>20</v>
      </c>
      <c r="D10" s="3">
        <v>3418750</v>
      </c>
      <c r="E10" s="3">
        <v>3418750</v>
      </c>
      <c r="F10" s="3">
        <v>0</v>
      </c>
    </row>
    <row r="11" spans="1:6" x14ac:dyDescent="0.3">
      <c r="A11" t="s">
        <v>17</v>
      </c>
      <c r="B11" t="s">
        <v>34</v>
      </c>
      <c r="C11" t="s">
        <v>20</v>
      </c>
      <c r="D11" s="3">
        <v>304750</v>
      </c>
      <c r="E11" s="3">
        <v>304750</v>
      </c>
      <c r="F11" s="3">
        <v>0</v>
      </c>
    </row>
    <row r="12" spans="1:6" x14ac:dyDescent="0.3">
      <c r="A12" s="6" t="s">
        <v>16</v>
      </c>
      <c r="B12" s="6" t="s">
        <v>34</v>
      </c>
      <c r="C12" s="6" t="s">
        <v>21</v>
      </c>
      <c r="D12" s="14">
        <v>1901.25</v>
      </c>
      <c r="E12" s="14"/>
      <c r="F12" s="14"/>
    </row>
    <row r="13" spans="1:6" x14ac:dyDescent="0.3">
      <c r="A13" s="6" t="s">
        <v>16</v>
      </c>
      <c r="B13" s="6" t="s">
        <v>35</v>
      </c>
      <c r="C13" s="6" t="s">
        <v>21</v>
      </c>
      <c r="D13" s="14">
        <v>1611.25</v>
      </c>
      <c r="E13" s="14">
        <v>1847.5</v>
      </c>
      <c r="F13" s="14">
        <v>175.12792943064983</v>
      </c>
    </row>
    <row r="14" spans="1:6" x14ac:dyDescent="0.3">
      <c r="A14" s="6" t="s">
        <v>16</v>
      </c>
      <c r="B14" s="6" t="s">
        <v>36</v>
      </c>
      <c r="C14" s="6" t="s">
        <v>21</v>
      </c>
      <c r="D14" s="14">
        <v>2030</v>
      </c>
      <c r="E14" s="14"/>
      <c r="F14" s="14"/>
    </row>
    <row r="15" spans="1:6" x14ac:dyDescent="0.3">
      <c r="A15" s="6" t="s">
        <v>15</v>
      </c>
      <c r="B15" s="6" t="s">
        <v>34</v>
      </c>
      <c r="C15" s="6" t="s">
        <v>21</v>
      </c>
      <c r="D15" s="14">
        <v>40300</v>
      </c>
      <c r="E15" s="14"/>
      <c r="F15" s="14"/>
    </row>
    <row r="16" spans="1:6" x14ac:dyDescent="0.3">
      <c r="A16" s="6" t="s">
        <v>15</v>
      </c>
      <c r="B16" s="6" t="s">
        <v>35</v>
      </c>
      <c r="C16" s="6" t="s">
        <v>21</v>
      </c>
      <c r="D16" s="14">
        <v>20975</v>
      </c>
      <c r="E16" s="14">
        <v>35175</v>
      </c>
      <c r="F16" s="14">
        <v>10169.582915079</v>
      </c>
    </row>
    <row r="17" spans="1:6" x14ac:dyDescent="0.3">
      <c r="A17" s="6" t="s">
        <v>15</v>
      </c>
      <c r="B17" s="6" t="s">
        <v>36</v>
      </c>
      <c r="C17" s="6" t="s">
        <v>21</v>
      </c>
      <c r="D17" s="14">
        <v>44250</v>
      </c>
      <c r="E17" s="14"/>
      <c r="F17" s="14"/>
    </row>
    <row r="18" spans="1:6" x14ac:dyDescent="0.3">
      <c r="A18" s="6" t="s">
        <v>24</v>
      </c>
      <c r="B18" s="6" t="s">
        <v>34</v>
      </c>
      <c r="C18" s="6" t="s">
        <v>21</v>
      </c>
      <c r="D18" s="14">
        <v>1595000</v>
      </c>
      <c r="E18" s="14"/>
      <c r="F18" s="14"/>
    </row>
    <row r="19" spans="1:6" x14ac:dyDescent="0.3">
      <c r="A19" s="6" t="s">
        <v>24</v>
      </c>
      <c r="B19" s="6" t="s">
        <v>35</v>
      </c>
      <c r="C19" s="6" t="s">
        <v>21</v>
      </c>
      <c r="D19" s="14">
        <v>1542500</v>
      </c>
      <c r="E19" s="14">
        <v>1535833.3333333333</v>
      </c>
      <c r="F19" s="14">
        <v>51248.306205072658</v>
      </c>
    </row>
    <row r="20" spans="1:6" x14ac:dyDescent="0.3">
      <c r="A20" s="6" t="s">
        <v>24</v>
      </c>
      <c r="B20" s="6" t="s">
        <v>36</v>
      </c>
      <c r="C20" s="6" t="s">
        <v>21</v>
      </c>
      <c r="D20" s="14">
        <v>1470000</v>
      </c>
      <c r="E20" s="14"/>
      <c r="F20" s="14"/>
    </row>
    <row r="21" spans="1:6" x14ac:dyDescent="0.3">
      <c r="A21" s="6" t="s">
        <v>18</v>
      </c>
      <c r="B21" s="6" t="s">
        <v>34</v>
      </c>
      <c r="C21" s="6" t="s">
        <v>21</v>
      </c>
      <c r="D21" s="14">
        <v>3905000</v>
      </c>
      <c r="E21" s="14">
        <v>3905000</v>
      </c>
      <c r="F21" s="14">
        <v>0</v>
      </c>
    </row>
    <row r="22" spans="1:6" x14ac:dyDescent="0.3">
      <c r="A22" s="6" t="s">
        <v>17</v>
      </c>
      <c r="B22" s="6" t="s">
        <v>34</v>
      </c>
      <c r="C22" s="6" t="s">
        <v>21</v>
      </c>
      <c r="D22" s="14">
        <v>187125</v>
      </c>
      <c r="E22" s="14">
        <v>187125</v>
      </c>
      <c r="F22" s="14">
        <v>0</v>
      </c>
    </row>
    <row r="23" spans="1:6" x14ac:dyDescent="0.3">
      <c r="A23" t="s">
        <v>16</v>
      </c>
      <c r="B23" t="s">
        <v>34</v>
      </c>
      <c r="C23" t="s">
        <v>22</v>
      </c>
      <c r="D23" s="3">
        <v>431.375</v>
      </c>
      <c r="E23" s="3"/>
      <c r="F23" s="3"/>
    </row>
    <row r="24" spans="1:6" x14ac:dyDescent="0.3">
      <c r="A24" t="s">
        <v>16</v>
      </c>
      <c r="B24" t="s">
        <v>35</v>
      </c>
      <c r="C24" t="s">
        <v>22</v>
      </c>
      <c r="D24" s="3">
        <v>770.875</v>
      </c>
      <c r="E24" s="3">
        <v>558.58333333333337</v>
      </c>
      <c r="F24" s="3">
        <v>151.09476652823625</v>
      </c>
    </row>
    <row r="25" spans="1:6" x14ac:dyDescent="0.3">
      <c r="A25" t="s">
        <v>16</v>
      </c>
      <c r="B25" t="s">
        <v>36</v>
      </c>
      <c r="C25" t="s">
        <v>22</v>
      </c>
      <c r="D25" s="3">
        <v>473.50000000000006</v>
      </c>
      <c r="E25" s="3"/>
      <c r="F25" s="3"/>
    </row>
    <row r="26" spans="1:6" x14ac:dyDescent="0.3">
      <c r="A26" t="s">
        <v>15</v>
      </c>
      <c r="B26" t="s">
        <v>34</v>
      </c>
      <c r="C26" t="s">
        <v>22</v>
      </c>
      <c r="D26" s="3">
        <v>29937.5</v>
      </c>
      <c r="E26" s="3"/>
      <c r="F26" s="3"/>
    </row>
    <row r="27" spans="1:6" x14ac:dyDescent="0.3">
      <c r="A27" t="s">
        <v>15</v>
      </c>
      <c r="B27" t="s">
        <v>35</v>
      </c>
      <c r="C27" t="s">
        <v>22</v>
      </c>
      <c r="D27" s="3">
        <v>24600</v>
      </c>
      <c r="E27" s="3">
        <v>19954.583333333332</v>
      </c>
      <c r="F27" s="3">
        <v>10570.819225453732</v>
      </c>
    </row>
    <row r="28" spans="1:6" x14ac:dyDescent="0.3">
      <c r="A28" t="s">
        <v>15</v>
      </c>
      <c r="B28" t="s">
        <v>36</v>
      </c>
      <c r="C28" t="s">
        <v>22</v>
      </c>
      <c r="D28" s="3">
        <v>5326.25</v>
      </c>
      <c r="E28" s="3"/>
      <c r="F28" s="3"/>
    </row>
    <row r="29" spans="1:6" x14ac:dyDescent="0.3">
      <c r="A29" t="s">
        <v>24</v>
      </c>
      <c r="B29" t="s">
        <v>34</v>
      </c>
      <c r="C29" t="s">
        <v>22</v>
      </c>
      <c r="D29" s="3">
        <v>1094875</v>
      </c>
      <c r="E29" s="3"/>
      <c r="F29" s="3"/>
    </row>
    <row r="30" spans="1:6" x14ac:dyDescent="0.3">
      <c r="A30" t="s">
        <v>24</v>
      </c>
      <c r="B30" t="s">
        <v>35</v>
      </c>
      <c r="C30" t="s">
        <v>22</v>
      </c>
      <c r="D30" s="3">
        <v>1101250</v>
      </c>
      <c r="E30" s="3">
        <v>878500</v>
      </c>
      <c r="F30" s="3">
        <v>310519.17211341398</v>
      </c>
    </row>
    <row r="31" spans="1:6" x14ac:dyDescent="0.3">
      <c r="A31" t="s">
        <v>24</v>
      </c>
      <c r="B31" t="s">
        <v>36</v>
      </c>
      <c r="C31" t="s">
        <v>22</v>
      </c>
      <c r="D31" s="3">
        <v>439375</v>
      </c>
      <c r="E31" s="3"/>
      <c r="F31" s="3"/>
    </row>
    <row r="32" spans="1:6" x14ac:dyDescent="0.3">
      <c r="A32" t="s">
        <v>18</v>
      </c>
      <c r="B32" t="s">
        <v>34</v>
      </c>
      <c r="C32" t="s">
        <v>22</v>
      </c>
      <c r="D32" s="3">
        <v>1056875</v>
      </c>
      <c r="E32" s="3">
        <v>1056875</v>
      </c>
      <c r="F32" s="3">
        <v>0</v>
      </c>
    </row>
    <row r="33" spans="1:8" x14ac:dyDescent="0.3">
      <c r="A33" t="s">
        <v>17</v>
      </c>
      <c r="B33" t="s">
        <v>34</v>
      </c>
      <c r="C33" t="s">
        <v>22</v>
      </c>
      <c r="D33" s="3">
        <v>89737.5</v>
      </c>
      <c r="E33" s="3">
        <v>89737.5</v>
      </c>
      <c r="F33" s="3">
        <v>0</v>
      </c>
    </row>
    <row r="36" spans="1:8" x14ac:dyDescent="0.3">
      <c r="G36" s="3"/>
      <c r="H36" s="3"/>
    </row>
    <row r="37" spans="1:8" x14ac:dyDescent="0.3">
      <c r="G37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H55"/>
  <sheetViews>
    <sheetView topLeftCell="A18" zoomScale="71" zoomScaleNormal="80" workbookViewId="0">
      <selection activeCell="N36" sqref="N36"/>
    </sheetView>
  </sheetViews>
  <sheetFormatPr defaultRowHeight="14.4" x14ac:dyDescent="0.3"/>
  <cols>
    <col min="1" max="1" width="13.109375" customWidth="1"/>
    <col min="4" max="4" width="12.5546875" customWidth="1"/>
  </cols>
  <sheetData>
    <row r="1" spans="1:8" s="5" customFormat="1" ht="40.799999999999997" customHeight="1" x14ac:dyDescent="0.3">
      <c r="A1" s="7" t="s">
        <v>0</v>
      </c>
      <c r="B1" s="7" t="s">
        <v>1</v>
      </c>
      <c r="C1" s="7" t="s">
        <v>19</v>
      </c>
      <c r="D1" s="7" t="s">
        <v>2</v>
      </c>
      <c r="E1" s="7" t="s">
        <v>3</v>
      </c>
      <c r="F1" s="7" t="s">
        <v>4</v>
      </c>
      <c r="G1" s="7" t="s">
        <v>5</v>
      </c>
    </row>
    <row r="2" spans="1:8" x14ac:dyDescent="0.3">
      <c r="A2">
        <v>3.5</v>
      </c>
      <c r="B2" t="s">
        <v>34</v>
      </c>
      <c r="C2" t="s">
        <v>20</v>
      </c>
      <c r="D2">
        <v>907.2</v>
      </c>
    </row>
    <row r="3" spans="1:8" x14ac:dyDescent="0.3">
      <c r="A3">
        <v>3.5</v>
      </c>
      <c r="B3" t="s">
        <v>35</v>
      </c>
      <c r="C3" t="s">
        <v>20</v>
      </c>
      <c r="D3">
        <v>893.4</v>
      </c>
      <c r="E3" s="2">
        <f>AVERAGE(D2:D4)</f>
        <v>907.63333333333321</v>
      </c>
      <c r="F3" s="2">
        <f>_xlfn.STDEV.P(D2:D4)</f>
        <v>11.802353814199746</v>
      </c>
      <c r="G3" s="2">
        <f>F3*100/E3</f>
        <v>1.3003438041279241</v>
      </c>
    </row>
    <row r="4" spans="1:8" x14ac:dyDescent="0.3">
      <c r="A4">
        <v>3.5</v>
      </c>
      <c r="B4" t="s">
        <v>36</v>
      </c>
      <c r="C4" t="s">
        <v>20</v>
      </c>
      <c r="D4">
        <v>922.3</v>
      </c>
    </row>
    <row r="5" spans="1:8" x14ac:dyDescent="0.3">
      <c r="A5">
        <v>3.5</v>
      </c>
      <c r="B5" t="s">
        <v>37</v>
      </c>
      <c r="C5" t="s">
        <v>20</v>
      </c>
      <c r="D5">
        <v>915.8</v>
      </c>
    </row>
    <row r="6" spans="1:8" x14ac:dyDescent="0.3">
      <c r="A6">
        <v>3.5</v>
      </c>
      <c r="B6" t="s">
        <v>38</v>
      </c>
      <c r="C6" t="s">
        <v>20</v>
      </c>
      <c r="D6">
        <v>897</v>
      </c>
      <c r="E6" s="2">
        <f>AVERAGE(D5:D7)</f>
        <v>896.0333333333333</v>
      </c>
      <c r="F6" s="2">
        <f>_xlfn.STDEV.P(D5:D7)</f>
        <v>16.548178818897934</v>
      </c>
      <c r="G6" s="2">
        <f>F6*100/E6</f>
        <v>1.84682625113254</v>
      </c>
    </row>
    <row r="7" spans="1:8" x14ac:dyDescent="0.3">
      <c r="A7">
        <v>3.5</v>
      </c>
      <c r="B7" t="s">
        <v>39</v>
      </c>
      <c r="C7" t="s">
        <v>20</v>
      </c>
      <c r="D7">
        <v>875.3</v>
      </c>
      <c r="H7" s="9"/>
    </row>
    <row r="8" spans="1:8" x14ac:dyDescent="0.3">
      <c r="A8">
        <v>6</v>
      </c>
      <c r="B8" t="s">
        <v>34</v>
      </c>
      <c r="C8" t="s">
        <v>20</v>
      </c>
      <c r="D8">
        <v>1394.8</v>
      </c>
      <c r="H8" s="13"/>
    </row>
    <row r="9" spans="1:8" x14ac:dyDescent="0.3">
      <c r="A9">
        <v>6</v>
      </c>
      <c r="B9" t="s">
        <v>35</v>
      </c>
      <c r="C9" t="s">
        <v>20</v>
      </c>
      <c r="D9">
        <v>1429.6</v>
      </c>
      <c r="E9" s="2">
        <f>AVERAGE(D8:D10)</f>
        <v>1403.5999999999997</v>
      </c>
      <c r="F9" s="2">
        <f>_xlfn.STDEV.P(D8:D10)</f>
        <v>18.701871564097473</v>
      </c>
      <c r="G9" s="2">
        <f>F9*100/E9</f>
        <v>1.3324217415287458</v>
      </c>
      <c r="H9" s="1"/>
    </row>
    <row r="10" spans="1:8" x14ac:dyDescent="0.3">
      <c r="A10">
        <v>6</v>
      </c>
      <c r="B10" t="s">
        <v>36</v>
      </c>
      <c r="C10" t="s">
        <v>20</v>
      </c>
      <c r="D10">
        <v>1386.4</v>
      </c>
      <c r="H10" s="2"/>
    </row>
    <row r="11" spans="1:8" x14ac:dyDescent="0.3">
      <c r="A11">
        <v>6</v>
      </c>
      <c r="B11" t="s">
        <v>37</v>
      </c>
      <c r="C11" t="s">
        <v>20</v>
      </c>
      <c r="D11">
        <v>1429.2</v>
      </c>
      <c r="H11" s="1"/>
    </row>
    <row r="12" spans="1:8" x14ac:dyDescent="0.3">
      <c r="A12">
        <v>6</v>
      </c>
      <c r="B12" t="s">
        <v>38</v>
      </c>
      <c r="C12" t="s">
        <v>20</v>
      </c>
      <c r="D12">
        <v>1389.2</v>
      </c>
      <c r="E12" s="2">
        <f>AVERAGE(D11:D13)</f>
        <v>1386.2</v>
      </c>
      <c r="F12" s="2">
        <f>_xlfn.STDEV.P(D11:D13)</f>
        <v>36.395970472933769</v>
      </c>
      <c r="G12" s="2">
        <f>F12*100/E12</f>
        <v>2.6255930221420982</v>
      </c>
      <c r="H12" s="9"/>
    </row>
    <row r="13" spans="1:8" x14ac:dyDescent="0.3">
      <c r="A13">
        <v>6</v>
      </c>
      <c r="B13" t="s">
        <v>39</v>
      </c>
      <c r="C13" t="s">
        <v>20</v>
      </c>
      <c r="D13">
        <v>1340.2</v>
      </c>
      <c r="H13" s="13"/>
    </row>
    <row r="14" spans="1:8" x14ac:dyDescent="0.3">
      <c r="A14">
        <v>10</v>
      </c>
      <c r="B14" t="s">
        <v>34</v>
      </c>
      <c r="C14" t="s">
        <v>20</v>
      </c>
      <c r="D14">
        <v>2294</v>
      </c>
      <c r="H14" s="1"/>
    </row>
    <row r="15" spans="1:8" x14ac:dyDescent="0.3">
      <c r="A15">
        <v>10</v>
      </c>
      <c r="B15" t="s">
        <v>35</v>
      </c>
      <c r="C15" t="s">
        <v>20</v>
      </c>
      <c r="D15">
        <v>2204</v>
      </c>
      <c r="E15" s="2">
        <f>AVERAGE(D14:D16)</f>
        <v>2225.3333333333335</v>
      </c>
      <c r="F15" s="2">
        <f>_xlfn.STDEV.P(D14:D16)</f>
        <v>49.701330185642135</v>
      </c>
      <c r="G15" s="2">
        <f>F15*100/E15</f>
        <v>2.2334330520809824</v>
      </c>
      <c r="H15" s="2"/>
    </row>
    <row r="16" spans="1:8" x14ac:dyDescent="0.3">
      <c r="A16">
        <v>10</v>
      </c>
      <c r="B16" t="s">
        <v>36</v>
      </c>
      <c r="C16" t="s">
        <v>20</v>
      </c>
      <c r="D16">
        <v>2178</v>
      </c>
      <c r="H16" s="2"/>
    </row>
    <row r="17" spans="1:8" x14ac:dyDescent="0.3">
      <c r="A17">
        <v>10</v>
      </c>
      <c r="B17" t="s">
        <v>37</v>
      </c>
      <c r="C17" t="s">
        <v>20</v>
      </c>
      <c r="D17">
        <v>2204</v>
      </c>
      <c r="H17" s="1"/>
    </row>
    <row r="18" spans="1:8" x14ac:dyDescent="0.3">
      <c r="A18">
        <v>10</v>
      </c>
      <c r="B18" t="s">
        <v>38</v>
      </c>
      <c r="C18" t="s">
        <v>20</v>
      </c>
      <c r="D18">
        <v>2140</v>
      </c>
      <c r="E18" s="2">
        <f>AVERAGE(D17:D19)</f>
        <v>2174</v>
      </c>
      <c r="F18" s="2">
        <f>_xlfn.STDEV.P(D17:D19)</f>
        <v>26.280537792569366</v>
      </c>
      <c r="G18" s="2">
        <f>F18*100/E18</f>
        <v>1.2088563842028228</v>
      </c>
    </row>
    <row r="19" spans="1:8" x14ac:dyDescent="0.3">
      <c r="A19">
        <v>10</v>
      </c>
      <c r="B19" t="s">
        <v>39</v>
      </c>
      <c r="C19" t="s">
        <v>20</v>
      </c>
      <c r="D19">
        <v>2178</v>
      </c>
    </row>
    <row r="20" spans="1:8" x14ac:dyDescent="0.3">
      <c r="A20">
        <v>3.5</v>
      </c>
      <c r="B20" t="s">
        <v>34</v>
      </c>
      <c r="C20" t="s">
        <v>21</v>
      </c>
      <c r="D20">
        <v>901.4</v>
      </c>
    </row>
    <row r="21" spans="1:8" x14ac:dyDescent="0.3">
      <c r="A21">
        <v>3.5</v>
      </c>
      <c r="B21" t="s">
        <v>35</v>
      </c>
      <c r="C21" t="s">
        <v>21</v>
      </c>
      <c r="D21">
        <v>920</v>
      </c>
      <c r="E21" s="2">
        <f>AVERAGE(D20:D25)</f>
        <v>915.4</v>
      </c>
      <c r="F21" s="2">
        <f>_xlfn.STDEV.P(D20:D25)</f>
        <v>17.204650534085257</v>
      </c>
      <c r="G21" s="2">
        <f>F21*100/E21</f>
        <v>1.8794680504790535</v>
      </c>
    </row>
    <row r="22" spans="1:8" x14ac:dyDescent="0.3">
      <c r="A22">
        <v>3.5</v>
      </c>
      <c r="B22" t="s">
        <v>36</v>
      </c>
      <c r="C22" t="s">
        <v>21</v>
      </c>
      <c r="D22">
        <v>917</v>
      </c>
    </row>
    <row r="23" spans="1:8" x14ac:dyDescent="0.3">
      <c r="A23">
        <v>3.5</v>
      </c>
      <c r="B23" t="s">
        <v>37</v>
      </c>
      <c r="C23" t="s">
        <v>21</v>
      </c>
      <c r="D23">
        <v>902</v>
      </c>
    </row>
    <row r="24" spans="1:8" x14ac:dyDescent="0.3">
      <c r="A24">
        <v>3.5</v>
      </c>
      <c r="B24" t="s">
        <v>38</v>
      </c>
      <c r="C24" t="s">
        <v>21</v>
      </c>
      <c r="D24">
        <v>902</v>
      </c>
      <c r="E24" s="2"/>
      <c r="F24" s="2"/>
      <c r="G24" s="2"/>
    </row>
    <row r="25" spans="1:8" x14ac:dyDescent="0.3">
      <c r="A25">
        <v>3.5</v>
      </c>
      <c r="B25" t="s">
        <v>39</v>
      </c>
      <c r="C25" t="s">
        <v>21</v>
      </c>
      <c r="D25">
        <v>950</v>
      </c>
    </row>
    <row r="26" spans="1:8" x14ac:dyDescent="0.3">
      <c r="A26">
        <v>6.5</v>
      </c>
      <c r="B26" t="s">
        <v>34</v>
      </c>
      <c r="C26" t="s">
        <v>21</v>
      </c>
      <c r="D26">
        <v>1495.8</v>
      </c>
    </row>
    <row r="27" spans="1:8" x14ac:dyDescent="0.3">
      <c r="A27">
        <v>6.5</v>
      </c>
      <c r="B27" t="s">
        <v>35</v>
      </c>
      <c r="C27" t="s">
        <v>21</v>
      </c>
      <c r="D27">
        <v>1525.4</v>
      </c>
      <c r="E27" s="2">
        <f>AVERAGE(D26:D31)</f>
        <v>1483.8</v>
      </c>
      <c r="F27" s="2">
        <f>_xlfn.STDEV.P(D26:D31)</f>
        <v>28.147705649543362</v>
      </c>
      <c r="G27" s="2">
        <f>F27*100/E27</f>
        <v>1.8970013242716919</v>
      </c>
    </row>
    <row r="28" spans="1:8" x14ac:dyDescent="0.3">
      <c r="A28">
        <v>6.5</v>
      </c>
      <c r="B28" t="s">
        <v>36</v>
      </c>
      <c r="C28" t="s">
        <v>21</v>
      </c>
      <c r="D28">
        <v>1486.4</v>
      </c>
    </row>
    <row r="29" spans="1:8" x14ac:dyDescent="0.3">
      <c r="A29">
        <v>6.5</v>
      </c>
      <c r="B29" t="s">
        <v>37</v>
      </c>
      <c r="C29" t="s">
        <v>21</v>
      </c>
      <c r="D29">
        <v>1476.8</v>
      </c>
    </row>
    <row r="30" spans="1:8" x14ac:dyDescent="0.3">
      <c r="A30">
        <v>6.5</v>
      </c>
      <c r="B30" t="s">
        <v>38</v>
      </c>
      <c r="C30" t="s">
        <v>21</v>
      </c>
      <c r="D30">
        <v>1487.6</v>
      </c>
      <c r="E30" s="2"/>
      <c r="F30" s="2"/>
      <c r="G30" s="2"/>
    </row>
    <row r="31" spans="1:8" x14ac:dyDescent="0.3">
      <c r="A31">
        <v>6.5</v>
      </c>
      <c r="B31" t="s">
        <v>39</v>
      </c>
      <c r="C31" t="s">
        <v>21</v>
      </c>
      <c r="D31">
        <v>1430.8</v>
      </c>
    </row>
    <row r="32" spans="1:8" x14ac:dyDescent="0.3">
      <c r="A32">
        <v>10</v>
      </c>
      <c r="B32" t="s">
        <v>34</v>
      </c>
      <c r="C32" t="s">
        <v>21</v>
      </c>
      <c r="D32">
        <v>2186</v>
      </c>
    </row>
    <row r="33" spans="1:7" x14ac:dyDescent="0.3">
      <c r="A33">
        <v>10</v>
      </c>
      <c r="B33" t="s">
        <v>35</v>
      </c>
      <c r="C33" t="s">
        <v>21</v>
      </c>
      <c r="D33">
        <v>2174</v>
      </c>
      <c r="E33" s="2">
        <f>AVERAGE(D32:D37)</f>
        <v>2144</v>
      </c>
      <c r="F33" s="2">
        <f>_xlfn.STDEV.P(D32:D37)</f>
        <v>35.515254938312538</v>
      </c>
      <c r="G33" s="2">
        <f>F33*100/E33</f>
        <v>1.6564950997347265</v>
      </c>
    </row>
    <row r="34" spans="1:7" x14ac:dyDescent="0.3">
      <c r="A34">
        <v>10</v>
      </c>
      <c r="B34" t="s">
        <v>36</v>
      </c>
      <c r="C34" t="s">
        <v>21</v>
      </c>
      <c r="D34">
        <v>2128</v>
      </c>
    </row>
    <row r="35" spans="1:7" x14ac:dyDescent="0.3">
      <c r="A35">
        <v>10</v>
      </c>
      <c r="B35" t="s">
        <v>37</v>
      </c>
      <c r="C35" t="s">
        <v>21</v>
      </c>
      <c r="D35">
        <v>2096</v>
      </c>
    </row>
    <row r="36" spans="1:7" x14ac:dyDescent="0.3">
      <c r="A36">
        <v>10</v>
      </c>
      <c r="B36" t="s">
        <v>38</v>
      </c>
      <c r="C36" t="s">
        <v>21</v>
      </c>
      <c r="D36">
        <v>2106</v>
      </c>
      <c r="E36" s="2"/>
      <c r="F36" s="2"/>
      <c r="G36" s="2"/>
    </row>
    <row r="37" spans="1:7" x14ac:dyDescent="0.3">
      <c r="A37">
        <v>10</v>
      </c>
      <c r="B37" t="s">
        <v>39</v>
      </c>
      <c r="C37" t="s">
        <v>21</v>
      </c>
      <c r="D37">
        <v>2174</v>
      </c>
    </row>
    <row r="38" spans="1:7" x14ac:dyDescent="0.3">
      <c r="A38">
        <v>3.5</v>
      </c>
      <c r="B38" t="s">
        <v>34</v>
      </c>
      <c r="C38" t="s">
        <v>22</v>
      </c>
      <c r="D38">
        <v>947.5</v>
      </c>
    </row>
    <row r="39" spans="1:7" x14ac:dyDescent="0.3">
      <c r="A39">
        <v>3.5</v>
      </c>
      <c r="B39" t="s">
        <v>35</v>
      </c>
      <c r="C39" t="s">
        <v>22</v>
      </c>
      <c r="D39">
        <v>956.7</v>
      </c>
      <c r="E39" s="2">
        <f>AVERAGE(D38:D43)</f>
        <v>951.94999999999993</v>
      </c>
      <c r="F39" s="2">
        <f>_xlfn.STDEV.P(D38:D43)</f>
        <v>4.9738482753967128</v>
      </c>
      <c r="G39" s="2">
        <f>F39*100/E39</f>
        <v>0.52249049586603424</v>
      </c>
    </row>
    <row r="40" spans="1:7" x14ac:dyDescent="0.3">
      <c r="A40">
        <v>3.5</v>
      </c>
      <c r="B40" t="s">
        <v>36</v>
      </c>
      <c r="C40" t="s">
        <v>22</v>
      </c>
      <c r="D40">
        <v>954.9</v>
      </c>
    </row>
    <row r="41" spans="1:7" x14ac:dyDescent="0.3">
      <c r="A41">
        <v>3.5</v>
      </c>
      <c r="B41" t="s">
        <v>37</v>
      </c>
      <c r="C41" t="s">
        <v>22</v>
      </c>
      <c r="D41">
        <v>958.7</v>
      </c>
    </row>
    <row r="42" spans="1:7" x14ac:dyDescent="0.3">
      <c r="A42">
        <v>3.5</v>
      </c>
      <c r="B42" t="s">
        <v>38</v>
      </c>
      <c r="C42" t="s">
        <v>22</v>
      </c>
      <c r="D42">
        <v>947.9</v>
      </c>
      <c r="E42" s="2"/>
      <c r="F42" s="2"/>
      <c r="G42" s="2"/>
    </row>
    <row r="43" spans="1:7" x14ac:dyDescent="0.3">
      <c r="A43">
        <v>3.5</v>
      </c>
      <c r="B43" t="s">
        <v>39</v>
      </c>
      <c r="C43" t="s">
        <v>22</v>
      </c>
      <c r="D43">
        <v>946</v>
      </c>
    </row>
    <row r="44" spans="1:7" x14ac:dyDescent="0.3">
      <c r="A44">
        <v>6.5</v>
      </c>
      <c r="B44" t="s">
        <v>34</v>
      </c>
      <c r="C44" t="s">
        <v>22</v>
      </c>
      <c r="D44">
        <v>1489.4</v>
      </c>
    </row>
    <row r="45" spans="1:7" x14ac:dyDescent="0.3">
      <c r="A45">
        <v>6.5</v>
      </c>
      <c r="B45" t="s">
        <v>35</v>
      </c>
      <c r="C45" t="s">
        <v>22</v>
      </c>
      <c r="D45">
        <v>1470</v>
      </c>
      <c r="E45" s="2">
        <f>AVERAGE(D44:D49)</f>
        <v>1475.7666666666667</v>
      </c>
      <c r="F45" s="2">
        <f>_xlfn.STDEV.P(D44:D49)</f>
        <v>20.498915960497921</v>
      </c>
      <c r="G45" s="2">
        <f>F45*100/E45</f>
        <v>1.3890350299616869</v>
      </c>
    </row>
    <row r="46" spans="1:7" x14ac:dyDescent="0.3">
      <c r="A46">
        <v>6.5</v>
      </c>
      <c r="B46" t="s">
        <v>36</v>
      </c>
      <c r="C46" t="s">
        <v>22</v>
      </c>
      <c r="D46">
        <v>1504.6</v>
      </c>
    </row>
    <row r="47" spans="1:7" x14ac:dyDescent="0.3">
      <c r="A47">
        <v>6.5</v>
      </c>
      <c r="B47" t="s">
        <v>37</v>
      </c>
      <c r="C47" t="s">
        <v>22</v>
      </c>
      <c r="D47">
        <v>1446.6</v>
      </c>
    </row>
    <row r="48" spans="1:7" x14ac:dyDescent="0.3">
      <c r="A48">
        <v>6.5</v>
      </c>
      <c r="B48" t="s">
        <v>38</v>
      </c>
      <c r="C48" t="s">
        <v>22</v>
      </c>
      <c r="D48">
        <v>1454.8</v>
      </c>
      <c r="E48" s="2"/>
      <c r="F48" s="2"/>
      <c r="G48" s="2"/>
    </row>
    <row r="49" spans="1:7" x14ac:dyDescent="0.3">
      <c r="A49">
        <v>6.5</v>
      </c>
      <c r="B49" t="s">
        <v>39</v>
      </c>
      <c r="C49" t="s">
        <v>22</v>
      </c>
      <c r="D49">
        <v>1489.2</v>
      </c>
    </row>
    <row r="50" spans="1:7" x14ac:dyDescent="0.3">
      <c r="A50">
        <v>10</v>
      </c>
      <c r="B50" t="s">
        <v>34</v>
      </c>
      <c r="C50" t="s">
        <v>22</v>
      </c>
      <c r="D50">
        <v>2174</v>
      </c>
    </row>
    <row r="51" spans="1:7" x14ac:dyDescent="0.3">
      <c r="A51">
        <v>10</v>
      </c>
      <c r="B51" t="s">
        <v>35</v>
      </c>
      <c r="C51" t="s">
        <v>22</v>
      </c>
      <c r="D51">
        <v>2224</v>
      </c>
      <c r="E51" s="2">
        <f>AVERAGE(D50:D55)</f>
        <v>2216</v>
      </c>
      <c r="F51" s="2">
        <f>_xlfn.STDEV.P(D50:D55)</f>
        <v>46.875722216658524</v>
      </c>
      <c r="G51" s="2">
        <f>F51*100/E51</f>
        <v>2.1153304249394642</v>
      </c>
    </row>
    <row r="52" spans="1:7" x14ac:dyDescent="0.3">
      <c r="A52">
        <v>10</v>
      </c>
      <c r="B52" t="s">
        <v>36</v>
      </c>
      <c r="C52" t="s">
        <v>22</v>
      </c>
      <c r="D52">
        <v>2258</v>
      </c>
    </row>
    <row r="53" spans="1:7" x14ac:dyDescent="0.3">
      <c r="A53">
        <v>10</v>
      </c>
      <c r="B53" t="s">
        <v>37</v>
      </c>
      <c r="C53" t="s">
        <v>22</v>
      </c>
      <c r="D53">
        <v>2228</v>
      </c>
    </row>
    <row r="54" spans="1:7" x14ac:dyDescent="0.3">
      <c r="A54">
        <v>10</v>
      </c>
      <c r="B54" t="s">
        <v>38</v>
      </c>
      <c r="C54" t="s">
        <v>22</v>
      </c>
      <c r="D54">
        <v>2138</v>
      </c>
      <c r="E54" s="2"/>
      <c r="F54" s="2"/>
      <c r="G54" s="2"/>
    </row>
    <row r="55" spans="1:7" x14ac:dyDescent="0.3">
      <c r="A55">
        <v>10</v>
      </c>
      <c r="B55" t="s">
        <v>39</v>
      </c>
      <c r="C55" t="s">
        <v>22</v>
      </c>
      <c r="D55">
        <v>2274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Routine Culture data</vt:lpstr>
      <vt:lpstr>Raw Cell Density data</vt:lpstr>
      <vt:lpstr>Harvesting Efficiency</vt:lpstr>
      <vt:lpstr>Cell Density data for R</vt:lpstr>
      <vt:lpstr>Fast-track Activity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ΑΛΕΞΑΝΔΡΟΣ ΚΑΝΕΛΛΟΠΟΥΛΟΣ</cp:lastModifiedBy>
  <dcterms:created xsi:type="dcterms:W3CDTF">2015-06-05T18:17:20Z</dcterms:created>
  <dcterms:modified xsi:type="dcterms:W3CDTF">2024-11-27T11:12:41Z</dcterms:modified>
</cp:coreProperties>
</file>